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drawings/drawing3.xml" ContentType="application/vnd.openxmlformats-officedocument.drawingml.chartshapes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harts/chart5.xml" ContentType="application/vnd.openxmlformats-officedocument.drawingml.chart+xml"/>
  <Override PartName="/xl/drawings/drawing6.xml" ContentType="application/vnd.openxmlformats-officedocument.drawingml.chartshapes+xml"/>
  <Override PartName="/xl/charts/chart6.xml" ContentType="application/vnd.openxmlformats-officedocument.drawingml.chart+xml"/>
  <Override PartName="/xl/drawings/drawing7.xml" ContentType="application/vnd.openxmlformats-officedocument.drawingml.chartshapes+xml"/>
  <Override PartName="/xl/charts/chart7.xml" ContentType="application/vnd.openxmlformats-officedocument.drawingml.chart+xml"/>
  <Override PartName="/xl/drawings/drawing8.xml" ContentType="application/vnd.openxmlformats-officedocument.drawingml.chartshapes+xml"/>
  <Override PartName="/xl/charts/chart8.xml" ContentType="application/vnd.openxmlformats-officedocument.drawingml.chart+xml"/>
  <Override PartName="/xl/drawings/drawing9.xml" ContentType="application/vnd.openxmlformats-officedocument.drawingml.chartshapes+xml"/>
  <Override PartName="/xl/charts/chart9.xml" ContentType="application/vnd.openxmlformats-officedocument.drawingml.chart+xml"/>
  <Override PartName="/xl/drawings/drawing10.xml" ContentType="application/vnd.openxmlformats-officedocument.drawingml.chartshapes+xml"/>
  <Override PartName="/xl/charts/chart10.xml" ContentType="application/vnd.openxmlformats-officedocument.drawingml.chart+xml"/>
  <Override PartName="/xl/drawings/drawing11.xml" ContentType="application/vnd.openxmlformats-officedocument.drawingml.chartshapes+xml"/>
  <Override PartName="/xl/charts/chart11.xml" ContentType="application/vnd.openxmlformats-officedocument.drawingml.chart+xml"/>
  <Override PartName="/xl/drawings/drawing12.xml" ContentType="application/vnd.openxmlformats-officedocument.drawingml.chartshapes+xml"/>
  <Override PartName="/xl/charts/chart12.xml" ContentType="application/vnd.openxmlformats-officedocument.drawingml.chart+xml"/>
  <Override PartName="/xl/drawings/drawing13.xml" ContentType="application/vnd.openxmlformats-officedocument.drawingml.chartshapes+xml"/>
  <Override PartName="/xl/charts/chart13.xml" ContentType="application/vnd.openxmlformats-officedocument.drawingml.chart+xml"/>
  <Override PartName="/xl/drawings/drawing14.xml" ContentType="application/vnd.openxmlformats-officedocument.drawingml.chartshapes+xml"/>
  <Override PartName="/xl/charts/chart14.xml" ContentType="application/vnd.openxmlformats-officedocument.drawingml.chart+xml"/>
  <Override PartName="/xl/drawings/drawing15.xml" ContentType="application/vnd.openxmlformats-officedocument.drawingml.chartshapes+xml"/>
  <Override PartName="/xl/charts/chart15.xml" ContentType="application/vnd.openxmlformats-officedocument.drawingml.chart+xml"/>
  <Override PartName="/xl/drawings/drawing16.xml" ContentType="application/vnd.openxmlformats-officedocument.drawingml.chartshapes+xml"/>
  <Override PartName="/xl/charts/chart16.xml" ContentType="application/vnd.openxmlformats-officedocument.drawingml.chart+xml"/>
  <Override PartName="/xl/drawings/drawing17.xml" ContentType="application/vnd.openxmlformats-officedocument.drawingml.chartshapes+xml"/>
  <Override PartName="/xl/charts/chart17.xml" ContentType="application/vnd.openxmlformats-officedocument.drawingml.chart+xml"/>
  <Override PartName="/xl/drawings/drawing18.xml" ContentType="application/vnd.openxmlformats-officedocument.drawingml.chartshapes+xml"/>
  <Override PartName="/xl/charts/chart18.xml" ContentType="application/vnd.openxmlformats-officedocument.drawingml.chart+xml"/>
  <Override PartName="/xl/drawings/drawing19.xml" ContentType="application/vnd.openxmlformats-officedocument.drawingml.chartshapes+xml"/>
  <Override PartName="/xl/charts/chart19.xml" ContentType="application/vnd.openxmlformats-officedocument.drawingml.chart+xml"/>
  <Override PartName="/xl/drawings/drawing20.xml" ContentType="application/vnd.openxmlformats-officedocument.drawingml.chartshapes+xml"/>
  <Override PartName="/xl/charts/chart20.xml" ContentType="application/vnd.openxmlformats-officedocument.drawingml.chart+xml"/>
  <Override PartName="/xl/drawings/drawing21.xml" ContentType="application/vnd.openxmlformats-officedocument.drawingml.chartshapes+xml"/>
  <Override PartName="/xl/charts/chart21.xml" ContentType="application/vnd.openxmlformats-officedocument.drawingml.chart+xml"/>
  <Override PartName="/xl/drawings/drawing22.xml" ContentType="application/vnd.openxmlformats-officedocument.drawingml.chartshapes+xml"/>
  <Override PartName="/xl/charts/chart22.xml" ContentType="application/vnd.openxmlformats-officedocument.drawingml.chart+xml"/>
  <Override PartName="/xl/drawings/drawing23.xml" ContentType="application/vnd.openxmlformats-officedocument.drawingml.chartshapes+xml"/>
  <Override PartName="/xl/charts/chart23.xml" ContentType="application/vnd.openxmlformats-officedocument.drawingml.chart+xml"/>
  <Override PartName="/xl/drawings/drawing24.xml" ContentType="application/vnd.openxmlformats-officedocument.drawingml.chartshapes+xml"/>
  <Override PartName="/xl/charts/chart24.xml" ContentType="application/vnd.openxmlformats-officedocument.drawingml.chart+xml"/>
  <Override PartName="/xl/drawings/drawing25.xml" ContentType="application/vnd.openxmlformats-officedocument.drawingml.chartshapes+xml"/>
  <Override PartName="/xl/charts/chart25.xml" ContentType="application/vnd.openxmlformats-officedocument.drawingml.chart+xml"/>
  <Override PartName="/xl/drawings/drawing26.xml" ContentType="application/vnd.openxmlformats-officedocument.drawingml.chartshapes+xml"/>
  <Override PartName="/xl/charts/chart26.xml" ContentType="application/vnd.openxmlformats-officedocument.drawingml.chart+xml"/>
  <Override PartName="/xl/drawings/drawing27.xml" ContentType="application/vnd.openxmlformats-officedocument.drawingml.chartshapes+xml"/>
  <Override PartName="/xl/charts/chart27.xml" ContentType="application/vnd.openxmlformats-officedocument.drawingml.chart+xml"/>
  <Override PartName="/xl/drawings/drawing28.xml" ContentType="application/vnd.openxmlformats-officedocument.drawingml.chartshapes+xml"/>
  <Override PartName="/xl/charts/chart28.xml" ContentType="application/vnd.openxmlformats-officedocument.drawingml.chart+xml"/>
  <Override PartName="/xl/drawings/drawing29.xml" ContentType="application/vnd.openxmlformats-officedocument.drawingml.chartshapes+xml"/>
  <Override PartName="/xl/charts/chart29.xml" ContentType="application/vnd.openxmlformats-officedocument.drawingml.chart+xml"/>
  <Override PartName="/xl/drawings/drawing30.xml" ContentType="application/vnd.openxmlformats-officedocument.drawingml.chartshapes+xml"/>
  <Override PartName="/xl/charts/chart30.xml" ContentType="application/vnd.openxmlformats-officedocument.drawingml.chart+xml"/>
  <Override PartName="/xl/drawings/drawing31.xml" ContentType="application/vnd.openxmlformats-officedocument.drawingml.chartshapes+xml"/>
  <Override PartName="/xl/charts/chart31.xml" ContentType="application/vnd.openxmlformats-officedocument.drawingml.chart+xml"/>
  <Override PartName="/xl/drawings/drawing32.xml" ContentType="application/vnd.openxmlformats-officedocument.drawingml.chartshapes+xml"/>
  <Override PartName="/xl/charts/chart32.xml" ContentType="application/vnd.openxmlformats-officedocument.drawingml.chart+xml"/>
  <Override PartName="/xl/drawings/drawing33.xml" ContentType="application/vnd.openxmlformats-officedocument.drawingml.chartshapes+xml"/>
  <Override PartName="/xl/charts/chart33.xml" ContentType="application/vnd.openxmlformats-officedocument.drawingml.chart+xml"/>
  <Override PartName="/xl/drawings/drawing34.xml" ContentType="application/vnd.openxmlformats-officedocument.drawingml.chartshapes+xml"/>
  <Override PartName="/xl/charts/chart34.xml" ContentType="application/vnd.openxmlformats-officedocument.drawingml.chart+xml"/>
  <Override PartName="/xl/drawings/drawing35.xml" ContentType="application/vnd.openxmlformats-officedocument.drawingml.chartshapes+xml"/>
  <Override PartName="/xl/drawings/drawing36.xml" ContentType="application/vnd.openxmlformats-officedocument.drawing+xml"/>
  <Override PartName="/xl/charts/chart35.xml" ContentType="application/vnd.openxmlformats-officedocument.drawingml.chart+xml"/>
  <Override PartName="/xl/drawings/drawing37.xml" ContentType="application/vnd.openxmlformats-officedocument.drawingml.chartshapes+xml"/>
  <Override PartName="/xl/charts/chart36.xml" ContentType="application/vnd.openxmlformats-officedocument.drawingml.chart+xml"/>
  <Override PartName="/xl/drawings/drawing38.xml" ContentType="application/vnd.openxmlformats-officedocument.drawingml.chartshapes+xml"/>
  <Override PartName="/xl/charts/chart37.xml" ContentType="application/vnd.openxmlformats-officedocument.drawingml.chart+xml"/>
  <Override PartName="/xl/drawings/drawing39.xml" ContentType="application/vnd.openxmlformats-officedocument.drawingml.chartshapes+xml"/>
  <Override PartName="/xl/charts/chart38.xml" ContentType="application/vnd.openxmlformats-officedocument.drawingml.chart+xml"/>
  <Override PartName="/xl/drawings/drawing40.xml" ContentType="application/vnd.openxmlformats-officedocument.drawingml.chartshapes+xml"/>
  <Override PartName="/xl/charts/chart39.xml" ContentType="application/vnd.openxmlformats-officedocument.drawingml.chart+xml"/>
  <Override PartName="/xl/drawings/drawing41.xml" ContentType="application/vnd.openxmlformats-officedocument.drawingml.chartshapes+xml"/>
  <Override PartName="/xl/charts/chart40.xml" ContentType="application/vnd.openxmlformats-officedocument.drawingml.chart+xml"/>
  <Override PartName="/xl/drawings/drawing42.xml" ContentType="application/vnd.openxmlformats-officedocument.drawingml.chartshapes+xml"/>
  <Override PartName="/xl/charts/chart41.xml" ContentType="application/vnd.openxmlformats-officedocument.drawingml.chart+xml"/>
  <Override PartName="/xl/drawings/drawing43.xml" ContentType="application/vnd.openxmlformats-officedocument.drawingml.chartshapes+xml"/>
  <Override PartName="/xl/charts/chart42.xml" ContentType="application/vnd.openxmlformats-officedocument.drawingml.chart+xml"/>
  <Override PartName="/xl/drawings/drawing44.xml" ContentType="application/vnd.openxmlformats-officedocument.drawingml.chartshapes+xml"/>
  <Override PartName="/xl/charts/chart43.xml" ContentType="application/vnd.openxmlformats-officedocument.drawingml.chart+xml"/>
  <Override PartName="/xl/drawings/drawing45.xml" ContentType="application/vnd.openxmlformats-officedocument.drawingml.chartshapes+xml"/>
  <Override PartName="/xl/charts/chart44.xml" ContentType="application/vnd.openxmlformats-officedocument.drawingml.chart+xml"/>
  <Override PartName="/xl/drawings/drawing46.xml" ContentType="application/vnd.openxmlformats-officedocument.drawingml.chartshapes+xml"/>
  <Override PartName="/xl/charts/chart45.xml" ContentType="application/vnd.openxmlformats-officedocument.drawingml.chart+xml"/>
  <Override PartName="/xl/drawings/drawing47.xml" ContentType="application/vnd.openxmlformats-officedocument.drawingml.chartshapes+xml"/>
  <Override PartName="/xl/charts/chart46.xml" ContentType="application/vnd.openxmlformats-officedocument.drawingml.chart+xml"/>
  <Override PartName="/xl/drawings/drawing48.xml" ContentType="application/vnd.openxmlformats-officedocument.drawingml.chartshapes+xml"/>
  <Override PartName="/xl/charts/chart47.xml" ContentType="application/vnd.openxmlformats-officedocument.drawingml.chart+xml"/>
  <Override PartName="/xl/drawings/drawing49.xml" ContentType="application/vnd.openxmlformats-officedocument.drawingml.chartshapes+xml"/>
  <Override PartName="/xl/charts/chart48.xml" ContentType="application/vnd.openxmlformats-officedocument.drawingml.chart+xml"/>
  <Override PartName="/xl/drawings/drawing50.xml" ContentType="application/vnd.openxmlformats-officedocument.drawingml.chartshapes+xml"/>
  <Override PartName="/xl/charts/chart49.xml" ContentType="application/vnd.openxmlformats-officedocument.drawingml.chart+xml"/>
  <Override PartName="/xl/drawings/drawing51.xml" ContentType="application/vnd.openxmlformats-officedocument.drawingml.chartshapes+xml"/>
  <Override PartName="/xl/charts/chart50.xml" ContentType="application/vnd.openxmlformats-officedocument.drawingml.chart+xml"/>
  <Override PartName="/xl/drawings/drawing52.xml" ContentType="application/vnd.openxmlformats-officedocument.drawingml.chartshapes+xml"/>
  <Override PartName="/xl/charts/chart51.xml" ContentType="application/vnd.openxmlformats-officedocument.drawingml.chart+xml"/>
  <Override PartName="/xl/drawings/drawing53.xml" ContentType="application/vnd.openxmlformats-officedocument.drawingml.chartshapes+xml"/>
  <Override PartName="/xl/charts/chart52.xml" ContentType="application/vnd.openxmlformats-officedocument.drawingml.chart+xml"/>
  <Override PartName="/xl/drawings/drawing54.xml" ContentType="application/vnd.openxmlformats-officedocument.drawingml.chartshapes+xml"/>
  <Override PartName="/xl/charts/chart53.xml" ContentType="application/vnd.openxmlformats-officedocument.drawingml.chart+xml"/>
  <Override PartName="/xl/drawings/drawing55.xml" ContentType="application/vnd.openxmlformats-officedocument.drawingml.chartshapes+xml"/>
  <Override PartName="/xl/charts/chart54.xml" ContentType="application/vnd.openxmlformats-officedocument.drawingml.chart+xml"/>
  <Override PartName="/xl/drawings/drawing56.xml" ContentType="application/vnd.openxmlformats-officedocument.drawingml.chartshapes+xml"/>
  <Override PartName="/xl/charts/chart55.xml" ContentType="application/vnd.openxmlformats-officedocument.drawingml.chart+xml"/>
  <Override PartName="/xl/drawings/drawing57.xml" ContentType="application/vnd.openxmlformats-officedocument.drawingml.chartshapes+xml"/>
  <Override PartName="/xl/charts/chart56.xml" ContentType="application/vnd.openxmlformats-officedocument.drawingml.chart+xml"/>
  <Override PartName="/xl/drawings/drawing58.xml" ContentType="application/vnd.openxmlformats-officedocument.drawingml.chartshapes+xml"/>
  <Override PartName="/xl/charts/chart57.xml" ContentType="application/vnd.openxmlformats-officedocument.drawingml.chart+xml"/>
  <Override PartName="/xl/drawings/drawing59.xml" ContentType="application/vnd.openxmlformats-officedocument.drawingml.chartshapes+xml"/>
  <Override PartName="/xl/charts/chart58.xml" ContentType="application/vnd.openxmlformats-officedocument.drawingml.chart+xml"/>
  <Override PartName="/xl/drawings/drawing60.xml" ContentType="application/vnd.openxmlformats-officedocument.drawingml.chartshapes+xml"/>
  <Override PartName="/xl/charts/chart59.xml" ContentType="application/vnd.openxmlformats-officedocument.drawingml.chart+xml"/>
  <Override PartName="/xl/drawings/drawing61.xml" ContentType="application/vnd.openxmlformats-officedocument.drawingml.chartshapes+xml"/>
  <Override PartName="/xl/charts/chart60.xml" ContentType="application/vnd.openxmlformats-officedocument.drawingml.chart+xml"/>
  <Override PartName="/xl/drawings/drawing62.xml" ContentType="application/vnd.openxmlformats-officedocument.drawingml.chartshapes+xml"/>
  <Override PartName="/xl/charts/chart61.xml" ContentType="application/vnd.openxmlformats-officedocument.drawingml.chart+xml"/>
  <Override PartName="/xl/drawings/drawing63.xml" ContentType="application/vnd.openxmlformats-officedocument.drawingml.chartshapes+xml"/>
  <Override PartName="/xl/charts/chart62.xml" ContentType="application/vnd.openxmlformats-officedocument.drawingml.chart+xml"/>
  <Override PartName="/xl/drawings/drawing64.xml" ContentType="application/vnd.openxmlformats-officedocument.drawingml.chartshapes+xml"/>
  <Override PartName="/xl/charts/chart63.xml" ContentType="application/vnd.openxmlformats-officedocument.drawingml.chart+xml"/>
  <Override PartName="/xl/drawings/drawing65.xml" ContentType="application/vnd.openxmlformats-officedocument.drawingml.chartshapes+xml"/>
  <Override PartName="/xl/charts/chart64.xml" ContentType="application/vnd.openxmlformats-officedocument.drawingml.chart+xml"/>
  <Override PartName="/xl/drawings/drawing66.xml" ContentType="application/vnd.openxmlformats-officedocument.drawingml.chartshapes+xml"/>
  <Override PartName="/xl/charts/chart65.xml" ContentType="application/vnd.openxmlformats-officedocument.drawingml.chart+xml"/>
  <Override PartName="/xl/drawings/drawing67.xml" ContentType="application/vnd.openxmlformats-officedocument.drawingml.chartshapes+xml"/>
  <Override PartName="/xl/charts/chart66.xml" ContentType="application/vnd.openxmlformats-officedocument.drawingml.chart+xml"/>
  <Override PartName="/xl/drawings/drawing68.xml" ContentType="application/vnd.openxmlformats-officedocument.drawingml.chartshapes+xml"/>
  <Override PartName="/xl/charts/chart67.xml" ContentType="application/vnd.openxmlformats-officedocument.drawingml.chart+xml"/>
  <Override PartName="/xl/drawings/drawing69.xml" ContentType="application/vnd.openxmlformats-officedocument.drawingml.chartshapes+xml"/>
  <Override PartName="/xl/charts/chart68.xml" ContentType="application/vnd.openxmlformats-officedocument.drawingml.chart+xml"/>
  <Override PartName="/xl/drawings/drawing70.xml" ContentType="application/vnd.openxmlformats-officedocument.drawingml.chartshapes+xml"/>
  <Override PartName="/xl/charts/chart69.xml" ContentType="application/vnd.openxmlformats-officedocument.drawingml.chart+xml"/>
  <Override PartName="/xl/drawings/drawing71.xml" ContentType="application/vnd.openxmlformats-officedocument.drawingml.chartshapes+xml"/>
  <Override PartName="/xl/charts/chart70.xml" ContentType="application/vnd.openxmlformats-officedocument.drawingml.chart+xml"/>
  <Override PartName="/xl/drawings/drawing72.xml" ContentType="application/vnd.openxmlformats-officedocument.drawingml.chartshapes+xml"/>
  <Override PartName="/xl/charts/chart71.xml" ContentType="application/vnd.openxmlformats-officedocument.drawingml.chart+xml"/>
  <Override PartName="/xl/drawings/drawing73.xml" ContentType="application/vnd.openxmlformats-officedocument.drawingml.chartshapes+xml"/>
  <Override PartName="/xl/charts/chart72.xml" ContentType="application/vnd.openxmlformats-officedocument.drawingml.chart+xml"/>
  <Override PartName="/xl/drawings/drawing74.xml" ContentType="application/vnd.openxmlformats-officedocument.drawingml.chartshapes+xml"/>
  <Override PartName="/xl/charts/chart73.xml" ContentType="application/vnd.openxmlformats-officedocument.drawingml.chart+xml"/>
  <Override PartName="/xl/drawings/drawing75.xml" ContentType="application/vnd.openxmlformats-officedocument.drawingml.chartshapes+xml"/>
  <Override PartName="/xl/charts/chart74.xml" ContentType="application/vnd.openxmlformats-officedocument.drawingml.chart+xml"/>
  <Override PartName="/xl/drawings/drawing76.xml" ContentType="application/vnd.openxmlformats-officedocument.drawingml.chartshapes+xml"/>
  <Override PartName="/xl/charts/chart75.xml" ContentType="application/vnd.openxmlformats-officedocument.drawingml.chart+xml"/>
  <Override PartName="/xl/drawings/drawing77.xml" ContentType="application/vnd.openxmlformats-officedocument.drawingml.chartshapes+xml"/>
  <Override PartName="/xl/charts/chart76.xml" ContentType="application/vnd.openxmlformats-officedocument.drawingml.chart+xml"/>
  <Override PartName="/xl/drawings/drawing78.xml" ContentType="application/vnd.openxmlformats-officedocument.drawingml.chartshapes+xml"/>
  <Override PartName="/xl/charts/chart77.xml" ContentType="application/vnd.openxmlformats-officedocument.drawingml.chart+xml"/>
  <Override PartName="/xl/drawings/drawing79.xml" ContentType="application/vnd.openxmlformats-officedocument.drawingml.chartshapes+xml"/>
  <Override PartName="/xl/charts/chart78.xml" ContentType="application/vnd.openxmlformats-officedocument.drawingml.chart+xml"/>
  <Override PartName="/xl/drawings/drawing80.xml" ContentType="application/vnd.openxmlformats-officedocument.drawingml.chartshapes+xml"/>
  <Override PartName="/xl/charts/chart79.xml" ContentType="application/vnd.openxmlformats-officedocument.drawingml.chart+xml"/>
  <Override PartName="/xl/drawings/drawing81.xml" ContentType="application/vnd.openxmlformats-officedocument.drawingml.chartshapes+xml"/>
  <Override PartName="/xl/charts/chart80.xml" ContentType="application/vnd.openxmlformats-officedocument.drawingml.chart+xml"/>
  <Override PartName="/xl/drawings/drawing82.xml" ContentType="application/vnd.openxmlformats-officedocument.drawingml.chartshapes+xml"/>
  <Override PartName="/xl/charts/chart81.xml" ContentType="application/vnd.openxmlformats-officedocument.drawingml.chart+xml"/>
  <Override PartName="/xl/drawings/drawing83.xml" ContentType="application/vnd.openxmlformats-officedocument.drawingml.chartshapes+xml"/>
  <Override PartName="/xl/charts/chart82.xml" ContentType="application/vnd.openxmlformats-officedocument.drawingml.chart+xml"/>
  <Override PartName="/xl/drawings/drawing84.xml" ContentType="application/vnd.openxmlformats-officedocument.drawingml.chartshapes+xml"/>
  <Override PartName="/xl/charts/chart83.xml" ContentType="application/vnd.openxmlformats-officedocument.drawingml.chart+xml"/>
  <Override PartName="/xl/drawings/drawing85.xml" ContentType="application/vnd.openxmlformats-officedocument.drawingml.chartshapes+xml"/>
  <Override PartName="/xl/charts/chart84.xml" ContentType="application/vnd.openxmlformats-officedocument.drawingml.chart+xml"/>
  <Override PartName="/xl/drawings/drawing86.xml" ContentType="application/vnd.openxmlformats-officedocument.drawingml.chartshapes+xml"/>
  <Override PartName="/xl/charts/chart85.xml" ContentType="application/vnd.openxmlformats-officedocument.drawingml.chart+xml"/>
  <Override PartName="/xl/drawings/drawing87.xml" ContentType="application/vnd.openxmlformats-officedocument.drawingml.chartshapes+xml"/>
  <Override PartName="/xl/charts/chart86.xml" ContentType="application/vnd.openxmlformats-officedocument.drawingml.chart+xml"/>
  <Override PartName="/xl/drawings/drawing88.xml" ContentType="application/vnd.openxmlformats-officedocument.drawingml.chartshapes+xml"/>
  <Override PartName="/xl/charts/chart87.xml" ContentType="application/vnd.openxmlformats-officedocument.drawingml.chart+xml"/>
  <Override PartName="/xl/drawings/drawing89.xml" ContentType="application/vnd.openxmlformats-officedocument.drawingml.chartshapes+xml"/>
  <Override PartName="/xl/charts/chart88.xml" ContentType="application/vnd.openxmlformats-officedocument.drawingml.chart+xml"/>
  <Override PartName="/xl/drawings/drawing90.xml" ContentType="application/vnd.openxmlformats-officedocument.drawingml.chartshapes+xml"/>
  <Override PartName="/xl/charts/chart89.xml" ContentType="application/vnd.openxmlformats-officedocument.drawingml.chart+xml"/>
  <Override PartName="/xl/drawings/drawing91.xml" ContentType="application/vnd.openxmlformats-officedocument.drawingml.chartshapes+xml"/>
  <Override PartName="/xl/charts/chart90.xml" ContentType="application/vnd.openxmlformats-officedocument.drawingml.chart+xml"/>
  <Override PartName="/xl/drawings/drawing92.xml" ContentType="application/vnd.openxmlformats-officedocument.drawingml.chartshapes+xml"/>
  <Override PartName="/xl/charts/chart91.xml" ContentType="application/vnd.openxmlformats-officedocument.drawingml.chart+xml"/>
  <Override PartName="/xl/drawings/drawing93.xml" ContentType="application/vnd.openxmlformats-officedocument.drawingml.chartshapes+xml"/>
  <Override PartName="/xl/charts/chart92.xml" ContentType="application/vnd.openxmlformats-officedocument.drawingml.chart+xml"/>
  <Override PartName="/xl/drawings/drawing94.xml" ContentType="application/vnd.openxmlformats-officedocument.drawingml.chartshapes+xml"/>
  <Override PartName="/xl/charts/chart93.xml" ContentType="application/vnd.openxmlformats-officedocument.drawingml.chart+xml"/>
  <Override PartName="/xl/drawings/drawing95.xml" ContentType="application/vnd.openxmlformats-officedocument.drawingml.chartshapes+xml"/>
  <Override PartName="/xl/charts/chart94.xml" ContentType="application/vnd.openxmlformats-officedocument.drawingml.chart+xml"/>
  <Override PartName="/xl/drawings/drawing96.xml" ContentType="application/vnd.openxmlformats-officedocument.drawingml.chartshapes+xml"/>
  <Override PartName="/xl/charts/chart95.xml" ContentType="application/vnd.openxmlformats-officedocument.drawingml.chart+xml"/>
  <Override PartName="/xl/drawings/drawing97.xml" ContentType="application/vnd.openxmlformats-officedocument.drawingml.chartshapes+xml"/>
  <Override PartName="/xl/drawings/drawing98.xml" ContentType="application/vnd.openxmlformats-officedocument.drawing+xml"/>
  <Override PartName="/xl/charts/chart96.xml" ContentType="application/vnd.openxmlformats-officedocument.drawingml.chart+xml"/>
  <Override PartName="/xl/drawings/drawing99.xml" ContentType="application/vnd.openxmlformats-officedocument.drawingml.chartshapes+xml"/>
  <Override PartName="/xl/charts/chart97.xml" ContentType="application/vnd.openxmlformats-officedocument.drawingml.chart+xml"/>
  <Override PartName="/xl/drawings/drawing100.xml" ContentType="application/vnd.openxmlformats-officedocument.drawingml.chartshapes+xml"/>
  <Override PartName="/xl/charts/chart98.xml" ContentType="application/vnd.openxmlformats-officedocument.drawingml.chart+xml"/>
  <Override PartName="/xl/drawings/drawing101.xml" ContentType="application/vnd.openxmlformats-officedocument.drawingml.chartshapes+xml"/>
  <Override PartName="/xl/charts/chart99.xml" ContentType="application/vnd.openxmlformats-officedocument.drawingml.chart+xml"/>
  <Override PartName="/xl/drawings/drawing102.xml" ContentType="application/vnd.openxmlformats-officedocument.drawingml.chartshapes+xml"/>
  <Override PartName="/xl/charts/chart100.xml" ContentType="application/vnd.openxmlformats-officedocument.drawingml.chart+xml"/>
  <Override PartName="/xl/drawings/drawing103.xml" ContentType="application/vnd.openxmlformats-officedocument.drawingml.chartshapes+xml"/>
  <Override PartName="/xl/charts/chart101.xml" ContentType="application/vnd.openxmlformats-officedocument.drawingml.chart+xml"/>
  <Override PartName="/xl/drawings/drawing104.xml" ContentType="application/vnd.openxmlformats-officedocument.drawingml.chartshapes+xml"/>
  <Override PartName="/xl/charts/chart102.xml" ContentType="application/vnd.openxmlformats-officedocument.drawingml.chart+xml"/>
  <Override PartName="/xl/drawings/drawing105.xml" ContentType="application/vnd.openxmlformats-officedocument.drawingml.chartshapes+xml"/>
  <Override PartName="/xl/charts/chart103.xml" ContentType="application/vnd.openxmlformats-officedocument.drawingml.chart+xml"/>
  <Override PartName="/xl/drawings/drawing106.xml" ContentType="application/vnd.openxmlformats-officedocument.drawingml.chartshapes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drawings/drawing107.xml" ContentType="application/vnd.openxmlformats-officedocument.drawingml.chartshapes+xml"/>
  <Override PartName="/xl/charts/chart106.xml" ContentType="application/vnd.openxmlformats-officedocument.drawingml.chart+xml"/>
  <Override PartName="/xl/drawings/drawing108.xml" ContentType="application/vnd.openxmlformats-officedocument.drawingml.chartshapes+xml"/>
  <Override PartName="/xl/charts/chart107.xml" ContentType="application/vnd.openxmlformats-officedocument.drawingml.chart+xml"/>
  <Override PartName="/xl/drawings/drawing109.xml" ContentType="application/vnd.openxmlformats-officedocument.drawingml.chartshapes+xml"/>
  <Override PartName="/xl/charts/chart108.xml" ContentType="application/vnd.openxmlformats-officedocument.drawingml.chart+xml"/>
  <Override PartName="/xl/drawings/drawing110.xml" ContentType="application/vnd.openxmlformats-officedocument.drawingml.chartshapes+xml"/>
  <Override PartName="/xl/charts/chart109.xml" ContentType="application/vnd.openxmlformats-officedocument.drawingml.chart+xml"/>
  <Override PartName="/xl/drawings/drawing111.xml" ContentType="application/vnd.openxmlformats-officedocument.drawingml.chartshapes+xml"/>
  <Override PartName="/xl/charts/chart110.xml" ContentType="application/vnd.openxmlformats-officedocument.drawingml.chart+xml"/>
  <Override PartName="/xl/drawings/drawing112.xml" ContentType="application/vnd.openxmlformats-officedocument.drawingml.chartshapes+xml"/>
  <Override PartName="/xl/charts/chart111.xml" ContentType="application/vnd.openxmlformats-officedocument.drawingml.chart+xml"/>
  <Override PartName="/xl/charts/chart112.xml" ContentType="application/vnd.openxmlformats-officedocument.drawingml.chart+xml"/>
  <Override PartName="/xl/drawings/drawing113.xml" ContentType="application/vnd.openxmlformats-officedocument.drawingml.chartshapes+xml"/>
  <Override PartName="/xl/charts/chart113.xml" ContentType="application/vnd.openxmlformats-officedocument.drawingml.chart+xml"/>
  <Override PartName="/xl/charts/chart114.xml" ContentType="application/vnd.openxmlformats-officedocument.drawingml.chart+xml"/>
  <Override PartName="/xl/drawings/drawing114.xml" ContentType="application/vnd.openxmlformats-officedocument.drawingml.chartshapes+xml"/>
  <Override PartName="/xl/charts/chart115.xml" ContentType="application/vnd.openxmlformats-officedocument.drawingml.chart+xml"/>
  <Override PartName="/xl/charts/chart116.xml" ContentType="application/vnd.openxmlformats-officedocument.drawingml.chart+xml"/>
  <Override PartName="/xl/drawings/drawing115.xml" ContentType="application/vnd.openxmlformats-officedocument.drawingml.chartshapes+xml"/>
  <Override PartName="/xl/charts/chart117.xml" ContentType="application/vnd.openxmlformats-officedocument.drawingml.chart+xml"/>
  <Override PartName="/xl/drawings/drawing116.xml" ContentType="application/vnd.openxmlformats-officedocument.drawingml.chartshapes+xml"/>
  <Override PartName="/xl/charts/chart118.xml" ContentType="application/vnd.openxmlformats-officedocument.drawingml.chart+xml"/>
  <Override PartName="/xl/drawings/drawing117.xml" ContentType="application/vnd.openxmlformats-officedocument.drawingml.chartshapes+xml"/>
  <Override PartName="/xl/charts/chart119.xml" ContentType="application/vnd.openxmlformats-officedocument.drawingml.chart+xml"/>
  <Override PartName="/xl/drawings/drawing118.xml" ContentType="application/vnd.openxmlformats-officedocument.drawingml.chartshapes+xml"/>
  <Override PartName="/xl/charts/chart120.xml" ContentType="application/vnd.openxmlformats-officedocument.drawingml.chart+xml"/>
  <Override PartName="/xl/drawings/drawing119.xml" ContentType="application/vnd.openxmlformats-officedocument.drawingml.chartshapes+xml"/>
  <Override PartName="/xl/charts/chart121.xml" ContentType="application/vnd.openxmlformats-officedocument.drawingml.chart+xml"/>
  <Override PartName="/xl/drawings/drawing120.xml" ContentType="application/vnd.openxmlformats-officedocument.drawingml.chartshapes+xml"/>
  <Override PartName="/xl/charts/chart122.xml" ContentType="application/vnd.openxmlformats-officedocument.drawingml.chart+xml"/>
  <Override PartName="/xl/drawings/drawing121.xml" ContentType="application/vnd.openxmlformats-officedocument.drawingml.chartshapes+xml"/>
  <Override PartName="/xl/charts/chart123.xml" ContentType="application/vnd.openxmlformats-officedocument.drawingml.chart+xml"/>
  <Override PartName="/xl/drawings/drawing122.xml" ContentType="application/vnd.openxmlformats-officedocument.drawingml.chartshapes+xml"/>
  <Override PartName="/xl/charts/chart124.xml" ContentType="application/vnd.openxmlformats-officedocument.drawingml.chart+xml"/>
  <Override PartName="/xl/drawings/drawing123.xml" ContentType="application/vnd.openxmlformats-officedocument.drawingml.chartshapes+xml"/>
  <Override PartName="/xl/charts/chart125.xml" ContentType="application/vnd.openxmlformats-officedocument.drawingml.chart+xml"/>
  <Override PartName="/xl/charts/chart126.xml" ContentType="application/vnd.openxmlformats-officedocument.drawingml.chart+xml"/>
  <Override PartName="/xl/drawings/drawing124.xml" ContentType="application/vnd.openxmlformats-officedocument.drawingml.chartshapes+xml"/>
  <Override PartName="/xl/charts/chart127.xml" ContentType="application/vnd.openxmlformats-officedocument.drawingml.chart+xml"/>
  <Override PartName="/xl/drawings/drawing125.xml" ContentType="application/vnd.openxmlformats-officedocument.drawingml.chartshapes+xml"/>
  <Override PartName="/xl/charts/chart128.xml" ContentType="application/vnd.openxmlformats-officedocument.drawingml.chart+xml"/>
  <Override PartName="/xl/drawings/drawing126.xml" ContentType="application/vnd.openxmlformats-officedocument.drawingml.chartshapes+xml"/>
  <Override PartName="/xl/charts/chart129.xml" ContentType="application/vnd.openxmlformats-officedocument.drawingml.chart+xml"/>
  <Override PartName="/xl/drawings/drawing127.xml" ContentType="application/vnd.openxmlformats-officedocument.drawingml.chartshapes+xml"/>
  <Override PartName="/xl/charts/chart130.xml" ContentType="application/vnd.openxmlformats-officedocument.drawingml.chart+xml"/>
  <Override PartName="/xl/drawings/drawing128.xml" ContentType="application/vnd.openxmlformats-officedocument.drawingml.chartshapes+xml"/>
  <Override PartName="/xl/charts/chart131.xml" ContentType="application/vnd.openxmlformats-officedocument.drawingml.chart+xml"/>
  <Override PartName="/xl/drawings/drawing129.xml" ContentType="application/vnd.openxmlformats-officedocument.drawingml.chartshapes+xml"/>
  <Override PartName="/xl/charts/chart132.xml" ContentType="application/vnd.openxmlformats-officedocument.drawingml.chart+xml"/>
  <Override PartName="/xl/drawings/drawing130.xml" ContentType="application/vnd.openxmlformats-officedocument.drawingml.chartshapes+xml"/>
  <Override PartName="/xl/charts/chart133.xml" ContentType="application/vnd.openxmlformats-officedocument.drawingml.chart+xml"/>
  <Override PartName="/xl/drawings/drawing131.xml" ContentType="application/vnd.openxmlformats-officedocument.drawingml.chartshapes+xml"/>
  <Override PartName="/xl/charts/chart134.xml" ContentType="application/vnd.openxmlformats-officedocument.drawingml.chart+xml"/>
  <Override PartName="/xl/drawings/drawing132.xml" ContentType="application/vnd.openxmlformats-officedocument.drawingml.chartshapes+xml"/>
  <Override PartName="/xl/charts/chart135.xml" ContentType="application/vnd.openxmlformats-officedocument.drawingml.chart+xml"/>
  <Override PartName="/xl/drawings/drawing133.xml" ContentType="application/vnd.openxmlformats-officedocument.drawingml.chartshapes+xml"/>
  <Override PartName="/xl/charts/chart136.xml" ContentType="application/vnd.openxmlformats-officedocument.drawingml.chart+xml"/>
  <Override PartName="/xl/drawings/drawing134.xml" ContentType="application/vnd.openxmlformats-officedocument.drawingml.chartshapes+xml"/>
  <Override PartName="/xl/charts/chart137.xml" ContentType="application/vnd.openxmlformats-officedocument.drawingml.chart+xml"/>
  <Override PartName="/xl/drawings/drawing135.xml" ContentType="application/vnd.openxmlformats-officedocument.drawingml.chartshapes+xml"/>
  <Override PartName="/xl/drawings/drawing136.xml" ContentType="application/vnd.openxmlformats-officedocument.drawing+xml"/>
  <Override PartName="/xl/charts/chart138.xml" ContentType="application/vnd.openxmlformats-officedocument.drawingml.chart+xml"/>
  <Override PartName="/xl/drawings/drawing137.xml" ContentType="application/vnd.openxmlformats-officedocument.drawingml.chartshapes+xml"/>
  <Override PartName="/xl/charts/chart139.xml" ContentType="application/vnd.openxmlformats-officedocument.drawingml.chart+xml"/>
  <Override PartName="/xl/drawings/drawing138.xml" ContentType="application/vnd.openxmlformats-officedocument.drawingml.chartshapes+xml"/>
  <Override PartName="/xl/charts/chart140.xml" ContentType="application/vnd.openxmlformats-officedocument.drawingml.chart+xml"/>
  <Override PartName="/xl/drawings/drawing139.xml" ContentType="application/vnd.openxmlformats-officedocument.drawingml.chartshapes+xml"/>
  <Override PartName="/xl/drawings/drawing140.xml" ContentType="application/vnd.openxmlformats-officedocument.drawing+xml"/>
  <Override PartName="/xl/charts/chart141.xml" ContentType="application/vnd.openxmlformats-officedocument.drawingml.chart+xml"/>
  <Override PartName="/xl/drawings/drawing141.xml" ContentType="application/vnd.openxmlformats-officedocument.drawingml.chartshapes+xml"/>
  <Override PartName="/xl/charts/chart142.xml" ContentType="application/vnd.openxmlformats-officedocument.drawingml.chart+xml"/>
  <Override PartName="/xl/drawings/drawing142.xml" ContentType="application/vnd.openxmlformats-officedocument.drawingml.chartshapes+xml"/>
  <Override PartName="/xl/charts/chart143.xml" ContentType="application/vnd.openxmlformats-officedocument.drawingml.chart+xml"/>
  <Override PartName="/xl/drawings/drawing143.xml" ContentType="application/vnd.openxmlformats-officedocument.drawingml.chartshapes+xml"/>
  <Override PartName="/xl/charts/chart144.xml" ContentType="application/vnd.openxmlformats-officedocument.drawingml.chart+xml"/>
  <Override PartName="/xl/charts/chart145.xml" ContentType="application/vnd.openxmlformats-officedocument.drawingml.chart+xml"/>
  <Override PartName="/xl/drawings/drawing144.xml" ContentType="application/vnd.openxmlformats-officedocument.drawingml.chartshapes+xml"/>
  <Override PartName="/xl/charts/chart146.xml" ContentType="application/vnd.openxmlformats-officedocument.drawingml.chart+xml"/>
  <Override PartName="/xl/drawings/drawing145.xml" ContentType="application/vnd.openxmlformats-officedocument.drawingml.chartshapes+xml"/>
  <Override PartName="/xl/charts/chart147.xml" ContentType="application/vnd.openxmlformats-officedocument.drawingml.chart+xml"/>
  <Override PartName="/xl/charts/chart148.xml" ContentType="application/vnd.openxmlformats-officedocument.drawingml.chart+xml"/>
  <Override PartName="/xl/charts/chart149.xml" ContentType="application/vnd.openxmlformats-officedocument.drawingml.chart+xml"/>
  <Override PartName="/xl/drawings/drawing146.xml" ContentType="application/vnd.openxmlformats-officedocument.drawingml.chartshapes+xml"/>
  <Override PartName="/xl/charts/chart150.xml" ContentType="application/vnd.openxmlformats-officedocument.drawingml.chart+xml"/>
  <Override PartName="/xl/charts/chart151.xml" ContentType="application/vnd.openxmlformats-officedocument.drawingml.chart+xml"/>
  <Override PartName="/xl/drawings/drawing147.xml" ContentType="application/vnd.openxmlformats-officedocument.drawingml.chartshapes+xml"/>
  <Override PartName="/xl/charts/chart152.xml" ContentType="application/vnd.openxmlformats-officedocument.drawingml.chart+xml"/>
  <Override PartName="/xl/charts/chart153.xml" ContentType="application/vnd.openxmlformats-officedocument.drawingml.chart+xml"/>
  <Override PartName="/xl/charts/chart154.xml" ContentType="application/vnd.openxmlformats-officedocument.drawingml.chart+xml"/>
  <Override PartName="/xl/drawings/drawing148.xml" ContentType="application/vnd.openxmlformats-officedocument.drawingml.chartshapes+xml"/>
  <Override PartName="/xl/charts/chart155.xml" ContentType="application/vnd.openxmlformats-officedocument.drawingml.chart+xml"/>
  <Override PartName="/xl/drawings/drawing149.xml" ContentType="application/vnd.openxmlformats-officedocument.drawingml.chartshapes+xml"/>
  <Override PartName="/xl/charts/chart156.xml" ContentType="application/vnd.openxmlformats-officedocument.drawingml.chart+xml"/>
  <Override PartName="/xl/drawings/drawing150.xml" ContentType="application/vnd.openxmlformats-officedocument.drawing+xml"/>
  <Override PartName="/xl/charts/chart157.xml" ContentType="application/vnd.openxmlformats-officedocument.drawingml.chart+xml"/>
  <Override PartName="/xl/drawings/drawing151.xml" ContentType="application/vnd.openxmlformats-officedocument.drawingml.chartshapes+xml"/>
  <Override PartName="/xl/charts/chart158.xml" ContentType="application/vnd.openxmlformats-officedocument.drawingml.chart+xml"/>
  <Override PartName="/xl/drawings/drawing152.xml" ContentType="application/vnd.openxmlformats-officedocument.drawingml.chartshapes+xml"/>
  <Override PartName="/xl/charts/chart159.xml" ContentType="application/vnd.openxmlformats-officedocument.drawingml.chart+xml"/>
  <Override PartName="/xl/drawings/drawing153.xml" ContentType="application/vnd.openxmlformats-officedocument.drawingml.chartshapes+xml"/>
  <Override PartName="/xl/charts/chart160.xml" ContentType="application/vnd.openxmlformats-officedocument.drawingml.chart+xml"/>
  <Override PartName="/xl/drawings/drawing154.xml" ContentType="application/vnd.openxmlformats-officedocument.drawingml.chartshapes+xml"/>
  <Override PartName="/xl/charts/chart161.xml" ContentType="application/vnd.openxmlformats-officedocument.drawingml.chart+xml"/>
  <Override PartName="/xl/drawings/drawing155.xml" ContentType="application/vnd.openxmlformats-officedocument.drawingml.chartshapes+xml"/>
  <Override PartName="/xl/charts/chart162.xml" ContentType="application/vnd.openxmlformats-officedocument.drawingml.chart+xml"/>
  <Override PartName="/xl/drawings/drawing156.xml" ContentType="application/vnd.openxmlformats-officedocument.drawingml.chartshapes+xml"/>
  <Override PartName="/xl/charts/chart163.xml" ContentType="application/vnd.openxmlformats-officedocument.drawingml.chart+xml"/>
  <Override PartName="/xl/drawings/drawing157.xml" ContentType="application/vnd.openxmlformats-officedocument.drawingml.chartshapes+xml"/>
  <Override PartName="/xl/charts/chart164.xml" ContentType="application/vnd.openxmlformats-officedocument.drawingml.chart+xml"/>
  <Override PartName="/xl/drawings/drawing158.xml" ContentType="application/vnd.openxmlformats-officedocument.drawingml.chartshapes+xml"/>
  <Override PartName="/xl/charts/chart165.xml" ContentType="application/vnd.openxmlformats-officedocument.drawingml.chart+xml"/>
  <Override PartName="/xl/drawings/drawing159.xml" ContentType="application/vnd.openxmlformats-officedocument.drawingml.chartshapes+xml"/>
  <Override PartName="/xl/charts/chart166.xml" ContentType="application/vnd.openxmlformats-officedocument.drawingml.chart+xml"/>
  <Override PartName="/xl/drawings/drawing160.xml" ContentType="application/vnd.openxmlformats-officedocument.drawingml.chartshapes+xml"/>
  <Override PartName="/xl/charts/chart167.xml" ContentType="application/vnd.openxmlformats-officedocument.drawingml.chart+xml"/>
  <Override PartName="/xl/drawings/drawing161.xml" ContentType="application/vnd.openxmlformats-officedocument.drawingml.chartshapes+xml"/>
  <Override PartName="/xl/charts/chart168.xml" ContentType="application/vnd.openxmlformats-officedocument.drawingml.chart+xml"/>
  <Override PartName="/xl/drawings/drawing162.xml" ContentType="application/vnd.openxmlformats-officedocument.drawingml.chartshapes+xml"/>
  <Override PartName="/xl/drawings/drawing163.xml" ContentType="application/vnd.openxmlformats-officedocument.drawing+xml"/>
  <Override PartName="/xl/charts/chart169.xml" ContentType="application/vnd.openxmlformats-officedocument.drawingml.chart+xml"/>
  <Override PartName="/xl/drawings/drawing164.xml" ContentType="application/vnd.openxmlformats-officedocument.drawingml.chartshapes+xml"/>
  <Override PartName="/xl/charts/chart170.xml" ContentType="application/vnd.openxmlformats-officedocument.drawingml.chart+xml"/>
  <Override PartName="/xl/drawings/drawing165.xml" ContentType="application/vnd.openxmlformats-officedocument.drawingml.chartshapes+xml"/>
  <Override PartName="/xl/charts/chart171.xml" ContentType="application/vnd.openxmlformats-officedocument.drawingml.chart+xml"/>
  <Override PartName="/xl/drawings/drawing166.xml" ContentType="application/vnd.openxmlformats-officedocument.drawingml.chartshapes+xml"/>
  <Override PartName="/xl/charts/chart172.xml" ContentType="application/vnd.openxmlformats-officedocument.drawingml.chart+xml"/>
  <Override PartName="/xl/drawings/drawing167.xml" ContentType="application/vnd.openxmlformats-officedocument.drawingml.chartshapes+xml"/>
  <Override PartName="/xl/charts/chart173.xml" ContentType="application/vnd.openxmlformats-officedocument.drawingml.chart+xml"/>
  <Override PartName="/xl/charts/chart174.xml" ContentType="application/vnd.openxmlformats-officedocument.drawingml.chart+xml"/>
  <Override PartName="/xl/drawings/drawing168.xml" ContentType="application/vnd.openxmlformats-officedocument.drawingml.chartshapes+xml"/>
  <Override PartName="/xl/charts/chart175.xml" ContentType="application/vnd.openxmlformats-officedocument.drawingml.chart+xml"/>
  <Override PartName="/xl/drawings/drawing169.xml" ContentType="application/vnd.openxmlformats-officedocument.drawingml.chartshapes+xml"/>
  <Override PartName="/xl/charts/chart176.xml" ContentType="application/vnd.openxmlformats-officedocument.drawingml.chart+xml"/>
  <Override PartName="/xl/drawings/drawing170.xml" ContentType="application/vnd.openxmlformats-officedocument.drawingml.chartshapes+xml"/>
  <Override PartName="/xl/charts/chart177.xml" ContentType="application/vnd.openxmlformats-officedocument.drawingml.chart+xml"/>
  <Override PartName="/xl/drawings/drawing171.xml" ContentType="application/vnd.openxmlformats-officedocument.drawingml.chartshapes+xml"/>
  <Override PartName="/xl/charts/chart178.xml" ContentType="application/vnd.openxmlformats-officedocument.drawingml.chart+xml"/>
  <Override PartName="/xl/drawings/drawing172.xml" ContentType="application/vnd.openxmlformats-officedocument.drawingml.chartshapes+xml"/>
  <Override PartName="/xl/charts/chart179.xml" ContentType="application/vnd.openxmlformats-officedocument.drawingml.chart+xml"/>
  <Override PartName="/xl/drawings/drawing173.xml" ContentType="application/vnd.openxmlformats-officedocument.drawingml.chartshapes+xml"/>
  <Override PartName="/xl/charts/chart180.xml" ContentType="application/vnd.openxmlformats-officedocument.drawingml.chart+xml"/>
  <Override PartName="/xl/drawings/drawing174.xml" ContentType="application/vnd.openxmlformats-officedocument.drawingml.chartshapes+xml"/>
  <Override PartName="/xl/charts/chart181.xml" ContentType="application/vnd.openxmlformats-officedocument.drawingml.chart+xml"/>
  <Override PartName="/xl/drawings/drawing175.xml" ContentType="application/vnd.openxmlformats-officedocument.drawingml.chartshapes+xml"/>
  <Override PartName="/xl/charts/chart182.xml" ContentType="application/vnd.openxmlformats-officedocument.drawingml.chart+xml"/>
  <Override PartName="/xl/drawings/drawing176.xml" ContentType="application/vnd.openxmlformats-officedocument.drawingml.chartshapes+xml"/>
  <Override PartName="/xl/charts/chart183.xml" ContentType="application/vnd.openxmlformats-officedocument.drawingml.chart+xml"/>
  <Override PartName="/xl/drawings/drawing177.xml" ContentType="application/vnd.openxmlformats-officedocument.drawingml.chartshapes+xml"/>
  <Override PartName="/xl/charts/chart184.xml" ContentType="application/vnd.openxmlformats-officedocument.drawingml.chart+xml"/>
  <Override PartName="/xl/theme/themeOverride1.xml" ContentType="application/vnd.openxmlformats-officedocument.themeOverride+xml"/>
  <Override PartName="/xl/drawings/drawing178.xml" ContentType="application/vnd.openxmlformats-officedocument.drawingml.chartshapes+xml"/>
  <Override PartName="/xl/charts/chart185.xml" ContentType="application/vnd.openxmlformats-officedocument.drawingml.chart+xml"/>
  <Override PartName="/xl/theme/themeOverride2.xml" ContentType="application/vnd.openxmlformats-officedocument.themeOverride+xml"/>
  <Override PartName="/xl/drawings/drawing179.xml" ContentType="application/vnd.openxmlformats-officedocument.drawingml.chartshapes+xml"/>
  <Override PartName="/xl/charts/chart186.xml" ContentType="application/vnd.openxmlformats-officedocument.drawingml.chart+xml"/>
  <Override PartName="/xl/drawings/drawing180.xml" ContentType="application/vnd.openxmlformats-officedocument.drawingml.chartshapes+xml"/>
  <Override PartName="/xl/drawings/drawing181.xml" ContentType="application/vnd.openxmlformats-officedocument.drawing+xml"/>
  <Override PartName="/xl/drawings/drawing182.xml" ContentType="application/vnd.openxmlformats-officedocument.drawing+xml"/>
  <Override PartName="/xl/charts/chart187.xml" ContentType="application/vnd.openxmlformats-officedocument.drawingml.chart+xml"/>
  <Override PartName="/xl/drawings/drawing183.xml" ContentType="application/vnd.openxmlformats-officedocument.drawingml.chartshapes+xml"/>
  <Override PartName="/xl/drawings/drawing184.xml" ContentType="application/vnd.openxmlformats-officedocument.drawing+xml"/>
  <Override PartName="/xl/charts/chart188.xml" ContentType="application/vnd.openxmlformats-officedocument.drawingml.chart+xml"/>
  <Override PartName="/xl/drawings/drawing18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026"/>
  <workbookPr filterPrivacy="1" showInkAnnotation="0" defaultThemeVersion="166925"/>
  <xr:revisionPtr revIDLastSave="0" documentId="13_ncr:1_{4F65F40D-1EB5-458F-B333-59BBD2132306}" xr6:coauthVersionLast="47" xr6:coauthVersionMax="47" xr10:uidLastSave="{00000000-0000-0000-0000-000000000000}"/>
  <bookViews>
    <workbookView xWindow="-108" yWindow="-108" windowWidth="23256" windowHeight="12576" tabRatio="599" xr2:uid="{00000000-000D-0000-FFFF-FFFF00000000}"/>
  </bookViews>
  <sheets>
    <sheet name="РЕЗУЛЬТАТЫ" sheetId="4" r:id="rId1"/>
    <sheet name="ОТЧЁТ" sheetId="1" r:id="rId2"/>
    <sheet name="НАСТРОЙКА" sheetId="2" r:id="rId3"/>
    <sheet name="СЧЁТ" sheetId="3" r:id="rId4"/>
    <sheet name="ДЕМО" sheetId="5" r:id="rId5"/>
    <sheet name="ЭТАЛОН" sheetId="6" r:id="rId6"/>
    <sheet name="ПФ" sheetId="7" r:id="rId7"/>
    <sheet name="ДОХОДЫ НС" sheetId="8" r:id="rId8"/>
    <sheet name="ПФ2" sheetId="9" r:id="rId9"/>
    <sheet name="АЛГОРИТМ" sheetId="10" r:id="rId10"/>
    <sheet name="СРВ ТРАЕКТ" sheetId="11" r:id="rId11"/>
    <sheet name="СРВ СЦЕН" sheetId="12" r:id="rId12"/>
    <sheet name="МУЛЬТ" sheetId="13" r:id="rId13"/>
  </sheets>
  <calcPr calcId="191029"/>
</workbook>
</file>

<file path=xl/calcChain.xml><?xml version="1.0" encoding="utf-8"?>
<calcChain xmlns="http://schemas.openxmlformats.org/spreadsheetml/2006/main">
  <c r="FB95" i="1" l="1"/>
  <c r="FB96" i="1"/>
  <c r="FB97" i="1"/>
  <c r="FB98" i="1"/>
  <c r="FB99" i="1"/>
  <c r="FB100" i="1"/>
  <c r="FB101" i="1"/>
  <c r="FB102" i="1"/>
  <c r="FB103" i="1"/>
  <c r="FB104" i="1"/>
  <c r="FB105" i="1"/>
  <c r="FB106" i="1"/>
  <c r="FB107" i="1"/>
  <c r="FB108" i="1"/>
  <c r="FB109" i="1"/>
  <c r="FB110" i="1"/>
  <c r="FB111" i="1"/>
  <c r="FB112" i="1"/>
  <c r="FB113" i="1"/>
  <c r="FB114" i="1"/>
  <c r="FB115" i="1"/>
  <c r="FB116" i="1"/>
  <c r="FB94" i="1"/>
  <c r="FB93" i="1"/>
  <c r="FD129" i="1"/>
  <c r="FD130" i="1"/>
  <c r="FD131" i="1"/>
  <c r="FD132" i="1"/>
  <c r="FD133" i="1"/>
  <c r="FG227" i="1"/>
  <c r="FH229" i="1"/>
  <c r="FH230" i="1"/>
  <c r="FH231" i="1"/>
  <c r="FH232" i="1"/>
  <c r="FH233" i="1"/>
  <c r="FH234" i="1"/>
  <c r="FH235" i="1"/>
  <c r="FH236" i="1"/>
  <c r="FH237" i="1"/>
  <c r="FH238" i="1"/>
  <c r="FH239" i="1"/>
  <c r="FH240" i="1"/>
  <c r="FH241" i="1"/>
  <c r="FH242" i="1"/>
  <c r="FH243" i="1"/>
  <c r="FH244" i="1"/>
  <c r="FH245" i="1"/>
  <c r="FH246" i="1"/>
  <c r="FH247" i="1"/>
  <c r="FH248" i="1"/>
  <c r="FH249" i="1"/>
  <c r="FH250" i="1"/>
  <c r="FH228" i="1"/>
  <c r="FH227" i="1"/>
  <c r="UY38" i="4"/>
  <c r="UY39" i="4"/>
  <c r="UY40" i="4"/>
  <c r="UY41" i="4"/>
  <c r="UY42" i="4"/>
  <c r="UY43" i="4"/>
  <c r="UY44" i="4"/>
  <c r="UY45" i="4"/>
  <c r="UY46" i="4"/>
  <c r="UY47" i="4"/>
  <c r="UY48" i="4"/>
  <c r="UY49" i="4"/>
  <c r="UY50" i="4"/>
  <c r="UY51" i="4"/>
  <c r="UY52" i="4"/>
  <c r="UY53" i="4"/>
  <c r="UY37" i="4"/>
  <c r="Q115" i="3"/>
  <c r="R115" i="3"/>
  <c r="S115" i="3"/>
  <c r="T115" i="3"/>
  <c r="U115" i="3"/>
  <c r="V115" i="3"/>
  <c r="W115" i="3"/>
  <c r="X115" i="3"/>
  <c r="Y115" i="3"/>
  <c r="Z115" i="3"/>
  <c r="AA115" i="3"/>
  <c r="AB115" i="3"/>
  <c r="AC115" i="3"/>
  <c r="AD115" i="3"/>
  <c r="AE115" i="3"/>
  <c r="AF115" i="3"/>
  <c r="AG115" i="3"/>
  <c r="AH115" i="3"/>
  <c r="AI115" i="3"/>
  <c r="AJ115" i="3"/>
  <c r="AK115" i="3"/>
  <c r="AL115" i="3"/>
  <c r="P115" i="3"/>
  <c r="O115" i="3"/>
  <c r="AM21" i="3" a="1"/>
  <c r="AM21" i="3" s="1"/>
  <c r="V160" i="1"/>
  <c r="W160" i="1" s="1"/>
  <c r="X160" i="1" s="1"/>
  <c r="Y160" i="1" s="1"/>
  <c r="Z160" i="1" s="1"/>
  <c r="AA160" i="1" s="1"/>
  <c r="AB160" i="1" s="1"/>
  <c r="AC160" i="1" s="1"/>
  <c r="AD160" i="1" s="1"/>
  <c r="AE160" i="1" s="1"/>
  <c r="AF160" i="1" s="1"/>
  <c r="AG160" i="1" s="1"/>
  <c r="AH160" i="1" s="1"/>
  <c r="AI160" i="1" s="1"/>
  <c r="AJ160" i="1" s="1"/>
  <c r="AK160" i="1" s="1"/>
  <c r="AL160" i="1" s="1"/>
  <c r="AM160" i="1" s="1"/>
  <c r="AN160" i="1" s="1"/>
  <c r="AO160" i="1" s="1"/>
  <c r="AP160" i="1" s="1"/>
  <c r="AQ160" i="1" s="1"/>
  <c r="AR160" i="1" s="1"/>
  <c r="AV160" i="1"/>
  <c r="BO160" i="1"/>
  <c r="FT160" i="1"/>
  <c r="FD115" i="1" s="1"/>
  <c r="DI92" i="1"/>
  <c r="BX13" i="4"/>
  <c r="FT164" i="1"/>
  <c r="FD119" i="1" s="1"/>
  <c r="FT163" i="1"/>
  <c r="FD118" i="1" s="1"/>
  <c r="FT140" i="1"/>
  <c r="FD95" i="1" s="1"/>
  <c r="FT141" i="1"/>
  <c r="FD96" i="1" s="1"/>
  <c r="FT142" i="1"/>
  <c r="FD97" i="1" s="1"/>
  <c r="FT143" i="1"/>
  <c r="FD98" i="1" s="1"/>
  <c r="FT144" i="1"/>
  <c r="FD99" i="1" s="1"/>
  <c r="FT145" i="1"/>
  <c r="FD100" i="1" s="1"/>
  <c r="FT146" i="1"/>
  <c r="FD101" i="1" s="1"/>
  <c r="FT147" i="1"/>
  <c r="FD102" i="1" s="1"/>
  <c r="FT148" i="1"/>
  <c r="FD103" i="1" s="1"/>
  <c r="FT149" i="1"/>
  <c r="FD104" i="1" s="1"/>
  <c r="FT150" i="1"/>
  <c r="FD105" i="1" s="1"/>
  <c r="FT151" i="1"/>
  <c r="FD106" i="1" s="1"/>
  <c r="FT152" i="1"/>
  <c r="FD107" i="1" s="1"/>
  <c r="FT153" i="1"/>
  <c r="FD108" i="1" s="1"/>
  <c r="FT154" i="1"/>
  <c r="FD109" i="1" s="1"/>
  <c r="FT155" i="1"/>
  <c r="FD110" i="1" s="1"/>
  <c r="FT156" i="1"/>
  <c r="FD111" i="1" s="1"/>
  <c r="FT157" i="1"/>
  <c r="FD112" i="1" s="1"/>
  <c r="FT158" i="1"/>
  <c r="FD113" i="1" s="1"/>
  <c r="FT159" i="1"/>
  <c r="FD114" i="1" s="1"/>
  <c r="FT161" i="1"/>
  <c r="FD116" i="1" s="1"/>
  <c r="FT162" i="1"/>
  <c r="FD117" i="1" s="1"/>
  <c r="FT139" i="1"/>
  <c r="FD94" i="1" s="1"/>
  <c r="FT138" i="1"/>
  <c r="FD93" i="1" s="1"/>
  <c r="FC165" i="1"/>
  <c r="FC166" i="1" s="1"/>
  <c r="FC163" i="1"/>
  <c r="CE161" i="2"/>
  <c r="EK229" i="1"/>
  <c r="EK230" i="1"/>
  <c r="EK231" i="1"/>
  <c r="EK232" i="1"/>
  <c r="EK233" i="1"/>
  <c r="EK234" i="1"/>
  <c r="EK235" i="1"/>
  <c r="EK236" i="1"/>
  <c r="EK237" i="1"/>
  <c r="EK238" i="1"/>
  <c r="EK239" i="1"/>
  <c r="EK240" i="1"/>
  <c r="EK241" i="1"/>
  <c r="EK242" i="1"/>
  <c r="EK243" i="1"/>
  <c r="EK244" i="1"/>
  <c r="EK245" i="1"/>
  <c r="EK246" i="1"/>
  <c r="EK247" i="1"/>
  <c r="EK248" i="1"/>
  <c r="EK249" i="1"/>
  <c r="EK250" i="1"/>
  <c r="EL250" i="1" s="1"/>
  <c r="EK228" i="1"/>
  <c r="JM13" i="4" a="1"/>
  <c r="JM13" i="4" s="1"/>
  <c r="H13" i="4" a="1"/>
  <c r="H13" i="4" s="1"/>
  <c r="BD118" i="3"/>
  <c r="CX231" i="1"/>
  <c r="CX232" i="1"/>
  <c r="CX233" i="1"/>
  <c r="CX234" i="1"/>
  <c r="CX235" i="1"/>
  <c r="CX236" i="1"/>
  <c r="CX237" i="1"/>
  <c r="CX238" i="1"/>
  <c r="CX239" i="1"/>
  <c r="CX240" i="1"/>
  <c r="CX241" i="1"/>
  <c r="CX242" i="1"/>
  <c r="CX243" i="1"/>
  <c r="CX244" i="1"/>
  <c r="CX245" i="1"/>
  <c r="CX246" i="1"/>
  <c r="CX247" i="1"/>
  <c r="CX248" i="1"/>
  <c r="CX249" i="1"/>
  <c r="CX250" i="1"/>
  <c r="CX251" i="1"/>
  <c r="CX252" i="1"/>
  <c r="CX230" i="1"/>
  <c r="O11" i="3" a="1"/>
  <c r="O11" i="3" s="1"/>
  <c r="EI343" i="1"/>
  <c r="EI344" i="1"/>
  <c r="EI345" i="1"/>
  <c r="EI346" i="1" s="1"/>
  <c r="EI347" i="1" s="1"/>
  <c r="EI348" i="1" s="1"/>
  <c r="EI349" i="1" s="1"/>
  <c r="EI350" i="1" s="1"/>
  <c r="EI351" i="1" s="1"/>
  <c r="EI352" i="1" s="1"/>
  <c r="EI353" i="1" s="1"/>
  <c r="EI354" i="1" s="1"/>
  <c r="EI355" i="1" s="1"/>
  <c r="EI356" i="1" s="1"/>
  <c r="EI357" i="1" s="1"/>
  <c r="EI358" i="1" s="1"/>
  <c r="EI359" i="1" s="1"/>
  <c r="EI342" i="1"/>
  <c r="CE160" i="2"/>
  <c r="AM15" i="3" s="1" a="1"/>
  <c r="BD23" i="3"/>
  <c r="BD24" i="3"/>
  <c r="BD25" i="3"/>
  <c r="BD26" i="3"/>
  <c r="EE372" i="1"/>
  <c r="DT40" i="7"/>
  <c r="DT43" i="7"/>
  <c r="DB40" i="7"/>
  <c r="DB41" i="7"/>
  <c r="DT41" i="7" s="1"/>
  <c r="DB42" i="7"/>
  <c r="DT42" i="7" s="1"/>
  <c r="DB43" i="7"/>
  <c r="DD43" i="7" s="1"/>
  <c r="DY41" i="7"/>
  <c r="DY42" i="7"/>
  <c r="DY43" i="7"/>
  <c r="PQ12" i="4"/>
  <c r="FC12" i="4"/>
  <c r="AD12" i="4"/>
  <c r="BD100" i="3"/>
  <c r="BD99" i="3"/>
  <c r="BD105" i="3"/>
  <c r="BD106" i="3"/>
  <c r="BD107" i="3"/>
  <c r="BD108" i="3"/>
  <c r="BD109" i="3"/>
  <c r="BD110" i="3"/>
  <c r="BD112" i="3"/>
  <c r="BD111" i="3"/>
  <c r="BD114" i="3"/>
  <c r="BD115" i="3"/>
  <c r="BD117" i="3"/>
  <c r="BD116" i="3"/>
  <c r="BD119" i="3"/>
  <c r="BD120" i="3"/>
  <c r="BD121" i="3"/>
  <c r="BD122" i="3"/>
  <c r="BD123" i="3"/>
  <c r="BD124" i="3"/>
  <c r="BD125" i="3"/>
  <c r="BD126" i="3"/>
  <c r="BD127" i="3"/>
  <c r="BD102" i="3"/>
  <c r="FC167" i="1" l="1"/>
  <c r="FT166" i="1"/>
  <c r="FD121" i="1" s="1"/>
  <c r="FT165" i="1"/>
  <c r="FD120" i="1" s="1"/>
  <c r="UC51" i="4"/>
  <c r="UC47" i="4"/>
  <c r="UC43" i="4"/>
  <c r="UC39" i="4"/>
  <c r="BB21" i="3"/>
  <c r="UC53" i="4"/>
  <c r="UC49" i="4"/>
  <c r="UC45" i="4"/>
  <c r="UC41" i="4"/>
  <c r="UC52" i="4"/>
  <c r="UC50" i="4"/>
  <c r="UC48" i="4"/>
  <c r="UC46" i="4"/>
  <c r="UC44" i="4"/>
  <c r="UC42" i="4"/>
  <c r="UC40" i="4"/>
  <c r="AT21" i="3"/>
  <c r="AD11" i="3"/>
  <c r="AX21" i="3"/>
  <c r="AP21" i="3"/>
  <c r="AL11" i="3"/>
  <c r="V11" i="3"/>
  <c r="UC38" i="4"/>
  <c r="H28" i="4"/>
  <c r="AZ21" i="3"/>
  <c r="AV21" i="3"/>
  <c r="AR21" i="3"/>
  <c r="AN21" i="3"/>
  <c r="BC21" i="3"/>
  <c r="BA21" i="3"/>
  <c r="AY21" i="3"/>
  <c r="AW21" i="3"/>
  <c r="AU21" i="3"/>
  <c r="AS21" i="3"/>
  <c r="AQ21" i="3"/>
  <c r="AO21" i="3"/>
  <c r="H36" i="4"/>
  <c r="I36" i="4" s="1"/>
  <c r="H20" i="4"/>
  <c r="JM28" i="4"/>
  <c r="AH11" i="3"/>
  <c r="Z11" i="3"/>
  <c r="R11" i="3"/>
  <c r="H32" i="4"/>
  <c r="H24" i="4"/>
  <c r="H16" i="4"/>
  <c r="JM36" i="4"/>
  <c r="JN36" i="4" s="1"/>
  <c r="JM20" i="4"/>
  <c r="JM32" i="4"/>
  <c r="JM24" i="4"/>
  <c r="JM16" i="4"/>
  <c r="AJ11" i="3"/>
  <c r="AF11" i="3"/>
  <c r="AB11" i="3"/>
  <c r="X11" i="3"/>
  <c r="T11" i="3"/>
  <c r="P11" i="3"/>
  <c r="JM34" i="4"/>
  <c r="JM30" i="4"/>
  <c r="JM26" i="4"/>
  <c r="JM22" i="4"/>
  <c r="JM18" i="4"/>
  <c r="JM14" i="4"/>
  <c r="JM35" i="4"/>
  <c r="JM33" i="4"/>
  <c r="JM31" i="4"/>
  <c r="JM29" i="4"/>
  <c r="JM27" i="4"/>
  <c r="JM25" i="4"/>
  <c r="JM23" i="4"/>
  <c r="JM21" i="4"/>
  <c r="JM19" i="4"/>
  <c r="JM17" i="4"/>
  <c r="JM15" i="4"/>
  <c r="H38" i="4"/>
  <c r="J38" i="4" s="1"/>
  <c r="H34" i="4"/>
  <c r="H30" i="4"/>
  <c r="H26" i="4"/>
  <c r="H22" i="4"/>
  <c r="H18" i="4"/>
  <c r="H14" i="4"/>
  <c r="AE14" i="4" s="1"/>
  <c r="H37" i="4"/>
  <c r="H35" i="4"/>
  <c r="H33" i="4"/>
  <c r="H31" i="4"/>
  <c r="H29" i="4"/>
  <c r="H27" i="4"/>
  <c r="H25" i="4"/>
  <c r="H23" i="4"/>
  <c r="H21" i="4"/>
  <c r="H19" i="4"/>
  <c r="H17" i="4"/>
  <c r="H15" i="4"/>
  <c r="AK11" i="3"/>
  <c r="AI11" i="3"/>
  <c r="AG11" i="3"/>
  <c r="AE11" i="3"/>
  <c r="AC11" i="3"/>
  <c r="AA11" i="3"/>
  <c r="Y11" i="3"/>
  <c r="W11" i="3"/>
  <c r="U11" i="3"/>
  <c r="S11" i="3"/>
  <c r="Q11" i="3"/>
  <c r="AM15" i="3"/>
  <c r="AP15" i="3"/>
  <c r="AT15" i="3"/>
  <c r="AX15" i="3"/>
  <c r="BB15" i="3"/>
  <c r="AN15" i="3"/>
  <c r="AR15" i="3"/>
  <c r="AV15" i="3"/>
  <c r="AZ15" i="3"/>
  <c r="BC15" i="3"/>
  <c r="BA15" i="3"/>
  <c r="AY15" i="3"/>
  <c r="AW15" i="3"/>
  <c r="AU15" i="3"/>
  <c r="AS15" i="3"/>
  <c r="AQ15" i="3"/>
  <c r="AO15" i="3"/>
  <c r="RM27" i="4"/>
  <c r="WQ27" i="4" s="1"/>
  <c r="RM28" i="4"/>
  <c r="WQ28" i="4" s="1"/>
  <c r="RM29" i="4"/>
  <c r="WQ29" i="4" s="1"/>
  <c r="RM30" i="4"/>
  <c r="WQ30" i="4" s="1"/>
  <c r="RM31" i="4"/>
  <c r="WQ31" i="4" s="1"/>
  <c r="RM32" i="4"/>
  <c r="WQ32" i="4" s="1"/>
  <c r="RM33" i="4"/>
  <c r="WQ33" i="4" s="1"/>
  <c r="RM34" i="4"/>
  <c r="WQ34" i="4" s="1"/>
  <c r="RM35" i="4"/>
  <c r="WQ35" i="4" s="1"/>
  <c r="RM36" i="4"/>
  <c r="WQ36" i="4" s="1"/>
  <c r="RM26" i="4"/>
  <c r="WQ26" i="4" s="1"/>
  <c r="FC168" i="1" l="1"/>
  <c r="FT167" i="1"/>
  <c r="FD122" i="1" s="1"/>
  <c r="AE15" i="4"/>
  <c r="AE16" i="4" s="1"/>
  <c r="AE17" i="4" s="1"/>
  <c r="AE18" i="4" s="1"/>
  <c r="AE19" i="4" s="1"/>
  <c r="AE20" i="4" s="1"/>
  <c r="AE21" i="4" s="1"/>
  <c r="AE22" i="4" s="1"/>
  <c r="AE23" i="4" s="1"/>
  <c r="AE24" i="4" s="1"/>
  <c r="AE25" i="4" s="1"/>
  <c r="AE26" i="4" s="1"/>
  <c r="AE27" i="4" s="1"/>
  <c r="AE28" i="4" s="1"/>
  <c r="AE29" i="4" s="1"/>
  <c r="AE30" i="4" s="1"/>
  <c r="AE31" i="4" s="1"/>
  <c r="AE32" i="4" s="1"/>
  <c r="AE33" i="4" s="1"/>
  <c r="AE34" i="4" s="1"/>
  <c r="AE35" i="4" s="1"/>
  <c r="AE36" i="4" s="1"/>
  <c r="AE37" i="4" s="1"/>
  <c r="AE38" i="4" s="1"/>
  <c r="RM38" i="4"/>
  <c r="WQ38" i="4" s="1"/>
  <c r="XM38" i="4" s="1"/>
  <c r="RM39" i="4"/>
  <c r="WQ39" i="4" s="1"/>
  <c r="XM39" i="4" s="1"/>
  <c r="RM40" i="4"/>
  <c r="WQ40" i="4" s="1"/>
  <c r="XM40" i="4" s="1"/>
  <c r="RM41" i="4"/>
  <c r="WQ41" i="4" s="1"/>
  <c r="XM41" i="4" s="1"/>
  <c r="RM42" i="4"/>
  <c r="WQ42" i="4" s="1"/>
  <c r="XM42" i="4" s="1"/>
  <c r="RM43" i="4"/>
  <c r="WQ43" i="4" s="1"/>
  <c r="XM43" i="4" s="1"/>
  <c r="RM44" i="4"/>
  <c r="WQ44" i="4" s="1"/>
  <c r="XM44" i="4" s="1"/>
  <c r="RM45" i="4"/>
  <c r="WQ45" i="4" s="1"/>
  <c r="XM45" i="4" s="1"/>
  <c r="RM46" i="4"/>
  <c r="WQ46" i="4" s="1"/>
  <c r="XM46" i="4" s="1"/>
  <c r="RM47" i="4"/>
  <c r="WQ47" i="4" s="1"/>
  <c r="XM47" i="4" s="1"/>
  <c r="RM48" i="4"/>
  <c r="WQ48" i="4" s="1"/>
  <c r="XM48" i="4" s="1"/>
  <c r="RM49" i="4"/>
  <c r="WQ49" i="4" s="1"/>
  <c r="XM49" i="4" s="1"/>
  <c r="RM50" i="4"/>
  <c r="WQ50" i="4" s="1"/>
  <c r="XM50" i="4" s="1"/>
  <c r="RM51" i="4"/>
  <c r="WQ51" i="4" s="1"/>
  <c r="XM51" i="4" s="1"/>
  <c r="RM52" i="4"/>
  <c r="WQ52" i="4" s="1"/>
  <c r="XM52" i="4" s="1"/>
  <c r="RM53" i="4"/>
  <c r="WQ53" i="4" s="1"/>
  <c r="XM53" i="4" s="1"/>
  <c r="RM37" i="4"/>
  <c r="WQ37" i="4" s="1"/>
  <c r="XM37" i="4" s="1"/>
  <c r="IX30" i="2"/>
  <c r="IX31" i="2"/>
  <c r="IX32" i="2"/>
  <c r="IX33" i="2"/>
  <c r="IX34" i="2"/>
  <c r="IX35" i="2"/>
  <c r="IX36" i="2"/>
  <c r="IX37" i="2"/>
  <c r="IX38" i="2"/>
  <c r="IX39" i="2"/>
  <c r="IX40" i="2"/>
  <c r="IX41" i="2"/>
  <c r="IX42" i="2"/>
  <c r="IX43" i="2"/>
  <c r="IX44" i="2"/>
  <c r="IX45" i="2"/>
  <c r="IX29" i="2"/>
  <c r="IX7" i="2"/>
  <c r="IX8" i="2"/>
  <c r="IX9" i="2"/>
  <c r="IX10" i="2"/>
  <c r="IX11" i="2"/>
  <c r="IX12" i="2"/>
  <c r="IX13" i="2"/>
  <c r="IX14" i="2"/>
  <c r="IX15" i="2"/>
  <c r="IX16" i="2"/>
  <c r="IX17" i="2"/>
  <c r="IX18" i="2"/>
  <c r="IX19" i="2"/>
  <c r="IX20" i="2"/>
  <c r="IX21" i="2"/>
  <c r="IX22" i="2"/>
  <c r="IX23" i="2"/>
  <c r="IX24" i="2"/>
  <c r="IX25" i="2"/>
  <c r="IX26" i="2"/>
  <c r="IX27" i="2"/>
  <c r="IX28" i="2"/>
  <c r="IX6" i="2"/>
  <c r="FC169" i="1" l="1"/>
  <c r="FT168" i="1"/>
  <c r="FD123" i="1" s="1"/>
  <c r="Q164" i="3"/>
  <c r="R164" i="3"/>
  <c r="S164" i="3"/>
  <c r="T164" i="3"/>
  <c r="U164" i="3"/>
  <c r="V164" i="3"/>
  <c r="W164" i="3"/>
  <c r="X164" i="3"/>
  <c r="Y164" i="3"/>
  <c r="Z164" i="3"/>
  <c r="AA164" i="3"/>
  <c r="AB164" i="3"/>
  <c r="AC164" i="3"/>
  <c r="AD164" i="3"/>
  <c r="AI164" i="3"/>
  <c r="AJ164" i="3"/>
  <c r="AK164" i="3"/>
  <c r="AL164" i="3"/>
  <c r="P164" i="3"/>
  <c r="FC170" i="1" l="1"/>
  <c r="FT169" i="1"/>
  <c r="FD124" i="1" s="1"/>
  <c r="BD157" i="3"/>
  <c r="BD158" i="3"/>
  <c r="BD159" i="3"/>
  <c r="BD160" i="3"/>
  <c r="BD161" i="3"/>
  <c r="BD162" i="3"/>
  <c r="BD163" i="3"/>
  <c r="BD164" i="3"/>
  <c r="Q158" i="3"/>
  <c r="R158" i="3"/>
  <c r="S158" i="3"/>
  <c r="T158" i="3"/>
  <c r="U158" i="3"/>
  <c r="V158" i="3"/>
  <c r="W158" i="3"/>
  <c r="X158" i="3"/>
  <c r="Y158" i="3"/>
  <c r="Z158" i="3"/>
  <c r="AA158" i="3"/>
  <c r="AB158" i="3"/>
  <c r="AC158" i="3"/>
  <c r="AD158" i="3"/>
  <c r="AE158" i="3"/>
  <c r="AF158" i="3"/>
  <c r="AG158" i="3"/>
  <c r="AH158" i="3"/>
  <c r="AI158" i="3"/>
  <c r="AJ158" i="3"/>
  <c r="AK158" i="3"/>
  <c r="AL158" i="3"/>
  <c r="O158" i="3"/>
  <c r="P158" i="3"/>
  <c r="FC171" i="1" l="1"/>
  <c r="FT170" i="1"/>
  <c r="FD125" i="1" s="1"/>
  <c r="BD155" i="3"/>
  <c r="BD156" i="3"/>
  <c r="FC172" i="1" l="1"/>
  <c r="FT171" i="1"/>
  <c r="FD126" i="1" s="1"/>
  <c r="EE95" i="1" a="1"/>
  <c r="EE99" i="1" s="1"/>
  <c r="EE95" i="1"/>
  <c r="EF95" i="1" a="1"/>
  <c r="EF96" i="1" s="1"/>
  <c r="EF95" i="1"/>
  <c r="EF98" i="1"/>
  <c r="EF99" i="1"/>
  <c r="EF102" i="1"/>
  <c r="EF103" i="1"/>
  <c r="EF106" i="1"/>
  <c r="EF107" i="1"/>
  <c r="EF110" i="1"/>
  <c r="EF111" i="1"/>
  <c r="EF114" i="1"/>
  <c r="EF115" i="1"/>
  <c r="EF118" i="1"/>
  <c r="EF113" i="1" l="1"/>
  <c r="EF109" i="1"/>
  <c r="EF105" i="1"/>
  <c r="EF101" i="1"/>
  <c r="EF97" i="1"/>
  <c r="EE97" i="1"/>
  <c r="EF117" i="1"/>
  <c r="EF116" i="1"/>
  <c r="EF112" i="1"/>
  <c r="EF108" i="1"/>
  <c r="EF104" i="1"/>
  <c r="EF100" i="1"/>
  <c r="EE96" i="1"/>
  <c r="FC173" i="1"/>
  <c r="FT173" i="1" s="1"/>
  <c r="FD128" i="1" s="1"/>
  <c r="FT172" i="1"/>
  <c r="FD127" i="1" s="1"/>
  <c r="EE118" i="1"/>
  <c r="EE116" i="1"/>
  <c r="EE114" i="1"/>
  <c r="EE112" i="1"/>
  <c r="EE110" i="1"/>
  <c r="EE108" i="1"/>
  <c r="EE106" i="1"/>
  <c r="EE104" i="1"/>
  <c r="EE102" i="1"/>
  <c r="EE100" i="1"/>
  <c r="EE98" i="1"/>
  <c r="EE117" i="1"/>
  <c r="EE115" i="1"/>
  <c r="EE113" i="1"/>
  <c r="EE111" i="1"/>
  <c r="EE109" i="1"/>
  <c r="EE107" i="1"/>
  <c r="EE105" i="1"/>
  <c r="EE103" i="1"/>
  <c r="EE101" i="1"/>
  <c r="CD8" i="3" l="1"/>
  <c r="CD9" i="3"/>
  <c r="CD10" i="3"/>
  <c r="CD11" i="3"/>
  <c r="CD12" i="3"/>
  <c r="CD13" i="3"/>
  <c r="CD14" i="3"/>
  <c r="CD15" i="3"/>
  <c r="CD16" i="3"/>
  <c r="CD17" i="3"/>
  <c r="CD18" i="3"/>
  <c r="CD19" i="3"/>
  <c r="CD20" i="3"/>
  <c r="CD21" i="3"/>
  <c r="CD22" i="3"/>
  <c r="CD23" i="3"/>
  <c r="CD24" i="3"/>
  <c r="CD25" i="3"/>
  <c r="CD7" i="3"/>
  <c r="CD6" i="3"/>
  <c r="NA36" i="4" l="1"/>
  <c r="NA37" i="4"/>
  <c r="NA38" i="4"/>
  <c r="NA39" i="4"/>
  <c r="NA40" i="4"/>
  <c r="NA41" i="4"/>
  <c r="NA42" i="4"/>
  <c r="NA43" i="4"/>
  <c r="NA44" i="4"/>
  <c r="NA45" i="4"/>
  <c r="NA46" i="4"/>
  <c r="NA47" i="4"/>
  <c r="NA48" i="4"/>
  <c r="NA49" i="4"/>
  <c r="NA50" i="4"/>
  <c r="NA51" i="4"/>
  <c r="NA52" i="4"/>
  <c r="NA53" i="4"/>
  <c r="NA35" i="4"/>
  <c r="BD166" i="3" l="1"/>
  <c r="E87" i="5" l="1"/>
  <c r="C89" i="5"/>
  <c r="C90" i="5"/>
  <c r="C91" i="5"/>
  <c r="C92" i="5"/>
  <c r="C93" i="5"/>
  <c r="C94" i="5"/>
  <c r="C95" i="5"/>
  <c r="C96" i="5"/>
  <c r="C97" i="5"/>
  <c r="C98" i="5"/>
  <c r="C99" i="5"/>
  <c r="C100" i="5"/>
  <c r="C101" i="5"/>
  <c r="C102" i="5"/>
  <c r="C88" i="5"/>
  <c r="I88" i="5" s="1"/>
  <c r="I89" i="5" s="1"/>
  <c r="I90" i="5" s="1"/>
  <c r="I91" i="5" s="1"/>
  <c r="I92" i="5" s="1"/>
  <c r="I93" i="5" s="1"/>
  <c r="I94" i="5" s="1"/>
  <c r="I95" i="5" s="1"/>
  <c r="I96" i="5" s="1"/>
  <c r="I97" i="5" s="1"/>
  <c r="I98" i="5" s="1"/>
  <c r="I99" i="5" s="1"/>
  <c r="I100" i="5" s="1"/>
  <c r="I101" i="5" s="1"/>
  <c r="I102" i="5" s="1"/>
  <c r="E88" i="5" l="1"/>
  <c r="E89" i="5" s="1"/>
  <c r="E90" i="5" s="1"/>
  <c r="E91" i="5" s="1"/>
  <c r="E92" i="5" s="1"/>
  <c r="E93" i="5" s="1"/>
  <c r="E94" i="5" s="1"/>
  <c r="E95" i="5" s="1"/>
  <c r="E96" i="5" s="1"/>
  <c r="E97" i="5" s="1"/>
  <c r="E98" i="5" s="1"/>
  <c r="E99" i="5" s="1"/>
  <c r="E100" i="5" s="1"/>
  <c r="E101" i="5" s="1"/>
  <c r="E102" i="5" s="1"/>
  <c r="LF13" i="4" l="1" a="1"/>
  <c r="LF13" i="4" s="1"/>
  <c r="LF36" i="4" l="1"/>
  <c r="LF34" i="4"/>
  <c r="LF32" i="4"/>
  <c r="LF30" i="4"/>
  <c r="LF28" i="4"/>
  <c r="LF26" i="4"/>
  <c r="LF24" i="4"/>
  <c r="LF22" i="4"/>
  <c r="LF20" i="4"/>
  <c r="LF18" i="4"/>
  <c r="LF16" i="4"/>
  <c r="LF14" i="4"/>
  <c r="LF35" i="4"/>
  <c r="LF33" i="4"/>
  <c r="LF31" i="4"/>
  <c r="LF29" i="4"/>
  <c r="LF27" i="4"/>
  <c r="LF25" i="4"/>
  <c r="LF23" i="4"/>
  <c r="LF21" i="4"/>
  <c r="LF19" i="4"/>
  <c r="LF17" i="4"/>
  <c r="LF15" i="4"/>
  <c r="CN6" i="3"/>
  <c r="O183" i="3"/>
  <c r="EI34" i="4" l="1"/>
  <c r="BD93" i="3" l="1"/>
  <c r="BD94" i="3"/>
  <c r="BD95" i="3"/>
  <c r="BD88" i="3"/>
  <c r="KJ16" i="4" l="1"/>
  <c r="KJ17" i="4"/>
  <c r="KJ18" i="4"/>
  <c r="KJ19" i="4"/>
  <c r="KJ20" i="4"/>
  <c r="KJ21" i="4"/>
  <c r="KJ22" i="4"/>
  <c r="KJ23" i="4"/>
  <c r="KJ24" i="4"/>
  <c r="KJ25" i="4"/>
  <c r="KJ15" i="4"/>
  <c r="IB51" i="2" l="1"/>
  <c r="IB52" i="2"/>
  <c r="IB53" i="2"/>
  <c r="IB54" i="2"/>
  <c r="IB55" i="2"/>
  <c r="IB56" i="2"/>
  <c r="IB57" i="2"/>
  <c r="IB58" i="2"/>
  <c r="IB59" i="2"/>
  <c r="IB60" i="2"/>
  <c r="IB61" i="2"/>
  <c r="IB62" i="2"/>
  <c r="IB63" i="2"/>
  <c r="IB64" i="2"/>
  <c r="IB65" i="2"/>
  <c r="IB66" i="2"/>
  <c r="IB67" i="2"/>
  <c r="IB68" i="2"/>
  <c r="IB50" i="2"/>
  <c r="IC29" i="2" l="1"/>
  <c r="IC30" i="2"/>
  <c r="CD31" i="3" l="1"/>
  <c r="IB74" i="2"/>
  <c r="CD30" i="3"/>
  <c r="AJ86" i="3" l="1"/>
  <c r="AK86" i="3"/>
  <c r="X155" i="3" l="1"/>
  <c r="AB155" i="3"/>
  <c r="AF155" i="3"/>
  <c r="AJ155" i="3"/>
  <c r="AD58" i="1"/>
  <c r="AE58" i="1"/>
  <c r="Y155" i="3" s="1"/>
  <c r="AF58" i="1"/>
  <c r="Z155" i="3" s="1"/>
  <c r="AG58" i="1"/>
  <c r="AA155" i="3" s="1"/>
  <c r="AH58" i="1"/>
  <c r="AI58" i="1"/>
  <c r="AC155" i="3" s="1"/>
  <c r="AJ58" i="1"/>
  <c r="AD155" i="3" s="1"/>
  <c r="AK58" i="1"/>
  <c r="AE155" i="3" s="1"/>
  <c r="AL58" i="1"/>
  <c r="AM58" i="1"/>
  <c r="AG155" i="3" s="1"/>
  <c r="AN58" i="1"/>
  <c r="AH155" i="3" s="1"/>
  <c r="AO58" i="1"/>
  <c r="AI155" i="3" s="1"/>
  <c r="AP58" i="1"/>
  <c r="AQ58" i="1"/>
  <c r="AK155" i="3" s="1"/>
  <c r="AR58" i="1"/>
  <c r="AL155" i="3" s="1"/>
  <c r="V58" i="1"/>
  <c r="P155" i="3" s="1"/>
  <c r="W58" i="1"/>
  <c r="Q155" i="3" s="1"/>
  <c r="X58" i="1"/>
  <c r="R155" i="3" s="1"/>
  <c r="Y58" i="1"/>
  <c r="S155" i="3" s="1"/>
  <c r="Z58" i="1"/>
  <c r="T155" i="3" s="1"/>
  <c r="AA58" i="1"/>
  <c r="U155" i="3" s="1"/>
  <c r="AB58" i="1"/>
  <c r="V155" i="3" s="1"/>
  <c r="AC58" i="1"/>
  <c r="W155" i="3" s="1"/>
  <c r="U58" i="1"/>
  <c r="O155" i="3" s="1"/>
  <c r="Q154" i="3"/>
  <c r="R154" i="3"/>
  <c r="S154" i="3"/>
  <c r="T154" i="3"/>
  <c r="U154" i="3"/>
  <c r="V154" i="3"/>
  <c r="W154" i="3"/>
  <c r="X154" i="3"/>
  <c r="Y154" i="3"/>
  <c r="Z154" i="3"/>
  <c r="AA154" i="3"/>
  <c r="AB154" i="3"/>
  <c r="AC154" i="3"/>
  <c r="AD154" i="3"/>
  <c r="AE154" i="3"/>
  <c r="AF154" i="3"/>
  <c r="AG154" i="3"/>
  <c r="AH154" i="3"/>
  <c r="AI154" i="3"/>
  <c r="AJ154" i="3"/>
  <c r="AK154" i="3"/>
  <c r="AL154" i="3"/>
  <c r="P154" i="3"/>
  <c r="O154" i="3"/>
  <c r="Q153" i="3"/>
  <c r="R153" i="3"/>
  <c r="S153" i="3"/>
  <c r="P153" i="3"/>
  <c r="O153" i="3"/>
  <c r="Q151" i="3"/>
  <c r="R151" i="3"/>
  <c r="S151" i="3"/>
  <c r="T151" i="3"/>
  <c r="U151" i="3"/>
  <c r="V151" i="3"/>
  <c r="W151" i="3"/>
  <c r="X151" i="3"/>
  <c r="Y151" i="3"/>
  <c r="Z151" i="3"/>
  <c r="AA151" i="3"/>
  <c r="AB151" i="3"/>
  <c r="AC151" i="3"/>
  <c r="AD151" i="3"/>
  <c r="AE151" i="3"/>
  <c r="AF151" i="3"/>
  <c r="AG151" i="3"/>
  <c r="AH151" i="3"/>
  <c r="AI151" i="3"/>
  <c r="AJ151" i="3"/>
  <c r="AK151" i="3"/>
  <c r="AL151" i="3"/>
  <c r="P151" i="3"/>
  <c r="O151" i="3"/>
  <c r="Q150" i="3"/>
  <c r="R150" i="3"/>
  <c r="S150" i="3"/>
  <c r="T150" i="3"/>
  <c r="U150" i="3"/>
  <c r="V150" i="3"/>
  <c r="W150" i="3"/>
  <c r="X150" i="3"/>
  <c r="Y150" i="3"/>
  <c r="Z150" i="3"/>
  <c r="AA150" i="3"/>
  <c r="AB150" i="3"/>
  <c r="AC150" i="3"/>
  <c r="AD150" i="3"/>
  <c r="AE150" i="3"/>
  <c r="AF150" i="3"/>
  <c r="AG150" i="3"/>
  <c r="AH150" i="3"/>
  <c r="AI150" i="3"/>
  <c r="AJ150" i="3"/>
  <c r="AK150" i="3"/>
  <c r="AL150" i="3"/>
  <c r="P150" i="3"/>
  <c r="O150" i="3"/>
  <c r="Q148" i="3" l="1"/>
  <c r="Q152" i="3" s="1"/>
  <c r="R148" i="3"/>
  <c r="R152" i="3" s="1"/>
  <c r="S148" i="3"/>
  <c r="S152" i="3" s="1"/>
  <c r="T148" i="3"/>
  <c r="T152" i="3" s="1"/>
  <c r="U148" i="3"/>
  <c r="U152" i="3" s="1"/>
  <c r="V148" i="3"/>
  <c r="V152" i="3" s="1"/>
  <c r="W148" i="3"/>
  <c r="W152" i="3" s="1"/>
  <c r="X148" i="3"/>
  <c r="X152" i="3" s="1"/>
  <c r="Y148" i="3"/>
  <c r="Y152" i="3" s="1"/>
  <c r="Z148" i="3"/>
  <c r="Z152" i="3" s="1"/>
  <c r="AA148" i="3"/>
  <c r="AA152" i="3" s="1"/>
  <c r="AB148" i="3"/>
  <c r="AB152" i="3" s="1"/>
  <c r="AC148" i="3"/>
  <c r="AC152" i="3" s="1"/>
  <c r="AD148" i="3"/>
  <c r="AD152" i="3" s="1"/>
  <c r="AE148" i="3"/>
  <c r="AE152" i="3" s="1"/>
  <c r="AF148" i="3"/>
  <c r="AF152" i="3" s="1"/>
  <c r="AG148" i="3"/>
  <c r="AG152" i="3" s="1"/>
  <c r="AH148" i="3"/>
  <c r="AH152" i="3" s="1"/>
  <c r="AI148" i="3"/>
  <c r="AI152" i="3" s="1"/>
  <c r="AJ148" i="3"/>
  <c r="AJ152" i="3" s="1"/>
  <c r="AK148" i="3"/>
  <c r="AK152" i="3" s="1"/>
  <c r="AL148" i="3"/>
  <c r="AL152" i="3" s="1"/>
  <c r="P148" i="3"/>
  <c r="P152" i="3" s="1"/>
  <c r="O148" i="3"/>
  <c r="O152" i="3" s="1"/>
  <c r="Q147" i="3" l="1"/>
  <c r="R147" i="3"/>
  <c r="S147" i="3"/>
  <c r="AD147" i="3"/>
  <c r="AE147" i="3"/>
  <c r="AF147" i="3"/>
  <c r="AG147" i="3"/>
  <c r="AH147" i="3"/>
  <c r="AI147" i="3"/>
  <c r="AJ147" i="3"/>
  <c r="AK147" i="3"/>
  <c r="AL147" i="3"/>
  <c r="P147" i="3"/>
  <c r="O147" i="3"/>
  <c r="Q146" i="3"/>
  <c r="R146" i="3"/>
  <c r="S146" i="3"/>
  <c r="T146" i="3"/>
  <c r="U146" i="3"/>
  <c r="V146" i="3"/>
  <c r="W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J146" i="3"/>
  <c r="AK146" i="3"/>
  <c r="AL146" i="3"/>
  <c r="P146" i="3"/>
  <c r="O146" i="3"/>
  <c r="Q145" i="3" l="1"/>
  <c r="R145" i="3"/>
  <c r="S145" i="3"/>
  <c r="T145" i="3"/>
  <c r="U145" i="3"/>
  <c r="V145" i="3"/>
  <c r="W145" i="3"/>
  <c r="X145" i="3"/>
  <c r="Y145" i="3"/>
  <c r="Z145" i="3"/>
  <c r="AA145" i="3"/>
  <c r="AB145" i="3"/>
  <c r="AC145" i="3"/>
  <c r="AD145" i="3"/>
  <c r="AE145" i="3"/>
  <c r="AF145" i="3"/>
  <c r="AG145" i="3"/>
  <c r="AH145" i="3"/>
  <c r="AI145" i="3"/>
  <c r="AJ145" i="3"/>
  <c r="AK145" i="3"/>
  <c r="AL145" i="3"/>
  <c r="P145" i="3"/>
  <c r="O145" i="3"/>
  <c r="Q144" i="3"/>
  <c r="R144" i="3"/>
  <c r="S144" i="3"/>
  <c r="T144" i="3"/>
  <c r="U144" i="3"/>
  <c r="V144" i="3"/>
  <c r="W144" i="3"/>
  <c r="X144" i="3"/>
  <c r="Y144" i="3"/>
  <c r="Z144" i="3"/>
  <c r="AA144" i="3"/>
  <c r="AB144" i="3"/>
  <c r="AC144" i="3"/>
  <c r="AD144" i="3"/>
  <c r="AE144" i="3"/>
  <c r="AF144" i="3"/>
  <c r="AG144" i="3"/>
  <c r="AH144" i="3"/>
  <c r="AI144" i="3"/>
  <c r="AJ144" i="3"/>
  <c r="AK144" i="3"/>
  <c r="AL144" i="3"/>
  <c r="P144" i="3"/>
  <c r="O144" i="3"/>
  <c r="Q140" i="3" l="1"/>
  <c r="R140" i="3"/>
  <c r="S140" i="3"/>
  <c r="T140" i="3"/>
  <c r="U140" i="3"/>
  <c r="V140" i="3"/>
  <c r="W140" i="3"/>
  <c r="X140" i="3"/>
  <c r="Y140" i="3"/>
  <c r="Z140" i="3"/>
  <c r="AA140" i="3"/>
  <c r="AB140" i="3"/>
  <c r="AC140" i="3"/>
  <c r="AD140" i="3"/>
  <c r="AE140" i="3"/>
  <c r="AF140" i="3"/>
  <c r="AG140" i="3"/>
  <c r="AH140" i="3"/>
  <c r="AI140" i="3"/>
  <c r="AJ140" i="3"/>
  <c r="AK140" i="3"/>
  <c r="AL140" i="3"/>
  <c r="P140" i="3"/>
  <c r="O140" i="3"/>
  <c r="O139" i="3"/>
  <c r="Q138" i="3" l="1"/>
  <c r="R138" i="3"/>
  <c r="S138" i="3"/>
  <c r="T138" i="3"/>
  <c r="U138" i="3"/>
  <c r="V138" i="3"/>
  <c r="W138" i="3"/>
  <c r="X138" i="3"/>
  <c r="Y138" i="3"/>
  <c r="Z138" i="3"/>
  <c r="AA138" i="3"/>
  <c r="AB138" i="3"/>
  <c r="AC138" i="3"/>
  <c r="AD138" i="3"/>
  <c r="AE138" i="3"/>
  <c r="AF138" i="3"/>
  <c r="AG138" i="3"/>
  <c r="AH138" i="3"/>
  <c r="AI138" i="3"/>
  <c r="AJ138" i="3"/>
  <c r="AK138" i="3"/>
  <c r="AL138" i="3"/>
  <c r="P138" i="3"/>
  <c r="O138" i="3"/>
  <c r="O136" i="3" l="1"/>
  <c r="O135" i="3" l="1"/>
  <c r="O165" i="3" l="1"/>
  <c r="AN93" i="3"/>
  <c r="AO93" i="3"/>
  <c r="AP93" i="3"/>
  <c r="AQ93" i="3"/>
  <c r="AR93" i="3"/>
  <c r="AS93" i="3"/>
  <c r="AT93" i="3"/>
  <c r="AU93" i="3"/>
  <c r="AV93" i="3"/>
  <c r="AW93" i="3"/>
  <c r="AX93" i="3"/>
  <c r="AY93" i="3"/>
  <c r="AZ93" i="3"/>
  <c r="BA93" i="3"/>
  <c r="BB93" i="3"/>
  <c r="BC93" i="3"/>
  <c r="AM93" i="3"/>
  <c r="AN94" i="3"/>
  <c r="AO94" i="3"/>
  <c r="AP94" i="3"/>
  <c r="AQ94" i="3"/>
  <c r="AR94" i="3"/>
  <c r="AS94" i="3"/>
  <c r="AT94" i="3"/>
  <c r="AU94" i="3"/>
  <c r="AV94" i="3"/>
  <c r="AW94" i="3"/>
  <c r="AX94" i="3"/>
  <c r="AY94" i="3"/>
  <c r="AZ94" i="3"/>
  <c r="BA94" i="3"/>
  <c r="BB94" i="3"/>
  <c r="BC94" i="3"/>
  <c r="AM94" i="3"/>
  <c r="AN95" i="3"/>
  <c r="AO95" i="3"/>
  <c r="AP95" i="3"/>
  <c r="AQ95" i="3"/>
  <c r="AR95" i="3"/>
  <c r="AS95" i="3"/>
  <c r="AT95" i="3"/>
  <c r="AU95" i="3"/>
  <c r="AV95" i="3"/>
  <c r="AW95" i="3"/>
  <c r="AX95" i="3"/>
  <c r="AY95" i="3"/>
  <c r="AZ95" i="3"/>
  <c r="BA95" i="3"/>
  <c r="BB95" i="3"/>
  <c r="BC95" i="3"/>
  <c r="AM95" i="3"/>
  <c r="O131" i="3"/>
  <c r="O129" i="3"/>
  <c r="BD128" i="3" l="1"/>
  <c r="Q126" i="3" l="1"/>
  <c r="R126" i="3"/>
  <c r="S126" i="3"/>
  <c r="T126" i="3"/>
  <c r="U126" i="3"/>
  <c r="V126" i="3"/>
  <c r="W126" i="3"/>
  <c r="X126" i="3"/>
  <c r="Y126" i="3"/>
  <c r="Z126" i="3"/>
  <c r="AA126" i="3"/>
  <c r="AB126" i="3"/>
  <c r="AC126" i="3"/>
  <c r="AD126" i="3"/>
  <c r="AE126" i="3"/>
  <c r="AF126" i="3"/>
  <c r="AG126" i="3"/>
  <c r="AH126" i="3"/>
  <c r="AI126" i="3"/>
  <c r="AJ126" i="3"/>
  <c r="AK126" i="3"/>
  <c r="AL126" i="3"/>
  <c r="P126" i="3"/>
  <c r="O126" i="3"/>
  <c r="Q124" i="3" l="1"/>
  <c r="R124" i="3"/>
  <c r="S124" i="3"/>
  <c r="T124" i="3"/>
  <c r="U124" i="3"/>
  <c r="V124" i="3"/>
  <c r="W124" i="3"/>
  <c r="X124" i="3"/>
  <c r="Y124" i="3"/>
  <c r="Z124" i="3"/>
  <c r="AA124" i="3"/>
  <c r="AB124" i="3"/>
  <c r="AC124" i="3"/>
  <c r="AD124" i="3"/>
  <c r="AE124" i="3"/>
  <c r="AF124" i="3"/>
  <c r="AG124" i="3"/>
  <c r="AH124" i="3"/>
  <c r="AI124" i="3"/>
  <c r="AJ124" i="3"/>
  <c r="AK124" i="3"/>
  <c r="AL124" i="3"/>
  <c r="P124" i="3"/>
  <c r="O124" i="3"/>
  <c r="EX136" i="1" l="1"/>
  <c r="Q109" i="3" l="1"/>
  <c r="R109" i="3"/>
  <c r="S109" i="3"/>
  <c r="T109" i="3"/>
  <c r="U109" i="3"/>
  <c r="V109" i="3"/>
  <c r="W109" i="3"/>
  <c r="X109" i="3"/>
  <c r="Y109" i="3"/>
  <c r="Z109" i="3"/>
  <c r="AA109" i="3"/>
  <c r="AB109" i="3"/>
  <c r="AC109" i="3"/>
  <c r="AD109" i="3"/>
  <c r="AE109" i="3"/>
  <c r="AF109" i="3"/>
  <c r="AG109" i="3"/>
  <c r="AH109" i="3"/>
  <c r="AI109" i="3"/>
  <c r="AJ109" i="3"/>
  <c r="AK109" i="3"/>
  <c r="AL109" i="3"/>
  <c r="P109" i="3"/>
  <c r="O109" i="3"/>
  <c r="O110" i="3" s="1"/>
  <c r="O107" i="3" l="1"/>
  <c r="CK31" i="3" l="1"/>
  <c r="CK30" i="3"/>
  <c r="Q106" i="3"/>
  <c r="R106" i="3"/>
  <c r="S106" i="3"/>
  <c r="T106" i="3"/>
  <c r="U106" i="3"/>
  <c r="V106" i="3"/>
  <c r="W106" i="3"/>
  <c r="X106" i="3"/>
  <c r="Y106" i="3"/>
  <c r="Z106" i="3"/>
  <c r="AA106" i="3"/>
  <c r="AB106" i="3"/>
  <c r="AC106" i="3"/>
  <c r="AD106" i="3"/>
  <c r="AE106" i="3"/>
  <c r="AF106" i="3"/>
  <c r="AG106" i="3"/>
  <c r="AH106" i="3"/>
  <c r="AI106" i="3"/>
  <c r="AJ106" i="3"/>
  <c r="AK106" i="3"/>
  <c r="AL106" i="3"/>
  <c r="P106" i="3"/>
  <c r="O106" i="3"/>
  <c r="BD148" i="3" l="1"/>
  <c r="BD149" i="3"/>
  <c r="BD150" i="3"/>
  <c r="BD151" i="3"/>
  <c r="BD152" i="3"/>
  <c r="BD153" i="3"/>
  <c r="BD154" i="3"/>
  <c r="BD165" i="3"/>
  <c r="BD137" i="3"/>
  <c r="BD138" i="3"/>
  <c r="BD139" i="3"/>
  <c r="BD140" i="3"/>
  <c r="BD141" i="3"/>
  <c r="BD142" i="3"/>
  <c r="BD143" i="3"/>
  <c r="BD144" i="3"/>
  <c r="BD145" i="3"/>
  <c r="BD146" i="3"/>
  <c r="BD147" i="3"/>
  <c r="BD129" i="3"/>
  <c r="BD130" i="3"/>
  <c r="BD131" i="3"/>
  <c r="BD132" i="3"/>
  <c r="BD133" i="3"/>
  <c r="BD134" i="3"/>
  <c r="BD135" i="3"/>
  <c r="BD136" i="3"/>
  <c r="CK32" i="3" l="1"/>
  <c r="CK33" i="3"/>
  <c r="AL90" i="3"/>
  <c r="BD90" i="3" s="1"/>
  <c r="BD91" i="3"/>
  <c r="AL92" i="3"/>
  <c r="BD92" i="3" s="1"/>
  <c r="AL89" i="3"/>
  <c r="BD89" i="3" s="1"/>
  <c r="CK34" i="3" l="1"/>
  <c r="CK35" i="3"/>
  <c r="S102" i="3" l="1"/>
  <c r="T102" i="3"/>
  <c r="U102" i="3"/>
  <c r="V102" i="3"/>
  <c r="W102" i="3"/>
  <c r="X102" i="3"/>
  <c r="Y102" i="3"/>
  <c r="Z102" i="3"/>
  <c r="AA102" i="3"/>
  <c r="AB102" i="3"/>
  <c r="AC102" i="3"/>
  <c r="AD102" i="3"/>
  <c r="AE102" i="3"/>
  <c r="AF102" i="3"/>
  <c r="AG102" i="3"/>
  <c r="AH102" i="3"/>
  <c r="AI102" i="3"/>
  <c r="AJ102" i="3"/>
  <c r="AK102" i="3"/>
  <c r="AL102" i="3"/>
  <c r="Q102" i="3"/>
  <c r="R102" i="3"/>
  <c r="P102" i="3"/>
  <c r="O102" i="3"/>
  <c r="CK36" i="3" l="1"/>
  <c r="CK37" i="3"/>
  <c r="IC25" i="2" l="1"/>
  <c r="IC26" i="2"/>
  <c r="IC27" i="2"/>
  <c r="IC28" i="2"/>
  <c r="IC31" i="2"/>
  <c r="IC32" i="2"/>
  <c r="IC33" i="2"/>
  <c r="IC34" i="2"/>
  <c r="IC35" i="2"/>
  <c r="IC36" i="2"/>
  <c r="IC37" i="2"/>
  <c r="IC38" i="2"/>
  <c r="IC39" i="2"/>
  <c r="IC40" i="2"/>
  <c r="IC41" i="2"/>
  <c r="IC42" i="2"/>
  <c r="IC43" i="2"/>
  <c r="IC44" i="2"/>
  <c r="IC45" i="2"/>
  <c r="IC24" i="2"/>
  <c r="CK38" i="3" l="1"/>
  <c r="CK39" i="3"/>
  <c r="CD45" i="3"/>
  <c r="IB88" i="2"/>
  <c r="CD43" i="3"/>
  <c r="IB86" i="2"/>
  <c r="CD41" i="3"/>
  <c r="IB84" i="2"/>
  <c r="CD39" i="3"/>
  <c r="IB82" i="2"/>
  <c r="CD37" i="3"/>
  <c r="IB80" i="2"/>
  <c r="CD35" i="3"/>
  <c r="IB78" i="2"/>
  <c r="CD33" i="3"/>
  <c r="IB76" i="2"/>
  <c r="CD29" i="3"/>
  <c r="IB72" i="2"/>
  <c r="IB73" i="2"/>
  <c r="CD27" i="3"/>
  <c r="IB70" i="2"/>
  <c r="CD46" i="3"/>
  <c r="IB89" i="2"/>
  <c r="CD44" i="3"/>
  <c r="IB87" i="2"/>
  <c r="CD42" i="3"/>
  <c r="IB85" i="2"/>
  <c r="CD40" i="3"/>
  <c r="IB83" i="2"/>
  <c r="CD38" i="3"/>
  <c r="IB81" i="2"/>
  <c r="CD36" i="3"/>
  <c r="IB79" i="2"/>
  <c r="CD34" i="3"/>
  <c r="IB77" i="2"/>
  <c r="CD32" i="3"/>
  <c r="IB75" i="2"/>
  <c r="CD28" i="3"/>
  <c r="IB71" i="2"/>
  <c r="CD26" i="3"/>
  <c r="IB69" i="2"/>
  <c r="CK40" i="3" l="1"/>
  <c r="O33" i="3" a="1"/>
  <c r="R33" i="3" s="1"/>
  <c r="BD19" i="3"/>
  <c r="BD20" i="3"/>
  <c r="BD21" i="3"/>
  <c r="BD22" i="3"/>
  <c r="BD27" i="3"/>
  <c r="BD28" i="3"/>
  <c r="BD29" i="3"/>
  <c r="BD30" i="3"/>
  <c r="BD31" i="3"/>
  <c r="BD32" i="3"/>
  <c r="BD33" i="3"/>
  <c r="BD34" i="3"/>
  <c r="BD35" i="3"/>
  <c r="BD36" i="3"/>
  <c r="BD37" i="3"/>
  <c r="CK41" i="3" l="1"/>
  <c r="AY33" i="3"/>
  <c r="AI33" i="3"/>
  <c r="S33" i="3"/>
  <c r="AR33" i="3"/>
  <c r="AB33" i="3"/>
  <c r="BA33" i="3"/>
  <c r="AK33" i="3"/>
  <c r="U33" i="3"/>
  <c r="AT33" i="3"/>
  <c r="AD33" i="3"/>
  <c r="AQ33" i="3"/>
  <c r="AA33" i="3"/>
  <c r="AZ33" i="3"/>
  <c r="AJ33" i="3"/>
  <c r="T33" i="3"/>
  <c r="AS33" i="3"/>
  <c r="AC33" i="3"/>
  <c r="BB33" i="3"/>
  <c r="AL33" i="3"/>
  <c r="V33" i="3"/>
  <c r="BC33" i="3"/>
  <c r="AU33" i="3"/>
  <c r="AM33" i="3"/>
  <c r="AE33" i="3"/>
  <c r="W33" i="3"/>
  <c r="O33" i="3"/>
  <c r="O166" i="3" s="1"/>
  <c r="AV33" i="3"/>
  <c r="AN33" i="3"/>
  <c r="AF33" i="3"/>
  <c r="X33" i="3"/>
  <c r="P33" i="3"/>
  <c r="AW33" i="3"/>
  <c r="AO33" i="3"/>
  <c r="AG33" i="3"/>
  <c r="Y33" i="3"/>
  <c r="Q33" i="3"/>
  <c r="AX33" i="3"/>
  <c r="AP33" i="3"/>
  <c r="AH33" i="3"/>
  <c r="Z33" i="3"/>
  <c r="CK42" i="3" l="1"/>
  <c r="CK43" i="3" l="1"/>
  <c r="CK44" i="3" l="1"/>
  <c r="CK45" i="3" l="1"/>
  <c r="X130" i="1"/>
  <c r="CK46" i="3" l="1"/>
  <c r="BD39" i="3" l="1"/>
  <c r="BD40" i="3"/>
  <c r="BD41" i="3"/>
  <c r="BD42" i="3"/>
  <c r="BD43" i="3"/>
  <c r="BD38" i="3"/>
  <c r="BD18" i="3" l="1"/>
  <c r="BD13" i="3"/>
  <c r="BD14" i="3"/>
  <c r="BD15" i="3"/>
  <c r="BD16" i="3"/>
  <c r="BD17" i="3"/>
  <c r="GG346" i="1" l="1"/>
  <c r="GG347" i="1" s="1"/>
  <c r="GG348" i="1" s="1"/>
  <c r="GG349" i="1" s="1"/>
  <c r="GG350" i="1" s="1"/>
  <c r="GG351" i="1" s="1"/>
  <c r="GG352" i="1" s="1"/>
  <c r="GG353" i="1" s="1"/>
  <c r="GG354" i="1" s="1"/>
  <c r="GG355" i="1" s="1"/>
  <c r="GG356" i="1" s="1"/>
  <c r="GG357" i="1" s="1"/>
  <c r="GG358" i="1" s="1"/>
  <c r="GG359" i="1" s="1"/>
  <c r="AC68" i="5" l="1"/>
  <c r="AC69" i="5"/>
  <c r="AC70" i="5"/>
  <c r="AC71" i="5"/>
  <c r="AC72" i="5"/>
  <c r="AC73" i="5"/>
  <c r="AC74" i="5"/>
  <c r="AC75" i="5"/>
  <c r="AC76" i="5"/>
  <c r="AC77" i="5"/>
  <c r="AC78" i="5"/>
  <c r="AC79" i="5"/>
  <c r="AC80" i="5"/>
  <c r="AC81" i="5"/>
  <c r="AC82" i="5"/>
  <c r="AC83" i="5"/>
  <c r="AC84" i="5"/>
  <c r="AC85" i="5"/>
  <c r="AC86" i="5"/>
  <c r="K87" i="5"/>
  <c r="AC87" i="5" s="1"/>
  <c r="E78" i="5"/>
  <c r="E79" i="5"/>
  <c r="E80" i="5"/>
  <c r="E81" i="5"/>
  <c r="E82" i="5"/>
  <c r="E83" i="5"/>
  <c r="E84" i="5" s="1"/>
  <c r="E85" i="5" s="1"/>
  <c r="E86" i="5" s="1"/>
  <c r="E77" i="5"/>
  <c r="K88" i="5" l="1"/>
  <c r="AC88" i="5" s="1"/>
  <c r="M64" i="5"/>
  <c r="M65" i="5"/>
  <c r="M66" i="5"/>
  <c r="M67" i="5"/>
  <c r="M68" i="5"/>
  <c r="M69" i="5"/>
  <c r="M70" i="5"/>
  <c r="M71" i="5"/>
  <c r="M72" i="5"/>
  <c r="M73" i="5"/>
  <c r="M74" i="5"/>
  <c r="M75" i="5"/>
  <c r="M76" i="5"/>
  <c r="M77" i="5"/>
  <c r="M78" i="5"/>
  <c r="M79" i="5"/>
  <c r="M80" i="5"/>
  <c r="M81" i="5"/>
  <c r="M82" i="5"/>
  <c r="M83" i="5"/>
  <c r="M84" i="5"/>
  <c r="M85" i="5"/>
  <c r="M86" i="5"/>
  <c r="M63" i="5"/>
  <c r="M62" i="5"/>
  <c r="K89" i="5" l="1"/>
  <c r="AC89" i="5" s="1"/>
  <c r="AC64" i="5"/>
  <c r="AC65" i="5"/>
  <c r="AC66" i="5"/>
  <c r="AC67" i="5"/>
  <c r="AC63" i="5"/>
  <c r="K90" i="5" l="1"/>
  <c r="AC90" i="5" s="1"/>
  <c r="AB88" i="5"/>
  <c r="AB89" i="5"/>
  <c r="AB90" i="5"/>
  <c r="AB91" i="5"/>
  <c r="AB92" i="5"/>
  <c r="AB93" i="5"/>
  <c r="AB94" i="5"/>
  <c r="AB95" i="5"/>
  <c r="AB96" i="5"/>
  <c r="AB97" i="5"/>
  <c r="AB98" i="5"/>
  <c r="AB99" i="5"/>
  <c r="AB100" i="5"/>
  <c r="AB101" i="5"/>
  <c r="AB102" i="5"/>
  <c r="AB87" i="5"/>
  <c r="AB64" i="5"/>
  <c r="AB65" i="5"/>
  <c r="AB66" i="5"/>
  <c r="AB67" i="5"/>
  <c r="AB68" i="5"/>
  <c r="AB69" i="5"/>
  <c r="AB70" i="5"/>
  <c r="AB71" i="5"/>
  <c r="AB72" i="5"/>
  <c r="AB73" i="5"/>
  <c r="AB74" i="5"/>
  <c r="AB75" i="5"/>
  <c r="AB76" i="5"/>
  <c r="AB77" i="5"/>
  <c r="AB78" i="5"/>
  <c r="AB79" i="5"/>
  <c r="AB80" i="5"/>
  <c r="AB81" i="5"/>
  <c r="AB82" i="5"/>
  <c r="AB83" i="5"/>
  <c r="AB84" i="5"/>
  <c r="AB85" i="5"/>
  <c r="AB86" i="5"/>
  <c r="AB63" i="5"/>
  <c r="AB62" i="5"/>
  <c r="O6" i="3" l="1" a="1"/>
  <c r="O6" i="3" s="1"/>
  <c r="K91" i="5"/>
  <c r="AC91" i="5" s="1"/>
  <c r="AG6" i="3" l="1"/>
  <c r="AF6" i="3"/>
  <c r="AC6" i="3"/>
  <c r="AM6" i="3"/>
  <c r="AD6" i="3"/>
  <c r="AS6" i="3"/>
  <c r="AN6" i="3"/>
  <c r="AW6" i="3"/>
  <c r="AU6" i="3"/>
  <c r="AL6" i="3"/>
  <c r="P6" i="3"/>
  <c r="AV6" i="3"/>
  <c r="W6" i="3"/>
  <c r="BC6" i="3"/>
  <c r="AT6" i="3"/>
  <c r="X6" i="3"/>
  <c r="Q6" i="3"/>
  <c r="AE6" i="3"/>
  <c r="V6" i="3"/>
  <c r="BB6" i="3"/>
  <c r="Y6" i="3"/>
  <c r="AO6" i="3"/>
  <c r="BA6" i="3"/>
  <c r="T6" i="3"/>
  <c r="AB6" i="3"/>
  <c r="AJ6" i="3"/>
  <c r="AR6" i="3"/>
  <c r="AZ6" i="3"/>
  <c r="U6" i="3"/>
  <c r="AK6" i="3"/>
  <c r="S6" i="3"/>
  <c r="AA6" i="3"/>
  <c r="AI6" i="3"/>
  <c r="AQ6" i="3"/>
  <c r="AY6" i="3"/>
  <c r="R6" i="3"/>
  <c r="Z6" i="3"/>
  <c r="AH6" i="3"/>
  <c r="AP6" i="3"/>
  <c r="AX6" i="3"/>
  <c r="K92" i="5"/>
  <c r="AC92" i="5" s="1"/>
  <c r="BY6" i="3" l="1" a="1"/>
  <c r="BY6" i="3" s="1"/>
  <c r="K93" i="5"/>
  <c r="AC93" i="5" s="1"/>
  <c r="EU49" i="2"/>
  <c r="BY12" i="3" l="1"/>
  <c r="BY28" i="3"/>
  <c r="BY44" i="3"/>
  <c r="BY19" i="3"/>
  <c r="BY35" i="3"/>
  <c r="BY14" i="3"/>
  <c r="BY30" i="3"/>
  <c r="BY46" i="3"/>
  <c r="BY21" i="3"/>
  <c r="BY37" i="3"/>
  <c r="BY16" i="3"/>
  <c r="BY32" i="3"/>
  <c r="BY7" i="3"/>
  <c r="BY23" i="3"/>
  <c r="BY39" i="3"/>
  <c r="BY18" i="3"/>
  <c r="BY34" i="3"/>
  <c r="BY9" i="3"/>
  <c r="BY25" i="3"/>
  <c r="BY41" i="3"/>
  <c r="BY20" i="3"/>
  <c r="BY36" i="3"/>
  <c r="BY11" i="3"/>
  <c r="BY27" i="3"/>
  <c r="BY43" i="3"/>
  <c r="BY22" i="3"/>
  <c r="BY38" i="3"/>
  <c r="BY13" i="3"/>
  <c r="BY29" i="3"/>
  <c r="BY45" i="3"/>
  <c r="BY8" i="3"/>
  <c r="BY24" i="3"/>
  <c r="BY40" i="3"/>
  <c r="BY15" i="3"/>
  <c r="BY31" i="3"/>
  <c r="BY10" i="3"/>
  <c r="BY26" i="3"/>
  <c r="BY42" i="3"/>
  <c r="BY17" i="3"/>
  <c r="BY33" i="3"/>
  <c r="K94" i="5"/>
  <c r="AC94" i="5" s="1"/>
  <c r="K95" i="5" l="1"/>
  <c r="AC95" i="5" s="1"/>
  <c r="AS258" i="3"/>
  <c r="AT258" i="3"/>
  <c r="AU258" i="3"/>
  <c r="AV258" i="3"/>
  <c r="AW258" i="3"/>
  <c r="AX258" i="3"/>
  <c r="AY258" i="3"/>
  <c r="AZ258" i="3"/>
  <c r="BA258" i="3"/>
  <c r="BB258" i="3"/>
  <c r="BC258" i="3"/>
  <c r="K96" i="5" l="1"/>
  <c r="AC96" i="5" s="1"/>
  <c r="IP16" i="4"/>
  <c r="IP17" i="4"/>
  <c r="IP18" i="4"/>
  <c r="IP19" i="4"/>
  <c r="IP20" i="4"/>
  <c r="IP21" i="4"/>
  <c r="IP22" i="4"/>
  <c r="IP23" i="4"/>
  <c r="IP24" i="4"/>
  <c r="IP25" i="4"/>
  <c r="IP26" i="4"/>
  <c r="IP27" i="4"/>
  <c r="IP28" i="4"/>
  <c r="IP29" i="4"/>
  <c r="IP30" i="4"/>
  <c r="IP31" i="4"/>
  <c r="IP32" i="4"/>
  <c r="IP33" i="4"/>
  <c r="IP34" i="4"/>
  <c r="IP35" i="4"/>
  <c r="IP36" i="4"/>
  <c r="IP15" i="4"/>
  <c r="K97" i="5" l="1"/>
  <c r="AC97" i="5" s="1"/>
  <c r="K98" i="5" l="1"/>
  <c r="AC98" i="5" s="1"/>
  <c r="DP15" i="4"/>
  <c r="DQ15" i="4" s="1"/>
  <c r="DP16" i="4"/>
  <c r="DQ16" i="4" s="1"/>
  <c r="DP17" i="4"/>
  <c r="DQ17" i="4" s="1"/>
  <c r="DP18" i="4"/>
  <c r="DQ18" i="4" s="1"/>
  <c r="DP19" i="4"/>
  <c r="DQ19" i="4" s="1"/>
  <c r="DP20" i="4"/>
  <c r="DQ20" i="4" s="1"/>
  <c r="DP21" i="4"/>
  <c r="DQ21" i="4" s="1"/>
  <c r="DP22" i="4"/>
  <c r="DQ22" i="4" s="1"/>
  <c r="DP23" i="4"/>
  <c r="DQ23" i="4" s="1"/>
  <c r="DP24" i="4"/>
  <c r="DQ24" i="4" s="1"/>
  <c r="DP25" i="4"/>
  <c r="DQ25" i="4" s="1"/>
  <c r="DP26" i="4"/>
  <c r="DQ26" i="4" s="1"/>
  <c r="DP27" i="4"/>
  <c r="DQ27" i="4" s="1"/>
  <c r="DP28" i="4"/>
  <c r="DQ28" i="4" s="1"/>
  <c r="DP29" i="4"/>
  <c r="DQ29" i="4" s="1"/>
  <c r="DP30" i="4"/>
  <c r="DQ30" i="4" s="1"/>
  <c r="DP31" i="4"/>
  <c r="DQ31" i="4" s="1"/>
  <c r="DP32" i="4"/>
  <c r="DQ32" i="4" s="1"/>
  <c r="DP33" i="4"/>
  <c r="DQ33" i="4" s="1"/>
  <c r="DP34" i="4"/>
  <c r="DQ34" i="4" s="1"/>
  <c r="DP35" i="4"/>
  <c r="DQ35" i="4" s="1"/>
  <c r="DP36" i="4"/>
  <c r="DQ36" i="4" s="1"/>
  <c r="DP14" i="4"/>
  <c r="DP13" i="4"/>
  <c r="K99" i="5" l="1"/>
  <c r="AC99" i="5" s="1"/>
  <c r="K100" i="5" l="1"/>
  <c r="AC100" i="5" s="1"/>
  <c r="XL27" i="4"/>
  <c r="XL28" i="4"/>
  <c r="XL29" i="4"/>
  <c r="XL30" i="4"/>
  <c r="XL31" i="4"/>
  <c r="XL32" i="4"/>
  <c r="XL33" i="4"/>
  <c r="XL34" i="4"/>
  <c r="XL35" i="4"/>
  <c r="XL36" i="4"/>
  <c r="XM36" i="4" s="1"/>
  <c r="K102" i="5" l="1"/>
  <c r="AC102" i="5" s="1"/>
  <c r="K101" i="5"/>
  <c r="AC101" i="5" s="1"/>
  <c r="SH15" i="4"/>
  <c r="SH16" i="4"/>
  <c r="SH17" i="4"/>
  <c r="SH18" i="4"/>
  <c r="SH19" i="4"/>
  <c r="SH20" i="4"/>
  <c r="SH21" i="4"/>
  <c r="SH22" i="4"/>
  <c r="SH23" i="4"/>
  <c r="SH24" i="4"/>
  <c r="SH25" i="4"/>
  <c r="SH26" i="4"/>
  <c r="SH27" i="4"/>
  <c r="SH28" i="4"/>
  <c r="SH29" i="4"/>
  <c r="SH30" i="4"/>
  <c r="SH31" i="4"/>
  <c r="SH32" i="4"/>
  <c r="SH33" i="4"/>
  <c r="SH34" i="4"/>
  <c r="SH35" i="4"/>
  <c r="SH36" i="4"/>
  <c r="SH14" i="4"/>
  <c r="SH13" i="4"/>
  <c r="MZ15" i="4" l="1"/>
  <c r="MZ16" i="4"/>
  <c r="MZ17" i="4"/>
  <c r="MZ18" i="4"/>
  <c r="MZ19" i="4"/>
  <c r="MZ20" i="4"/>
  <c r="MZ21" i="4"/>
  <c r="MZ22" i="4"/>
  <c r="MZ23" i="4"/>
  <c r="MZ24" i="4"/>
  <c r="MZ25" i="4"/>
  <c r="MZ26" i="4"/>
  <c r="MZ27" i="4"/>
  <c r="MZ28" i="4"/>
  <c r="MZ29" i="4"/>
  <c r="MZ30" i="4"/>
  <c r="MZ31" i="4"/>
  <c r="MZ32" i="4"/>
  <c r="MZ33" i="4"/>
  <c r="MZ34" i="4"/>
  <c r="MZ35" i="4"/>
  <c r="MZ36" i="4"/>
  <c r="MZ14" i="4"/>
  <c r="MZ13" i="4"/>
  <c r="EK372" i="1" l="1" a="1"/>
  <c r="EK372" i="1" s="1"/>
  <c r="EM372" i="1" a="1"/>
  <c r="EM372" i="1" s="1"/>
  <c r="HB321" i="1" l="1"/>
  <c r="EO372" i="1"/>
  <c r="EM391" i="1"/>
  <c r="HB340" i="1" s="1"/>
  <c r="EM387" i="1"/>
  <c r="HB336" i="1" s="1"/>
  <c r="EM379" i="1"/>
  <c r="HB328" i="1" s="1"/>
  <c r="EM375" i="1"/>
  <c r="HB324" i="1" s="1"/>
  <c r="EM390" i="1"/>
  <c r="HB339" i="1" s="1"/>
  <c r="EM386" i="1"/>
  <c r="HB335" i="1" s="1"/>
  <c r="EM382" i="1"/>
  <c r="HB331" i="1" s="1"/>
  <c r="EM378" i="1"/>
  <c r="HB327" i="1" s="1"/>
  <c r="EM393" i="1"/>
  <c r="HB342" i="1" s="1"/>
  <c r="EM389" i="1"/>
  <c r="HB338" i="1" s="1"/>
  <c r="EM385" i="1"/>
  <c r="HB334" i="1" s="1"/>
  <c r="EM381" i="1"/>
  <c r="HB330" i="1" s="1"/>
  <c r="EM377" i="1"/>
  <c r="HB326" i="1" s="1"/>
  <c r="EM373" i="1"/>
  <c r="HB322" i="1" s="1"/>
  <c r="EM395" i="1"/>
  <c r="HB344" i="1" s="1"/>
  <c r="EM383" i="1"/>
  <c r="HB332" i="1" s="1"/>
  <c r="EM394" i="1"/>
  <c r="HB343" i="1" s="1"/>
  <c r="EM374" i="1"/>
  <c r="HB323" i="1" s="1"/>
  <c r="EM392" i="1"/>
  <c r="HB341" i="1" s="1"/>
  <c r="EM388" i="1"/>
  <c r="HB337" i="1" s="1"/>
  <c r="EM384" i="1"/>
  <c r="HB333" i="1" s="1"/>
  <c r="EM380" i="1"/>
  <c r="HB329" i="1" s="1"/>
  <c r="EM376" i="1"/>
  <c r="HB325" i="1" s="1"/>
  <c r="EK395" i="1"/>
  <c r="EK393" i="1"/>
  <c r="EK391" i="1"/>
  <c r="EK389" i="1"/>
  <c r="EK387" i="1"/>
  <c r="EK385" i="1"/>
  <c r="EK383" i="1"/>
  <c r="EK381" i="1"/>
  <c r="EK379" i="1"/>
  <c r="EK377" i="1"/>
  <c r="EK375" i="1"/>
  <c r="EK373" i="1"/>
  <c r="EL373" i="1" s="1"/>
  <c r="EL374" i="1" s="1"/>
  <c r="EL375" i="1" s="1"/>
  <c r="EL376" i="1" s="1"/>
  <c r="EL377" i="1" s="1"/>
  <c r="EL378" i="1" s="1"/>
  <c r="EL379" i="1" s="1"/>
  <c r="EL380" i="1" s="1"/>
  <c r="EL381" i="1" s="1"/>
  <c r="EL382" i="1" s="1"/>
  <c r="EL383" i="1" s="1"/>
  <c r="EL384" i="1" s="1"/>
  <c r="EL385" i="1" s="1"/>
  <c r="EL386" i="1" s="1"/>
  <c r="EL387" i="1" s="1"/>
  <c r="EL388" i="1" s="1"/>
  <c r="EL389" i="1" s="1"/>
  <c r="EL390" i="1" s="1"/>
  <c r="EL391" i="1" s="1"/>
  <c r="EL392" i="1" s="1"/>
  <c r="EL393" i="1" s="1"/>
  <c r="EL394" i="1" s="1"/>
  <c r="EL395" i="1" s="1"/>
  <c r="EO395" i="1" s="1"/>
  <c r="EN395" i="1" s="1"/>
  <c r="EK394" i="1"/>
  <c r="EK392" i="1"/>
  <c r="EK390" i="1"/>
  <c r="EK388" i="1"/>
  <c r="EK386" i="1"/>
  <c r="EK384" i="1"/>
  <c r="EK382" i="1"/>
  <c r="EK380" i="1"/>
  <c r="EK378" i="1"/>
  <c r="EK376" i="1"/>
  <c r="EK374" i="1"/>
  <c r="EO382" i="1" l="1"/>
  <c r="EN382" i="1" s="1"/>
  <c r="EO390" i="1"/>
  <c r="EN390" i="1" s="1"/>
  <c r="EO375" i="1"/>
  <c r="EN375" i="1" s="1"/>
  <c r="EO383" i="1"/>
  <c r="EN383" i="1" s="1"/>
  <c r="EO391" i="1"/>
  <c r="EN391" i="1" s="1"/>
  <c r="EO376" i="1"/>
  <c r="EN376" i="1" s="1"/>
  <c r="EO384" i="1"/>
  <c r="EN384" i="1" s="1"/>
  <c r="EO392" i="1"/>
  <c r="EN392" i="1" s="1"/>
  <c r="EO377" i="1"/>
  <c r="EN377" i="1" s="1"/>
  <c r="EO385" i="1"/>
  <c r="EN385" i="1" s="1"/>
  <c r="EO393" i="1"/>
  <c r="EN393" i="1" s="1"/>
  <c r="EO378" i="1"/>
  <c r="EN378" i="1" s="1"/>
  <c r="EO386" i="1"/>
  <c r="EN386" i="1" s="1"/>
  <c r="EO394" i="1"/>
  <c r="EN394" i="1" s="1"/>
  <c r="EO379" i="1"/>
  <c r="EN379" i="1" s="1"/>
  <c r="EO387" i="1"/>
  <c r="EN387" i="1" s="1"/>
  <c r="EO374" i="1"/>
  <c r="EN374" i="1" s="1"/>
  <c r="EO380" i="1"/>
  <c r="EN380" i="1" s="1"/>
  <c r="EO388" i="1"/>
  <c r="EN388" i="1" s="1"/>
  <c r="EO373" i="1"/>
  <c r="EN373" i="1" s="1"/>
  <c r="EO381" i="1"/>
  <c r="EN381" i="1" s="1"/>
  <c r="EO389" i="1"/>
  <c r="EN389" i="1" s="1"/>
  <c r="DV372" i="1" a="1"/>
  <c r="DV372" i="1" s="1"/>
  <c r="DV395" i="1" l="1"/>
  <c r="DV387" i="1"/>
  <c r="DV379" i="1"/>
  <c r="DV393" i="1"/>
  <c r="DV385" i="1"/>
  <c r="DV377" i="1"/>
  <c r="DV391" i="1"/>
  <c r="DV383" i="1"/>
  <c r="DV375" i="1"/>
  <c r="DV389" i="1"/>
  <c r="DV381" i="1"/>
  <c r="DV373" i="1"/>
  <c r="DW373" i="1" s="1"/>
  <c r="DZ373" i="1" s="1"/>
  <c r="DV394" i="1"/>
  <c r="DV392" i="1"/>
  <c r="DV390" i="1"/>
  <c r="DV388" i="1"/>
  <c r="DV386" i="1"/>
  <c r="DV384" i="1"/>
  <c r="DV382" i="1"/>
  <c r="DV380" i="1"/>
  <c r="DV378" i="1"/>
  <c r="DV376" i="1"/>
  <c r="DV374" i="1"/>
  <c r="DU372" i="1" a="1"/>
  <c r="DU372" i="1" s="1"/>
  <c r="DU374" i="1"/>
  <c r="DU375" i="1"/>
  <c r="DU378" i="1"/>
  <c r="DU379" i="1"/>
  <c r="DU382" i="1"/>
  <c r="DU383" i="1"/>
  <c r="DU386" i="1"/>
  <c r="DU387" i="1"/>
  <c r="DU390" i="1"/>
  <c r="DU391" i="1"/>
  <c r="DU394" i="1"/>
  <c r="DU395" i="1"/>
  <c r="DS372" i="1" a="1"/>
  <c r="DS372" i="1" s="1"/>
  <c r="DS374" i="1"/>
  <c r="DS375" i="1"/>
  <c r="DS379" i="1"/>
  <c r="DS382" i="1"/>
  <c r="DS383" i="1"/>
  <c r="DS386" i="1"/>
  <c r="DS387" i="1"/>
  <c r="DS390" i="1"/>
  <c r="DS391" i="1"/>
  <c r="DS394" i="1"/>
  <c r="DS395" i="1"/>
  <c r="DQ372" i="1" a="1"/>
  <c r="DQ372" i="1" s="1"/>
  <c r="DQ395" i="1" l="1"/>
  <c r="DQ387" i="1"/>
  <c r="DQ375" i="1"/>
  <c r="DQ390" i="1"/>
  <c r="DQ382" i="1"/>
  <c r="DS378" i="1"/>
  <c r="DQ377" i="1"/>
  <c r="DS385" i="1"/>
  <c r="DU393" i="1"/>
  <c r="DU385" i="1"/>
  <c r="DU381" i="1"/>
  <c r="DU377" i="1"/>
  <c r="DU373" i="1"/>
  <c r="DQ391" i="1"/>
  <c r="DQ383" i="1"/>
  <c r="DQ379" i="1"/>
  <c r="DQ394" i="1"/>
  <c r="DQ386" i="1"/>
  <c r="DQ378" i="1"/>
  <c r="DQ374" i="1"/>
  <c r="DQ393" i="1"/>
  <c r="DQ389" i="1"/>
  <c r="DQ385" i="1"/>
  <c r="DQ381" i="1"/>
  <c r="DQ373" i="1"/>
  <c r="DR373" i="1" s="1"/>
  <c r="DS393" i="1"/>
  <c r="DS389" i="1"/>
  <c r="DS381" i="1"/>
  <c r="DS377" i="1"/>
  <c r="DS373" i="1"/>
  <c r="DU389" i="1"/>
  <c r="DQ392" i="1"/>
  <c r="DQ388" i="1"/>
  <c r="DQ384" i="1"/>
  <c r="DQ380" i="1"/>
  <c r="DQ376" i="1"/>
  <c r="DS392" i="1"/>
  <c r="DS388" i="1"/>
  <c r="DS384" i="1"/>
  <c r="DS380" i="1"/>
  <c r="DS376" i="1"/>
  <c r="DU392" i="1"/>
  <c r="DU388" i="1"/>
  <c r="DU384" i="1"/>
  <c r="DU380" i="1"/>
  <c r="DU376" i="1"/>
  <c r="DW374" i="1"/>
  <c r="DZ374" i="1" s="1"/>
  <c r="DW375" i="1"/>
  <c r="DM372" i="1" a="1"/>
  <c r="DM373" i="1" s="1"/>
  <c r="DO372" i="1" a="1"/>
  <c r="DO372" i="1" s="1"/>
  <c r="DM392" i="1" l="1"/>
  <c r="DM388" i="1"/>
  <c r="DM384" i="1"/>
  <c r="DM380" i="1"/>
  <c r="DM376" i="1"/>
  <c r="DM372" i="1"/>
  <c r="DO395" i="1"/>
  <c r="DO387" i="1"/>
  <c r="DO379" i="1"/>
  <c r="DO390" i="1"/>
  <c r="DO378" i="1"/>
  <c r="DM395" i="1"/>
  <c r="DM383" i="1"/>
  <c r="DO391" i="1"/>
  <c r="DO383" i="1"/>
  <c r="DO375" i="1"/>
  <c r="DO394" i="1"/>
  <c r="DO386" i="1"/>
  <c r="DO382" i="1"/>
  <c r="DO374" i="1"/>
  <c r="DM391" i="1"/>
  <c r="DM387" i="1"/>
  <c r="DM379" i="1"/>
  <c r="DM375" i="1"/>
  <c r="DO385" i="1"/>
  <c r="DO377" i="1"/>
  <c r="DM394" i="1"/>
  <c r="DM386" i="1"/>
  <c r="DM378" i="1"/>
  <c r="DM374" i="1"/>
  <c r="DR374" i="1"/>
  <c r="DT373" i="1"/>
  <c r="DO393" i="1"/>
  <c r="DO389" i="1"/>
  <c r="DO381" i="1"/>
  <c r="DO373" i="1"/>
  <c r="DM390" i="1"/>
  <c r="DM382" i="1"/>
  <c r="DO392" i="1"/>
  <c r="DO388" i="1"/>
  <c r="DO384" i="1"/>
  <c r="DO380" i="1"/>
  <c r="DO376" i="1"/>
  <c r="DM393" i="1"/>
  <c r="DM389" i="1"/>
  <c r="DM385" i="1"/>
  <c r="DM381" i="1"/>
  <c r="DM377" i="1"/>
  <c r="DZ375" i="1"/>
  <c r="DW376" i="1"/>
  <c r="DK372" i="1" a="1"/>
  <c r="DK373" i="1" s="1"/>
  <c r="DI372" i="1" a="1"/>
  <c r="DI372" i="1" s="1"/>
  <c r="DI375" i="1"/>
  <c r="DI379" i="1"/>
  <c r="DI383" i="1"/>
  <c r="DI387" i="1"/>
  <c r="DI391" i="1"/>
  <c r="DI395" i="1"/>
  <c r="DE372" i="1" a="1"/>
  <c r="DE372" i="1" s="1"/>
  <c r="DG372" i="1" a="1"/>
  <c r="DG372" i="1" s="1"/>
  <c r="DG373" i="1"/>
  <c r="DG374" i="1"/>
  <c r="DG375" i="1"/>
  <c r="DG377" i="1"/>
  <c r="DG378" i="1"/>
  <c r="DG379" i="1"/>
  <c r="DG381" i="1"/>
  <c r="DG382" i="1"/>
  <c r="DG383" i="1"/>
  <c r="DG385" i="1"/>
  <c r="DG386" i="1"/>
  <c r="DG387" i="1"/>
  <c r="DG389" i="1"/>
  <c r="DG390" i="1"/>
  <c r="DG391" i="1"/>
  <c r="DG393" i="1"/>
  <c r="DG394" i="1"/>
  <c r="DG395" i="1"/>
  <c r="DK392" i="1" l="1"/>
  <c r="DK388" i="1"/>
  <c r="DK384" i="1"/>
  <c r="DK380" i="1"/>
  <c r="DK376" i="1"/>
  <c r="DK372" i="1"/>
  <c r="DE387" i="1"/>
  <c r="DE374" i="1"/>
  <c r="DT374" i="1"/>
  <c r="DR375" i="1"/>
  <c r="DE395" i="1"/>
  <c r="DE383" i="1"/>
  <c r="DE375" i="1"/>
  <c r="DE394" i="1"/>
  <c r="DE390" i="1"/>
  <c r="DE386" i="1"/>
  <c r="DE382" i="1"/>
  <c r="DE378" i="1"/>
  <c r="DI394" i="1"/>
  <c r="DI390" i="1"/>
  <c r="DI386" i="1"/>
  <c r="DI382" i="1"/>
  <c r="DI378" i="1"/>
  <c r="DI374" i="1"/>
  <c r="DK395" i="1"/>
  <c r="DK391" i="1"/>
  <c r="DK387" i="1"/>
  <c r="DK383" i="1"/>
  <c r="DK379" i="1"/>
  <c r="DK375" i="1"/>
  <c r="DG392" i="1"/>
  <c r="DG388" i="1"/>
  <c r="DG384" i="1"/>
  <c r="DG380" i="1"/>
  <c r="DG376" i="1"/>
  <c r="DE393" i="1"/>
  <c r="DE389" i="1"/>
  <c r="DE385" i="1"/>
  <c r="DE381" i="1"/>
  <c r="DE377" i="1"/>
  <c r="DE373" i="1"/>
  <c r="DF373" i="1" s="1"/>
  <c r="DI393" i="1"/>
  <c r="DI389" i="1"/>
  <c r="DI385" i="1"/>
  <c r="DI381" i="1"/>
  <c r="DI377" i="1"/>
  <c r="DI373" i="1"/>
  <c r="DJ373" i="1" s="1"/>
  <c r="DK394" i="1"/>
  <c r="DK390" i="1"/>
  <c r="DK386" i="1"/>
  <c r="DK382" i="1"/>
  <c r="DK378" i="1"/>
  <c r="DK374" i="1"/>
  <c r="DE391" i="1"/>
  <c r="DE379" i="1"/>
  <c r="DE392" i="1"/>
  <c r="DE388" i="1"/>
  <c r="DE384" i="1"/>
  <c r="DE380" i="1"/>
  <c r="DE376" i="1"/>
  <c r="DI392" i="1"/>
  <c r="DI388" i="1"/>
  <c r="DI384" i="1"/>
  <c r="DI380" i="1"/>
  <c r="DI376" i="1"/>
  <c r="DK393" i="1"/>
  <c r="DK389" i="1"/>
  <c r="DK385" i="1"/>
  <c r="DK381" i="1"/>
  <c r="DK377" i="1"/>
  <c r="DW377" i="1"/>
  <c r="DZ376" i="1"/>
  <c r="DC372" i="1" a="1"/>
  <c r="DC373" i="1" s="1"/>
  <c r="CW372" i="1" a="1"/>
  <c r="CW372" i="1" s="1"/>
  <c r="CY372" i="1" a="1"/>
  <c r="CY372" i="1" s="1"/>
  <c r="CY395" i="1"/>
  <c r="DC392" i="1" l="1"/>
  <c r="DC388" i="1"/>
  <c r="DC384" i="1"/>
  <c r="DC380" i="1"/>
  <c r="DC376" i="1"/>
  <c r="DC372" i="1"/>
  <c r="CY391" i="1"/>
  <c r="CY387" i="1"/>
  <c r="CY383" i="1"/>
  <c r="CY379" i="1"/>
  <c r="CY375" i="1"/>
  <c r="CY394" i="1"/>
  <c r="CY390" i="1"/>
  <c r="CY386" i="1"/>
  <c r="CY382" i="1"/>
  <c r="CY378" i="1"/>
  <c r="CY374" i="1"/>
  <c r="CW395" i="1"/>
  <c r="CW391" i="1"/>
  <c r="CW387" i="1"/>
  <c r="CW383" i="1"/>
  <c r="CW379" i="1"/>
  <c r="CW375" i="1"/>
  <c r="CY393" i="1"/>
  <c r="CY389" i="1"/>
  <c r="CY385" i="1"/>
  <c r="CY381" i="1"/>
  <c r="CY377" i="1"/>
  <c r="CY373" i="1"/>
  <c r="CW394" i="1"/>
  <c r="CW390" i="1"/>
  <c r="CW386" i="1"/>
  <c r="CW382" i="1"/>
  <c r="CW378" i="1"/>
  <c r="CW374" i="1"/>
  <c r="DC395" i="1"/>
  <c r="DC391" i="1"/>
  <c r="DC387" i="1"/>
  <c r="DC383" i="1"/>
  <c r="DC379" i="1"/>
  <c r="DC375" i="1"/>
  <c r="DL373" i="1"/>
  <c r="DJ374" i="1"/>
  <c r="CY392" i="1"/>
  <c r="CY388" i="1"/>
  <c r="CY384" i="1"/>
  <c r="CY380" i="1"/>
  <c r="CY376" i="1"/>
  <c r="CW393" i="1"/>
  <c r="CW389" i="1"/>
  <c r="CW385" i="1"/>
  <c r="CW381" i="1"/>
  <c r="CW377" i="1"/>
  <c r="CW373" i="1"/>
  <c r="DC394" i="1"/>
  <c r="DC390" i="1"/>
  <c r="DC386" i="1"/>
  <c r="DC382" i="1"/>
  <c r="DC378" i="1"/>
  <c r="DC374" i="1"/>
  <c r="DR376" i="1"/>
  <c r="DT375" i="1"/>
  <c r="CW392" i="1"/>
  <c r="CW388" i="1"/>
  <c r="CW384" i="1"/>
  <c r="CW380" i="1"/>
  <c r="CW376" i="1"/>
  <c r="DC393" i="1"/>
  <c r="DC389" i="1"/>
  <c r="DC385" i="1"/>
  <c r="DC381" i="1"/>
  <c r="DC377" i="1"/>
  <c r="DF374" i="1"/>
  <c r="DH373" i="1"/>
  <c r="DW378" i="1"/>
  <c r="DZ377" i="1"/>
  <c r="DL374" i="1" l="1"/>
  <c r="DJ375" i="1"/>
  <c r="CZ373" i="1"/>
  <c r="CZ374" i="1" s="1"/>
  <c r="CZ375" i="1" s="1"/>
  <c r="CZ376" i="1" s="1"/>
  <c r="CZ377" i="1" s="1"/>
  <c r="CZ378" i="1" s="1"/>
  <c r="CZ379" i="1" s="1"/>
  <c r="CZ380" i="1" s="1"/>
  <c r="CZ381" i="1" s="1"/>
  <c r="CZ382" i="1" s="1"/>
  <c r="CZ383" i="1" s="1"/>
  <c r="CZ384" i="1" s="1"/>
  <c r="CZ385" i="1" s="1"/>
  <c r="CZ386" i="1" s="1"/>
  <c r="CZ387" i="1" s="1"/>
  <c r="CZ388" i="1" s="1"/>
  <c r="CZ389" i="1" s="1"/>
  <c r="CZ390" i="1" s="1"/>
  <c r="CZ391" i="1" s="1"/>
  <c r="CZ392" i="1" s="1"/>
  <c r="CZ393" i="1" s="1"/>
  <c r="CZ394" i="1" s="1"/>
  <c r="CZ395" i="1" s="1"/>
  <c r="CX373" i="1"/>
  <c r="CX374" i="1" s="1"/>
  <c r="CX375" i="1" s="1"/>
  <c r="CX376" i="1" s="1"/>
  <c r="CX377" i="1" s="1"/>
  <c r="CX378" i="1" s="1"/>
  <c r="CX379" i="1" s="1"/>
  <c r="CX380" i="1" s="1"/>
  <c r="CX381" i="1" s="1"/>
  <c r="CX382" i="1" s="1"/>
  <c r="CX383" i="1" s="1"/>
  <c r="CX384" i="1" s="1"/>
  <c r="CX385" i="1" s="1"/>
  <c r="CX386" i="1" s="1"/>
  <c r="CX387" i="1" s="1"/>
  <c r="CX388" i="1" s="1"/>
  <c r="CX389" i="1" s="1"/>
  <c r="CX390" i="1" s="1"/>
  <c r="CX391" i="1" s="1"/>
  <c r="CX392" i="1" s="1"/>
  <c r="CX393" i="1" s="1"/>
  <c r="CX394" i="1" s="1"/>
  <c r="CX395" i="1" s="1"/>
  <c r="DH374" i="1"/>
  <c r="DF375" i="1"/>
  <c r="DR377" i="1"/>
  <c r="DT376" i="1"/>
  <c r="DW379" i="1"/>
  <c r="DZ378" i="1"/>
  <c r="DF376" i="1" l="1"/>
  <c r="DH375" i="1"/>
  <c r="DL375" i="1"/>
  <c r="DJ376" i="1"/>
  <c r="DR378" i="1"/>
  <c r="DT377" i="1"/>
  <c r="DW380" i="1"/>
  <c r="DZ379" i="1"/>
  <c r="DJ377" i="1" l="1"/>
  <c r="DL376" i="1"/>
  <c r="DR379" i="1"/>
  <c r="DT378" i="1"/>
  <c r="DF377" i="1"/>
  <c r="DH376" i="1"/>
  <c r="DW381" i="1"/>
  <c r="DZ380" i="1"/>
  <c r="CR276" i="1" a="1"/>
  <c r="CR278" i="1" s="1"/>
  <c r="CT276" i="1" a="1"/>
  <c r="CT276" i="1" s="1"/>
  <c r="DG213" i="1" a="1"/>
  <c r="DG213" i="1" s="1"/>
  <c r="CR297" i="1" l="1"/>
  <c r="CR293" i="1"/>
  <c r="CR289" i="1"/>
  <c r="CR285" i="1"/>
  <c r="CR281" i="1"/>
  <c r="CR277" i="1"/>
  <c r="CR296" i="1"/>
  <c r="CR292" i="1"/>
  <c r="CR288" i="1"/>
  <c r="CR284" i="1"/>
  <c r="CR280" i="1"/>
  <c r="CR276" i="1"/>
  <c r="DR380" i="1"/>
  <c r="DT379" i="1"/>
  <c r="CR299" i="1"/>
  <c r="CR295" i="1"/>
  <c r="CR291" i="1"/>
  <c r="CR287" i="1"/>
  <c r="CR283" i="1"/>
  <c r="CR279" i="1"/>
  <c r="CR298" i="1"/>
  <c r="CR294" i="1"/>
  <c r="CR290" i="1"/>
  <c r="CR286" i="1"/>
  <c r="CR282" i="1"/>
  <c r="DF378" i="1"/>
  <c r="DH377" i="1"/>
  <c r="DJ378" i="1"/>
  <c r="DL377" i="1"/>
  <c r="DW382" i="1"/>
  <c r="DZ381" i="1"/>
  <c r="CT299" i="1"/>
  <c r="CT297" i="1"/>
  <c r="CT295" i="1"/>
  <c r="CT293" i="1"/>
  <c r="CT291" i="1"/>
  <c r="CT289" i="1"/>
  <c r="CT287" i="1"/>
  <c r="CT285" i="1"/>
  <c r="CT283" i="1"/>
  <c r="CT281" i="1"/>
  <c r="CT279" i="1"/>
  <c r="CT277" i="1"/>
  <c r="CT298" i="1"/>
  <c r="CT296" i="1"/>
  <c r="CT294" i="1"/>
  <c r="CT292" i="1"/>
  <c r="CT290" i="1"/>
  <c r="CT288" i="1"/>
  <c r="CT286" i="1"/>
  <c r="CT284" i="1"/>
  <c r="CT282" i="1"/>
  <c r="CT280" i="1"/>
  <c r="CT278" i="1"/>
  <c r="HD323" i="1"/>
  <c r="HD324" i="1"/>
  <c r="HD325" i="1"/>
  <c r="HD326" i="1"/>
  <c r="HD327" i="1"/>
  <c r="HD328" i="1"/>
  <c r="HD329" i="1"/>
  <c r="HD330" i="1"/>
  <c r="HD331" i="1"/>
  <c r="HD332" i="1"/>
  <c r="HD333" i="1"/>
  <c r="HD334" i="1"/>
  <c r="HD335" i="1"/>
  <c r="HD336" i="1"/>
  <c r="HD337" i="1"/>
  <c r="HD338" i="1"/>
  <c r="HD339" i="1"/>
  <c r="HD340" i="1"/>
  <c r="HD341" i="1"/>
  <c r="HD342" i="1"/>
  <c r="HD343" i="1"/>
  <c r="HD344" i="1"/>
  <c r="HD322" i="1"/>
  <c r="HD321" i="1"/>
  <c r="HA321" i="1" a="1"/>
  <c r="HA321" i="1" s="1"/>
  <c r="DJ379" i="1" l="1"/>
  <c r="DL378" i="1"/>
  <c r="HA344" i="1"/>
  <c r="HA332" i="1"/>
  <c r="HA331" i="1"/>
  <c r="HA336" i="1"/>
  <c r="HA324" i="1"/>
  <c r="HA339" i="1"/>
  <c r="HA327" i="1"/>
  <c r="HA338" i="1"/>
  <c r="HA334" i="1"/>
  <c r="HA330" i="1"/>
  <c r="HA326" i="1"/>
  <c r="HA322" i="1"/>
  <c r="DF379" i="1"/>
  <c r="DH378" i="1"/>
  <c r="HA340" i="1"/>
  <c r="HA328" i="1"/>
  <c r="HA343" i="1"/>
  <c r="HA335" i="1"/>
  <c r="HA323" i="1"/>
  <c r="HA342" i="1"/>
  <c r="HA341" i="1"/>
  <c r="HA337" i="1"/>
  <c r="HA333" i="1"/>
  <c r="HA329" i="1"/>
  <c r="HA325" i="1"/>
  <c r="DU298" i="1"/>
  <c r="DU299" i="1"/>
  <c r="DR381" i="1"/>
  <c r="DT380" i="1"/>
  <c r="DW383" i="1"/>
  <c r="DZ382" i="1"/>
  <c r="EL345" i="1"/>
  <c r="EL346" i="1" s="1"/>
  <c r="EL347" i="1" s="1"/>
  <c r="EL348" i="1" s="1"/>
  <c r="EL349" i="1" s="1"/>
  <c r="EL350" i="1" s="1"/>
  <c r="EL351" i="1" s="1"/>
  <c r="EL352" i="1" s="1"/>
  <c r="EL353" i="1" s="1"/>
  <c r="EL354" i="1" s="1"/>
  <c r="EL355" i="1" s="1"/>
  <c r="EL356" i="1" s="1"/>
  <c r="EL357" i="1" s="1"/>
  <c r="EL358" i="1" s="1"/>
  <c r="EL359" i="1" s="1"/>
  <c r="DF380" i="1" l="1"/>
  <c r="DH379" i="1"/>
  <c r="DR382" i="1"/>
  <c r="DT381" i="1"/>
  <c r="DJ380" i="1"/>
  <c r="DL379" i="1"/>
  <c r="DW384" i="1"/>
  <c r="DZ383" i="1"/>
  <c r="DO323" i="1"/>
  <c r="DO324" i="1"/>
  <c r="DO325" i="1"/>
  <c r="DO326" i="1"/>
  <c r="DO327" i="1"/>
  <c r="DO328" i="1"/>
  <c r="DO329" i="1"/>
  <c r="DO330" i="1"/>
  <c r="DO331" i="1"/>
  <c r="DO332" i="1"/>
  <c r="DO333" i="1"/>
  <c r="DO334" i="1"/>
  <c r="DO335" i="1"/>
  <c r="DO336" i="1"/>
  <c r="DO337" i="1"/>
  <c r="DO338" i="1"/>
  <c r="DO339" i="1"/>
  <c r="DO340" i="1"/>
  <c r="DO341" i="1"/>
  <c r="DO342" i="1"/>
  <c r="DO343" i="1"/>
  <c r="DO344" i="1"/>
  <c r="DO345" i="1"/>
  <c r="DO322" i="1"/>
  <c r="DR383" i="1" l="1"/>
  <c r="DT382" i="1"/>
  <c r="DJ381" i="1"/>
  <c r="DL380" i="1"/>
  <c r="DF381" i="1"/>
  <c r="DH380" i="1"/>
  <c r="DW385" i="1"/>
  <c r="DZ384" i="1"/>
  <c r="CT328" i="1"/>
  <c r="CT329" i="1"/>
  <c r="CT330" i="1"/>
  <c r="CT331" i="1"/>
  <c r="CT332" i="1"/>
  <c r="CT333" i="1"/>
  <c r="CT334" i="1"/>
  <c r="CT335" i="1"/>
  <c r="CT336" i="1"/>
  <c r="CT337" i="1"/>
  <c r="CT338" i="1"/>
  <c r="CT339" i="1"/>
  <c r="CT340" i="1"/>
  <c r="CT327" i="1"/>
  <c r="DJ382" i="1" l="1"/>
  <c r="DL381" i="1"/>
  <c r="DF382" i="1"/>
  <c r="DH381" i="1"/>
  <c r="DR384" i="1"/>
  <c r="DT383" i="1"/>
  <c r="DW386" i="1"/>
  <c r="DZ385" i="1"/>
  <c r="DF383" i="1" l="1"/>
  <c r="DH382" i="1"/>
  <c r="DR385" i="1"/>
  <c r="DT384" i="1"/>
  <c r="DJ383" i="1"/>
  <c r="DL382" i="1"/>
  <c r="DW387" i="1"/>
  <c r="DZ386" i="1"/>
  <c r="DR386" i="1" l="1"/>
  <c r="DT385" i="1"/>
  <c r="DJ384" i="1"/>
  <c r="DL383" i="1"/>
  <c r="DF384" i="1"/>
  <c r="DH383" i="1"/>
  <c r="DW388" i="1"/>
  <c r="DZ387" i="1"/>
  <c r="CT229" i="1" a="1"/>
  <c r="CT229" i="1" s="1"/>
  <c r="CT252" i="1" l="1"/>
  <c r="CT244" i="1"/>
  <c r="CT236" i="1"/>
  <c r="CT251" i="1"/>
  <c r="CT243" i="1"/>
  <c r="CT235" i="1"/>
  <c r="CT250" i="1"/>
  <c r="CT238" i="1"/>
  <c r="CT230" i="1"/>
  <c r="DJ385" i="1"/>
  <c r="DL384" i="1"/>
  <c r="CT248" i="1"/>
  <c r="CT240" i="1"/>
  <c r="CT232" i="1"/>
  <c r="CT247" i="1"/>
  <c r="CT239" i="1"/>
  <c r="CT231" i="1"/>
  <c r="CT246" i="1"/>
  <c r="CT242" i="1"/>
  <c r="CT234" i="1"/>
  <c r="CT249" i="1"/>
  <c r="CT245" i="1"/>
  <c r="CT241" i="1"/>
  <c r="CT237" i="1"/>
  <c r="CT233" i="1"/>
  <c r="DF385" i="1"/>
  <c r="DH384" i="1"/>
  <c r="DR387" i="1"/>
  <c r="DT386" i="1"/>
  <c r="DW389" i="1"/>
  <c r="DZ388" i="1"/>
  <c r="FE207" i="1"/>
  <c r="FE208" i="1"/>
  <c r="FE209" i="1"/>
  <c r="FE210" i="1"/>
  <c r="FE211" i="1"/>
  <c r="FE212" i="1"/>
  <c r="FE213" i="1"/>
  <c r="FE214" i="1"/>
  <c r="FE215" i="1"/>
  <c r="FE216" i="1"/>
  <c r="FE217" i="1"/>
  <c r="FE218" i="1"/>
  <c r="FE219" i="1"/>
  <c r="FE220" i="1"/>
  <c r="FE221" i="1"/>
  <c r="FE222" i="1"/>
  <c r="FE206" i="1"/>
  <c r="DR388" i="1" l="1"/>
  <c r="DT387" i="1"/>
  <c r="DF386" i="1"/>
  <c r="DH385" i="1"/>
  <c r="DJ386" i="1"/>
  <c r="DL385" i="1"/>
  <c r="DW390" i="1"/>
  <c r="DZ389" i="1"/>
  <c r="CV184" i="1" a="1"/>
  <c r="CV184" i="1" s="1"/>
  <c r="DF387" i="1" l="1"/>
  <c r="DH386" i="1"/>
  <c r="CV206" i="1"/>
  <c r="CV202" i="1"/>
  <c r="CV198" i="1"/>
  <c r="CV194" i="1"/>
  <c r="CV190" i="1"/>
  <c r="CV186" i="1"/>
  <c r="CV207" i="1"/>
  <c r="CV203" i="1"/>
  <c r="CV199" i="1"/>
  <c r="CV195" i="1"/>
  <c r="CV191" i="1"/>
  <c r="CV187" i="1"/>
  <c r="CV205" i="1"/>
  <c r="CV201" i="1"/>
  <c r="CV197" i="1"/>
  <c r="CV193" i="1"/>
  <c r="CV189" i="1"/>
  <c r="CV185" i="1"/>
  <c r="DJ387" i="1"/>
  <c r="DL386" i="1"/>
  <c r="CV204" i="1"/>
  <c r="CV200" i="1"/>
  <c r="CV196" i="1"/>
  <c r="CV192" i="1"/>
  <c r="CV188" i="1"/>
  <c r="DR389" i="1"/>
  <c r="DT388" i="1"/>
  <c r="DW391" i="1"/>
  <c r="DZ390" i="1"/>
  <c r="DR390" i="1" l="1"/>
  <c r="DT389" i="1"/>
  <c r="DJ388" i="1"/>
  <c r="DL387" i="1"/>
  <c r="DF388" i="1"/>
  <c r="DH387" i="1"/>
  <c r="DW392" i="1"/>
  <c r="DZ391" i="1"/>
  <c r="CT136" i="1" a="1"/>
  <c r="CT138" i="1" s="1"/>
  <c r="CT156" i="1" l="1"/>
  <c r="CT148" i="1"/>
  <c r="CT140" i="1"/>
  <c r="CT157" i="1"/>
  <c r="CT153" i="1"/>
  <c r="CT149" i="1"/>
  <c r="CT145" i="1"/>
  <c r="CT141" i="1"/>
  <c r="CT137" i="1"/>
  <c r="DJ389" i="1"/>
  <c r="DL388" i="1"/>
  <c r="CT152" i="1"/>
  <c r="CT144" i="1"/>
  <c r="CT136" i="1"/>
  <c r="CT159" i="1"/>
  <c r="CT155" i="1"/>
  <c r="CT151" i="1"/>
  <c r="CT147" i="1"/>
  <c r="CT143" i="1"/>
  <c r="CT139" i="1"/>
  <c r="CT158" i="1"/>
  <c r="DO160" i="1" s="1"/>
  <c r="CT154" i="1"/>
  <c r="CT150" i="1"/>
  <c r="CT146" i="1"/>
  <c r="CT142" i="1"/>
  <c r="DF389" i="1"/>
  <c r="DH388" i="1"/>
  <c r="DR391" i="1"/>
  <c r="DT390" i="1"/>
  <c r="DW393" i="1"/>
  <c r="DZ392" i="1"/>
  <c r="DO140" i="1"/>
  <c r="DO141" i="1"/>
  <c r="DO142" i="1"/>
  <c r="DO143" i="1"/>
  <c r="DO144" i="1"/>
  <c r="DO145" i="1"/>
  <c r="DO146" i="1"/>
  <c r="DO147" i="1"/>
  <c r="DO148" i="1"/>
  <c r="DO149" i="1"/>
  <c r="DO150" i="1"/>
  <c r="DO151" i="1"/>
  <c r="DO152" i="1"/>
  <c r="DO153" i="1"/>
  <c r="DO154" i="1"/>
  <c r="DO155" i="1"/>
  <c r="DO156" i="1"/>
  <c r="DO157" i="1"/>
  <c r="DO158" i="1"/>
  <c r="DO159" i="1"/>
  <c r="DO161" i="1"/>
  <c r="DO139" i="1"/>
  <c r="DO138" i="1"/>
  <c r="DR392" i="1" l="1"/>
  <c r="DT391" i="1"/>
  <c r="DF390" i="1"/>
  <c r="DH389" i="1"/>
  <c r="DJ390" i="1"/>
  <c r="DL389" i="1"/>
  <c r="DW394" i="1"/>
  <c r="DZ393" i="1"/>
  <c r="DL136" i="1"/>
  <c r="DF391" i="1" l="1"/>
  <c r="DH390" i="1"/>
  <c r="DJ391" i="1"/>
  <c r="DL390" i="1"/>
  <c r="DR393" i="1"/>
  <c r="DT392" i="1"/>
  <c r="DW395" i="1"/>
  <c r="DZ395" i="1" s="1"/>
  <c r="DZ394" i="1"/>
  <c r="DJ392" i="1" l="1"/>
  <c r="DL391" i="1"/>
  <c r="DR394" i="1"/>
  <c r="DT393" i="1"/>
  <c r="DF392" i="1"/>
  <c r="DH391" i="1"/>
  <c r="DN24" i="1"/>
  <c r="DN32" i="1"/>
  <c r="DO9" i="1" a="1"/>
  <c r="DO9" i="1" s="1"/>
  <c r="DO10" i="1"/>
  <c r="DO12" i="1"/>
  <c r="DO14" i="1"/>
  <c r="DO16" i="1"/>
  <c r="DO18" i="1"/>
  <c r="DO20" i="1"/>
  <c r="DO22" i="1"/>
  <c r="DO24" i="1"/>
  <c r="DO26" i="1"/>
  <c r="DO28" i="1"/>
  <c r="DO30" i="1"/>
  <c r="DO32" i="1"/>
  <c r="DM9" i="1" a="1"/>
  <c r="DM9" i="1" s="1"/>
  <c r="DM10" i="1"/>
  <c r="DM12" i="1"/>
  <c r="DM16" i="1"/>
  <c r="DM18" i="1"/>
  <c r="DM20" i="1"/>
  <c r="DM24" i="1"/>
  <c r="DM26" i="1"/>
  <c r="DN26" i="1" s="1"/>
  <c r="DM28" i="1"/>
  <c r="DN28" i="1" s="1"/>
  <c r="DM32" i="1"/>
  <c r="DR395" i="1" l="1"/>
  <c r="DT395" i="1" s="1"/>
  <c r="DT394" i="1"/>
  <c r="DM30" i="1"/>
  <c r="DN30" i="1" s="1"/>
  <c r="DM22" i="1"/>
  <c r="DN22" i="1" s="1"/>
  <c r="DM14" i="1"/>
  <c r="DF393" i="1"/>
  <c r="DH392" i="1"/>
  <c r="DJ393" i="1"/>
  <c r="DL392" i="1"/>
  <c r="DO31" i="1"/>
  <c r="DO29" i="1"/>
  <c r="DO27" i="1"/>
  <c r="DO25" i="1"/>
  <c r="DO23" i="1"/>
  <c r="DO21" i="1"/>
  <c r="DO19" i="1"/>
  <c r="DO17" i="1"/>
  <c r="DO15" i="1"/>
  <c r="DO13" i="1"/>
  <c r="DO11" i="1"/>
  <c r="DM31" i="1"/>
  <c r="DN31" i="1" s="1"/>
  <c r="DM29" i="1"/>
  <c r="DN29" i="1" s="1"/>
  <c r="DM27" i="1"/>
  <c r="DN27" i="1" s="1"/>
  <c r="DM25" i="1"/>
  <c r="DN25" i="1" s="1"/>
  <c r="DM23" i="1"/>
  <c r="DN23" i="1" s="1"/>
  <c r="DM21" i="1"/>
  <c r="DN21" i="1" s="1"/>
  <c r="DM19" i="1"/>
  <c r="DM17" i="1"/>
  <c r="DM15" i="1"/>
  <c r="DM13" i="1"/>
  <c r="DM11" i="1"/>
  <c r="DJ52" i="1" a="1"/>
  <c r="DJ52" i="1" s="1"/>
  <c r="DJ73" i="1" l="1"/>
  <c r="DJ69" i="1"/>
  <c r="DJ65" i="1"/>
  <c r="DJ61" i="1"/>
  <c r="DJ57" i="1"/>
  <c r="DJ53" i="1"/>
  <c r="DJ75" i="1"/>
  <c r="DJ71" i="1"/>
  <c r="DJ67" i="1"/>
  <c r="DJ63" i="1"/>
  <c r="DJ59" i="1"/>
  <c r="DJ55" i="1"/>
  <c r="DJ74" i="1"/>
  <c r="DJ70" i="1"/>
  <c r="DJ66" i="1"/>
  <c r="DJ62" i="1"/>
  <c r="DJ58" i="1"/>
  <c r="DJ54" i="1"/>
  <c r="DJ394" i="1"/>
  <c r="DL393" i="1"/>
  <c r="DJ72" i="1"/>
  <c r="DJ68" i="1"/>
  <c r="DJ64" i="1"/>
  <c r="DJ60" i="1"/>
  <c r="DJ56" i="1"/>
  <c r="DF394" i="1"/>
  <c r="DH393" i="1"/>
  <c r="DJ395" i="1" l="1"/>
  <c r="DL395" i="1" s="1"/>
  <c r="DL394" i="1"/>
  <c r="DF395" i="1"/>
  <c r="DH395" i="1" s="1"/>
  <c r="DH394" i="1"/>
  <c r="CT92" i="1" a="1"/>
  <c r="CT92" i="1" s="1"/>
  <c r="CT107" i="1" l="1"/>
  <c r="CT99" i="1"/>
  <c r="CT114" i="1"/>
  <c r="CT102" i="1"/>
  <c r="CT113" i="1"/>
  <c r="CT109" i="1"/>
  <c r="CT105" i="1"/>
  <c r="CT101" i="1"/>
  <c r="CT97" i="1"/>
  <c r="CT93" i="1"/>
  <c r="CT115" i="1"/>
  <c r="CT111" i="1"/>
  <c r="CT103" i="1"/>
  <c r="CT95" i="1"/>
  <c r="CT110" i="1"/>
  <c r="CT106" i="1"/>
  <c r="CT98" i="1"/>
  <c r="CT94" i="1"/>
  <c r="CT112" i="1"/>
  <c r="CT108" i="1"/>
  <c r="CT104" i="1"/>
  <c r="CT100" i="1"/>
  <c r="CT96" i="1"/>
  <c r="GB95" i="2" a="1"/>
  <c r="GB95" i="2" s="1"/>
  <c r="GC95" i="2" s="1"/>
  <c r="GB118" i="2" l="1"/>
  <c r="GD118" i="2" s="1"/>
  <c r="GB116" i="2"/>
  <c r="GD116" i="2" s="1"/>
  <c r="GB114" i="2"/>
  <c r="GC114" i="2" s="1"/>
  <c r="GB112" i="2"/>
  <c r="GC112" i="2" s="1"/>
  <c r="GB110" i="2"/>
  <c r="GC110" i="2" s="1"/>
  <c r="GB108" i="2"/>
  <c r="GC108" i="2" s="1"/>
  <c r="GB106" i="2"/>
  <c r="GC106" i="2" s="1"/>
  <c r="GB104" i="2"/>
  <c r="GC104" i="2" s="1"/>
  <c r="GB102" i="2"/>
  <c r="GC102" i="2" s="1"/>
  <c r="GB100" i="2"/>
  <c r="GC100" i="2" s="1"/>
  <c r="GB98" i="2"/>
  <c r="GC98" i="2" s="1"/>
  <c r="GB96" i="2"/>
  <c r="GC96" i="2" s="1"/>
  <c r="GB117" i="2"/>
  <c r="GD117" i="2" s="1"/>
  <c r="GB115" i="2"/>
  <c r="GB113" i="2"/>
  <c r="GC113" i="2" s="1"/>
  <c r="GB111" i="2"/>
  <c r="GC111" i="2" s="1"/>
  <c r="GB109" i="2"/>
  <c r="GC109" i="2" s="1"/>
  <c r="GB107" i="2"/>
  <c r="GC107" i="2" s="1"/>
  <c r="GB105" i="2"/>
  <c r="GC105" i="2" s="1"/>
  <c r="GB103" i="2"/>
  <c r="GC103" i="2" s="1"/>
  <c r="GB101" i="2"/>
  <c r="GC101" i="2" s="1"/>
  <c r="GB99" i="2"/>
  <c r="GC99" i="2" s="1"/>
  <c r="GB97" i="2"/>
  <c r="GC97" i="2" s="1"/>
  <c r="DT95" i="2" a="1"/>
  <c r="DT95" i="2" s="1"/>
  <c r="EM95" i="2" l="1"/>
  <c r="EN136" i="2" s="1"/>
  <c r="EO136" i="2" s="1"/>
  <c r="DU136" i="2"/>
  <c r="DT118" i="2"/>
  <c r="DT110" i="2"/>
  <c r="DT102" i="2"/>
  <c r="DT114" i="2"/>
  <c r="DT106" i="2"/>
  <c r="DT98" i="2"/>
  <c r="DT116" i="2"/>
  <c r="DT112" i="2"/>
  <c r="DT108" i="2"/>
  <c r="DT104" i="2"/>
  <c r="DT100" i="2"/>
  <c r="DT96" i="2"/>
  <c r="DT117" i="2"/>
  <c r="DT115" i="2"/>
  <c r="DT113" i="2"/>
  <c r="DT111" i="2"/>
  <c r="DT109" i="2"/>
  <c r="DT107" i="2"/>
  <c r="DT105" i="2"/>
  <c r="DT103" i="2"/>
  <c r="DT101" i="2"/>
  <c r="DT99" i="2"/>
  <c r="DT97" i="2"/>
  <c r="EN95" i="2" l="1"/>
  <c r="EM99" i="2"/>
  <c r="EN140" i="2" s="1"/>
  <c r="EO140" i="2" s="1"/>
  <c r="DU140" i="2"/>
  <c r="EM103" i="2"/>
  <c r="EN144" i="2" s="1"/>
  <c r="EO144" i="2" s="1"/>
  <c r="DU144" i="2"/>
  <c r="EM107" i="2"/>
  <c r="EN148" i="2" s="1"/>
  <c r="EO148" i="2" s="1"/>
  <c r="DU148" i="2"/>
  <c r="EM111" i="2"/>
  <c r="EN152" i="2" s="1"/>
  <c r="EO152" i="2" s="1"/>
  <c r="DU152" i="2"/>
  <c r="EM115" i="2"/>
  <c r="EN156" i="2" s="1"/>
  <c r="EO156" i="2" s="1"/>
  <c r="DU156" i="2"/>
  <c r="EM96" i="2"/>
  <c r="EN137" i="2" s="1"/>
  <c r="EO137" i="2" s="1"/>
  <c r="DU137" i="2"/>
  <c r="EM104" i="2"/>
  <c r="EN145" i="2" s="1"/>
  <c r="EO145" i="2" s="1"/>
  <c r="DU145" i="2"/>
  <c r="EM112" i="2"/>
  <c r="EN153" i="2" s="1"/>
  <c r="EO153" i="2" s="1"/>
  <c r="DU153" i="2"/>
  <c r="EM98" i="2"/>
  <c r="EN139" i="2" s="1"/>
  <c r="EO139" i="2" s="1"/>
  <c r="DU139" i="2"/>
  <c r="EM114" i="2"/>
  <c r="EN155" i="2" s="1"/>
  <c r="EO155" i="2" s="1"/>
  <c r="DU155" i="2"/>
  <c r="EM110" i="2"/>
  <c r="EN151" i="2" s="1"/>
  <c r="EO151" i="2" s="1"/>
  <c r="DU151" i="2"/>
  <c r="EM97" i="2"/>
  <c r="EN138" i="2" s="1"/>
  <c r="EO138" i="2" s="1"/>
  <c r="DU138" i="2"/>
  <c r="EM101" i="2"/>
  <c r="EN142" i="2" s="1"/>
  <c r="EO142" i="2" s="1"/>
  <c r="DU142" i="2"/>
  <c r="EM105" i="2"/>
  <c r="EN146" i="2" s="1"/>
  <c r="EO146" i="2" s="1"/>
  <c r="DU146" i="2"/>
  <c r="EM109" i="2"/>
  <c r="EN150" i="2" s="1"/>
  <c r="EO150" i="2" s="1"/>
  <c r="DU150" i="2"/>
  <c r="EM113" i="2"/>
  <c r="EN154" i="2" s="1"/>
  <c r="EO154" i="2" s="1"/>
  <c r="DU154" i="2"/>
  <c r="EG31" i="1"/>
  <c r="DU158" i="2"/>
  <c r="EM100" i="2"/>
  <c r="DU141" i="2"/>
  <c r="EM108" i="2"/>
  <c r="EN149" i="2" s="1"/>
  <c r="EO149" i="2" s="1"/>
  <c r="DU149" i="2"/>
  <c r="EM116" i="2"/>
  <c r="EN157" i="2" s="1"/>
  <c r="EP157" i="2" s="1"/>
  <c r="DU157" i="2"/>
  <c r="EM106" i="2"/>
  <c r="EN147" i="2" s="1"/>
  <c r="EO147" i="2" s="1"/>
  <c r="DU147" i="2"/>
  <c r="EM102" i="2"/>
  <c r="EN143" i="2" s="1"/>
  <c r="EO143" i="2" s="1"/>
  <c r="DU143" i="2"/>
  <c r="EG32" i="1"/>
  <c r="DU159" i="2"/>
  <c r="EN106" i="2"/>
  <c r="EM117" i="2"/>
  <c r="EN158" i="2" s="1"/>
  <c r="EP158" i="2" s="1"/>
  <c r="EN98" i="2"/>
  <c r="EM118" i="2"/>
  <c r="EN159" i="2" s="1"/>
  <c r="EP159" i="2" s="1"/>
  <c r="EN111" i="2"/>
  <c r="EN114" i="2"/>
  <c r="EN103" i="2"/>
  <c r="EO118" i="2"/>
  <c r="EN112" i="2"/>
  <c r="EN110" i="2"/>
  <c r="EN107" i="2"/>
  <c r="EN104" i="2"/>
  <c r="EN99" i="2"/>
  <c r="EN96" i="2"/>
  <c r="EN113" i="2"/>
  <c r="EN105" i="2"/>
  <c r="EN101" i="2"/>
  <c r="EN97" i="2"/>
  <c r="EO115" i="2"/>
  <c r="EN109" i="2" l="1"/>
  <c r="EN108" i="2"/>
  <c r="EN102" i="2"/>
  <c r="EO116" i="2"/>
  <c r="EN141" i="2"/>
  <c r="EO141" i="2" s="1"/>
  <c r="EN100" i="2"/>
  <c r="EO117" i="2"/>
  <c r="AR90" i="1"/>
  <c r="AQ90" i="1"/>
  <c r="HE49" i="2" l="1" a="1"/>
  <c r="HE49" i="2" s="1"/>
  <c r="HD49" i="2" a="1"/>
  <c r="HD49" i="2" s="1"/>
  <c r="HE64" i="2" l="1"/>
  <c r="HE72" i="2"/>
  <c r="HE56" i="2"/>
  <c r="HE68" i="2"/>
  <c r="HE60" i="2"/>
  <c r="HE52" i="2"/>
  <c r="HE70" i="2"/>
  <c r="HE66" i="2"/>
  <c r="HE62" i="2"/>
  <c r="HE58" i="2"/>
  <c r="HE54" i="2"/>
  <c r="HE50" i="2"/>
  <c r="HE71" i="2"/>
  <c r="HE69" i="2"/>
  <c r="HE67" i="2"/>
  <c r="HE65" i="2"/>
  <c r="HE63" i="2"/>
  <c r="HF64" i="2" s="1"/>
  <c r="HE61" i="2"/>
  <c r="HE59" i="2"/>
  <c r="HE57" i="2"/>
  <c r="HE55" i="2"/>
  <c r="HE53" i="2"/>
  <c r="HE51" i="2"/>
  <c r="HD64" i="2"/>
  <c r="HD72" i="2"/>
  <c r="HD56" i="2"/>
  <c r="HD68" i="2"/>
  <c r="HD60" i="2"/>
  <c r="HD52" i="2"/>
  <c r="HD70" i="2"/>
  <c r="HD66" i="2"/>
  <c r="HD62" i="2"/>
  <c r="HD58" i="2"/>
  <c r="HD54" i="2"/>
  <c r="HD50" i="2"/>
  <c r="HD71" i="2"/>
  <c r="HD69" i="2"/>
  <c r="HD67" i="2"/>
  <c r="HD65" i="2"/>
  <c r="HD63" i="2"/>
  <c r="HD61" i="2"/>
  <c r="HD59" i="2"/>
  <c r="HD57" i="2"/>
  <c r="HD55" i="2"/>
  <c r="HD53" i="2"/>
  <c r="HD51" i="2"/>
  <c r="HF56" i="2" l="1"/>
  <c r="HF72" i="2"/>
  <c r="HF53" i="2"/>
  <c r="HF57" i="2"/>
  <c r="HF61" i="2"/>
  <c r="HF65" i="2"/>
  <c r="HF69" i="2"/>
  <c r="HF52" i="2"/>
  <c r="HF60" i="2"/>
  <c r="HF68" i="2"/>
  <c r="HF51" i="2"/>
  <c r="HF54" i="2"/>
  <c r="HF58" i="2"/>
  <c r="HF62" i="2"/>
  <c r="HF66" i="2"/>
  <c r="HF70" i="2"/>
  <c r="HF55" i="2"/>
  <c r="HF59" i="2"/>
  <c r="HF63" i="2"/>
  <c r="HF67" i="2"/>
  <c r="HF71" i="2"/>
  <c r="EF8" i="2" a="1"/>
  <c r="EF8" i="2" s="1"/>
  <c r="EE8" i="2" a="1"/>
  <c r="EE8" i="2" s="1"/>
  <c r="EB8" i="2" a="1"/>
  <c r="EB8" i="2" s="1"/>
  <c r="EE23" i="2" l="1"/>
  <c r="EE31" i="2"/>
  <c r="EE15" i="2"/>
  <c r="EB23" i="2"/>
  <c r="EB31" i="2"/>
  <c r="EB15" i="2"/>
  <c r="EE27" i="2"/>
  <c r="EE19" i="2"/>
  <c r="EE11" i="2"/>
  <c r="EF23" i="2"/>
  <c r="EE29" i="2"/>
  <c r="EE25" i="2"/>
  <c r="EE21" i="2"/>
  <c r="EE17" i="2"/>
  <c r="EE13" i="2"/>
  <c r="EE9" i="2"/>
  <c r="EF31" i="2"/>
  <c r="EF15" i="2"/>
  <c r="EB27" i="2"/>
  <c r="EB19" i="2"/>
  <c r="EB11" i="2"/>
  <c r="EF27" i="2"/>
  <c r="EF19" i="2"/>
  <c r="EF11" i="2"/>
  <c r="EB29" i="2"/>
  <c r="EB25" i="2"/>
  <c r="EB21" i="2"/>
  <c r="EB17" i="2"/>
  <c r="EB13" i="2"/>
  <c r="EB9" i="2"/>
  <c r="EF29" i="2"/>
  <c r="EF25" i="2"/>
  <c r="EF21" i="2"/>
  <c r="EF17" i="2"/>
  <c r="EF13" i="2"/>
  <c r="EF9" i="2"/>
  <c r="EE30" i="2"/>
  <c r="EE28" i="2"/>
  <c r="EE26" i="2"/>
  <c r="EE24" i="2"/>
  <c r="EE22" i="2"/>
  <c r="EE20" i="2"/>
  <c r="EE18" i="2"/>
  <c r="EE16" i="2"/>
  <c r="EE14" i="2"/>
  <c r="EE12" i="2"/>
  <c r="EE10" i="2"/>
  <c r="EB30" i="2"/>
  <c r="EB28" i="2"/>
  <c r="EB26" i="2"/>
  <c r="EB24" i="2"/>
  <c r="EB22" i="2"/>
  <c r="EB20" i="2"/>
  <c r="EB18" i="2"/>
  <c r="EB16" i="2"/>
  <c r="EB14" i="2"/>
  <c r="EB12" i="2"/>
  <c r="EB10" i="2"/>
  <c r="EF30" i="2"/>
  <c r="EF28" i="2"/>
  <c r="EF26" i="2"/>
  <c r="EF24" i="2"/>
  <c r="EF22" i="2"/>
  <c r="EF20" i="2"/>
  <c r="EF18" i="2"/>
  <c r="EF16" i="2"/>
  <c r="EF14" i="2"/>
  <c r="EF12" i="2"/>
  <c r="EF10" i="2"/>
  <c r="CV157" i="2" l="1"/>
  <c r="CV158" i="2"/>
  <c r="CV159" i="2"/>
  <c r="CV160" i="2"/>
  <c r="BY189" i="2" l="1"/>
  <c r="DA95" i="2" l="1" a="1"/>
  <c r="DA95" i="2" s="1"/>
  <c r="DA102" i="2" l="1"/>
  <c r="DA106" i="2"/>
  <c r="DA98" i="2"/>
  <c r="DA108" i="2"/>
  <c r="DA104" i="2"/>
  <c r="DA100" i="2"/>
  <c r="DA96" i="2"/>
  <c r="DA118" i="2"/>
  <c r="DA116" i="2"/>
  <c r="DA114" i="2"/>
  <c r="DA112" i="2"/>
  <c r="DA110" i="2"/>
  <c r="DA117" i="2"/>
  <c r="DA115" i="2"/>
  <c r="DA113" i="2"/>
  <c r="DA111" i="2"/>
  <c r="DA109" i="2"/>
  <c r="DA107" i="2"/>
  <c r="DA105" i="2"/>
  <c r="DA103" i="2"/>
  <c r="DA101" i="2"/>
  <c r="DA99" i="2"/>
  <c r="DA97" i="2"/>
  <c r="CM60" i="2" l="1" a="1"/>
  <c r="CM60" i="2" s="1"/>
  <c r="CM75" i="2" l="1"/>
  <c r="CM83" i="2"/>
  <c r="CM67" i="2"/>
  <c r="CM79" i="2"/>
  <c r="CM71" i="2"/>
  <c r="CM63" i="2"/>
  <c r="CM81" i="2"/>
  <c r="CM77" i="2"/>
  <c r="CM73" i="2"/>
  <c r="CM69" i="2"/>
  <c r="CM65" i="2"/>
  <c r="CM61" i="2"/>
  <c r="CM82" i="2"/>
  <c r="CM80" i="2"/>
  <c r="CM78" i="2"/>
  <c r="CM76" i="2"/>
  <c r="CM74" i="2"/>
  <c r="CM72" i="2"/>
  <c r="CM70" i="2"/>
  <c r="CM68" i="2"/>
  <c r="CM66" i="2"/>
  <c r="CM64" i="2"/>
  <c r="CM62" i="2"/>
  <c r="AO95" i="1"/>
  <c r="AP95" i="1"/>
  <c r="AQ95" i="1"/>
  <c r="AR95" i="1"/>
  <c r="AO97" i="1"/>
  <c r="AP97" i="1"/>
  <c r="AQ97" i="1"/>
  <c r="AQ94" i="1" s="1"/>
  <c r="AR97" i="1"/>
  <c r="AR94" i="1" s="1"/>
  <c r="AN97" i="1"/>
  <c r="W125" i="1" l="1"/>
  <c r="X125" i="1"/>
  <c r="Y125" i="1"/>
  <c r="W169" i="1"/>
  <c r="X169" i="1"/>
  <c r="Y169" i="1"/>
  <c r="V169" i="1"/>
  <c r="DA44" i="2" l="1"/>
  <c r="DA45" i="2"/>
  <c r="DA46" i="2"/>
  <c r="DA47" i="2"/>
  <c r="DA48" i="2"/>
  <c r="BY190" i="2" l="1"/>
  <c r="BZ147" i="2"/>
  <c r="BZ148" i="2"/>
  <c r="BZ149" i="2"/>
  <c r="BZ146" i="2"/>
  <c r="BZ122" i="2"/>
  <c r="BZ123" i="2"/>
  <c r="BZ124" i="2"/>
  <c r="BZ125" i="2"/>
  <c r="BZ126" i="2"/>
  <c r="BZ127" i="2"/>
  <c r="BZ128" i="2"/>
  <c r="BZ129" i="2"/>
  <c r="BZ130" i="2"/>
  <c r="BZ131" i="2"/>
  <c r="BZ132" i="2"/>
  <c r="BZ133" i="2"/>
  <c r="BZ134" i="2"/>
  <c r="BZ135" i="2"/>
  <c r="BZ136" i="2"/>
  <c r="BZ137" i="2"/>
  <c r="BZ138" i="2"/>
  <c r="BZ139" i="2"/>
  <c r="BZ140" i="2"/>
  <c r="BZ141" i="2"/>
  <c r="BZ142" i="2"/>
  <c r="BZ143" i="2"/>
  <c r="BZ144" i="2"/>
  <c r="BZ145" i="2"/>
  <c r="BZ121" i="2"/>
  <c r="BZ120" i="2"/>
  <c r="BH195" i="2"/>
  <c r="BY195" i="2" s="1"/>
  <c r="BH196" i="2"/>
  <c r="BY196" i="2" s="1"/>
  <c r="BH202" i="2"/>
  <c r="BY202" i="2" s="1"/>
  <c r="BH201" i="2" l="1"/>
  <c r="BY201" i="2" s="1"/>
  <c r="BF165" i="2" a="1"/>
  <c r="BF165" i="2" s="1"/>
  <c r="AD116" i="1"/>
  <c r="AE116" i="1"/>
  <c r="AF116" i="1"/>
  <c r="AG116" i="1"/>
  <c r="AH116" i="1"/>
  <c r="AI116" i="1"/>
  <c r="AJ116" i="1"/>
  <c r="AK116" i="1"/>
  <c r="AL116" i="1"/>
  <c r="AM116" i="1"/>
  <c r="AN116" i="1"/>
  <c r="AO116" i="1"/>
  <c r="AP116" i="1"/>
  <c r="AQ116" i="1"/>
  <c r="AR116" i="1"/>
  <c r="W116" i="1"/>
  <c r="X116" i="1"/>
  <c r="Y116" i="1"/>
  <c r="Z116" i="1"/>
  <c r="AA116" i="1"/>
  <c r="AB116" i="1"/>
  <c r="AC116" i="1"/>
  <c r="V116" i="1"/>
  <c r="U116" i="1"/>
  <c r="U169" i="1"/>
  <c r="BF188" i="2" l="1"/>
  <c r="BF184" i="2"/>
  <c r="BF180" i="2"/>
  <c r="BF176" i="2"/>
  <c r="BF172" i="2"/>
  <c r="BF168" i="2"/>
  <c r="BF186" i="2"/>
  <c r="BF182" i="2"/>
  <c r="BF178" i="2"/>
  <c r="BF174" i="2"/>
  <c r="BF170" i="2"/>
  <c r="BF166" i="2"/>
  <c r="BF187" i="2"/>
  <c r="BF185" i="2"/>
  <c r="BF183" i="2"/>
  <c r="BF181" i="2"/>
  <c r="BF179" i="2"/>
  <c r="BF177" i="2"/>
  <c r="BF175" i="2"/>
  <c r="BF173" i="2"/>
  <c r="BF171" i="2"/>
  <c r="BF169" i="2"/>
  <c r="BF167" i="2"/>
  <c r="BF150" i="2"/>
  <c r="BH155" i="2"/>
  <c r="BH156" i="2" s="1"/>
  <c r="BH157" i="2" s="1"/>
  <c r="BH158" i="2" s="1"/>
  <c r="BH159" i="2" s="1"/>
  <c r="BH160" i="2" s="1"/>
  <c r="BF145" i="2"/>
  <c r="BF144" i="2"/>
  <c r="BF151" i="2" l="1"/>
  <c r="BZ150" i="2"/>
  <c r="AQ91" i="2"/>
  <c r="BF152" i="2" l="1"/>
  <c r="BZ151" i="2"/>
  <c r="W59" i="1"/>
  <c r="X59" i="1"/>
  <c r="Y59" i="1"/>
  <c r="Z59" i="1"/>
  <c r="AA59" i="1"/>
  <c r="AB59" i="1"/>
  <c r="V59" i="1"/>
  <c r="U59" i="1"/>
  <c r="AN59" i="1"/>
  <c r="BF153" i="2" l="1"/>
  <c r="BZ152" i="2"/>
  <c r="AQ80" i="2"/>
  <c r="AQ81" i="2"/>
  <c r="BF154" i="2" l="1"/>
  <c r="BZ153" i="2"/>
  <c r="AM66" i="2"/>
  <c r="AQ79" i="2"/>
  <c r="AQ78" i="2"/>
  <c r="BF155" i="2" l="1"/>
  <c r="BZ154" i="2"/>
  <c r="AQ75" i="2"/>
  <c r="BF156" i="2" l="1"/>
  <c r="BZ155" i="2"/>
  <c r="BE12" i="2" a="1"/>
  <c r="BE12" i="2" s="1"/>
  <c r="BF12" i="2" s="1"/>
  <c r="BF157" i="2" l="1"/>
  <c r="BZ156" i="2"/>
  <c r="BE35" i="2"/>
  <c r="BE33" i="2"/>
  <c r="BE31" i="2"/>
  <c r="BE29" i="2"/>
  <c r="BE27" i="2"/>
  <c r="BE25" i="2"/>
  <c r="BE23" i="2"/>
  <c r="BE21" i="2"/>
  <c r="BE19" i="2"/>
  <c r="BE17" i="2"/>
  <c r="BE15" i="2"/>
  <c r="BE13" i="2"/>
  <c r="BE34" i="2"/>
  <c r="BE32" i="2"/>
  <c r="BE30" i="2"/>
  <c r="BE28" i="2"/>
  <c r="BE26" i="2"/>
  <c r="BE24" i="2"/>
  <c r="BE22" i="2"/>
  <c r="BE20" i="2"/>
  <c r="BE18" i="2"/>
  <c r="BE16" i="2"/>
  <c r="BE14" i="2"/>
  <c r="AQ71" i="2"/>
  <c r="P70" i="2"/>
  <c r="AQ64" i="2"/>
  <c r="AQ68" i="2"/>
  <c r="AQ69" i="2"/>
  <c r="P63" i="2"/>
  <c r="BF158" i="2" l="1"/>
  <c r="BZ157" i="2"/>
  <c r="Q76" i="2"/>
  <c r="R76" i="2"/>
  <c r="S76" i="2"/>
  <c r="T76" i="2"/>
  <c r="U76" i="2"/>
  <c r="V76" i="2"/>
  <c r="W76" i="2"/>
  <c r="X76" i="2"/>
  <c r="Y76" i="2"/>
  <c r="Z76" i="2"/>
  <c r="AA76" i="2"/>
  <c r="AB76" i="2"/>
  <c r="AC76" i="2"/>
  <c r="AD76" i="2"/>
  <c r="AE76" i="2"/>
  <c r="AF76" i="2"/>
  <c r="AG76" i="2"/>
  <c r="AH76" i="2"/>
  <c r="AI76" i="2"/>
  <c r="AJ76" i="2"/>
  <c r="AK76" i="2"/>
  <c r="AL76" i="2"/>
  <c r="AM76" i="2"/>
  <c r="P76" i="2"/>
  <c r="AL63" i="2"/>
  <c r="AM63" i="2"/>
  <c r="AL66" i="2"/>
  <c r="AL59" i="2"/>
  <c r="AM59" i="2"/>
  <c r="AL58" i="2"/>
  <c r="AM58" i="2"/>
  <c r="BF159" i="2" l="1"/>
  <c r="BZ158" i="2"/>
  <c r="AL56" i="2"/>
  <c r="AM56" i="2"/>
  <c r="AL51" i="2"/>
  <c r="AM51" i="2"/>
  <c r="AL50" i="2"/>
  <c r="AM50" i="2"/>
  <c r="AL46" i="2"/>
  <c r="AM46" i="2"/>
  <c r="AL45" i="2"/>
  <c r="AM45" i="2"/>
  <c r="R41" i="2"/>
  <c r="S41" i="2"/>
  <c r="T41" i="2"/>
  <c r="U41" i="2"/>
  <c r="V41" i="2"/>
  <c r="W41" i="2"/>
  <c r="X41" i="2"/>
  <c r="Y41" i="2"/>
  <c r="Z41" i="2"/>
  <c r="AA41" i="2"/>
  <c r="AB41" i="2"/>
  <c r="AC41" i="2"/>
  <c r="AD41" i="2"/>
  <c r="AE41" i="2"/>
  <c r="AF41" i="2"/>
  <c r="AG41" i="2"/>
  <c r="AH41" i="2"/>
  <c r="AI41" i="2"/>
  <c r="AJ41" i="2"/>
  <c r="AK41" i="2"/>
  <c r="AL41" i="2"/>
  <c r="AM41" i="2"/>
  <c r="Q41" i="2"/>
  <c r="Q42" i="2" s="1"/>
  <c r="R42" i="2" s="1"/>
  <c r="R40" i="2"/>
  <c r="S40" i="2"/>
  <c r="T40" i="2"/>
  <c r="U40" i="2"/>
  <c r="V40" i="2"/>
  <c r="W40" i="2"/>
  <c r="X40" i="2"/>
  <c r="Y40" i="2"/>
  <c r="Z40" i="2"/>
  <c r="AA40" i="2"/>
  <c r="AB40" i="2"/>
  <c r="AC40" i="2"/>
  <c r="AD40" i="2"/>
  <c r="AE40" i="2"/>
  <c r="AF40" i="2"/>
  <c r="AG40" i="2"/>
  <c r="AH40" i="2"/>
  <c r="AI40" i="2"/>
  <c r="AJ40" i="2"/>
  <c r="AK40" i="2"/>
  <c r="AL40" i="2"/>
  <c r="AM40" i="2"/>
  <c r="Q40" i="2"/>
  <c r="P40" i="2"/>
  <c r="BF160" i="2" l="1"/>
  <c r="BZ160" i="2" s="1"/>
  <c r="BZ159" i="2"/>
  <c r="AM55" i="2"/>
  <c r="AM57" i="2" s="1"/>
  <c r="S42" i="2"/>
  <c r="T42" i="2" s="1"/>
  <c r="U42" i="2" s="1"/>
  <c r="V42" i="2" s="1"/>
  <c r="W42" i="2" s="1"/>
  <c r="X42" i="2" s="1"/>
  <c r="Y42" i="2" s="1"/>
  <c r="Z42" i="2" s="1"/>
  <c r="AA42" i="2" s="1"/>
  <c r="AB42" i="2" s="1"/>
  <c r="AC42" i="2" s="1"/>
  <c r="AD42" i="2" s="1"/>
  <c r="AE42" i="2" s="1"/>
  <c r="AF42" i="2" s="1"/>
  <c r="AG42" i="2" s="1"/>
  <c r="AH42" i="2" s="1"/>
  <c r="AI42" i="2" s="1"/>
  <c r="AJ42" i="2" s="1"/>
  <c r="AK42" i="2" s="1"/>
  <c r="AL42" i="2" s="1"/>
  <c r="AM42" i="2" s="1"/>
  <c r="AL55" i="2"/>
  <c r="AL57" i="2" s="1"/>
  <c r="P44" i="2"/>
  <c r="AL36" i="2"/>
  <c r="AM36" i="2"/>
  <c r="S44" i="2" l="1"/>
  <c r="R110" i="3" s="1"/>
  <c r="R186" i="3" s="1"/>
  <c r="U44" i="2"/>
  <c r="T110" i="3" s="1"/>
  <c r="T186" i="3" s="1"/>
  <c r="W44" i="2"/>
  <c r="V110" i="3" s="1"/>
  <c r="V186" i="3" s="1"/>
  <c r="Y44" i="2"/>
  <c r="X110" i="3" s="1"/>
  <c r="X186" i="3" s="1"/>
  <c r="AA44" i="2"/>
  <c r="Z110" i="3" s="1"/>
  <c r="Z186" i="3" s="1"/>
  <c r="AC44" i="2"/>
  <c r="AB110" i="3" s="1"/>
  <c r="AB186" i="3" s="1"/>
  <c r="AE44" i="2"/>
  <c r="AD110" i="3" s="1"/>
  <c r="AD186" i="3" s="1"/>
  <c r="AG44" i="2"/>
  <c r="AF110" i="3" s="1"/>
  <c r="AF186" i="3" s="1"/>
  <c r="AI44" i="2"/>
  <c r="AH110" i="3" s="1"/>
  <c r="AH186" i="3" s="1"/>
  <c r="AK44" i="2"/>
  <c r="AJ110" i="3" s="1"/>
  <c r="AJ186" i="3" s="1"/>
  <c r="AM44" i="2"/>
  <c r="AL110" i="3" s="1"/>
  <c r="AL186" i="3" s="1"/>
  <c r="R44" i="2"/>
  <c r="Q110" i="3" s="1"/>
  <c r="Q186" i="3" s="1"/>
  <c r="T44" i="2"/>
  <c r="S110" i="3" s="1"/>
  <c r="S186" i="3" s="1"/>
  <c r="V44" i="2"/>
  <c r="U110" i="3" s="1"/>
  <c r="U186" i="3" s="1"/>
  <c r="X44" i="2"/>
  <c r="W110" i="3" s="1"/>
  <c r="W186" i="3" s="1"/>
  <c r="Z44" i="2"/>
  <c r="Y110" i="3" s="1"/>
  <c r="Y186" i="3" s="1"/>
  <c r="AB44" i="2"/>
  <c r="AA110" i="3" s="1"/>
  <c r="AA186" i="3" s="1"/>
  <c r="AD44" i="2"/>
  <c r="AC110" i="3" s="1"/>
  <c r="AC186" i="3" s="1"/>
  <c r="AF44" i="2"/>
  <c r="AE110" i="3" s="1"/>
  <c r="AE186" i="3" s="1"/>
  <c r="AH44" i="2"/>
  <c r="AG110" i="3" s="1"/>
  <c r="AG186" i="3" s="1"/>
  <c r="AJ44" i="2"/>
  <c r="AI110" i="3" s="1"/>
  <c r="AI186" i="3" s="1"/>
  <c r="AL44" i="2"/>
  <c r="AK110" i="3" s="1"/>
  <c r="AK186" i="3" s="1"/>
  <c r="Q44" i="2"/>
  <c r="P110" i="3" s="1"/>
  <c r="P186" i="3" s="1"/>
  <c r="DM92" i="1" s="1" a="1"/>
  <c r="AL35" i="2"/>
  <c r="AM35" i="2"/>
  <c r="AL30" i="2"/>
  <c r="AM30" i="2"/>
  <c r="AL16" i="2"/>
  <c r="AM16" i="2"/>
  <c r="AL15" i="2"/>
  <c r="AL78" i="2" s="1"/>
  <c r="AM15" i="2"/>
  <c r="AM78" i="2" s="1"/>
  <c r="AL11" i="2"/>
  <c r="AL26" i="2" s="1"/>
  <c r="AM11" i="2"/>
  <c r="AM26" i="2" s="1"/>
  <c r="AL10" i="2"/>
  <c r="AM10" i="2"/>
  <c r="DM92" i="1" l="1"/>
  <c r="DM107" i="1"/>
  <c r="DM99" i="1"/>
  <c r="DM103" i="1"/>
  <c r="DM113" i="1"/>
  <c r="DM105" i="1"/>
  <c r="DM97" i="1"/>
  <c r="DM114" i="1"/>
  <c r="DM110" i="1"/>
  <c r="DM106" i="1"/>
  <c r="DM102" i="1"/>
  <c r="DM98" i="1"/>
  <c r="DM94" i="1"/>
  <c r="DM115" i="1"/>
  <c r="DN115" i="1" s="1"/>
  <c r="DM111" i="1"/>
  <c r="DM95" i="1"/>
  <c r="DM109" i="1"/>
  <c r="DM101" i="1"/>
  <c r="DM93" i="1"/>
  <c r="DM112" i="1"/>
  <c r="DM108" i="1"/>
  <c r="DM104" i="1"/>
  <c r="DM100" i="1"/>
  <c r="DM96" i="1"/>
  <c r="Q43" i="2"/>
  <c r="AM86" i="2"/>
  <c r="AM65" i="2"/>
  <c r="AM67" i="2" s="1"/>
  <c r="AL86" i="2"/>
  <c r="AL65" i="2"/>
  <c r="AL67" i="2" s="1"/>
  <c r="R43" i="2"/>
  <c r="AQ148" i="1"/>
  <c r="AR148" i="1"/>
  <c r="AQ147" i="1"/>
  <c r="AR147" i="1"/>
  <c r="AQ204" i="1"/>
  <c r="AR204" i="1"/>
  <c r="AQ130" i="1"/>
  <c r="AR130" i="1"/>
  <c r="S43" i="2" l="1"/>
  <c r="BO87" i="1"/>
  <c r="T43" i="2" l="1"/>
  <c r="AQ209" i="1"/>
  <c r="AR209" i="1"/>
  <c r="AL210" i="1"/>
  <c r="AF164" i="3" s="1"/>
  <c r="AM210" i="1"/>
  <c r="AG164" i="3" s="1"/>
  <c r="AN210" i="1"/>
  <c r="AH164" i="3" s="1"/>
  <c r="AK210" i="1"/>
  <c r="AE164" i="3" s="1"/>
  <c r="U43" i="2" l="1"/>
  <c r="V43" i="2" l="1"/>
  <c r="AQ110" i="1"/>
  <c r="AR110" i="1"/>
  <c r="W43" i="2" l="1"/>
  <c r="AQ105" i="1"/>
  <c r="AR105" i="1"/>
  <c r="AQ100" i="1"/>
  <c r="AK153" i="3" s="1"/>
  <c r="AR100" i="1"/>
  <c r="AL153" i="3" s="1"/>
  <c r="AR125" i="1" l="1"/>
  <c r="AR169" i="1"/>
  <c r="AR104" i="1"/>
  <c r="AQ125" i="1"/>
  <c r="AQ169" i="1"/>
  <c r="AQ104" i="1"/>
  <c r="X43" i="2"/>
  <c r="AV70" i="1"/>
  <c r="AV72" i="1"/>
  <c r="AV73" i="1"/>
  <c r="AV74" i="1"/>
  <c r="AV75" i="1"/>
  <c r="AV76" i="1"/>
  <c r="AV71" i="1"/>
  <c r="AV78" i="1"/>
  <c r="AV79" i="1"/>
  <c r="AV80" i="1"/>
  <c r="AV81" i="1"/>
  <c r="AV82" i="1"/>
  <c r="AV83" i="1"/>
  <c r="AV84" i="1"/>
  <c r="AV85" i="1"/>
  <c r="AV86" i="1"/>
  <c r="AV87" i="1"/>
  <c r="AV88" i="1"/>
  <c r="AV89" i="1"/>
  <c r="AV90" i="1"/>
  <c r="AV91" i="1"/>
  <c r="AV92" i="1"/>
  <c r="AV93" i="1"/>
  <c r="AV94" i="1"/>
  <c r="AV95" i="1"/>
  <c r="AV96" i="1"/>
  <c r="AV97" i="1"/>
  <c r="AV98" i="1"/>
  <c r="AV99" i="1"/>
  <c r="AV100" i="1"/>
  <c r="AV101" i="1"/>
  <c r="AV102" i="1"/>
  <c r="AV103" i="1"/>
  <c r="AV104" i="1"/>
  <c r="AV105" i="1"/>
  <c r="AV106" i="1"/>
  <c r="AV107" i="1"/>
  <c r="AV108" i="1"/>
  <c r="AV109" i="1"/>
  <c r="AV110" i="1"/>
  <c r="AV111" i="1"/>
  <c r="AV112" i="1"/>
  <c r="AV113" i="1"/>
  <c r="AV114" i="1"/>
  <c r="AV115" i="1"/>
  <c r="AV116" i="1"/>
  <c r="AV117" i="1"/>
  <c r="AV118" i="1"/>
  <c r="AV119" i="1"/>
  <c r="AV120" i="1"/>
  <c r="AV121" i="1"/>
  <c r="AV122" i="1"/>
  <c r="AV123" i="1"/>
  <c r="AV124" i="1"/>
  <c r="AV125" i="1"/>
  <c r="AV126" i="1"/>
  <c r="AV127" i="1"/>
  <c r="AV128" i="1"/>
  <c r="AV129" i="1"/>
  <c r="AV130" i="1"/>
  <c r="AV131" i="1"/>
  <c r="AV132" i="1"/>
  <c r="AV133" i="1"/>
  <c r="AV134" i="1"/>
  <c r="AV135" i="1"/>
  <c r="AV136" i="1"/>
  <c r="AV137" i="1"/>
  <c r="AV138" i="1"/>
  <c r="AV139" i="1"/>
  <c r="AV140" i="1"/>
  <c r="AV141" i="1"/>
  <c r="AV142" i="1"/>
  <c r="AV143" i="1"/>
  <c r="AV144" i="1"/>
  <c r="AV145" i="1"/>
  <c r="AV146" i="1"/>
  <c r="AV147" i="1"/>
  <c r="AV148" i="1"/>
  <c r="AV149" i="1"/>
  <c r="AV150" i="1"/>
  <c r="AV151" i="1"/>
  <c r="AV152" i="1"/>
  <c r="AV153" i="1"/>
  <c r="AV154" i="1"/>
  <c r="AV155" i="1"/>
  <c r="AV156" i="1"/>
  <c r="AV157" i="1"/>
  <c r="AV158" i="1"/>
  <c r="AV159" i="1"/>
  <c r="AV161" i="1"/>
  <c r="AV162" i="1"/>
  <c r="AV163" i="1"/>
  <c r="AV164" i="1"/>
  <c r="AV165" i="1"/>
  <c r="AV166" i="1"/>
  <c r="AV167" i="1"/>
  <c r="AV168" i="1"/>
  <c r="AV169" i="1"/>
  <c r="AV170" i="1"/>
  <c r="AV171" i="1"/>
  <c r="AV172" i="1"/>
  <c r="AV173" i="1"/>
  <c r="AV174" i="1"/>
  <c r="AV175" i="1"/>
  <c r="AV176" i="1"/>
  <c r="AV177" i="1"/>
  <c r="AV178" i="1"/>
  <c r="AV179" i="1"/>
  <c r="AV180" i="1"/>
  <c r="AV181" i="1"/>
  <c r="AV182" i="1"/>
  <c r="AV183" i="1"/>
  <c r="AV184" i="1"/>
  <c r="AV185" i="1"/>
  <c r="AV186" i="1"/>
  <c r="AV187" i="1"/>
  <c r="AV188" i="1"/>
  <c r="AV189" i="1"/>
  <c r="AV190" i="1"/>
  <c r="AV191" i="1"/>
  <c r="AV192" i="1"/>
  <c r="AV193" i="1"/>
  <c r="AV194" i="1"/>
  <c r="AV195" i="1"/>
  <c r="AV196" i="1"/>
  <c r="AV197" i="1"/>
  <c r="AV198" i="1"/>
  <c r="AV199" i="1"/>
  <c r="AV200" i="1"/>
  <c r="AV201" i="1"/>
  <c r="AV202" i="1"/>
  <c r="AV203" i="1"/>
  <c r="AV204" i="1"/>
  <c r="AV205" i="1"/>
  <c r="AV206" i="1"/>
  <c r="AV207" i="1"/>
  <c r="AV208" i="1"/>
  <c r="AV209" i="1"/>
  <c r="AV210" i="1"/>
  <c r="Y43" i="2" l="1"/>
  <c r="AQ66" i="1"/>
  <c r="AR66" i="1"/>
  <c r="AQ63" i="1"/>
  <c r="AQ68" i="1" s="1"/>
  <c r="AR63" i="1"/>
  <c r="AR68" i="1" s="1"/>
  <c r="AQ59" i="1"/>
  <c r="AR59" i="1"/>
  <c r="AQ55" i="1"/>
  <c r="AR55" i="1"/>
  <c r="AR57" i="1" l="1"/>
  <c r="AL143" i="3" s="1"/>
  <c r="AM20" i="2"/>
  <c r="AM25" i="2" s="1"/>
  <c r="AR168" i="1"/>
  <c r="AR124" i="1"/>
  <c r="AQ57" i="1"/>
  <c r="AK143" i="3" s="1"/>
  <c r="AL20" i="2"/>
  <c r="AL25" i="2" s="1"/>
  <c r="AQ168" i="1"/>
  <c r="AQ124" i="1"/>
  <c r="Z43" i="2"/>
  <c r="AV211" i="1"/>
  <c r="AV53" i="1"/>
  <c r="AV54" i="1"/>
  <c r="AV55" i="1"/>
  <c r="AV56" i="1"/>
  <c r="AV57" i="1"/>
  <c r="AV58" i="1"/>
  <c r="AV59" i="1"/>
  <c r="AV60" i="1"/>
  <c r="AV61" i="1"/>
  <c r="AV62" i="1"/>
  <c r="AV63" i="1"/>
  <c r="AV64" i="1"/>
  <c r="AV65" i="1"/>
  <c r="AV66" i="1"/>
  <c r="AV67" i="1"/>
  <c r="AV68" i="1"/>
  <c r="AV69" i="1"/>
  <c r="AV52" i="1"/>
  <c r="AL100" i="2" l="1"/>
  <c r="AK139" i="3"/>
  <c r="AM100" i="2"/>
  <c r="AL139" i="3"/>
  <c r="AA43" i="2"/>
  <c r="AB43" i="2" l="1"/>
  <c r="AC43" i="2" l="1"/>
  <c r="AD43" i="2" l="1"/>
  <c r="AE43" i="2" l="1"/>
  <c r="AF43" i="2" l="1"/>
  <c r="AG43" i="2" l="1"/>
  <c r="AH43" i="2" l="1"/>
  <c r="EK9" i="1"/>
  <c r="EJ9" i="1" s="1"/>
  <c r="AI43" i="2" l="1"/>
  <c r="AJ43" i="2" l="1"/>
  <c r="AK43" i="2" l="1"/>
  <c r="CR318" i="1"/>
  <c r="CR319" i="1"/>
  <c r="CR320" i="1"/>
  <c r="CR321" i="1"/>
  <c r="CR322" i="1"/>
  <c r="CR323" i="1"/>
  <c r="CR324" i="1"/>
  <c r="CR325" i="1"/>
  <c r="CR326" i="1"/>
  <c r="CR327" i="1"/>
  <c r="CR328" i="1"/>
  <c r="CR329" i="1"/>
  <c r="CR330" i="1"/>
  <c r="CR331" i="1"/>
  <c r="CR332" i="1"/>
  <c r="CR333" i="1"/>
  <c r="CR334" i="1"/>
  <c r="CR335" i="1"/>
  <c r="CR336" i="1"/>
  <c r="CR337" i="1"/>
  <c r="CR338" i="1"/>
  <c r="CR339" i="1"/>
  <c r="CR340" i="1"/>
  <c r="CR317" i="1"/>
  <c r="CR316" i="1"/>
  <c r="AL43" i="2" l="1"/>
  <c r="AM43" i="2" l="1"/>
  <c r="CU9" i="1" a="1"/>
  <c r="CU9" i="1" s="1"/>
  <c r="CW9" i="1" s="1"/>
  <c r="CU24" i="1" l="1"/>
  <c r="CW24" i="1" s="1"/>
  <c r="CU32" i="1"/>
  <c r="CX32" i="1" s="1"/>
  <c r="CU16" i="1"/>
  <c r="CW16" i="1" s="1"/>
  <c r="CU28" i="1"/>
  <c r="CW28" i="1" s="1"/>
  <c r="CU20" i="1"/>
  <c r="CW20" i="1" s="1"/>
  <c r="CU12" i="1"/>
  <c r="CW12" i="1" s="1"/>
  <c r="CU30" i="1"/>
  <c r="CX30" i="1" s="1"/>
  <c r="CU26" i="1"/>
  <c r="CW26" i="1" s="1"/>
  <c r="CU22" i="1"/>
  <c r="CW22" i="1" s="1"/>
  <c r="CU18" i="1"/>
  <c r="CW18" i="1" s="1"/>
  <c r="CU14" i="1"/>
  <c r="CW14" i="1" s="1"/>
  <c r="CU10" i="1"/>
  <c r="CW10" i="1" s="1"/>
  <c r="CU31" i="1"/>
  <c r="CX31" i="1" s="1"/>
  <c r="CU29" i="1"/>
  <c r="CW29" i="1" s="1"/>
  <c r="CU27" i="1"/>
  <c r="CW27" i="1" s="1"/>
  <c r="CU25" i="1"/>
  <c r="CW25" i="1" s="1"/>
  <c r="CU23" i="1"/>
  <c r="CW23" i="1" s="1"/>
  <c r="CU21" i="1"/>
  <c r="CW21" i="1" s="1"/>
  <c r="CU19" i="1"/>
  <c r="CW19" i="1" s="1"/>
  <c r="CU17" i="1"/>
  <c r="CW17" i="1" s="1"/>
  <c r="CU15" i="1"/>
  <c r="CW15" i="1" s="1"/>
  <c r="CU13" i="1"/>
  <c r="CW13" i="1" s="1"/>
  <c r="CU11" i="1"/>
  <c r="CW11" i="1" s="1"/>
  <c r="CW229" i="1" l="1"/>
  <c r="CC481" i="4" l="1"/>
  <c r="CV161" i="2" l="1"/>
  <c r="CV162" i="2"/>
  <c r="CV171" i="2" l="1"/>
  <c r="CV163" i="2"/>
  <c r="CV172" i="2" l="1"/>
  <c r="CV164" i="2"/>
  <c r="CV173" i="2" l="1"/>
  <c r="CV165" i="2"/>
  <c r="CV174" i="2" l="1"/>
  <c r="CV166" i="2"/>
  <c r="CV176" i="2" l="1"/>
  <c r="CV175" i="2"/>
  <c r="CV167" i="2"/>
  <c r="CW276" i="1"/>
  <c r="CV168" i="2" l="1"/>
  <c r="CV169" i="2" l="1"/>
  <c r="CV170" i="2" l="1"/>
  <c r="FB354" i="1" l="1"/>
  <c r="CX264" i="1" l="1"/>
  <c r="FB128" i="1"/>
  <c r="FH262" i="1"/>
  <c r="FB355" i="1"/>
  <c r="DD899" i="1" a="1"/>
  <c r="DD900" i="1" s="1"/>
  <c r="DD919" i="1" l="1"/>
  <c r="DD911" i="1"/>
  <c r="DD907" i="1"/>
  <c r="DD903" i="1"/>
  <c r="DD899" i="1"/>
  <c r="DD905" i="1"/>
  <c r="DD915" i="1"/>
  <c r="DD918" i="1"/>
  <c r="DD914" i="1"/>
  <c r="DD910" i="1"/>
  <c r="DD906" i="1"/>
  <c r="DD902" i="1"/>
  <c r="DD917" i="1"/>
  <c r="DD913" i="1"/>
  <c r="DD909" i="1"/>
  <c r="DD901" i="1"/>
  <c r="DD920" i="1"/>
  <c r="DD916" i="1"/>
  <c r="DD912" i="1"/>
  <c r="DD908" i="1"/>
  <c r="DD904" i="1"/>
  <c r="FH263" i="1"/>
  <c r="FB129" i="1"/>
  <c r="FB356" i="1"/>
  <c r="FB344" i="1"/>
  <c r="FB118" i="1" l="1"/>
  <c r="FH252" i="1"/>
  <c r="CX254" i="1"/>
  <c r="FB130" i="1"/>
  <c r="FH264" i="1"/>
  <c r="FB357" i="1"/>
  <c r="BD148" i="8"/>
  <c r="BE148" i="8"/>
  <c r="BF148" i="8"/>
  <c r="BG148" i="8"/>
  <c r="BH148" i="8"/>
  <c r="BI148" i="8"/>
  <c r="BJ148" i="8"/>
  <c r="BK148" i="8"/>
  <c r="BL148" i="8"/>
  <c r="BM148" i="8"/>
  <c r="BN148" i="8"/>
  <c r="BD149" i="8"/>
  <c r="BE149" i="8"/>
  <c r="BF149" i="8"/>
  <c r="BG149" i="8"/>
  <c r="BH149" i="8"/>
  <c r="BI149" i="8"/>
  <c r="BJ149" i="8"/>
  <c r="BK149" i="8"/>
  <c r="BL149" i="8"/>
  <c r="BM149" i="8"/>
  <c r="BN149" i="8"/>
  <c r="BD150" i="8"/>
  <c r="BE150" i="8"/>
  <c r="BF150" i="8"/>
  <c r="BG150" i="8"/>
  <c r="BH150" i="8"/>
  <c r="BI150" i="8"/>
  <c r="BJ150" i="8"/>
  <c r="BK150" i="8"/>
  <c r="BL150" i="8"/>
  <c r="BM150" i="8"/>
  <c r="BN150" i="8"/>
  <c r="BD151" i="8"/>
  <c r="BE151" i="8"/>
  <c r="BF151" i="8"/>
  <c r="BG151" i="8"/>
  <c r="BH151" i="8"/>
  <c r="BI151" i="8"/>
  <c r="BJ151" i="8"/>
  <c r="BK151" i="8"/>
  <c r="BL151" i="8"/>
  <c r="BM151" i="8"/>
  <c r="BN151" i="8"/>
  <c r="BD152" i="8"/>
  <c r="BE152" i="8"/>
  <c r="BF152" i="8"/>
  <c r="BG152" i="8"/>
  <c r="BH152" i="8"/>
  <c r="BI152" i="8"/>
  <c r="BJ152" i="8"/>
  <c r="BK152" i="8"/>
  <c r="BL152" i="8"/>
  <c r="BM152" i="8"/>
  <c r="BN152" i="8"/>
  <c r="BD153" i="8"/>
  <c r="BE153" i="8"/>
  <c r="BF153" i="8"/>
  <c r="BG153" i="8"/>
  <c r="BH153" i="8"/>
  <c r="BI153" i="8"/>
  <c r="BJ153" i="8"/>
  <c r="BK153" i="8"/>
  <c r="BL153" i="8"/>
  <c r="BM153" i="8"/>
  <c r="BN153" i="8"/>
  <c r="BD154" i="8"/>
  <c r="BE154" i="8"/>
  <c r="BF154" i="8"/>
  <c r="BG154" i="8"/>
  <c r="BH154" i="8"/>
  <c r="BI154" i="8"/>
  <c r="BJ154" i="8"/>
  <c r="BK154" i="8"/>
  <c r="BL154" i="8"/>
  <c r="BM154" i="8"/>
  <c r="BN154" i="8"/>
  <c r="BD155" i="8"/>
  <c r="BE155" i="8"/>
  <c r="BF155" i="8"/>
  <c r="BG155" i="8"/>
  <c r="BH155" i="8"/>
  <c r="BI155" i="8"/>
  <c r="BJ155" i="8"/>
  <c r="BK155" i="8"/>
  <c r="BL155" i="8"/>
  <c r="BM155" i="8"/>
  <c r="BN155" i="8"/>
  <c r="BD156" i="8"/>
  <c r="BE156" i="8"/>
  <c r="BF156" i="8"/>
  <c r="BG156" i="8"/>
  <c r="BH156" i="8"/>
  <c r="BI156" i="8"/>
  <c r="BJ156" i="8"/>
  <c r="BK156" i="8"/>
  <c r="BL156" i="8"/>
  <c r="BM156" i="8"/>
  <c r="BN156" i="8"/>
  <c r="BD157" i="8"/>
  <c r="BE157" i="8"/>
  <c r="BF157" i="8"/>
  <c r="BG157" i="8"/>
  <c r="BH157" i="8"/>
  <c r="BI157" i="8"/>
  <c r="BJ157" i="8"/>
  <c r="BK157" i="8"/>
  <c r="BL157" i="8"/>
  <c r="BM157" i="8"/>
  <c r="BN157" i="8"/>
  <c r="BD158" i="8"/>
  <c r="BE158" i="8"/>
  <c r="BF158" i="8"/>
  <c r="BG158" i="8"/>
  <c r="BH158" i="8"/>
  <c r="BI158" i="8"/>
  <c r="BJ158" i="8"/>
  <c r="BK158" i="8"/>
  <c r="BL158" i="8"/>
  <c r="BM158" i="8"/>
  <c r="BN158" i="8"/>
  <c r="BD159" i="8"/>
  <c r="BE159" i="8"/>
  <c r="BF159" i="8"/>
  <c r="BG159" i="8"/>
  <c r="BH159" i="8"/>
  <c r="BI159" i="8"/>
  <c r="BJ159" i="8"/>
  <c r="BK159" i="8"/>
  <c r="BL159" i="8"/>
  <c r="BM159" i="8"/>
  <c r="BN159" i="8"/>
  <c r="BD160" i="8"/>
  <c r="BE160" i="8"/>
  <c r="BF160" i="8"/>
  <c r="BG160" i="8"/>
  <c r="BH160" i="8"/>
  <c r="BI160" i="8"/>
  <c r="BJ160" i="8"/>
  <c r="BK160" i="8"/>
  <c r="BL160" i="8"/>
  <c r="BM160" i="8"/>
  <c r="BN160" i="8"/>
  <c r="BD161" i="8"/>
  <c r="BE161" i="8"/>
  <c r="BF161" i="8"/>
  <c r="BG161" i="8"/>
  <c r="BH161" i="8"/>
  <c r="BI161" i="8"/>
  <c r="BJ161" i="8"/>
  <c r="BK161" i="8"/>
  <c r="BL161" i="8"/>
  <c r="BM161" i="8"/>
  <c r="BN161" i="8"/>
  <c r="BD162" i="8"/>
  <c r="BE162" i="8"/>
  <c r="BF162" i="8"/>
  <c r="BG162" i="8"/>
  <c r="BH162" i="8"/>
  <c r="BI162" i="8"/>
  <c r="BJ162" i="8"/>
  <c r="BK162" i="8"/>
  <c r="BL162" i="8"/>
  <c r="BM162" i="8"/>
  <c r="BN162" i="8"/>
  <c r="BD163" i="8"/>
  <c r="BE163" i="8"/>
  <c r="BF163" i="8"/>
  <c r="BG163" i="8"/>
  <c r="BH163" i="8"/>
  <c r="BI163" i="8"/>
  <c r="BJ163" i="8"/>
  <c r="BK163" i="8"/>
  <c r="BL163" i="8"/>
  <c r="BM163" i="8"/>
  <c r="BN163" i="8"/>
  <c r="BD164" i="8"/>
  <c r="BE164" i="8"/>
  <c r="BF164" i="8"/>
  <c r="BG164" i="8"/>
  <c r="BH164" i="8"/>
  <c r="BI164" i="8"/>
  <c r="BJ164" i="8"/>
  <c r="BK164" i="8"/>
  <c r="BL164" i="8"/>
  <c r="BM164" i="8"/>
  <c r="BN164" i="8"/>
  <c r="BD165" i="8"/>
  <c r="BE165" i="8"/>
  <c r="BF165" i="8"/>
  <c r="BG165" i="8"/>
  <c r="BH165" i="8"/>
  <c r="BI165" i="8"/>
  <c r="BJ165" i="8"/>
  <c r="BK165" i="8"/>
  <c r="BL165" i="8"/>
  <c r="BM165" i="8"/>
  <c r="BN165" i="8"/>
  <c r="BD166" i="8"/>
  <c r="BE166" i="8"/>
  <c r="BF166" i="8"/>
  <c r="BG166" i="8"/>
  <c r="BH166" i="8"/>
  <c r="BI166" i="8"/>
  <c r="BJ166" i="8"/>
  <c r="BK166" i="8"/>
  <c r="BL166" i="8"/>
  <c r="BM166" i="8"/>
  <c r="BN166" i="8"/>
  <c r="BD167" i="8"/>
  <c r="BE167" i="8"/>
  <c r="BF167" i="8"/>
  <c r="BG167" i="8"/>
  <c r="BH167" i="8"/>
  <c r="BI167" i="8"/>
  <c r="BJ167" i="8"/>
  <c r="BK167" i="8"/>
  <c r="BL167" i="8"/>
  <c r="BM167" i="8"/>
  <c r="BN167" i="8"/>
  <c r="BD168" i="8"/>
  <c r="BE168" i="8"/>
  <c r="BF168" i="8"/>
  <c r="BG168" i="8"/>
  <c r="BH168" i="8"/>
  <c r="BI168" i="8"/>
  <c r="BJ168" i="8"/>
  <c r="BK168" i="8"/>
  <c r="BL168" i="8"/>
  <c r="BM168" i="8"/>
  <c r="BN168" i="8"/>
  <c r="BD169" i="8"/>
  <c r="BE169" i="8"/>
  <c r="BF169" i="8"/>
  <c r="BG169" i="8"/>
  <c r="BH169" i="8"/>
  <c r="BI169" i="8"/>
  <c r="BJ169" i="8"/>
  <c r="BK169" i="8"/>
  <c r="BL169" i="8"/>
  <c r="BM169" i="8"/>
  <c r="BN169" i="8"/>
  <c r="BD170" i="8"/>
  <c r="BE170" i="8"/>
  <c r="BF170" i="8"/>
  <c r="BG170" i="8"/>
  <c r="BH170" i="8"/>
  <c r="BI170" i="8"/>
  <c r="BJ170" i="8"/>
  <c r="BK170" i="8"/>
  <c r="BL170" i="8"/>
  <c r="BM170" i="8"/>
  <c r="BN170" i="8"/>
  <c r="BD171" i="8"/>
  <c r="BE171" i="8"/>
  <c r="BF171" i="8"/>
  <c r="BG171" i="8"/>
  <c r="BH171" i="8"/>
  <c r="BI171" i="8"/>
  <c r="BJ171" i="8"/>
  <c r="BK171" i="8"/>
  <c r="BL171" i="8"/>
  <c r="BM171" i="8"/>
  <c r="BN171" i="8"/>
  <c r="BD172" i="8"/>
  <c r="BE172" i="8"/>
  <c r="BF172" i="8"/>
  <c r="BG172" i="8"/>
  <c r="BH172" i="8"/>
  <c r="BI172" i="8"/>
  <c r="BJ172" i="8"/>
  <c r="BK172" i="8"/>
  <c r="BL172" i="8"/>
  <c r="BM172" i="8"/>
  <c r="BN172" i="8"/>
  <c r="BD173" i="8"/>
  <c r="BE173" i="8"/>
  <c r="BF173" i="8"/>
  <c r="BG173" i="8"/>
  <c r="BH173" i="8"/>
  <c r="BI173" i="8"/>
  <c r="BJ173" i="8"/>
  <c r="BK173" i="8"/>
  <c r="BL173" i="8"/>
  <c r="BM173" i="8"/>
  <c r="BN173" i="8"/>
  <c r="BD174" i="8"/>
  <c r="BE174" i="8"/>
  <c r="BF174" i="8"/>
  <c r="BG174" i="8"/>
  <c r="BH174" i="8"/>
  <c r="BI174" i="8"/>
  <c r="BJ174" i="8"/>
  <c r="BK174" i="8"/>
  <c r="BL174" i="8"/>
  <c r="BM174" i="8"/>
  <c r="BN174" i="8"/>
  <c r="BD175" i="8"/>
  <c r="BE175" i="8"/>
  <c r="BF175" i="8"/>
  <c r="BG175" i="8"/>
  <c r="BH175" i="8"/>
  <c r="BI175" i="8"/>
  <c r="BJ175" i="8"/>
  <c r="BK175" i="8"/>
  <c r="BL175" i="8"/>
  <c r="BM175" i="8"/>
  <c r="BN175" i="8"/>
  <c r="BC149" i="8"/>
  <c r="BO149" i="8" s="1"/>
  <c r="BC150" i="8"/>
  <c r="BO150" i="8" s="1"/>
  <c r="BC151" i="8"/>
  <c r="BO151" i="8" s="1"/>
  <c r="BC152" i="8"/>
  <c r="BO152" i="8" s="1"/>
  <c r="BC153" i="8"/>
  <c r="BO153" i="8" s="1"/>
  <c r="BC154" i="8"/>
  <c r="BO154" i="8" s="1"/>
  <c r="BC155" i="8"/>
  <c r="BO155" i="8" s="1"/>
  <c r="BC156" i="8"/>
  <c r="BO156" i="8" s="1"/>
  <c r="BC157" i="8"/>
  <c r="BO157" i="8" s="1"/>
  <c r="BC158" i="8"/>
  <c r="BO158" i="8" s="1"/>
  <c r="BC159" i="8"/>
  <c r="BO159" i="8" s="1"/>
  <c r="BC160" i="8"/>
  <c r="BO160" i="8" s="1"/>
  <c r="BC161" i="8"/>
  <c r="BO161" i="8" s="1"/>
  <c r="BC162" i="8"/>
  <c r="BO162" i="8" s="1"/>
  <c r="BC163" i="8"/>
  <c r="BO163" i="8" s="1"/>
  <c r="BC164" i="8"/>
  <c r="BO164" i="8" s="1"/>
  <c r="BC165" i="8"/>
  <c r="BO165" i="8" s="1"/>
  <c r="BC166" i="8"/>
  <c r="BO166" i="8" s="1"/>
  <c r="BC167" i="8"/>
  <c r="BO167" i="8" s="1"/>
  <c r="BC168" i="8"/>
  <c r="BO168" i="8" s="1"/>
  <c r="BC169" i="8"/>
  <c r="BO169" i="8" s="1"/>
  <c r="BC170" i="8"/>
  <c r="BO170" i="8" s="1"/>
  <c r="BC171" i="8"/>
  <c r="BO171" i="8" s="1"/>
  <c r="BC172" i="8"/>
  <c r="BO172" i="8" s="1"/>
  <c r="BC173" i="8"/>
  <c r="BO173" i="8" s="1"/>
  <c r="BC174" i="8"/>
  <c r="BO174" i="8" s="1"/>
  <c r="BC175" i="8"/>
  <c r="BO175" i="8" s="1"/>
  <c r="BC148" i="8"/>
  <c r="BO148" i="8" s="1"/>
  <c r="FH265" i="1" l="1"/>
  <c r="FB131" i="1"/>
  <c r="FB359" i="1"/>
  <c r="FB358" i="1"/>
  <c r="FB345" i="1"/>
  <c r="FB119" i="1" l="1"/>
  <c r="FH253" i="1"/>
  <c r="CX255" i="1"/>
  <c r="FH267" i="1"/>
  <c r="FB133" i="1"/>
  <c r="FB132" i="1"/>
  <c r="FH266" i="1"/>
  <c r="FB346" i="1"/>
  <c r="CX256" i="1" l="1"/>
  <c r="FB120" i="1"/>
  <c r="FH254" i="1"/>
  <c r="FB347" i="1"/>
  <c r="FH255" i="1" l="1"/>
  <c r="FB121" i="1"/>
  <c r="CX257" i="1"/>
  <c r="FB348" i="1"/>
  <c r="CX258" i="1" l="1"/>
  <c r="FB122" i="1"/>
  <c r="FH256" i="1"/>
  <c r="FB349" i="1"/>
  <c r="U196" i="1"/>
  <c r="FH257" i="1" l="1"/>
  <c r="CX259" i="1"/>
  <c r="FB123" i="1"/>
  <c r="FB350" i="1"/>
  <c r="CX260" i="1" l="1"/>
  <c r="FB124" i="1"/>
  <c r="FH258" i="1"/>
  <c r="FB351" i="1"/>
  <c r="FH259" i="1" l="1"/>
  <c r="FB125" i="1"/>
  <c r="CX261" i="1"/>
  <c r="FB352" i="1"/>
  <c r="CX262" i="1" l="1"/>
  <c r="FB126" i="1"/>
  <c r="FH260" i="1"/>
  <c r="FB353" i="1"/>
  <c r="FH261" i="1" l="1"/>
  <c r="CX263" i="1"/>
  <c r="FB127" i="1"/>
  <c r="FZ716" i="1"/>
  <c r="FZ717" i="1"/>
  <c r="FZ718" i="1"/>
  <c r="FX694" i="1" a="1"/>
  <c r="FX694" i="1" s="1"/>
  <c r="FX709" i="1" l="1"/>
  <c r="FX701" i="1"/>
  <c r="FX713" i="1"/>
  <c r="FX705" i="1"/>
  <c r="FX697" i="1"/>
  <c r="FX715" i="1"/>
  <c r="FX711" i="1"/>
  <c r="FX707" i="1"/>
  <c r="FX703" i="1"/>
  <c r="FX699" i="1"/>
  <c r="FX695" i="1"/>
  <c r="FX714" i="1"/>
  <c r="FX712" i="1"/>
  <c r="FX710" i="1"/>
  <c r="FX708" i="1"/>
  <c r="FX706" i="1"/>
  <c r="FX704" i="1"/>
  <c r="FX702" i="1"/>
  <c r="FX700" i="1"/>
  <c r="FX698" i="1"/>
  <c r="FX696" i="1"/>
  <c r="CR136" i="1" l="1"/>
  <c r="BD167" i="3" l="1"/>
  <c r="BD168" i="3"/>
  <c r="BD169" i="3"/>
  <c r="BD170" i="3"/>
  <c r="BD171" i="3"/>
  <c r="BD172" i="3"/>
  <c r="BD173" i="3"/>
  <c r="BD174" i="3"/>
  <c r="BD175" i="3"/>
  <c r="BD176" i="3"/>
  <c r="BD177" i="3"/>
  <c r="BD178" i="3"/>
  <c r="BD179" i="3"/>
  <c r="BD180" i="3"/>
  <c r="BD181" i="3"/>
  <c r="BD182" i="3"/>
  <c r="BD183" i="3"/>
  <c r="BD184" i="3"/>
  <c r="BD185" i="3"/>
  <c r="BD186" i="3"/>
  <c r="BD187" i="3"/>
  <c r="BD188" i="3"/>
  <c r="BD189" i="3"/>
  <c r="EA881" i="1" l="1"/>
  <c r="EA882" i="1"/>
  <c r="EA883" i="1"/>
  <c r="EA884" i="1"/>
  <c r="EA880" i="1"/>
  <c r="O204" i="3" l="1"/>
  <c r="CR92" i="1" l="1"/>
  <c r="CT184" i="1" l="1"/>
  <c r="CR229" i="1" l="1"/>
  <c r="DP227" i="1" l="1"/>
  <c r="DR227" i="1" s="1"/>
  <c r="EG227" i="1" s="1"/>
  <c r="O99" i="3" l="1"/>
  <c r="O156" i="3" l="1"/>
  <c r="FD694" i="1" l="1" a="1"/>
  <c r="FD694" i="1" s="1"/>
  <c r="FY694" i="1" s="1"/>
  <c r="FC694" i="1" a="1"/>
  <c r="FC694" i="1" s="1"/>
  <c r="FD701" i="1" l="1"/>
  <c r="FY701" i="1" s="1"/>
  <c r="FZ701" i="1" s="1"/>
  <c r="FD713" i="1"/>
  <c r="FY713" i="1" s="1"/>
  <c r="FZ713" i="1" s="1"/>
  <c r="FD697" i="1"/>
  <c r="FY697" i="1" s="1"/>
  <c r="FZ697" i="1" s="1"/>
  <c r="FD709" i="1"/>
  <c r="FY709" i="1" s="1"/>
  <c r="FZ709" i="1" s="1"/>
  <c r="FD705" i="1"/>
  <c r="FY705" i="1" s="1"/>
  <c r="FZ705" i="1" s="1"/>
  <c r="CM6" i="3" a="1"/>
  <c r="FD715" i="1"/>
  <c r="FY715" i="1" s="1"/>
  <c r="FZ715" i="1" s="1"/>
  <c r="FD711" i="1"/>
  <c r="FY711" i="1" s="1"/>
  <c r="FZ711" i="1" s="1"/>
  <c r="FD707" i="1"/>
  <c r="FY707" i="1" s="1"/>
  <c r="FZ707" i="1" s="1"/>
  <c r="FD703" i="1"/>
  <c r="FY703" i="1" s="1"/>
  <c r="FZ703" i="1" s="1"/>
  <c r="FD699" i="1"/>
  <c r="FY699" i="1" s="1"/>
  <c r="FZ699" i="1" s="1"/>
  <c r="FD695" i="1"/>
  <c r="FY695" i="1" s="1"/>
  <c r="FZ695" i="1" s="1"/>
  <c r="FD714" i="1"/>
  <c r="FY714" i="1" s="1"/>
  <c r="FZ714" i="1" s="1"/>
  <c r="FD712" i="1"/>
  <c r="FY712" i="1" s="1"/>
  <c r="FZ712" i="1" s="1"/>
  <c r="FD710" i="1"/>
  <c r="FY710" i="1" s="1"/>
  <c r="FZ710" i="1" s="1"/>
  <c r="FD708" i="1"/>
  <c r="FY708" i="1" s="1"/>
  <c r="FZ708" i="1" s="1"/>
  <c r="FD706" i="1"/>
  <c r="FY706" i="1" s="1"/>
  <c r="FZ706" i="1" s="1"/>
  <c r="FD704" i="1"/>
  <c r="FY704" i="1" s="1"/>
  <c r="FZ704" i="1" s="1"/>
  <c r="FD702" i="1"/>
  <c r="FY702" i="1" s="1"/>
  <c r="FZ702" i="1" s="1"/>
  <c r="FD700" i="1"/>
  <c r="FY700" i="1" s="1"/>
  <c r="FZ700" i="1" s="1"/>
  <c r="FD698" i="1"/>
  <c r="FY698" i="1" s="1"/>
  <c r="FZ698" i="1" s="1"/>
  <c r="FD696" i="1"/>
  <c r="FY696" i="1" s="1"/>
  <c r="FZ696" i="1" s="1"/>
  <c r="FF694" i="1"/>
  <c r="FC715" i="1"/>
  <c r="FF715" i="1" s="1"/>
  <c r="FC713" i="1"/>
  <c r="FF713" i="1" s="1"/>
  <c r="FC711" i="1"/>
  <c r="FF711" i="1" s="1"/>
  <c r="FC709" i="1"/>
  <c r="FF709" i="1" s="1"/>
  <c r="FC707" i="1"/>
  <c r="FC705" i="1"/>
  <c r="FF705" i="1" s="1"/>
  <c r="FC703" i="1"/>
  <c r="FF703" i="1" s="1"/>
  <c r="FC701" i="1"/>
  <c r="FF701" i="1" s="1"/>
  <c r="FC699" i="1"/>
  <c r="FF699" i="1" s="1"/>
  <c r="FC697" i="1"/>
  <c r="FF697" i="1" s="1"/>
  <c r="FC695" i="1"/>
  <c r="FF695" i="1" s="1"/>
  <c r="FC714" i="1"/>
  <c r="FC712" i="1"/>
  <c r="FF712" i="1" s="1"/>
  <c r="FC710" i="1"/>
  <c r="FF710" i="1" s="1"/>
  <c r="FC708" i="1"/>
  <c r="FF708" i="1" s="1"/>
  <c r="FC706" i="1"/>
  <c r="FC704" i="1"/>
  <c r="FF704" i="1" s="1"/>
  <c r="FC702" i="1"/>
  <c r="FF702" i="1" s="1"/>
  <c r="FC700" i="1"/>
  <c r="FF700" i="1" s="1"/>
  <c r="FC698" i="1"/>
  <c r="FC696" i="1"/>
  <c r="FF696" i="1" s="1"/>
  <c r="EU608" i="1" a="1"/>
  <c r="EU609" i="1" s="1"/>
  <c r="ET608" i="1" a="1"/>
  <c r="ET608" i="1" s="1"/>
  <c r="EU628" i="1" l="1"/>
  <c r="EU624" i="1"/>
  <c r="EU620" i="1"/>
  <c r="EU616" i="1"/>
  <c r="EU612" i="1"/>
  <c r="EU608" i="1"/>
  <c r="EU615" i="1"/>
  <c r="EU627" i="1"/>
  <c r="EU623" i="1"/>
  <c r="EU619" i="1"/>
  <c r="EU611" i="1"/>
  <c r="EU626" i="1"/>
  <c r="EU622" i="1"/>
  <c r="EU614" i="1"/>
  <c r="EU610" i="1"/>
  <c r="FF707" i="1"/>
  <c r="EU618" i="1"/>
  <c r="EU629" i="1"/>
  <c r="EU625" i="1"/>
  <c r="EU621" i="1"/>
  <c r="EU617" i="1"/>
  <c r="EU613" i="1"/>
  <c r="FF698" i="1"/>
  <c r="FF706" i="1"/>
  <c r="FF714" i="1"/>
  <c r="CM6" i="3"/>
  <c r="CM43" i="3"/>
  <c r="CM39" i="3"/>
  <c r="CM35" i="3"/>
  <c r="CM31" i="3"/>
  <c r="CM27" i="3"/>
  <c r="CM23" i="3"/>
  <c r="CM19" i="3"/>
  <c r="CM15" i="3"/>
  <c r="CM11" i="3"/>
  <c r="CM7" i="3"/>
  <c r="CM44" i="3"/>
  <c r="CM40" i="3"/>
  <c r="CM36" i="3"/>
  <c r="CM32" i="3"/>
  <c r="CM28" i="3"/>
  <c r="CM24" i="3"/>
  <c r="CM20" i="3"/>
  <c r="CM16" i="3"/>
  <c r="CM12" i="3"/>
  <c r="CM8" i="3"/>
  <c r="CM45" i="3"/>
  <c r="CM41" i="3"/>
  <c r="CM37" i="3"/>
  <c r="CM33" i="3"/>
  <c r="CM29" i="3"/>
  <c r="CM25" i="3"/>
  <c r="CM21" i="3"/>
  <c r="CM17" i="3"/>
  <c r="CM13" i="3"/>
  <c r="CM9" i="3"/>
  <c r="CM46" i="3"/>
  <c r="CM42" i="3"/>
  <c r="CM38" i="3"/>
  <c r="CM34" i="3"/>
  <c r="CM30" i="3"/>
  <c r="CM26" i="3"/>
  <c r="CM22" i="3"/>
  <c r="CM18" i="3"/>
  <c r="CM14" i="3"/>
  <c r="CM10" i="3"/>
  <c r="ET629" i="1"/>
  <c r="ET627" i="1"/>
  <c r="ET625" i="1"/>
  <c r="ET623" i="1"/>
  <c r="ET621" i="1"/>
  <c r="ET619" i="1"/>
  <c r="ET617" i="1"/>
  <c r="ET615" i="1"/>
  <c r="ET613" i="1"/>
  <c r="ET611" i="1"/>
  <c r="ET609" i="1"/>
  <c r="ET628" i="1"/>
  <c r="ET626" i="1"/>
  <c r="ET624" i="1"/>
  <c r="ET622" i="1"/>
  <c r="ET620" i="1"/>
  <c r="ET618" i="1"/>
  <c r="ET616" i="1"/>
  <c r="ET614" i="1"/>
  <c r="ET612" i="1"/>
  <c r="ET610" i="1"/>
  <c r="DX737" i="1" l="1" a="1"/>
  <c r="DX737" i="1" s="1"/>
  <c r="DW737" i="1" a="1"/>
  <c r="DW737" i="1" s="1"/>
  <c r="DW744" i="1" l="1"/>
  <c r="DW752" i="1"/>
  <c r="DW756" i="1"/>
  <c r="DW748" i="1"/>
  <c r="DW740" i="1"/>
  <c r="DX756" i="1"/>
  <c r="DX752" i="1"/>
  <c r="DX748" i="1"/>
  <c r="DX744" i="1"/>
  <c r="DX740" i="1"/>
  <c r="DX758" i="1"/>
  <c r="DX754" i="1"/>
  <c r="DX750" i="1"/>
  <c r="DX746" i="1"/>
  <c r="DX742" i="1"/>
  <c r="DX738" i="1"/>
  <c r="DW758" i="1"/>
  <c r="DW754" i="1"/>
  <c r="DW750" i="1"/>
  <c r="DW746" i="1"/>
  <c r="DW742" i="1"/>
  <c r="DW738" i="1"/>
  <c r="DW757" i="1"/>
  <c r="DW755" i="1"/>
  <c r="DW753" i="1"/>
  <c r="DW751" i="1"/>
  <c r="DW749" i="1"/>
  <c r="DW747" i="1"/>
  <c r="DW745" i="1"/>
  <c r="DW743" i="1"/>
  <c r="DW741" i="1"/>
  <c r="DW739" i="1"/>
  <c r="DX757" i="1"/>
  <c r="DX755" i="1"/>
  <c r="DX753" i="1"/>
  <c r="DX751" i="1"/>
  <c r="DX749" i="1"/>
  <c r="DX747" i="1"/>
  <c r="DX745" i="1"/>
  <c r="DX743" i="1"/>
  <c r="DX741" i="1"/>
  <c r="DX739" i="1"/>
  <c r="CZ650" i="1" l="1" a="1"/>
  <c r="CZ650" i="1" s="1"/>
  <c r="CZ671" i="1" l="1"/>
  <c r="CZ669" i="1"/>
  <c r="CZ667" i="1"/>
  <c r="CZ665" i="1"/>
  <c r="CZ663" i="1"/>
  <c r="CZ661" i="1"/>
  <c r="CZ659" i="1"/>
  <c r="CZ657" i="1"/>
  <c r="CZ655" i="1"/>
  <c r="CZ653" i="1"/>
  <c r="CZ651" i="1"/>
  <c r="CZ670" i="1"/>
  <c r="CZ668" i="1"/>
  <c r="CZ666" i="1"/>
  <c r="CZ664" i="1"/>
  <c r="CZ662" i="1"/>
  <c r="CZ660" i="1"/>
  <c r="CZ658" i="1"/>
  <c r="CZ656" i="1"/>
  <c r="CZ654" i="1"/>
  <c r="CZ652" i="1"/>
  <c r="DN323" i="1" l="1"/>
  <c r="DN324" i="1"/>
  <c r="DN325" i="1"/>
  <c r="DN326" i="1"/>
  <c r="DN327" i="1"/>
  <c r="DN328" i="1"/>
  <c r="DN329" i="1"/>
  <c r="DN330" i="1"/>
  <c r="DN331" i="1"/>
  <c r="DN332" i="1"/>
  <c r="DN333" i="1"/>
  <c r="DN334" i="1"/>
  <c r="DN335" i="1"/>
  <c r="DN336" i="1"/>
  <c r="DN337" i="1"/>
  <c r="DN338" i="1"/>
  <c r="DN339" i="1"/>
  <c r="DN340" i="1"/>
  <c r="DN341" i="1"/>
  <c r="DN342" i="1"/>
  <c r="DN343" i="1"/>
  <c r="DN344" i="1"/>
  <c r="DN322" i="1"/>
  <c r="CW278" i="1" l="1"/>
  <c r="CW279" i="1"/>
  <c r="CW280" i="1"/>
  <c r="CW281" i="1"/>
  <c r="CW282" i="1"/>
  <c r="CW283" i="1"/>
  <c r="CW284" i="1"/>
  <c r="CW285" i="1"/>
  <c r="CW286" i="1"/>
  <c r="CW287" i="1"/>
  <c r="CW288" i="1"/>
  <c r="CW289" i="1"/>
  <c r="CW290" i="1"/>
  <c r="CW291" i="1"/>
  <c r="CW292" i="1"/>
  <c r="CW293" i="1"/>
  <c r="CW294" i="1"/>
  <c r="CW295" i="1"/>
  <c r="CW296" i="1"/>
  <c r="CW297" i="1"/>
  <c r="CW298" i="1"/>
  <c r="CW299" i="1"/>
  <c r="CW277" i="1"/>
  <c r="DU610" i="1" l="1"/>
  <c r="DU611" i="1"/>
  <c r="DU612" i="1"/>
  <c r="DU613" i="1"/>
  <c r="DU614" i="1"/>
  <c r="DU615" i="1"/>
  <c r="DU616" i="1"/>
  <c r="DU617" i="1"/>
  <c r="DU618" i="1"/>
  <c r="DU619" i="1"/>
  <c r="DU620" i="1"/>
  <c r="DU621" i="1"/>
  <c r="DU622" i="1"/>
  <c r="DU623" i="1"/>
  <c r="DU624" i="1"/>
  <c r="DU625" i="1"/>
  <c r="DU626" i="1"/>
  <c r="DU627" i="1"/>
  <c r="DU628" i="1"/>
  <c r="DU629" i="1"/>
  <c r="DU609" i="1"/>
  <c r="DU608" i="1"/>
  <c r="DR344" i="1" l="1"/>
  <c r="GW343" i="1" l="1"/>
  <c r="GW321" i="1"/>
  <c r="GW322" i="1"/>
  <c r="GW323" i="1"/>
  <c r="GW324" i="1"/>
  <c r="GW325" i="1"/>
  <c r="GW326" i="1"/>
  <c r="GW327" i="1"/>
  <c r="GW328" i="1"/>
  <c r="GW329" i="1"/>
  <c r="GW330" i="1"/>
  <c r="GW331" i="1"/>
  <c r="GW332" i="1"/>
  <c r="GW333" i="1"/>
  <c r="GW334" i="1"/>
  <c r="GW335" i="1"/>
  <c r="GW336" i="1"/>
  <c r="GW337" i="1"/>
  <c r="GW338" i="1"/>
  <c r="GW339" i="1"/>
  <c r="GW340" i="1"/>
  <c r="GW341" i="1"/>
  <c r="GW342" i="1"/>
  <c r="GW320" i="1"/>
  <c r="GW319" i="1"/>
  <c r="GX320" i="1" l="1"/>
  <c r="GX341" i="1"/>
  <c r="GX339" i="1"/>
  <c r="GX337" i="1"/>
  <c r="GX335" i="1"/>
  <c r="GX333" i="1"/>
  <c r="GX331" i="1"/>
  <c r="GX329" i="1"/>
  <c r="GX327" i="1"/>
  <c r="GX325" i="1"/>
  <c r="GX323" i="1"/>
  <c r="GX321" i="1"/>
  <c r="GX319" i="1"/>
  <c r="GX342" i="1"/>
  <c r="GX340" i="1"/>
  <c r="GX338" i="1"/>
  <c r="GX336" i="1"/>
  <c r="GX334" i="1"/>
  <c r="GX332" i="1"/>
  <c r="GX330" i="1"/>
  <c r="GX328" i="1"/>
  <c r="GX326" i="1"/>
  <c r="GX324" i="1"/>
  <c r="GX322" i="1"/>
  <c r="GX343" i="1"/>
  <c r="CX276" i="1"/>
  <c r="CX299" i="1"/>
  <c r="DA299" i="1" s="1"/>
  <c r="DP299" i="1" s="1"/>
  <c r="CZ299" i="1" s="1"/>
  <c r="CX297" i="1"/>
  <c r="DA297" i="1" s="1"/>
  <c r="CX295" i="1"/>
  <c r="DA295" i="1" s="1"/>
  <c r="CX293" i="1"/>
  <c r="DA293" i="1" s="1"/>
  <c r="CX291" i="1"/>
  <c r="DA291" i="1" s="1"/>
  <c r="CX289" i="1"/>
  <c r="DA289" i="1" s="1"/>
  <c r="CX287" i="1"/>
  <c r="DA287" i="1" s="1"/>
  <c r="CX285" i="1"/>
  <c r="DA285" i="1" s="1"/>
  <c r="CX283" i="1"/>
  <c r="DA283" i="1" s="1"/>
  <c r="CX281" i="1"/>
  <c r="DA281" i="1" s="1"/>
  <c r="CX279" i="1"/>
  <c r="DA279" i="1" s="1"/>
  <c r="CX300" i="1"/>
  <c r="CX277" i="1"/>
  <c r="DA277" i="1" s="1"/>
  <c r="CX298" i="1"/>
  <c r="DA298" i="1" s="1"/>
  <c r="DP298" i="1" s="1"/>
  <c r="CZ298" i="1" s="1"/>
  <c r="CX296" i="1"/>
  <c r="DA296" i="1" s="1"/>
  <c r="CX294" i="1"/>
  <c r="DA294" i="1" s="1"/>
  <c r="CX292" i="1"/>
  <c r="DA292" i="1" s="1"/>
  <c r="CX290" i="1"/>
  <c r="DA290" i="1" s="1"/>
  <c r="CX288" i="1"/>
  <c r="DA288" i="1" s="1"/>
  <c r="CX286" i="1"/>
  <c r="DA286" i="1" s="1"/>
  <c r="CX284" i="1"/>
  <c r="DA284" i="1" s="1"/>
  <c r="CX282" i="1"/>
  <c r="DA282" i="1" s="1"/>
  <c r="CX280" i="1"/>
  <c r="DA280" i="1" s="1"/>
  <c r="CX278" i="1"/>
  <c r="DA278" i="1" s="1"/>
  <c r="GG343" i="1"/>
  <c r="AM11" i="3" s="1" a="1"/>
  <c r="AM11" i="3" l="1"/>
  <c r="AT11" i="3"/>
  <c r="BB11" i="3"/>
  <c r="AX11" i="3"/>
  <c r="AV11" i="3"/>
  <c r="AN11" i="3"/>
  <c r="BA11" i="3"/>
  <c r="AW11" i="3"/>
  <c r="AS11" i="3"/>
  <c r="AO11" i="3"/>
  <c r="AP11" i="3"/>
  <c r="AZ11" i="3"/>
  <c r="AR11" i="3"/>
  <c r="BC11" i="3"/>
  <c r="AY11" i="3"/>
  <c r="AU11" i="3"/>
  <c r="AQ11" i="3"/>
  <c r="GW354" i="1"/>
  <c r="GW344" i="1"/>
  <c r="GW355" i="1" l="1"/>
  <c r="CX301" i="1"/>
  <c r="GW345" i="1"/>
  <c r="FB343" i="1"/>
  <c r="FB117" i="1" l="1"/>
  <c r="FH251" i="1"/>
  <c r="CX253" i="1"/>
  <c r="O12" i="3" a="1"/>
  <c r="GW356" i="1"/>
  <c r="CX302" i="1"/>
  <c r="DN345" i="1"/>
  <c r="DR345" i="1" s="1"/>
  <c r="CW300" i="1"/>
  <c r="DA300" i="1" s="1"/>
  <c r="DP300" i="1" s="1"/>
  <c r="CZ300" i="1" s="1"/>
  <c r="DN346" i="1"/>
  <c r="CW301" i="1"/>
  <c r="DA301" i="1" s="1"/>
  <c r="DP301" i="1" s="1"/>
  <c r="GW346" i="1"/>
  <c r="O12" i="3" l="1"/>
  <c r="O120" i="3" s="1"/>
  <c r="AZ12" i="3"/>
  <c r="AV12" i="3"/>
  <c r="AR12" i="3"/>
  <c r="AN12" i="3"/>
  <c r="AJ12" i="3"/>
  <c r="AF12" i="3"/>
  <c r="AB12" i="3"/>
  <c r="X12" i="3"/>
  <c r="T12" i="3"/>
  <c r="P12" i="3"/>
  <c r="BA12" i="3"/>
  <c r="AW12" i="3"/>
  <c r="AS12" i="3"/>
  <c r="AO12" i="3"/>
  <c r="AK12" i="3"/>
  <c r="AG12" i="3"/>
  <c r="AC12" i="3"/>
  <c r="Y12" i="3"/>
  <c r="U12" i="3"/>
  <c r="Q12" i="3"/>
  <c r="BB12" i="3"/>
  <c r="AX12" i="3"/>
  <c r="AT12" i="3"/>
  <c r="AP12" i="3"/>
  <c r="AL12" i="3"/>
  <c r="AH12" i="3"/>
  <c r="AD12" i="3"/>
  <c r="Z12" i="3"/>
  <c r="V12" i="3"/>
  <c r="R12" i="3"/>
  <c r="BC12" i="3"/>
  <c r="AY12" i="3"/>
  <c r="AU12" i="3"/>
  <c r="AQ12" i="3"/>
  <c r="AM12" i="3"/>
  <c r="AI12" i="3"/>
  <c r="AE12" i="3"/>
  <c r="AA12" i="3"/>
  <c r="W12" i="3"/>
  <c r="S12" i="3"/>
  <c r="GW357" i="1"/>
  <c r="CX303" i="1"/>
  <c r="CZ301" i="1"/>
  <c r="DN347" i="1"/>
  <c r="CW302" i="1"/>
  <c r="DA302" i="1" s="1"/>
  <c r="DP302" i="1" s="1"/>
  <c r="CZ302" i="1" s="1"/>
  <c r="GW347" i="1"/>
  <c r="GW359" i="1" l="1"/>
  <c r="GW358" i="1"/>
  <c r="CX304" i="1"/>
  <c r="DN348" i="1"/>
  <c r="CW303" i="1"/>
  <c r="DA303" i="1" s="1"/>
  <c r="DP303" i="1" s="1"/>
  <c r="CZ303" i="1" s="1"/>
  <c r="GW348" i="1"/>
  <c r="CX305" i="1" l="1"/>
  <c r="DN349" i="1"/>
  <c r="CW304" i="1"/>
  <c r="DA304" i="1" s="1"/>
  <c r="DP304" i="1" s="1"/>
  <c r="CZ304" i="1" s="1"/>
  <c r="GW349" i="1"/>
  <c r="DT694" i="1" a="1"/>
  <c r="DT694" i="1" s="1"/>
  <c r="DW694" i="1" s="1"/>
  <c r="DS694" i="1" a="1"/>
  <c r="DS694" i="1" s="1"/>
  <c r="DT709" i="1" l="1"/>
  <c r="DW709" i="1" s="1"/>
  <c r="DT701" i="1"/>
  <c r="DW701" i="1" s="1"/>
  <c r="DT713" i="1"/>
  <c r="DW713" i="1" s="1"/>
  <c r="DT705" i="1"/>
  <c r="DW705" i="1" s="1"/>
  <c r="DT697" i="1"/>
  <c r="DW697" i="1" s="1"/>
  <c r="DT715" i="1"/>
  <c r="DW715" i="1" s="1"/>
  <c r="DT711" i="1"/>
  <c r="DW711" i="1" s="1"/>
  <c r="DT707" i="1"/>
  <c r="DW707" i="1" s="1"/>
  <c r="DT703" i="1"/>
  <c r="DW703" i="1" s="1"/>
  <c r="DT699" i="1"/>
  <c r="DW699" i="1" s="1"/>
  <c r="DT695" i="1"/>
  <c r="DW695" i="1" s="1"/>
  <c r="DT714" i="1"/>
  <c r="DW714" i="1" s="1"/>
  <c r="DT712" i="1"/>
  <c r="DW712" i="1" s="1"/>
  <c r="DT710" i="1"/>
  <c r="DW710" i="1" s="1"/>
  <c r="DT708" i="1"/>
  <c r="DW708" i="1" s="1"/>
  <c r="DT706" i="1"/>
  <c r="DW706" i="1" s="1"/>
  <c r="DT704" i="1"/>
  <c r="DW704" i="1" s="1"/>
  <c r="DT702" i="1"/>
  <c r="DW702" i="1" s="1"/>
  <c r="DT700" i="1"/>
  <c r="DW700" i="1" s="1"/>
  <c r="DT698" i="1"/>
  <c r="DW698" i="1" s="1"/>
  <c r="DT696" i="1"/>
  <c r="DW696" i="1" s="1"/>
  <c r="CX306" i="1"/>
  <c r="DN350" i="1"/>
  <c r="CW305" i="1"/>
  <c r="DA305" i="1" s="1"/>
  <c r="DP305" i="1" s="1"/>
  <c r="CZ305" i="1" s="1"/>
  <c r="DV694" i="1"/>
  <c r="GW350" i="1"/>
  <c r="DS715" i="1"/>
  <c r="DS713" i="1"/>
  <c r="DS711" i="1"/>
  <c r="DS709" i="1"/>
  <c r="DS707" i="1"/>
  <c r="DS705" i="1"/>
  <c r="DS703" i="1"/>
  <c r="DS701" i="1"/>
  <c r="DS699" i="1"/>
  <c r="DS697" i="1"/>
  <c r="DS695" i="1"/>
  <c r="DS714" i="1"/>
  <c r="DS712" i="1"/>
  <c r="DS710" i="1"/>
  <c r="DS708" i="1"/>
  <c r="DS706" i="1"/>
  <c r="DS704" i="1"/>
  <c r="DS702" i="1"/>
  <c r="DS700" i="1"/>
  <c r="DS698" i="1"/>
  <c r="DS696" i="1"/>
  <c r="CX307" i="1" l="1"/>
  <c r="DN351" i="1"/>
  <c r="CW306" i="1"/>
  <c r="DA306" i="1" s="1"/>
  <c r="DP306" i="1" s="1"/>
  <c r="CZ306" i="1" s="1"/>
  <c r="DV698" i="1"/>
  <c r="DV702" i="1"/>
  <c r="DV706" i="1"/>
  <c r="DV710" i="1"/>
  <c r="DV714" i="1"/>
  <c r="DV697" i="1"/>
  <c r="DV701" i="1"/>
  <c r="DV705" i="1"/>
  <c r="DV709" i="1"/>
  <c r="DV713" i="1"/>
  <c r="GW351" i="1"/>
  <c r="DV696" i="1"/>
  <c r="DV700" i="1"/>
  <c r="DV704" i="1"/>
  <c r="DV708" i="1"/>
  <c r="DV712" i="1"/>
  <c r="DV695" i="1"/>
  <c r="DV699" i="1"/>
  <c r="DV703" i="1"/>
  <c r="DV707" i="1"/>
  <c r="DV711" i="1"/>
  <c r="DV715" i="1"/>
  <c r="CZ694" i="1" a="1"/>
  <c r="CZ695" i="1" s="1"/>
  <c r="EK695" i="1" s="1"/>
  <c r="CX308" i="1" l="1"/>
  <c r="DN352" i="1"/>
  <c r="CW307" i="1"/>
  <c r="DA307" i="1" s="1"/>
  <c r="DP307" i="1" s="1"/>
  <c r="CZ307" i="1" s="1"/>
  <c r="GW352" i="1"/>
  <c r="CZ714" i="1"/>
  <c r="EK714" i="1" s="1"/>
  <c r="CZ712" i="1"/>
  <c r="EK712" i="1" s="1"/>
  <c r="CZ710" i="1"/>
  <c r="EK710" i="1" s="1"/>
  <c r="CZ708" i="1"/>
  <c r="EK708" i="1" s="1"/>
  <c r="CZ706" i="1"/>
  <c r="EK706" i="1" s="1"/>
  <c r="CZ704" i="1"/>
  <c r="EK704" i="1" s="1"/>
  <c r="CZ702" i="1"/>
  <c r="EK702" i="1" s="1"/>
  <c r="CZ700" i="1"/>
  <c r="EK700" i="1" s="1"/>
  <c r="CZ698" i="1"/>
  <c r="EK698" i="1" s="1"/>
  <c r="CZ696" i="1"/>
  <c r="EK696" i="1" s="1"/>
  <c r="CZ694" i="1"/>
  <c r="EK694" i="1" s="1"/>
  <c r="CZ715" i="1"/>
  <c r="EK715" i="1" s="1"/>
  <c r="CZ713" i="1"/>
  <c r="EK713" i="1" s="1"/>
  <c r="CZ711" i="1"/>
  <c r="EK711" i="1" s="1"/>
  <c r="CZ709" i="1"/>
  <c r="EK709" i="1" s="1"/>
  <c r="CZ707" i="1"/>
  <c r="EK707" i="1" s="1"/>
  <c r="CZ705" i="1"/>
  <c r="EK705" i="1" s="1"/>
  <c r="CZ703" i="1"/>
  <c r="EK703" i="1" s="1"/>
  <c r="CZ701" i="1"/>
  <c r="EK701" i="1" s="1"/>
  <c r="CZ699" i="1"/>
  <c r="EK699" i="1" s="1"/>
  <c r="CZ697" i="1"/>
  <c r="EK697" i="1" s="1"/>
  <c r="CX309" i="1" l="1"/>
  <c r="DN353" i="1"/>
  <c r="CW308" i="1"/>
  <c r="DA308" i="1" s="1"/>
  <c r="DP308" i="1" s="1"/>
  <c r="CZ308" i="1" s="1"/>
  <c r="GW353" i="1"/>
  <c r="CX311" i="1" l="1"/>
  <c r="CX310" i="1"/>
  <c r="DN354" i="1"/>
  <c r="CW309" i="1"/>
  <c r="DA309" i="1" s="1"/>
  <c r="DP309" i="1" s="1"/>
  <c r="CZ309" i="1" s="1"/>
  <c r="DN355" i="1" l="1"/>
  <c r="CW310" i="1"/>
  <c r="DA310" i="1" s="1"/>
  <c r="DP310" i="1" s="1"/>
  <c r="CZ310" i="1" s="1"/>
  <c r="DN356" i="1" l="1"/>
  <c r="CW311" i="1"/>
  <c r="DA311" i="1" s="1"/>
  <c r="DP311" i="1" s="1"/>
  <c r="EC775" i="1"/>
  <c r="DY778" i="1" a="1"/>
  <c r="DY779" i="1" s="1"/>
  <c r="DX778" i="1" a="1"/>
  <c r="DX778" i="1" s="1"/>
  <c r="CZ311" i="1" l="1"/>
  <c r="EC818" i="1"/>
  <c r="DY798" i="1"/>
  <c r="DY796" i="1"/>
  <c r="DY794" i="1"/>
  <c r="DY792" i="1"/>
  <c r="DY790" i="1"/>
  <c r="DY788" i="1"/>
  <c r="DY786" i="1"/>
  <c r="DY784" i="1"/>
  <c r="DY782" i="1"/>
  <c r="DY780" i="1"/>
  <c r="DY778" i="1"/>
  <c r="DZ778" i="1" s="1"/>
  <c r="DY799" i="1"/>
  <c r="DY797" i="1"/>
  <c r="DY795" i="1"/>
  <c r="DY793" i="1"/>
  <c r="DY791" i="1"/>
  <c r="DY789" i="1"/>
  <c r="DY787" i="1"/>
  <c r="DY785" i="1"/>
  <c r="DY783" i="1"/>
  <c r="DY781" i="1"/>
  <c r="DX799" i="1"/>
  <c r="DX797" i="1"/>
  <c r="DX795" i="1"/>
  <c r="DX793" i="1"/>
  <c r="DX791" i="1"/>
  <c r="DX789" i="1"/>
  <c r="DX787" i="1"/>
  <c r="DX785" i="1"/>
  <c r="DX783" i="1"/>
  <c r="DX781" i="1"/>
  <c r="DX779" i="1"/>
  <c r="DZ779" i="1" s="1"/>
  <c r="DX798" i="1"/>
  <c r="DX796" i="1"/>
  <c r="DX794" i="1"/>
  <c r="DX792" i="1"/>
  <c r="DX790" i="1"/>
  <c r="DX788" i="1"/>
  <c r="DX786" i="1"/>
  <c r="DX784" i="1"/>
  <c r="DX782" i="1"/>
  <c r="DX780" i="1"/>
  <c r="DZ794" i="1" l="1"/>
  <c r="DZ798" i="1"/>
  <c r="DZ783" i="1"/>
  <c r="DZ787" i="1"/>
  <c r="DZ791" i="1"/>
  <c r="DZ795" i="1"/>
  <c r="DZ799" i="1"/>
  <c r="DZ780" i="1"/>
  <c r="DZ784" i="1"/>
  <c r="DZ788" i="1"/>
  <c r="DZ792" i="1"/>
  <c r="DZ796" i="1"/>
  <c r="DZ782" i="1"/>
  <c r="DZ786" i="1"/>
  <c r="DZ790" i="1"/>
  <c r="DZ781" i="1"/>
  <c r="DZ785" i="1"/>
  <c r="DZ789" i="1"/>
  <c r="DZ793" i="1"/>
  <c r="DZ797" i="1"/>
  <c r="EB608" i="1" l="1"/>
  <c r="DF624" i="1" l="1"/>
  <c r="DF625" i="1"/>
  <c r="DF626" i="1"/>
  <c r="DF627" i="1"/>
  <c r="DF628" i="1"/>
  <c r="DF629" i="1"/>
  <c r="DF623" i="1"/>
  <c r="DE610" i="1"/>
  <c r="DE611" i="1"/>
  <c r="DE612" i="1"/>
  <c r="DE613" i="1"/>
  <c r="DE614" i="1"/>
  <c r="DE615" i="1"/>
  <c r="DE616" i="1"/>
  <c r="DE617" i="1"/>
  <c r="DE618" i="1"/>
  <c r="DE619" i="1"/>
  <c r="DE620" i="1"/>
  <c r="DE621" i="1"/>
  <c r="DE622" i="1"/>
  <c r="DE609" i="1"/>
  <c r="DY740" i="1" l="1"/>
  <c r="DY741" i="1"/>
  <c r="DY742" i="1"/>
  <c r="DY744" i="1"/>
  <c r="DY745" i="1"/>
  <c r="DY746" i="1"/>
  <c r="DY748" i="1"/>
  <c r="DY749" i="1"/>
  <c r="DY750" i="1"/>
  <c r="DY752" i="1"/>
  <c r="DY753" i="1"/>
  <c r="DY754" i="1"/>
  <c r="DY756" i="1"/>
  <c r="DY757" i="1"/>
  <c r="DY758" i="1"/>
  <c r="DY738" i="1"/>
  <c r="DY737" i="1"/>
  <c r="DY743" i="1"/>
  <c r="DY747" i="1"/>
  <c r="DY751" i="1"/>
  <c r="DY755" i="1"/>
  <c r="DY739" i="1"/>
  <c r="DE737" i="1" l="1"/>
  <c r="CW737" i="1" a="1"/>
  <c r="CW737" i="1" s="1"/>
  <c r="CZ737" i="1" s="1"/>
  <c r="CW752" i="1" l="1"/>
  <c r="EQ752" i="1" s="1"/>
  <c r="CW744" i="1"/>
  <c r="EQ744" i="1" s="1"/>
  <c r="CW756" i="1"/>
  <c r="EQ756" i="1" s="1"/>
  <c r="CW748" i="1"/>
  <c r="EQ748" i="1" s="1"/>
  <c r="CW740" i="1"/>
  <c r="EQ740" i="1" s="1"/>
  <c r="CW758" i="1"/>
  <c r="EQ758" i="1" s="1"/>
  <c r="CW754" i="1"/>
  <c r="EQ754" i="1" s="1"/>
  <c r="CW750" i="1"/>
  <c r="EQ750" i="1" s="1"/>
  <c r="CW746" i="1"/>
  <c r="EQ746" i="1" s="1"/>
  <c r="CW742" i="1"/>
  <c r="EQ742" i="1" s="1"/>
  <c r="CW738" i="1"/>
  <c r="EQ738" i="1" s="1"/>
  <c r="DZ740" i="1"/>
  <c r="DZ742" i="1"/>
  <c r="DZ744" i="1"/>
  <c r="DZ746" i="1"/>
  <c r="DZ748" i="1"/>
  <c r="DZ750" i="1"/>
  <c r="DZ752" i="1"/>
  <c r="DZ754" i="1"/>
  <c r="EA756" i="1"/>
  <c r="EA758" i="1"/>
  <c r="DZ738" i="1"/>
  <c r="CW757" i="1"/>
  <c r="CW755" i="1"/>
  <c r="CW753" i="1"/>
  <c r="CW751" i="1"/>
  <c r="CW749" i="1"/>
  <c r="CW747" i="1"/>
  <c r="CW745" i="1"/>
  <c r="CW743" i="1"/>
  <c r="CW741" i="1"/>
  <c r="CW739" i="1"/>
  <c r="CZ752" i="1"/>
  <c r="CZ744" i="1"/>
  <c r="CZ740" i="1"/>
  <c r="EQ737" i="1"/>
  <c r="ES737" i="1" s="1"/>
  <c r="DZ737" i="1"/>
  <c r="DX650" i="1"/>
  <c r="DX652" i="1" s="1"/>
  <c r="EC650" i="1"/>
  <c r="EC652" i="1" s="1"/>
  <c r="CZ756" i="1" l="1"/>
  <c r="DX668" i="1"/>
  <c r="EB626" i="1" s="1"/>
  <c r="CZ750" i="1"/>
  <c r="CZ742" i="1"/>
  <c r="CZ748" i="1"/>
  <c r="CZ758" i="1"/>
  <c r="DX660" i="1"/>
  <c r="EB618" i="1" s="1"/>
  <c r="DX651" i="1"/>
  <c r="EB609" i="1" s="1"/>
  <c r="DX664" i="1"/>
  <c r="EB622" i="1" s="1"/>
  <c r="DX656" i="1"/>
  <c r="EB614" i="1" s="1"/>
  <c r="DX670" i="1"/>
  <c r="EB628" i="1" s="1"/>
  <c r="DX666" i="1"/>
  <c r="EB624" i="1" s="1"/>
  <c r="DX662" i="1"/>
  <c r="EB620" i="1" s="1"/>
  <c r="DX658" i="1"/>
  <c r="EB616" i="1" s="1"/>
  <c r="DX654" i="1"/>
  <c r="EB612" i="1" s="1"/>
  <c r="DY652" i="1"/>
  <c r="EB610" i="1"/>
  <c r="CZ746" i="1"/>
  <c r="CZ754" i="1"/>
  <c r="CZ738" i="1"/>
  <c r="EC671" i="1"/>
  <c r="EC669" i="1"/>
  <c r="EC667" i="1"/>
  <c r="EC665" i="1"/>
  <c r="EC663" i="1"/>
  <c r="EC661" i="1"/>
  <c r="EC659" i="1"/>
  <c r="EC657" i="1"/>
  <c r="EC655" i="1"/>
  <c r="EC653" i="1"/>
  <c r="CZ739" i="1"/>
  <c r="CZ743" i="1"/>
  <c r="CZ747" i="1"/>
  <c r="EQ751" i="1"/>
  <c r="CZ751" i="1"/>
  <c r="CZ755" i="1"/>
  <c r="EC651" i="1"/>
  <c r="EC670" i="1"/>
  <c r="EC668" i="1"/>
  <c r="EC666" i="1"/>
  <c r="EC664" i="1"/>
  <c r="EC662" i="1"/>
  <c r="EC660" i="1"/>
  <c r="EC658" i="1"/>
  <c r="EC656" i="1"/>
  <c r="EC654" i="1"/>
  <c r="DX671" i="1"/>
  <c r="DX669" i="1"/>
  <c r="EB627" i="1" s="1"/>
  <c r="DX667" i="1"/>
  <c r="DX665" i="1"/>
  <c r="EB623" i="1" s="1"/>
  <c r="DX663" i="1"/>
  <c r="DX661" i="1"/>
  <c r="EB619" i="1" s="1"/>
  <c r="DX659" i="1"/>
  <c r="DX657" i="1"/>
  <c r="EB615" i="1" s="1"/>
  <c r="DX655" i="1"/>
  <c r="DX653" i="1"/>
  <c r="CZ741" i="1"/>
  <c r="CZ745" i="1"/>
  <c r="CZ749" i="1"/>
  <c r="CZ753" i="1"/>
  <c r="CZ757" i="1"/>
  <c r="DY666" i="1" l="1"/>
  <c r="DY655" i="1"/>
  <c r="EB613" i="1"/>
  <c r="DY659" i="1"/>
  <c r="EB617" i="1"/>
  <c r="DY663" i="1"/>
  <c r="EB621" i="1"/>
  <c r="DY667" i="1"/>
  <c r="EB625" i="1"/>
  <c r="DY671" i="1"/>
  <c r="EB629" i="1"/>
  <c r="DY653" i="1"/>
  <c r="EB611" i="1"/>
  <c r="DY658" i="1"/>
  <c r="EQ757" i="1"/>
  <c r="EA757" i="1"/>
  <c r="EQ753" i="1"/>
  <c r="DZ753" i="1"/>
  <c r="EQ749" i="1"/>
  <c r="DZ749" i="1"/>
  <c r="EQ745" i="1"/>
  <c r="DZ745" i="1"/>
  <c r="EQ741" i="1"/>
  <c r="DZ741" i="1"/>
  <c r="EQ755" i="1"/>
  <c r="EA755" i="1"/>
  <c r="EQ747" i="1"/>
  <c r="DZ747" i="1"/>
  <c r="EQ743" i="1"/>
  <c r="DZ743" i="1"/>
  <c r="EQ739" i="1"/>
  <c r="DZ739" i="1"/>
  <c r="DY660" i="1"/>
  <c r="DY668" i="1"/>
  <c r="DY657" i="1"/>
  <c r="DY661" i="1"/>
  <c r="DY665" i="1"/>
  <c r="DY669" i="1"/>
  <c r="DY656" i="1"/>
  <c r="DY664" i="1"/>
  <c r="DY654" i="1"/>
  <c r="DY662" i="1"/>
  <c r="DY670" i="1"/>
  <c r="DR347" i="1" l="1"/>
  <c r="DR351" i="1"/>
  <c r="DR355" i="1"/>
  <c r="DR348" i="1"/>
  <c r="DR352" i="1"/>
  <c r="DR356" i="1"/>
  <c r="DR349" i="1"/>
  <c r="DR353" i="1"/>
  <c r="DR346" i="1"/>
  <c r="DR350" i="1"/>
  <c r="DR354" i="1"/>
  <c r="DR343" i="1" l="1"/>
  <c r="DR342" i="1"/>
  <c r="DR341" i="1"/>
  <c r="DR340" i="1"/>
  <c r="DR339" i="1"/>
  <c r="DR338" i="1"/>
  <c r="DR337" i="1"/>
  <c r="DR336" i="1"/>
  <c r="DR335" i="1"/>
  <c r="DR334" i="1"/>
  <c r="DR333" i="1"/>
  <c r="DR332" i="1"/>
  <c r="DR331" i="1"/>
  <c r="DR330" i="1"/>
  <c r="DR329" i="1"/>
  <c r="DR328" i="1"/>
  <c r="DR327" i="1"/>
  <c r="DR326" i="1"/>
  <c r="DR325" i="1"/>
  <c r="DR324" i="1"/>
  <c r="DR323" i="1"/>
  <c r="DR322" i="1"/>
  <c r="DR321" i="1"/>
  <c r="DP321" i="1"/>
  <c r="DU297" i="1"/>
  <c r="DU296" i="1"/>
  <c r="DU295" i="1"/>
  <c r="DU294" i="1"/>
  <c r="DU293" i="1"/>
  <c r="DU292" i="1"/>
  <c r="DU291" i="1"/>
  <c r="DU290" i="1"/>
  <c r="DU289" i="1"/>
  <c r="DU288" i="1"/>
  <c r="DU287" i="1"/>
  <c r="DU286" i="1"/>
  <c r="DU285" i="1"/>
  <c r="DU284" i="1"/>
  <c r="DU283" i="1"/>
  <c r="DU282" i="1"/>
  <c r="DU281" i="1"/>
  <c r="DU280" i="1"/>
  <c r="DU279" i="1"/>
  <c r="DU278" i="1"/>
  <c r="DU277" i="1"/>
  <c r="CS277" i="1"/>
  <c r="EM275" i="1" s="1"/>
  <c r="DU276" i="1"/>
  <c r="CY276" i="1"/>
  <c r="DA276" i="1"/>
  <c r="DD640" i="1" l="1"/>
  <c r="DU640" i="1" s="1"/>
  <c r="DD769" i="1"/>
  <c r="DC769" i="1" s="1"/>
  <c r="DF769" i="1" s="1"/>
  <c r="DT769" i="1" s="1"/>
  <c r="DD682" i="1"/>
  <c r="DB682" i="1" s="1"/>
  <c r="DS682" i="1" s="1"/>
  <c r="DD677" i="1"/>
  <c r="DB677" i="1" s="1"/>
  <c r="DS677" i="1" s="1"/>
  <c r="DD635" i="1"/>
  <c r="DU635" i="1" s="1"/>
  <c r="DD764" i="1"/>
  <c r="DC764" i="1" s="1"/>
  <c r="DF764" i="1" s="1"/>
  <c r="DT764" i="1" s="1"/>
  <c r="DD766" i="1"/>
  <c r="DC766" i="1" s="1"/>
  <c r="DF766" i="1" s="1"/>
  <c r="DT766" i="1" s="1"/>
  <c r="DD679" i="1"/>
  <c r="DB679" i="1" s="1"/>
  <c r="DS679" i="1" s="1"/>
  <c r="DD637" i="1"/>
  <c r="DU637" i="1" s="1"/>
  <c r="DD763" i="1"/>
  <c r="DC763" i="1" s="1"/>
  <c r="DF763" i="1" s="1"/>
  <c r="DT763" i="1" s="1"/>
  <c r="DD676" i="1"/>
  <c r="DB676" i="1" s="1"/>
  <c r="DS676" i="1" s="1"/>
  <c r="DD634" i="1"/>
  <c r="DU634" i="1" s="1"/>
  <c r="DD762" i="1"/>
  <c r="DC762" i="1" s="1"/>
  <c r="DF762" i="1" s="1"/>
  <c r="DT762" i="1" s="1"/>
  <c r="DD675" i="1"/>
  <c r="DB675" i="1" s="1"/>
  <c r="DS675" i="1" s="1"/>
  <c r="DD633" i="1"/>
  <c r="DU633" i="1" s="1"/>
  <c r="DD685" i="1"/>
  <c r="DB685" i="1" s="1"/>
  <c r="DS685" i="1" s="1"/>
  <c r="DD643" i="1"/>
  <c r="DU643" i="1" s="1"/>
  <c r="DD772" i="1"/>
  <c r="DC772" i="1" s="1"/>
  <c r="DF772" i="1" s="1"/>
  <c r="DT772" i="1" s="1"/>
  <c r="DD767" i="1"/>
  <c r="DC767" i="1" s="1"/>
  <c r="DF767" i="1" s="1"/>
  <c r="DT767" i="1" s="1"/>
  <c r="DD680" i="1"/>
  <c r="DB680" i="1" s="1"/>
  <c r="DS680" i="1" s="1"/>
  <c r="DD638" i="1"/>
  <c r="DU638" i="1" s="1"/>
  <c r="DD636" i="1"/>
  <c r="DU636" i="1" s="1"/>
  <c r="DD765" i="1"/>
  <c r="DC765" i="1" s="1"/>
  <c r="DF765" i="1" s="1"/>
  <c r="DT765" i="1" s="1"/>
  <c r="DD678" i="1"/>
  <c r="DB678" i="1" s="1"/>
  <c r="DS678" i="1" s="1"/>
  <c r="DD771" i="1"/>
  <c r="DC771" i="1" s="1"/>
  <c r="DF771" i="1" s="1"/>
  <c r="DT771" i="1" s="1"/>
  <c r="DD684" i="1"/>
  <c r="DB684" i="1" s="1"/>
  <c r="DS684" i="1" s="1"/>
  <c r="DD642" i="1"/>
  <c r="DU642" i="1" s="1"/>
  <c r="DD770" i="1"/>
  <c r="DC770" i="1" s="1"/>
  <c r="DF770" i="1" s="1"/>
  <c r="DT770" i="1" s="1"/>
  <c r="DD683" i="1"/>
  <c r="DB683" i="1" s="1"/>
  <c r="DS683" i="1" s="1"/>
  <c r="DD641" i="1"/>
  <c r="DU641" i="1" s="1"/>
  <c r="DD681" i="1"/>
  <c r="DB681" i="1" s="1"/>
  <c r="DS681" i="1" s="1"/>
  <c r="DD639" i="1"/>
  <c r="DU639" i="1" s="1"/>
  <c r="DD768" i="1"/>
  <c r="DC768" i="1" s="1"/>
  <c r="DF768" i="1" s="1"/>
  <c r="DT768" i="1" s="1"/>
  <c r="CS278" i="1"/>
  <c r="CU277" i="1"/>
  <c r="DP277" i="1" s="1"/>
  <c r="CY277" i="1" l="1"/>
  <c r="CV277" i="1"/>
  <c r="EM276" i="1"/>
  <c r="CU278" i="1"/>
  <c r="DP278" i="1" s="1"/>
  <c r="CS279" i="1"/>
  <c r="EM277" i="1" l="1"/>
  <c r="EN277" i="1" s="1"/>
  <c r="CU279" i="1"/>
  <c r="DP279" i="1" s="1"/>
  <c r="CS280" i="1"/>
  <c r="CY278" i="1"/>
  <c r="CV278" i="1"/>
  <c r="EM278" i="1" l="1"/>
  <c r="EN278" i="1" s="1"/>
  <c r="CU280" i="1"/>
  <c r="DP280" i="1" s="1"/>
  <c r="CS281" i="1"/>
  <c r="CY279" i="1"/>
  <c r="CV279" i="1"/>
  <c r="EM279" i="1" l="1"/>
  <c r="EN279" i="1" s="1"/>
  <c r="CU281" i="1"/>
  <c r="DP281" i="1" s="1"/>
  <c r="CS282" i="1"/>
  <c r="CY280" i="1"/>
  <c r="CV280" i="1"/>
  <c r="CY281" i="1" l="1"/>
  <c r="CV281" i="1"/>
  <c r="CS283" i="1"/>
  <c r="EM280" i="1"/>
  <c r="EN280" i="1" s="1"/>
  <c r="CU282" i="1"/>
  <c r="DP282" i="1" s="1"/>
  <c r="CY282" i="1" l="1"/>
  <c r="CV282" i="1"/>
  <c r="CS284" i="1"/>
  <c r="EM281" i="1"/>
  <c r="EN281" i="1" s="1"/>
  <c r="CU283" i="1"/>
  <c r="DP283" i="1" s="1"/>
  <c r="CV283" i="1" l="1"/>
  <c r="CY283" i="1"/>
  <c r="CS285" i="1"/>
  <c r="EM282" i="1"/>
  <c r="EN282" i="1" s="1"/>
  <c r="CU284" i="1"/>
  <c r="DP284" i="1" s="1"/>
  <c r="CV284" i="1" l="1"/>
  <c r="CY284" i="1"/>
  <c r="CS286" i="1"/>
  <c r="EM283" i="1"/>
  <c r="EN283" i="1" s="1"/>
  <c r="CU285" i="1"/>
  <c r="DP285" i="1" s="1"/>
  <c r="CV285" i="1" l="1"/>
  <c r="CY285" i="1"/>
  <c r="CS287" i="1"/>
  <c r="EM284" i="1"/>
  <c r="EN284" i="1" s="1"/>
  <c r="CU286" i="1"/>
  <c r="DP286" i="1" s="1"/>
  <c r="CV286" i="1" l="1"/>
  <c r="CY286" i="1"/>
  <c r="CS288" i="1"/>
  <c r="EM285" i="1"/>
  <c r="EN285" i="1" s="1"/>
  <c r="CU287" i="1"/>
  <c r="DP287" i="1" s="1"/>
  <c r="CV287" i="1" l="1"/>
  <c r="CY287" i="1"/>
  <c r="CS289" i="1"/>
  <c r="EM286" i="1"/>
  <c r="EN286" i="1" s="1"/>
  <c r="CU288" i="1"/>
  <c r="DP288" i="1" s="1"/>
  <c r="CV288" i="1" l="1"/>
  <c r="CY288" i="1"/>
  <c r="CS290" i="1"/>
  <c r="EM287" i="1"/>
  <c r="CU289" i="1"/>
  <c r="DP289" i="1" s="1"/>
  <c r="CV289" i="1" l="1"/>
  <c r="CY289" i="1"/>
  <c r="CS291" i="1"/>
  <c r="EM288" i="1"/>
  <c r="CU290" i="1"/>
  <c r="DP290" i="1" s="1"/>
  <c r="CV290" i="1" l="1"/>
  <c r="CY290" i="1"/>
  <c r="CS292" i="1"/>
  <c r="EM289" i="1"/>
  <c r="CU291" i="1"/>
  <c r="DP291" i="1" s="1"/>
  <c r="DD632" i="1" l="1"/>
  <c r="DU632" i="1" s="1"/>
  <c r="DD761" i="1"/>
  <c r="DC761" i="1" s="1"/>
  <c r="DF761" i="1" s="1"/>
  <c r="DT761" i="1" s="1"/>
  <c r="DD674" i="1"/>
  <c r="DB674" i="1" s="1"/>
  <c r="DS674" i="1" s="1"/>
  <c r="CV291" i="1"/>
  <c r="CY291" i="1"/>
  <c r="CS293" i="1"/>
  <c r="EM290" i="1"/>
  <c r="CU292" i="1"/>
  <c r="DP292" i="1" s="1"/>
  <c r="CV292" i="1" l="1"/>
  <c r="CY292" i="1"/>
  <c r="CS294" i="1"/>
  <c r="EM291" i="1"/>
  <c r="CU293" i="1"/>
  <c r="DP293" i="1" s="1"/>
  <c r="CV293" i="1" l="1"/>
  <c r="CZ293" i="1"/>
  <c r="CS295" i="1"/>
  <c r="EM292" i="1"/>
  <c r="CU294" i="1"/>
  <c r="DP294" i="1" s="1"/>
  <c r="CV294" i="1" l="1"/>
  <c r="CZ294" i="1"/>
  <c r="EM293" i="1"/>
  <c r="CS296" i="1"/>
  <c r="CS297" i="1" s="1"/>
  <c r="CU295" i="1"/>
  <c r="DP295" i="1" s="1"/>
  <c r="CS298" i="1" l="1"/>
  <c r="CU297" i="1"/>
  <c r="CV295" i="1"/>
  <c r="CZ295" i="1"/>
  <c r="EM294" i="1"/>
  <c r="CU296" i="1"/>
  <c r="DP296" i="1" s="1"/>
  <c r="CV297" i="1" l="1"/>
  <c r="CS299" i="1"/>
  <c r="EM296" i="1"/>
  <c r="CU298" i="1"/>
  <c r="CV298" i="1" s="1"/>
  <c r="EM295" i="1"/>
  <c r="DP297" i="1"/>
  <c r="CZ296" i="1"/>
  <c r="CV296" i="1"/>
  <c r="EM297" i="1" l="1"/>
  <c r="CU299" i="1"/>
  <c r="CV299" i="1" s="1"/>
  <c r="DT800" i="1"/>
  <c r="CZ297" i="1"/>
  <c r="DT801" i="1" l="1"/>
  <c r="DT802" i="1" l="1"/>
  <c r="DT803" i="1" l="1"/>
  <c r="BO92" i="1"/>
  <c r="DT804" i="1" l="1"/>
  <c r="DT805" i="1" l="1"/>
  <c r="BX124" i="8"/>
  <c r="DT806" i="1" l="1"/>
  <c r="U87" i="9"/>
  <c r="AE58" i="9" s="1"/>
  <c r="V87" i="9"/>
  <c r="AF58" i="9" s="1"/>
  <c r="U88" i="9"/>
  <c r="AE59" i="9" s="1"/>
  <c r="V88" i="9"/>
  <c r="AF59" i="9" s="1"/>
  <c r="DT807" i="1" l="1"/>
  <c r="BX61" i="8" a="1"/>
  <c r="BX61" i="8" s="1"/>
  <c r="DT808" i="1" l="1"/>
  <c r="BX82" i="8"/>
  <c r="BX80" i="8"/>
  <c r="BX78" i="8"/>
  <c r="BX76" i="8"/>
  <c r="BX74" i="8"/>
  <c r="BX72" i="8"/>
  <c r="BX70" i="8"/>
  <c r="BX68" i="8"/>
  <c r="BX66" i="8"/>
  <c r="BX64" i="8"/>
  <c r="BX62" i="8"/>
  <c r="BX81" i="8"/>
  <c r="BX79" i="8"/>
  <c r="BX77" i="8"/>
  <c r="BX75" i="8"/>
  <c r="BX73" i="8"/>
  <c r="BX71" i="8"/>
  <c r="BX69" i="8"/>
  <c r="BX67" i="8"/>
  <c r="BX65" i="8"/>
  <c r="BX63" i="8"/>
  <c r="DT809" i="1" l="1"/>
  <c r="DT810" i="1" l="1"/>
  <c r="DT811" i="1" l="1"/>
  <c r="DT813" i="1" l="1"/>
  <c r="DT812" i="1"/>
  <c r="J14" i="5" l="1" a="1"/>
  <c r="J14" i="5" s="1"/>
  <c r="J35" i="5" l="1"/>
  <c r="J33" i="5"/>
  <c r="J31" i="5"/>
  <c r="J29" i="5"/>
  <c r="J27" i="5"/>
  <c r="L27" i="5" s="1"/>
  <c r="J25" i="5"/>
  <c r="J23" i="5"/>
  <c r="J21" i="5"/>
  <c r="J19" i="5"/>
  <c r="J17" i="5"/>
  <c r="J15" i="5"/>
  <c r="J34" i="5"/>
  <c r="J32" i="5"/>
  <c r="J30" i="5"/>
  <c r="J28" i="5"/>
  <c r="J26" i="5"/>
  <c r="J24" i="5"/>
  <c r="J22" i="5"/>
  <c r="J20" i="5"/>
  <c r="J18" i="5"/>
  <c r="J16" i="5"/>
  <c r="L30" i="5" l="1"/>
  <c r="AC30" i="5"/>
  <c r="L34" i="5"/>
  <c r="AC34" i="5"/>
  <c r="L29" i="5"/>
  <c r="AC29" i="5"/>
  <c r="L33" i="5"/>
  <c r="AC33" i="5"/>
  <c r="L28" i="5"/>
  <c r="AC28" i="5"/>
  <c r="L32" i="5"/>
  <c r="AC32" i="5"/>
  <c r="L31" i="5"/>
  <c r="AC31" i="5"/>
  <c r="L35" i="5"/>
  <c r="L36" i="5" s="1"/>
  <c r="AC35" i="5"/>
  <c r="L37" i="5" l="1"/>
  <c r="L38" i="5" l="1"/>
  <c r="L39" i="5" l="1"/>
  <c r="L40" i="5" l="1"/>
  <c r="L41" i="5" l="1"/>
  <c r="L42" i="5" l="1"/>
  <c r="L43" i="5" l="1"/>
  <c r="L44" i="5" l="1"/>
  <c r="L45" i="5" l="1"/>
  <c r="L46" i="5" l="1"/>
  <c r="L47" i="5" l="1"/>
  <c r="L48" i="5" l="1"/>
  <c r="L49" i="5" l="1"/>
  <c r="BO173" i="1" l="1"/>
  <c r="Y5" i="7"/>
  <c r="HA102" i="2" l="1"/>
  <c r="HA103" i="2"/>
  <c r="HA104" i="2"/>
  <c r="HA105" i="2"/>
  <c r="HA106" i="2"/>
  <c r="HA107" i="2"/>
  <c r="HA108" i="2"/>
  <c r="HA109" i="2"/>
  <c r="HA110" i="2"/>
  <c r="HA111" i="2"/>
  <c r="HA112" i="2"/>
  <c r="HA113" i="2"/>
  <c r="HA114" i="2"/>
  <c r="HA101" i="2"/>
  <c r="Q9" i="3" l="1"/>
  <c r="R9" i="3"/>
  <c r="S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P9" i="3"/>
  <c r="O9" i="3"/>
  <c r="BT50" i="7" l="1"/>
  <c r="BT51" i="7"/>
  <c r="BT52" i="7"/>
  <c r="BT53" i="7"/>
  <c r="BT54" i="7"/>
  <c r="BT55" i="7"/>
  <c r="BT56" i="7"/>
  <c r="BT57" i="7"/>
  <c r="BT58" i="7"/>
  <c r="BT59" i="7"/>
  <c r="BT60" i="7"/>
  <c r="BT61" i="7"/>
  <c r="BT62" i="7"/>
  <c r="BT63" i="7"/>
  <c r="BT64" i="7"/>
  <c r="BT49" i="7"/>
  <c r="BW47" i="7" a="1"/>
  <c r="BW47" i="7" s="1"/>
  <c r="BW62" i="7" l="1"/>
  <c r="BW54" i="7"/>
  <c r="BW66" i="7"/>
  <c r="BY66" i="7" s="1"/>
  <c r="BW58" i="7"/>
  <c r="BW50" i="7"/>
  <c r="BW68" i="7"/>
  <c r="BY68" i="7" s="1"/>
  <c r="BW64" i="7"/>
  <c r="BW60" i="7"/>
  <c r="BW56" i="7"/>
  <c r="BW52" i="7"/>
  <c r="BW48" i="7"/>
  <c r="BW67" i="7"/>
  <c r="BY67" i="7" s="1"/>
  <c r="BW65" i="7"/>
  <c r="BY65" i="7" s="1"/>
  <c r="BW63" i="7"/>
  <c r="BW61" i="7"/>
  <c r="BW59" i="7"/>
  <c r="BW57" i="7"/>
  <c r="BW55" i="7"/>
  <c r="BW53" i="7"/>
  <c r="BW51" i="7"/>
  <c r="BW49" i="7"/>
  <c r="AB104" i="9" l="1"/>
  <c r="Z104" i="9" s="1"/>
  <c r="AB105" i="9"/>
  <c r="Z105" i="9" s="1"/>
  <c r="AB106" i="9"/>
  <c r="Z106" i="9" s="1"/>
  <c r="AB101" i="9"/>
  <c r="Z101" i="9" s="1"/>
  <c r="AB102" i="9"/>
  <c r="Z102" i="9" s="1"/>
  <c r="AB103" i="9"/>
  <c r="Z103" i="9" s="1"/>
  <c r="AB100" i="9"/>
  <c r="Z100" i="9" s="1"/>
  <c r="AB69" i="9" l="1" a="1"/>
  <c r="AB70" i="9" s="1"/>
  <c r="AB89" i="9" l="1"/>
  <c r="AB87" i="9"/>
  <c r="AB85" i="9"/>
  <c r="AB83" i="9"/>
  <c r="AB81" i="9"/>
  <c r="AB79" i="9"/>
  <c r="AB77" i="9"/>
  <c r="AB75" i="9"/>
  <c r="AB73" i="9"/>
  <c r="AB71" i="9"/>
  <c r="AB69" i="9"/>
  <c r="AB90" i="9"/>
  <c r="AB88" i="9"/>
  <c r="AB86" i="9"/>
  <c r="AB84" i="9"/>
  <c r="AB82" i="9"/>
  <c r="AB80" i="9"/>
  <c r="AB78" i="9"/>
  <c r="AB76" i="9"/>
  <c r="AB74" i="9"/>
  <c r="AB72" i="9"/>
  <c r="BD8" i="3" l="1"/>
  <c r="Y9" i="7" l="1"/>
  <c r="Y10" i="7"/>
  <c r="Y11" i="7"/>
  <c r="Y12" i="7"/>
  <c r="Y13" i="7"/>
  <c r="Y14" i="7"/>
  <c r="Y15" i="7"/>
  <c r="Y16" i="7"/>
  <c r="Y17" i="7"/>
  <c r="Y18" i="7"/>
  <c r="Y19" i="7"/>
  <c r="Y20" i="7"/>
  <c r="Y21" i="7"/>
  <c r="Y22" i="7"/>
  <c r="Y23" i="7"/>
  <c r="Y24" i="7"/>
  <c r="Y25" i="7"/>
  <c r="Y26" i="7"/>
  <c r="Y27" i="7"/>
  <c r="Y28" i="7"/>
  <c r="Y29" i="7"/>
  <c r="Y30" i="7"/>
  <c r="Y31" i="7"/>
  <c r="Y32" i="7"/>
  <c r="Y33" i="7"/>
  <c r="Y34" i="7"/>
  <c r="Y35" i="7"/>
  <c r="Y36" i="7"/>
  <c r="Y37" i="7"/>
  <c r="Y38" i="7"/>
  <c r="Y39" i="7"/>
  <c r="Y40" i="7"/>
  <c r="Y41" i="7"/>
  <c r="Y8" i="7"/>
  <c r="D9" i="7" l="1"/>
  <c r="D10" i="7"/>
  <c r="D11" i="7"/>
  <c r="D12" i="7"/>
  <c r="D13" i="7"/>
  <c r="D14" i="7"/>
  <c r="D15" i="7"/>
  <c r="D16" i="7"/>
  <c r="D17" i="7"/>
  <c r="D18" i="7"/>
  <c r="D19" i="7"/>
  <c r="D20" i="7"/>
  <c r="D21" i="7"/>
  <c r="D22" i="7"/>
  <c r="D23" i="7"/>
  <c r="D24" i="7"/>
  <c r="D25" i="7"/>
  <c r="D26" i="7"/>
  <c r="D27" i="7"/>
  <c r="D8" i="7"/>
  <c r="BD12" i="3" l="1"/>
  <c r="BD11" i="3"/>
  <c r="G6" i="7" l="1" a="1"/>
  <c r="G6" i="7" s="1"/>
  <c r="AE6" i="7" a="1"/>
  <c r="AE6" i="7" s="1"/>
  <c r="H6" i="7" a="1"/>
  <c r="H6" i="7" s="1"/>
  <c r="G25" i="7" l="1"/>
  <c r="G21" i="7"/>
  <c r="G13" i="7"/>
  <c r="AE27" i="7"/>
  <c r="AE23" i="7"/>
  <c r="AE19" i="7"/>
  <c r="AE15" i="7"/>
  <c r="AE11" i="7"/>
  <c r="AE7" i="7"/>
  <c r="G27" i="7"/>
  <c r="G23" i="7"/>
  <c r="G17" i="7"/>
  <c r="G9" i="7"/>
  <c r="AE25" i="7"/>
  <c r="AE21" i="7"/>
  <c r="AE17" i="7"/>
  <c r="AE13" i="7"/>
  <c r="AE9" i="7"/>
  <c r="G26" i="7"/>
  <c r="G24" i="7"/>
  <c r="G22" i="7"/>
  <c r="G19" i="7"/>
  <c r="G15" i="7"/>
  <c r="G11" i="7"/>
  <c r="G7" i="7"/>
  <c r="AE26" i="7"/>
  <c r="AE24" i="7"/>
  <c r="AE22" i="7"/>
  <c r="AE20" i="7"/>
  <c r="AE18" i="7"/>
  <c r="AE16" i="7"/>
  <c r="AE14" i="7"/>
  <c r="AE12" i="7"/>
  <c r="AE10" i="7"/>
  <c r="AE8" i="7"/>
  <c r="H27" i="7"/>
  <c r="H25" i="7"/>
  <c r="H23" i="7"/>
  <c r="H21" i="7"/>
  <c r="H19" i="7"/>
  <c r="H17" i="7"/>
  <c r="H15" i="7"/>
  <c r="H13" i="7"/>
  <c r="H11" i="7"/>
  <c r="H9" i="7"/>
  <c r="H7" i="7"/>
  <c r="G20" i="7"/>
  <c r="G18" i="7"/>
  <c r="G16" i="7"/>
  <c r="G14" i="7"/>
  <c r="G12" i="7"/>
  <c r="G10" i="7"/>
  <c r="G8" i="7"/>
  <c r="H26" i="7"/>
  <c r="H24" i="7"/>
  <c r="H22" i="7"/>
  <c r="H20" i="7"/>
  <c r="H18" i="7"/>
  <c r="H16" i="7"/>
  <c r="H14" i="7"/>
  <c r="H12" i="7"/>
  <c r="H10" i="7"/>
  <c r="H8" i="7"/>
  <c r="H50" i="7" l="1"/>
  <c r="H51" i="7"/>
  <c r="H52" i="7"/>
  <c r="I52" i="7" s="1"/>
  <c r="H53" i="7"/>
  <c r="I53" i="7" s="1"/>
  <c r="H54" i="7"/>
  <c r="I54" i="7" s="1"/>
  <c r="H55" i="7"/>
  <c r="I55" i="7" s="1"/>
  <c r="H56" i="7"/>
  <c r="I56" i="7" s="1"/>
  <c r="H57" i="7"/>
  <c r="I57" i="7" s="1"/>
  <c r="H58" i="7"/>
  <c r="I58" i="7" s="1"/>
  <c r="H59" i="7"/>
  <c r="I59" i="7" s="1"/>
  <c r="H60" i="7"/>
  <c r="I60" i="7" s="1"/>
  <c r="H61" i="7"/>
  <c r="I61" i="7" s="1"/>
  <c r="H62" i="7"/>
  <c r="I62" i="7" s="1"/>
  <c r="H63" i="7"/>
  <c r="I63" i="7" s="1"/>
  <c r="H64" i="7"/>
  <c r="I64" i="7" s="1"/>
  <c r="H65" i="7"/>
  <c r="I65" i="7" s="1"/>
  <c r="H66" i="7"/>
  <c r="I66" i="7" s="1"/>
  <c r="H67" i="7"/>
  <c r="I67" i="7" s="1"/>
  <c r="H68" i="7"/>
  <c r="I68" i="7" s="1"/>
  <c r="H49" i="7"/>
  <c r="ET20" i="7" l="1"/>
  <c r="ET21" i="7"/>
  <c r="ET22" i="7"/>
  <c r="ET23" i="7"/>
  <c r="ET24" i="7"/>
  <c r="ET25" i="7"/>
  <c r="ET26" i="7"/>
  <c r="ET27" i="7"/>
  <c r="ET28" i="7"/>
  <c r="ET29" i="7"/>
  <c r="ET30" i="7"/>
  <c r="ET31" i="7"/>
  <c r="ET32" i="7"/>
  <c r="ET33" i="7"/>
  <c r="ET34" i="7"/>
  <c r="ET35" i="7"/>
  <c r="ET36" i="7"/>
  <c r="ET37" i="7"/>
  <c r="ET38" i="7"/>
  <c r="ET19" i="7"/>
  <c r="ET18" i="7"/>
  <c r="DT18" i="7"/>
  <c r="DZ59" i="7" l="1"/>
  <c r="DY59" i="7" l="1"/>
  <c r="EA85" i="7" l="1"/>
  <c r="EA86" i="7"/>
  <c r="EA87" i="7"/>
  <c r="EA88" i="7"/>
  <c r="EA89" i="7"/>
  <c r="EA90" i="7"/>
  <c r="EA91" i="7"/>
  <c r="EA92" i="7"/>
  <c r="EA93" i="7"/>
  <c r="EA94" i="7"/>
  <c r="DX81" i="7"/>
  <c r="FP40" i="7" l="1"/>
  <c r="FP41" i="7"/>
  <c r="FP43" i="7" s="1"/>
  <c r="ES44" i="7" l="1"/>
  <c r="ES45" i="7"/>
  <c r="ES46" i="7"/>
  <c r="ES47" i="7"/>
  <c r="ES48" i="7"/>
  <c r="ES49" i="7"/>
  <c r="ES50" i="7"/>
  <c r="ES51" i="7"/>
  <c r="ES52" i="7"/>
  <c r="ES53" i="7"/>
  <c r="ES18" i="7"/>
  <c r="DY20" i="7" l="1"/>
  <c r="DY21" i="7"/>
  <c r="DY22" i="7"/>
  <c r="DY23" i="7"/>
  <c r="DY24" i="7"/>
  <c r="DY25" i="7"/>
  <c r="DY26" i="7"/>
  <c r="DY27" i="7"/>
  <c r="DY28" i="7"/>
  <c r="DY29" i="7"/>
  <c r="DY19" i="7"/>
  <c r="DY31" i="7"/>
  <c r="DY32" i="7"/>
  <c r="DY33" i="7"/>
  <c r="DY34" i="7"/>
  <c r="DY35" i="7"/>
  <c r="DY36" i="7"/>
  <c r="DY37" i="7"/>
  <c r="DY38" i="7"/>
  <c r="EA79" i="7" s="1"/>
  <c r="DY39" i="7"/>
  <c r="EA80" i="7" s="1"/>
  <c r="DY40" i="7"/>
  <c r="EA81" i="7" s="1"/>
  <c r="DY30" i="7"/>
  <c r="ES36" i="7" l="1"/>
  <c r="EA77" i="7"/>
  <c r="ES34" i="7"/>
  <c r="EA75" i="7"/>
  <c r="ES32" i="7"/>
  <c r="EA73" i="7"/>
  <c r="ES19" i="7"/>
  <c r="EA60" i="7"/>
  <c r="ES28" i="7"/>
  <c r="EA69" i="7"/>
  <c r="ES26" i="7"/>
  <c r="EA67" i="7"/>
  <c r="ES24" i="7"/>
  <c r="EA65" i="7"/>
  <c r="ES22" i="7"/>
  <c r="EA63" i="7"/>
  <c r="ES20" i="7"/>
  <c r="EA61" i="7"/>
  <c r="ES30" i="7"/>
  <c r="EA71" i="7"/>
  <c r="ES37" i="7"/>
  <c r="EA78" i="7"/>
  <c r="ES35" i="7"/>
  <c r="EA76" i="7"/>
  <c r="ES33" i="7"/>
  <c r="EA74" i="7"/>
  <c r="ES31" i="7"/>
  <c r="EA72" i="7"/>
  <c r="ES29" i="7"/>
  <c r="EA70" i="7"/>
  <c r="ES27" i="7"/>
  <c r="EA68" i="7"/>
  <c r="ES25" i="7"/>
  <c r="EA66" i="7"/>
  <c r="ES23" i="7"/>
  <c r="EA64" i="7"/>
  <c r="ES21" i="7"/>
  <c r="EA62" i="7"/>
  <c r="ES40" i="7"/>
  <c r="ES38" i="7"/>
  <c r="ES39" i="7"/>
  <c r="CN29" i="7"/>
  <c r="CN7" i="7"/>
  <c r="EA82" i="7" l="1"/>
  <c r="DC30" i="7"/>
  <c r="DC31" i="7" s="1"/>
  <c r="DC32" i="7" s="1"/>
  <c r="DC33" i="7" s="1"/>
  <c r="DC34" i="7" s="1"/>
  <c r="DC35" i="7" s="1"/>
  <c r="DC36" i="7" s="1"/>
  <c r="DC37" i="7" s="1"/>
  <c r="DC38" i="7" s="1"/>
  <c r="DC39" i="7" s="1"/>
  <c r="DC40" i="7" s="1"/>
  <c r="DC41" i="7" s="1"/>
  <c r="DC42" i="7" s="1"/>
  <c r="DC43" i="7" s="1"/>
  <c r="DC44" i="7" s="1"/>
  <c r="DC45" i="7" s="1"/>
  <c r="DC46" i="7" s="1"/>
  <c r="DC47" i="7" s="1"/>
  <c r="DC48" i="7" s="1"/>
  <c r="DC49" i="7" s="1"/>
  <c r="DC50" i="7" s="1"/>
  <c r="DC51" i="7" s="1"/>
  <c r="DC52" i="7" s="1"/>
  <c r="DC53" i="7" s="1"/>
  <c r="DD45" i="7"/>
  <c r="DT45" i="7" s="1"/>
  <c r="ES41" i="7" l="1"/>
  <c r="EA83" i="7"/>
  <c r="ES42" i="7" l="1"/>
  <c r="DB20" i="7"/>
  <c r="DT20" i="7" s="1"/>
  <c r="DB21" i="7"/>
  <c r="DT21" i="7" s="1"/>
  <c r="DB22" i="7"/>
  <c r="DT22" i="7" s="1"/>
  <c r="DB23" i="7"/>
  <c r="DT23" i="7" s="1"/>
  <c r="DB24" i="7"/>
  <c r="DT24" i="7" s="1"/>
  <c r="DB25" i="7"/>
  <c r="DT25" i="7" s="1"/>
  <c r="DB26" i="7"/>
  <c r="DT26" i="7" s="1"/>
  <c r="DB27" i="7"/>
  <c r="DT27" i="7" s="1"/>
  <c r="DB28" i="7"/>
  <c r="DT28" i="7" s="1"/>
  <c r="DB29" i="7"/>
  <c r="DT29" i="7" s="1"/>
  <c r="DB30" i="7"/>
  <c r="DT30" i="7" s="1"/>
  <c r="DB31" i="7"/>
  <c r="DT31" i="7" s="1"/>
  <c r="DB32" i="7"/>
  <c r="DT32" i="7" s="1"/>
  <c r="DB33" i="7"/>
  <c r="DT33" i="7" s="1"/>
  <c r="DB34" i="7"/>
  <c r="DT34" i="7" s="1"/>
  <c r="DB35" i="7"/>
  <c r="DT35" i="7" s="1"/>
  <c r="DB36" i="7"/>
  <c r="DT36" i="7" s="1"/>
  <c r="DB37" i="7"/>
  <c r="DT37" i="7" s="1"/>
  <c r="DB38" i="7"/>
  <c r="DT38" i="7" s="1"/>
  <c r="DB39" i="7"/>
  <c r="DT39" i="7" s="1"/>
  <c r="DB19" i="7"/>
  <c r="ES43" i="7" l="1"/>
  <c r="EA84" i="7"/>
  <c r="DX80" i="7"/>
  <c r="CN26" i="7"/>
  <c r="DX78" i="7"/>
  <c r="CN24" i="7"/>
  <c r="DX76" i="7"/>
  <c r="CN22" i="7"/>
  <c r="DX74" i="7"/>
  <c r="CN20" i="7"/>
  <c r="DX72" i="7"/>
  <c r="CN18" i="7"/>
  <c r="DX70" i="7"/>
  <c r="CN16" i="7"/>
  <c r="DX68" i="7"/>
  <c r="CN14" i="7"/>
  <c r="DX66" i="7"/>
  <c r="CN12" i="7"/>
  <c r="DX64" i="7"/>
  <c r="CN10" i="7"/>
  <c r="DX62" i="7"/>
  <c r="CN8" i="7"/>
  <c r="DT19" i="7"/>
  <c r="DX60" i="7"/>
  <c r="CN27" i="7"/>
  <c r="DX79" i="7"/>
  <c r="CN25" i="7"/>
  <c r="DX77" i="7"/>
  <c r="CN23" i="7"/>
  <c r="DX75" i="7"/>
  <c r="CN21" i="7"/>
  <c r="DX73" i="7"/>
  <c r="CN19" i="7"/>
  <c r="DX71" i="7"/>
  <c r="CN17" i="7"/>
  <c r="DX69" i="7"/>
  <c r="CN15" i="7"/>
  <c r="DX67" i="7"/>
  <c r="CN13" i="7"/>
  <c r="DX65" i="7"/>
  <c r="CN11" i="7"/>
  <c r="DX63" i="7"/>
  <c r="CN9" i="7"/>
  <c r="DX61" i="7"/>
  <c r="CN28" i="7"/>
  <c r="DD44" i="7"/>
  <c r="CJ28" i="7"/>
  <c r="DD46" i="7" l="1"/>
  <c r="DT46" i="7" s="1"/>
  <c r="DT44" i="7"/>
  <c r="DD47" i="7"/>
  <c r="DT47" i="7" s="1"/>
  <c r="DX82" i="7"/>
  <c r="DD48" i="7" l="1"/>
  <c r="DT48" i="7" s="1"/>
  <c r="DX83" i="7"/>
  <c r="DD49" i="7" l="1"/>
  <c r="DT49" i="7" s="1"/>
  <c r="DX84" i="7"/>
  <c r="DD50" i="7" l="1"/>
  <c r="DT50" i="7" s="1"/>
  <c r="DX85" i="7"/>
  <c r="DD51" i="7" l="1"/>
  <c r="DT51" i="7" s="1"/>
  <c r="DX86" i="7"/>
  <c r="DM68" i="9" a="1"/>
  <c r="DM68" i="9" s="1"/>
  <c r="DK68" i="9" a="1"/>
  <c r="DK68" i="9" s="1"/>
  <c r="DK83" i="9" l="1"/>
  <c r="DK91" i="9"/>
  <c r="DK75" i="9"/>
  <c r="DK87" i="9"/>
  <c r="DK79" i="9"/>
  <c r="DK71" i="9"/>
  <c r="DM83" i="9"/>
  <c r="DM91" i="9"/>
  <c r="DM75" i="9"/>
  <c r="DK93" i="9"/>
  <c r="DK89" i="9"/>
  <c r="DK85" i="9"/>
  <c r="DK81" i="9"/>
  <c r="DK77" i="9"/>
  <c r="DK73" i="9"/>
  <c r="DK69" i="9"/>
  <c r="DM87" i="9"/>
  <c r="DM79" i="9"/>
  <c r="DM71" i="9"/>
  <c r="DK92" i="9"/>
  <c r="DK90" i="9"/>
  <c r="DK88" i="9"/>
  <c r="DK86" i="9"/>
  <c r="DK84" i="9"/>
  <c r="DK82" i="9"/>
  <c r="DK80" i="9"/>
  <c r="DK78" i="9"/>
  <c r="DK76" i="9"/>
  <c r="DK74" i="9"/>
  <c r="DK72" i="9"/>
  <c r="DK70" i="9"/>
  <c r="DM93" i="9"/>
  <c r="DM89" i="9"/>
  <c r="DM85" i="9"/>
  <c r="DM81" i="9"/>
  <c r="DM77" i="9"/>
  <c r="DM73" i="9"/>
  <c r="DM69" i="9"/>
  <c r="DD52" i="7"/>
  <c r="DT52" i="7" s="1"/>
  <c r="DX87" i="7"/>
  <c r="DM92" i="9"/>
  <c r="DM90" i="9"/>
  <c r="DM88" i="9"/>
  <c r="DM86" i="9"/>
  <c r="DM84" i="9"/>
  <c r="DM82" i="9"/>
  <c r="DM80" i="9"/>
  <c r="DM78" i="9"/>
  <c r="DM76" i="9"/>
  <c r="DM74" i="9"/>
  <c r="DM72" i="9"/>
  <c r="DM70" i="9"/>
  <c r="DD53" i="7" l="1"/>
  <c r="DT53" i="7" s="1"/>
  <c r="DX88" i="7"/>
  <c r="DX89" i="7" l="1"/>
  <c r="HT94" i="2" a="1"/>
  <c r="HT94" i="2" s="1"/>
  <c r="HT91" i="2" s="1"/>
  <c r="HT113" i="2" l="1"/>
  <c r="HU113" i="2" s="1"/>
  <c r="IL113" i="2" s="1"/>
  <c r="HT109" i="2"/>
  <c r="HU109" i="2" s="1"/>
  <c r="IL109" i="2" s="1"/>
  <c r="HT105" i="2"/>
  <c r="HU105" i="2" s="1"/>
  <c r="IL105" i="2" s="1"/>
  <c r="HT101" i="2"/>
  <c r="HU101" i="2" s="1"/>
  <c r="IL101" i="2" s="1"/>
  <c r="HT97" i="2"/>
  <c r="HU97" i="2" s="1"/>
  <c r="IL97" i="2" s="1"/>
  <c r="HT115" i="2"/>
  <c r="HU115" i="2" s="1"/>
  <c r="HV115" i="2" s="1"/>
  <c r="HT111" i="2"/>
  <c r="HU111" i="2" s="1"/>
  <c r="IL111" i="2" s="1"/>
  <c r="HT107" i="2"/>
  <c r="HU107" i="2" s="1"/>
  <c r="IL107" i="2" s="1"/>
  <c r="HT103" i="2"/>
  <c r="HU103" i="2" s="1"/>
  <c r="IL103" i="2" s="1"/>
  <c r="HT99" i="2"/>
  <c r="HU99" i="2" s="1"/>
  <c r="IL99" i="2" s="1"/>
  <c r="HT95" i="2"/>
  <c r="HU95" i="2" s="1"/>
  <c r="IL95" i="2" s="1"/>
  <c r="IL115" i="2"/>
  <c r="HT114" i="2"/>
  <c r="HU114" i="2" s="1"/>
  <c r="HT112" i="2"/>
  <c r="HU112" i="2" s="1"/>
  <c r="IL112" i="2" s="1"/>
  <c r="HT110" i="2"/>
  <c r="HU110" i="2" s="1"/>
  <c r="IL110" i="2" s="1"/>
  <c r="HT108" i="2"/>
  <c r="HU108" i="2" s="1"/>
  <c r="IL108" i="2" s="1"/>
  <c r="HT106" i="2"/>
  <c r="HU106" i="2" s="1"/>
  <c r="IL106" i="2" s="1"/>
  <c r="HT104" i="2"/>
  <c r="HU104" i="2" s="1"/>
  <c r="IL104" i="2" s="1"/>
  <c r="HT102" i="2"/>
  <c r="HU102" i="2" s="1"/>
  <c r="IL102" i="2" s="1"/>
  <c r="HT100" i="2"/>
  <c r="HU100" i="2" s="1"/>
  <c r="IL100" i="2" s="1"/>
  <c r="HT98" i="2"/>
  <c r="HU98" i="2" s="1"/>
  <c r="IL98" i="2" s="1"/>
  <c r="HT96" i="2"/>
  <c r="HU96" i="2" s="1"/>
  <c r="IL96" i="2" s="1"/>
  <c r="DX90" i="7"/>
  <c r="IL114" i="2" l="1"/>
  <c r="HV114" i="2"/>
  <c r="HV116" i="2" s="1"/>
  <c r="DX91" i="7"/>
  <c r="IL116" i="2" l="1"/>
  <c r="HV117" i="2"/>
  <c r="DX92" i="7"/>
  <c r="IL117" i="2" l="1"/>
  <c r="HV118" i="2"/>
  <c r="DX93" i="7"/>
  <c r="IL118" i="2" l="1"/>
  <c r="HV119" i="2"/>
  <c r="IL119" i="2" l="1"/>
  <c r="HV120" i="2"/>
  <c r="HV121" i="2" l="1"/>
  <c r="IL120" i="2"/>
  <c r="HV122" i="2" l="1"/>
  <c r="IL121" i="2"/>
  <c r="HV123" i="2" l="1"/>
  <c r="IL122" i="2"/>
  <c r="HV124" i="2" l="1"/>
  <c r="IL123" i="2"/>
  <c r="HV125" i="2" l="1"/>
  <c r="IL124" i="2"/>
  <c r="HV126" i="2" l="1"/>
  <c r="IL125" i="2"/>
  <c r="HV127" i="2" l="1"/>
  <c r="IL126" i="2"/>
  <c r="GX93" i="2" a="1"/>
  <c r="GX93" i="2" s="1"/>
  <c r="GX114" i="2" l="1"/>
  <c r="GZ114" i="2" s="1"/>
  <c r="GX112" i="2"/>
  <c r="GZ112" i="2" s="1"/>
  <c r="GX110" i="2"/>
  <c r="GZ110" i="2" s="1"/>
  <c r="GX108" i="2"/>
  <c r="GZ108" i="2" s="1"/>
  <c r="GX106" i="2"/>
  <c r="GZ106" i="2" s="1"/>
  <c r="GX104" i="2"/>
  <c r="GZ104" i="2" s="1"/>
  <c r="GX102" i="2"/>
  <c r="GZ102" i="2" s="1"/>
  <c r="GX100" i="2"/>
  <c r="GX98" i="2"/>
  <c r="GX96" i="2"/>
  <c r="GX94" i="2"/>
  <c r="GX113" i="2"/>
  <c r="GZ113" i="2" s="1"/>
  <c r="GX111" i="2"/>
  <c r="GZ111" i="2" s="1"/>
  <c r="GX109" i="2"/>
  <c r="GZ109" i="2" s="1"/>
  <c r="GX107" i="2"/>
  <c r="GZ107" i="2" s="1"/>
  <c r="GX105" i="2"/>
  <c r="GZ105" i="2" s="1"/>
  <c r="GX103" i="2"/>
  <c r="GZ103" i="2" s="1"/>
  <c r="GX101" i="2"/>
  <c r="GZ101" i="2" s="1"/>
  <c r="GX99" i="2"/>
  <c r="GX97" i="2"/>
  <c r="GX95" i="2"/>
  <c r="HV128" i="2"/>
  <c r="IL127" i="2"/>
  <c r="HV129" i="2" l="1"/>
  <c r="IL129" i="2" s="1"/>
  <c r="IL128" i="2"/>
  <c r="P67" i="1" l="1"/>
  <c r="P68" i="1"/>
  <c r="BO133" i="1" l="1"/>
  <c r="BO78" i="1" l="1"/>
  <c r="AP209" i="1" l="1"/>
  <c r="AO204" i="1"/>
  <c r="AP204" i="1"/>
  <c r="AI63" i="2" l="1"/>
  <c r="AJ63" i="2"/>
  <c r="AK63" i="2"/>
  <c r="AK66" i="2"/>
  <c r="AI58" i="2"/>
  <c r="AJ58" i="2"/>
  <c r="AK58" i="2"/>
  <c r="AK59" i="2"/>
  <c r="AK56" i="2"/>
  <c r="AK51" i="2"/>
  <c r="AJ50" i="2"/>
  <c r="AK50" i="2"/>
  <c r="AJ46" i="2"/>
  <c r="AK46" i="2"/>
  <c r="AJ45" i="2"/>
  <c r="AK45" i="2"/>
  <c r="AJ36" i="2"/>
  <c r="AK36" i="2"/>
  <c r="AJ35" i="2"/>
  <c r="AK35" i="2"/>
  <c r="AH30" i="2"/>
  <c r="AI30" i="2"/>
  <c r="AJ30" i="2"/>
  <c r="AK30" i="2"/>
  <c r="AK16" i="2"/>
  <c r="AK15" i="2" l="1"/>
  <c r="AK65" i="2" s="1"/>
  <c r="AK67" i="2" s="1"/>
  <c r="AJ11" i="2"/>
  <c r="AK11" i="2"/>
  <c r="AK26" i="2" s="1"/>
  <c r="AJ10" i="2"/>
  <c r="AJ86" i="2" s="1"/>
  <c r="AK10" i="2"/>
  <c r="AK86" i="2" s="1"/>
  <c r="AK78" i="2" l="1"/>
  <c r="AK55" i="2"/>
  <c r="AK57" i="2" s="1"/>
  <c r="AP147" i="1" l="1"/>
  <c r="AP148" i="1"/>
  <c r="AO130" i="1" l="1"/>
  <c r="AM130" i="1"/>
  <c r="AN130" i="1"/>
  <c r="AP130" i="1"/>
  <c r="AL130" i="1"/>
  <c r="AP110" i="1" l="1"/>
  <c r="AP108" i="1"/>
  <c r="AL94" i="1" l="1"/>
  <c r="AM94" i="1"/>
  <c r="AO94" i="1"/>
  <c r="AP94" i="1"/>
  <c r="AA69" i="9" a="1"/>
  <c r="AA69" i="9" l="1"/>
  <c r="AA88" i="9"/>
  <c r="AA80" i="9"/>
  <c r="AA72" i="9"/>
  <c r="AA86" i="9"/>
  <c r="AA78" i="9"/>
  <c r="AA70" i="9"/>
  <c r="AA87" i="9"/>
  <c r="AA83" i="9"/>
  <c r="AA79" i="9"/>
  <c r="AA75" i="9"/>
  <c r="AA71" i="9"/>
  <c r="AA84" i="9"/>
  <c r="AA76" i="9"/>
  <c r="AA90" i="9"/>
  <c r="AA74" i="9"/>
  <c r="AA89" i="9"/>
  <c r="AA85" i="9"/>
  <c r="AA81" i="9"/>
  <c r="AA73" i="9"/>
  <c r="AA82" i="9"/>
  <c r="AA77" i="9"/>
  <c r="AN94" i="1"/>
  <c r="AL100" i="1"/>
  <c r="AF153" i="3" s="1"/>
  <c r="AM100" i="1"/>
  <c r="AG153" i="3" s="1"/>
  <c r="AN100" i="1"/>
  <c r="AH153" i="3" s="1"/>
  <c r="AO100" i="1"/>
  <c r="AI153" i="3" s="1"/>
  <c r="AP100" i="1"/>
  <c r="AJ153" i="3" s="1"/>
  <c r="AP125" i="1" l="1"/>
  <c r="AP169" i="1"/>
  <c r="AN125" i="1"/>
  <c r="AN169" i="1"/>
  <c r="AL125" i="1"/>
  <c r="AL169" i="1"/>
  <c r="AO125" i="1"/>
  <c r="AO169" i="1"/>
  <c r="AM125" i="1"/>
  <c r="AM169" i="1"/>
  <c r="AP104" i="1"/>
  <c r="AO104" i="1"/>
  <c r="AL66" i="1"/>
  <c r="AM66" i="1"/>
  <c r="AH20" i="2" s="1"/>
  <c r="AN66" i="1"/>
  <c r="AO66" i="1"/>
  <c r="AJ20" i="2" s="1"/>
  <c r="AJ25" i="2" s="1"/>
  <c r="AP66" i="1"/>
  <c r="AL63" i="1"/>
  <c r="AM63" i="1"/>
  <c r="AN63" i="1"/>
  <c r="AO63" i="1"/>
  <c r="AO68" i="1" s="1"/>
  <c r="AP63" i="1"/>
  <c r="AP68" i="1" s="1"/>
  <c r="AJ100" i="2" l="1"/>
  <c r="AI139" i="3"/>
  <c r="AP124" i="1"/>
  <c r="AK20" i="2"/>
  <c r="AK25" i="2" s="1"/>
  <c r="AP168" i="1"/>
  <c r="AI20" i="2"/>
  <c r="AL67" i="1"/>
  <c r="AG20" i="2"/>
  <c r="AM67" i="1"/>
  <c r="AO105" i="1"/>
  <c r="AL59" i="1"/>
  <c r="AM59" i="1"/>
  <c r="AO59" i="1"/>
  <c r="AP59" i="1"/>
  <c r="AK100" i="2" l="1"/>
  <c r="AJ139" i="3"/>
  <c r="AP90" i="1"/>
  <c r="AM90" i="1"/>
  <c r="AO90" i="1"/>
  <c r="AP105" i="1"/>
  <c r="AL90" i="1"/>
  <c r="AN90" i="1"/>
  <c r="AL55" i="1"/>
  <c r="AM55" i="1"/>
  <c r="AN55" i="1"/>
  <c r="AO55" i="1"/>
  <c r="AO57" i="1" s="1"/>
  <c r="AI143" i="3" s="1"/>
  <c r="AP55" i="1"/>
  <c r="AN57" i="1" l="1"/>
  <c r="AH143" i="3" s="1"/>
  <c r="AL57" i="1"/>
  <c r="AF143" i="3" s="1"/>
  <c r="AM57" i="1"/>
  <c r="AG143" i="3" s="1"/>
  <c r="AP57" i="1"/>
  <c r="AJ143" i="3" s="1"/>
  <c r="BO97" i="1"/>
  <c r="AQ12" i="2" l="1"/>
  <c r="AQ13" i="2"/>
  <c r="AQ14" i="2"/>
  <c r="AQ15" i="2"/>
  <c r="AQ16" i="2"/>
  <c r="AQ17" i="2"/>
  <c r="AQ18" i="2"/>
  <c r="AQ19" i="2"/>
  <c r="AQ20" i="2"/>
  <c r="AQ21" i="2"/>
  <c r="AQ22" i="2"/>
  <c r="AQ23" i="2"/>
  <c r="AQ24" i="2"/>
  <c r="AQ25" i="2"/>
  <c r="AQ26" i="2"/>
  <c r="AQ27" i="2"/>
  <c r="AQ28" i="2"/>
  <c r="AQ29" i="2"/>
  <c r="AQ30" i="2"/>
  <c r="AQ31" i="2"/>
  <c r="AQ32" i="2"/>
  <c r="AQ33" i="2"/>
  <c r="AQ34" i="2"/>
  <c r="AQ35" i="2"/>
  <c r="AQ36" i="2"/>
  <c r="AQ37" i="2"/>
  <c r="AQ38" i="2"/>
  <c r="AQ39" i="2"/>
  <c r="AQ40" i="2"/>
  <c r="AQ41" i="2"/>
  <c r="AQ42" i="2"/>
  <c r="AQ43" i="2"/>
  <c r="AQ44" i="2"/>
  <c r="AQ45" i="2"/>
  <c r="AQ46" i="2"/>
  <c r="AQ47" i="2"/>
  <c r="AQ48" i="2"/>
  <c r="AQ49" i="2"/>
  <c r="AQ50" i="2"/>
  <c r="AQ51" i="2"/>
  <c r="AQ52" i="2"/>
  <c r="AQ53" i="2"/>
  <c r="AQ54" i="2"/>
  <c r="AQ55" i="2"/>
  <c r="AQ56" i="2"/>
  <c r="AQ57" i="2"/>
  <c r="AQ58" i="2"/>
  <c r="AQ59" i="2"/>
  <c r="AQ60" i="2"/>
  <c r="AQ61" i="2"/>
  <c r="AQ62" i="2"/>
  <c r="AQ66" i="2"/>
  <c r="AQ63" i="2"/>
  <c r="AQ86" i="2"/>
  <c r="AQ87" i="2"/>
  <c r="AQ88" i="2"/>
  <c r="AQ89" i="2"/>
  <c r="AQ90" i="2"/>
  <c r="AQ92" i="2"/>
  <c r="AQ93" i="2"/>
  <c r="AQ94" i="2"/>
  <c r="AQ95" i="2"/>
  <c r="AQ96" i="2"/>
  <c r="AQ97" i="2"/>
  <c r="AQ98" i="2"/>
  <c r="AQ99" i="2"/>
  <c r="AQ100" i="2"/>
  <c r="AQ101" i="2"/>
  <c r="AQ11" i="2"/>
  <c r="AQ10" i="2"/>
  <c r="BU60" i="8" l="1"/>
  <c r="J60" i="8"/>
  <c r="CQ68" i="9" a="1"/>
  <c r="CQ71" i="9" s="1"/>
  <c r="CO67" i="9"/>
  <c r="CP68" i="9" a="1"/>
  <c r="CP71" i="9" s="1"/>
  <c r="AJ51" i="2"/>
  <c r="AJ26" i="2"/>
  <c r="AJ56" i="2"/>
  <c r="AJ66" i="2"/>
  <c r="AJ59" i="2"/>
  <c r="AJ16" i="2"/>
  <c r="BO110" i="1"/>
  <c r="E65" i="8" a="1"/>
  <c r="E68" i="8" s="1"/>
  <c r="C64" i="8"/>
  <c r="AO209" i="1"/>
  <c r="AO148" i="1"/>
  <c r="AO147" i="1"/>
  <c r="AM118" i="1"/>
  <c r="AN118" i="1"/>
  <c r="AO118" i="1"/>
  <c r="CO60" i="8"/>
  <c r="AL110" i="1"/>
  <c r="AM110" i="1"/>
  <c r="AN110" i="1"/>
  <c r="AO110" i="1"/>
  <c r="AM104" i="1"/>
  <c r="AO168" i="1"/>
  <c r="CR61" i="8" a="1"/>
  <c r="CR62" i="8" s="1"/>
  <c r="CD136" i="2" a="1"/>
  <c r="CD143" i="2" s="1"/>
  <c r="L83" i="8"/>
  <c r="L84" i="8" s="1"/>
  <c r="L85" i="8" s="1"/>
  <c r="L86" i="8" s="1"/>
  <c r="L87" i="8" s="1"/>
  <c r="L88" i="8" s="1"/>
  <c r="L89" i="8" s="1"/>
  <c r="L90" i="8" s="1"/>
  <c r="L91" i="8" s="1"/>
  <c r="L92" i="8" s="1"/>
  <c r="L93" i="8" s="1"/>
  <c r="L94" i="8" s="1"/>
  <c r="L95" i="8" s="1"/>
  <c r="L96" i="8" s="1"/>
  <c r="L82" i="8"/>
  <c r="D65" i="8" a="1"/>
  <c r="D65" i="8" s="1"/>
  <c r="BS79" i="8"/>
  <c r="BT81" i="8" s="1"/>
  <c r="AX83" i="8"/>
  <c r="AX84" i="8"/>
  <c r="AX85" i="8"/>
  <c r="AX86" i="8"/>
  <c r="AX88" i="8"/>
  <c r="AX93" i="8"/>
  <c r="AX82" i="8"/>
  <c r="CN101" i="8"/>
  <c r="AO108" i="1"/>
  <c r="CJ14" i="7" l="1"/>
  <c r="CV143" i="2"/>
  <c r="DX94" i="7"/>
  <c r="AN104" i="1"/>
  <c r="D80" i="8"/>
  <c r="D72" i="8"/>
  <c r="E80" i="8"/>
  <c r="CP83" i="9"/>
  <c r="CP75" i="9"/>
  <c r="CR76" i="8"/>
  <c r="CQ83" i="9"/>
  <c r="CR83" i="9" s="1"/>
  <c r="CD155" i="2"/>
  <c r="CV155" i="2" s="1"/>
  <c r="D84" i="8"/>
  <c r="D76" i="8"/>
  <c r="D68" i="8"/>
  <c r="CP87" i="9"/>
  <c r="CP79" i="9"/>
  <c r="CQ75" i="9"/>
  <c r="CD147" i="2"/>
  <c r="AL104" i="1"/>
  <c r="E72" i="8"/>
  <c r="D82" i="8"/>
  <c r="D78" i="8"/>
  <c r="D74" i="8"/>
  <c r="D70" i="8"/>
  <c r="D66" i="8"/>
  <c r="CR68" i="8"/>
  <c r="CD151" i="2"/>
  <c r="CR80" i="8"/>
  <c r="CR72" i="8"/>
  <c r="CR64" i="8"/>
  <c r="D85" i="8"/>
  <c r="D83" i="8"/>
  <c r="D81" i="8"/>
  <c r="D79" i="8"/>
  <c r="D77" i="8"/>
  <c r="D75" i="8"/>
  <c r="D73" i="8"/>
  <c r="D71" i="8"/>
  <c r="D69" i="8"/>
  <c r="D67" i="8"/>
  <c r="CR78" i="8"/>
  <c r="CR74" i="8"/>
  <c r="CR70" i="8"/>
  <c r="CR66" i="8"/>
  <c r="E84" i="8"/>
  <c r="E76" i="8"/>
  <c r="CQ87" i="9"/>
  <c r="CR87" i="9" s="1"/>
  <c r="CQ79" i="9"/>
  <c r="CD136" i="2"/>
  <c r="CD137" i="2"/>
  <c r="CD141" i="2"/>
  <c r="CD144" i="2"/>
  <c r="CD146" i="2"/>
  <c r="CD148" i="2"/>
  <c r="CD150" i="2"/>
  <c r="CD152" i="2"/>
  <c r="CD154" i="2"/>
  <c r="CD156" i="2"/>
  <c r="CV156" i="2" s="1"/>
  <c r="E65" i="8"/>
  <c r="E67" i="8"/>
  <c r="E69" i="8"/>
  <c r="E71" i="8"/>
  <c r="E73" i="8"/>
  <c r="E75" i="8"/>
  <c r="E77" i="8"/>
  <c r="E79" i="8"/>
  <c r="E81" i="8"/>
  <c r="E83" i="8"/>
  <c r="E85" i="8"/>
  <c r="CP68" i="9"/>
  <c r="CP70" i="9"/>
  <c r="CP72" i="9"/>
  <c r="CP74" i="9"/>
  <c r="CP76" i="9"/>
  <c r="CP78" i="9"/>
  <c r="CP80" i="9"/>
  <c r="CP82" i="9"/>
  <c r="CP84" i="9"/>
  <c r="CP86" i="9"/>
  <c r="CP88" i="9"/>
  <c r="CD153" i="2"/>
  <c r="CD149" i="2"/>
  <c r="CD145" i="2"/>
  <c r="CD139" i="2"/>
  <c r="CR61" i="8"/>
  <c r="CR63" i="8"/>
  <c r="CR65" i="8"/>
  <c r="CR67" i="8"/>
  <c r="CR69" i="8"/>
  <c r="CR71" i="8"/>
  <c r="CR73" i="8"/>
  <c r="CR75" i="8"/>
  <c r="CR77" i="8"/>
  <c r="CR79" i="8"/>
  <c r="CR81" i="8"/>
  <c r="CT81" i="8" s="1"/>
  <c r="E82" i="8"/>
  <c r="E78" i="8"/>
  <c r="E74" i="8"/>
  <c r="E70" i="8"/>
  <c r="E66" i="8"/>
  <c r="CP85" i="9"/>
  <c r="CP81" i="9"/>
  <c r="CP77" i="9"/>
  <c r="CP73" i="9"/>
  <c r="CP69" i="9"/>
  <c r="CD142" i="2"/>
  <c r="CD140" i="2"/>
  <c r="CD138" i="2"/>
  <c r="AO124" i="1"/>
  <c r="CQ68" i="9"/>
  <c r="CQ70" i="9"/>
  <c r="CQ72" i="9"/>
  <c r="CQ74" i="9"/>
  <c r="CQ76" i="9"/>
  <c r="CQ78" i="9"/>
  <c r="CQ80" i="9"/>
  <c r="CQ82" i="9"/>
  <c r="CR82" i="9" s="1"/>
  <c r="CQ84" i="9"/>
  <c r="CR84" i="9" s="1"/>
  <c r="CQ86" i="9"/>
  <c r="CR86" i="9" s="1"/>
  <c r="CQ88" i="9"/>
  <c r="CR88" i="9" s="1"/>
  <c r="CQ85" i="9"/>
  <c r="CR85" i="9" s="1"/>
  <c r="CQ81" i="9"/>
  <c r="CQ77" i="9"/>
  <c r="CQ73" i="9"/>
  <c r="CQ69" i="9"/>
  <c r="AX61" i="8" a="1"/>
  <c r="AX61" i="8" s="1"/>
  <c r="AM204" i="1"/>
  <c r="AN204" i="1"/>
  <c r="O15" i="3" l="1" a="1"/>
  <c r="CJ9" i="7"/>
  <c r="CV138" i="2"/>
  <c r="CJ13" i="7"/>
  <c r="CV142" i="2"/>
  <c r="CJ10" i="7"/>
  <c r="CV139" i="2"/>
  <c r="CJ20" i="7"/>
  <c r="CV149" i="2"/>
  <c r="CJ23" i="7"/>
  <c r="CV152" i="2"/>
  <c r="CJ19" i="7"/>
  <c r="CV148" i="2"/>
  <c r="CJ15" i="7"/>
  <c r="CV144" i="2"/>
  <c r="CV137" i="2"/>
  <c r="CY137" i="2"/>
  <c r="CJ11" i="7"/>
  <c r="CV140" i="2"/>
  <c r="CJ16" i="7"/>
  <c r="CV145" i="2"/>
  <c r="CJ24" i="7"/>
  <c r="CV153" i="2"/>
  <c r="CJ25" i="7"/>
  <c r="CV154" i="2"/>
  <c r="CJ21" i="7"/>
  <c r="CV150" i="2"/>
  <c r="CJ17" i="7"/>
  <c r="CV146" i="2"/>
  <c r="CJ12" i="7"/>
  <c r="CV141" i="2"/>
  <c r="CJ7" i="7"/>
  <c r="CV136" i="2"/>
  <c r="CJ22" i="7"/>
  <c r="CV151" i="2"/>
  <c r="CJ18" i="7"/>
  <c r="CV147" i="2"/>
  <c r="CJ27" i="7"/>
  <c r="CJ26" i="7"/>
  <c r="CJ8" i="7"/>
  <c r="AX80" i="8"/>
  <c r="AX78" i="8"/>
  <c r="AX76" i="8"/>
  <c r="AX74" i="8"/>
  <c r="AX72" i="8"/>
  <c r="AX70" i="8"/>
  <c r="AX68" i="8"/>
  <c r="AX66" i="8"/>
  <c r="AX64" i="8"/>
  <c r="AX62" i="8"/>
  <c r="AX81" i="8"/>
  <c r="AX79" i="8"/>
  <c r="AX77" i="8"/>
  <c r="AX75" i="8"/>
  <c r="AX73" i="8"/>
  <c r="AX71" i="8"/>
  <c r="AX69" i="8"/>
  <c r="AX67" i="8"/>
  <c r="AX65" i="8"/>
  <c r="AX63" i="8"/>
  <c r="EB39" i="7"/>
  <c r="O15" i="3" l="1"/>
  <c r="P15" i="3"/>
  <c r="P14" i="3" s="1"/>
  <c r="T15" i="3"/>
  <c r="X15" i="3"/>
  <c r="AB15" i="3"/>
  <c r="AF15" i="3"/>
  <c r="AJ15" i="3"/>
  <c r="R15" i="3"/>
  <c r="V15" i="3"/>
  <c r="Z15" i="3"/>
  <c r="AD15" i="3"/>
  <c r="AH15" i="3"/>
  <c r="AL15" i="3"/>
  <c r="AI15" i="3"/>
  <c r="AE15" i="3"/>
  <c r="AA15" i="3"/>
  <c r="W15" i="3"/>
  <c r="S15" i="3"/>
  <c r="AK15" i="3"/>
  <c r="AG15" i="3"/>
  <c r="AC15" i="3"/>
  <c r="Y15" i="3"/>
  <c r="U15" i="3"/>
  <c r="Q15" i="3"/>
  <c r="CY138" i="2"/>
  <c r="GD9" i="2"/>
  <c r="DR137" i="2"/>
  <c r="FI228" i="1" s="1"/>
  <c r="DW60" i="7"/>
  <c r="EB40" i="7"/>
  <c r="ET39" i="7"/>
  <c r="V133" i="1"/>
  <c r="W133" i="1" s="1"/>
  <c r="X133" i="1" s="1"/>
  <c r="Y133" i="1" s="1"/>
  <c r="Z133" i="1" s="1"/>
  <c r="AA133" i="1" s="1"/>
  <c r="AB133" i="1" s="1"/>
  <c r="AC133" i="1" s="1"/>
  <c r="AD133" i="1" s="1"/>
  <c r="DK81" i="8"/>
  <c r="DK60" i="8"/>
  <c r="CP61" i="8" a="1"/>
  <c r="CP61" i="8" s="1"/>
  <c r="M195" i="12"/>
  <c r="BO72" i="1"/>
  <c r="BO73" i="1"/>
  <c r="BO74" i="1"/>
  <c r="BO75" i="1"/>
  <c r="BO76" i="1"/>
  <c r="BO71" i="1"/>
  <c r="AW195" i="12"/>
  <c r="O98" i="12"/>
  <c r="P98" i="12"/>
  <c r="Q98" i="12"/>
  <c r="R98" i="12"/>
  <c r="S98" i="12"/>
  <c r="T98" i="12"/>
  <c r="U98" i="12"/>
  <c r="V98" i="12"/>
  <c r="W98" i="12"/>
  <c r="X98" i="12"/>
  <c r="Y98" i="12"/>
  <c r="Z98" i="12"/>
  <c r="AA98" i="12"/>
  <c r="AB98" i="12"/>
  <c r="AC98" i="12"/>
  <c r="AD98" i="12"/>
  <c r="AE98" i="12"/>
  <c r="AF98" i="12"/>
  <c r="AG98" i="12"/>
  <c r="AH98" i="12"/>
  <c r="AI98" i="12"/>
  <c r="AJ98" i="12"/>
  <c r="AK98" i="12"/>
  <c r="AL98" i="12"/>
  <c r="AM98" i="12"/>
  <c r="AN98" i="12"/>
  <c r="AO98" i="12"/>
  <c r="AP98" i="12"/>
  <c r="AQ98" i="12"/>
  <c r="AR98" i="12"/>
  <c r="AS98" i="12"/>
  <c r="AT98" i="12"/>
  <c r="AU98" i="12"/>
  <c r="AV98" i="12"/>
  <c r="O99" i="12"/>
  <c r="P99" i="12"/>
  <c r="Q99" i="12"/>
  <c r="R99" i="12"/>
  <c r="S99" i="12"/>
  <c r="T99" i="12"/>
  <c r="U99" i="12"/>
  <c r="V99" i="12"/>
  <c r="W99" i="12"/>
  <c r="X99" i="12"/>
  <c r="Y99" i="12"/>
  <c r="Z99" i="12"/>
  <c r="AA99" i="12"/>
  <c r="AB99" i="12"/>
  <c r="AC99" i="12"/>
  <c r="AD99" i="12"/>
  <c r="AE99" i="12"/>
  <c r="AF99" i="12"/>
  <c r="AG99" i="12"/>
  <c r="AH99" i="12"/>
  <c r="AI99" i="12"/>
  <c r="AJ99" i="12"/>
  <c r="AK99" i="12"/>
  <c r="AL99" i="12"/>
  <c r="AM99" i="12"/>
  <c r="AN99" i="12"/>
  <c r="AO99" i="12"/>
  <c r="AP99" i="12"/>
  <c r="AQ99" i="12"/>
  <c r="AR99" i="12"/>
  <c r="AS99" i="12"/>
  <c r="AT99" i="12"/>
  <c r="AU99" i="12"/>
  <c r="AV99" i="12"/>
  <c r="O100" i="12"/>
  <c r="P100" i="12"/>
  <c r="Q100" i="12"/>
  <c r="R100" i="12"/>
  <c r="S100" i="12"/>
  <c r="T100" i="12"/>
  <c r="U100" i="12"/>
  <c r="V100" i="12"/>
  <c r="W100" i="12"/>
  <c r="X100" i="12"/>
  <c r="Y100" i="12"/>
  <c r="Z100" i="12"/>
  <c r="AA100" i="12"/>
  <c r="AB100" i="12"/>
  <c r="AC100" i="12"/>
  <c r="AD100" i="12"/>
  <c r="AE100" i="12"/>
  <c r="AF100" i="12"/>
  <c r="AG100" i="12"/>
  <c r="AH100" i="12"/>
  <c r="AI100" i="12"/>
  <c r="AJ100" i="12"/>
  <c r="AK100" i="12"/>
  <c r="AL100" i="12"/>
  <c r="AM100" i="12"/>
  <c r="AN100" i="12"/>
  <c r="AO100" i="12"/>
  <c r="AP100" i="12"/>
  <c r="AQ100" i="12"/>
  <c r="AR100" i="12"/>
  <c r="AS100" i="12"/>
  <c r="AT100" i="12"/>
  <c r="AU100" i="12"/>
  <c r="AV100" i="12"/>
  <c r="O110" i="12"/>
  <c r="P110" i="12"/>
  <c r="Q110" i="12"/>
  <c r="R110" i="12"/>
  <c r="S110" i="12"/>
  <c r="T110" i="12"/>
  <c r="U110" i="12"/>
  <c r="V110" i="12"/>
  <c r="W110" i="12"/>
  <c r="X110" i="12"/>
  <c r="Y110" i="12"/>
  <c r="Z110" i="12"/>
  <c r="AA110" i="12"/>
  <c r="AB110" i="12"/>
  <c r="AC110" i="12"/>
  <c r="AD110" i="12"/>
  <c r="AE110" i="12"/>
  <c r="AF110" i="12"/>
  <c r="AG110" i="12"/>
  <c r="AH110" i="12"/>
  <c r="AI110" i="12"/>
  <c r="AJ110" i="12"/>
  <c r="AK110" i="12"/>
  <c r="AL110" i="12"/>
  <c r="AM110" i="12"/>
  <c r="AN110" i="12"/>
  <c r="AO110" i="12"/>
  <c r="AP110" i="12"/>
  <c r="AQ110" i="12"/>
  <c r="AR110" i="12"/>
  <c r="AS110" i="12"/>
  <c r="AT110" i="12"/>
  <c r="AU110" i="12"/>
  <c r="AV110" i="12"/>
  <c r="O111" i="12"/>
  <c r="P111" i="12"/>
  <c r="Q111" i="12"/>
  <c r="R111" i="12"/>
  <c r="S111" i="12"/>
  <c r="T111" i="12"/>
  <c r="U111" i="12"/>
  <c r="V111" i="12"/>
  <c r="W111" i="12"/>
  <c r="X111" i="12"/>
  <c r="Y111" i="12"/>
  <c r="Z111" i="12"/>
  <c r="AA111" i="12"/>
  <c r="AB111" i="12"/>
  <c r="AC111" i="12"/>
  <c r="AD111" i="12"/>
  <c r="AE111" i="12"/>
  <c r="AF111" i="12"/>
  <c r="AG111" i="12"/>
  <c r="AH111" i="12"/>
  <c r="AI111" i="12"/>
  <c r="AJ111" i="12"/>
  <c r="AK111" i="12"/>
  <c r="AL111" i="12"/>
  <c r="AM111" i="12"/>
  <c r="AN111" i="12"/>
  <c r="AO111" i="12"/>
  <c r="AP111" i="12"/>
  <c r="AQ111" i="12"/>
  <c r="AR111" i="12"/>
  <c r="AS111" i="12"/>
  <c r="AT111" i="12"/>
  <c r="AU111" i="12"/>
  <c r="AV111" i="12"/>
  <c r="O112" i="12"/>
  <c r="P112" i="12"/>
  <c r="Q112" i="12"/>
  <c r="R112" i="12"/>
  <c r="S112" i="12"/>
  <c r="T112" i="12"/>
  <c r="U112" i="12"/>
  <c r="V112" i="12"/>
  <c r="W112" i="12"/>
  <c r="X112" i="12"/>
  <c r="Y112" i="12"/>
  <c r="Z112" i="12"/>
  <c r="AA112" i="12"/>
  <c r="AB112" i="12"/>
  <c r="AC112" i="12"/>
  <c r="AD112" i="12"/>
  <c r="AE112" i="12"/>
  <c r="AF112" i="12"/>
  <c r="AG112" i="12"/>
  <c r="AH112" i="12"/>
  <c r="AI112" i="12"/>
  <c r="AJ112" i="12"/>
  <c r="AK112" i="12"/>
  <c r="AL112" i="12"/>
  <c r="AM112" i="12"/>
  <c r="AN112" i="12"/>
  <c r="AO112" i="12"/>
  <c r="AP112" i="12"/>
  <c r="AQ112" i="12"/>
  <c r="AR112" i="12"/>
  <c r="AS112" i="12"/>
  <c r="AT112" i="12"/>
  <c r="AU112" i="12"/>
  <c r="AV112" i="12"/>
  <c r="O122" i="12"/>
  <c r="P122" i="12"/>
  <c r="Q122" i="12"/>
  <c r="R122" i="12"/>
  <c r="S122" i="12"/>
  <c r="T122" i="12"/>
  <c r="U122" i="12"/>
  <c r="V122" i="12"/>
  <c r="W122" i="12"/>
  <c r="X122" i="12"/>
  <c r="Y122" i="12"/>
  <c r="Z122" i="12"/>
  <c r="AA122" i="12"/>
  <c r="AB122" i="12"/>
  <c r="AC122" i="12"/>
  <c r="AD122" i="12"/>
  <c r="AE122" i="12"/>
  <c r="AF122" i="12"/>
  <c r="AG122" i="12"/>
  <c r="AH122" i="12"/>
  <c r="AI122" i="12"/>
  <c r="AJ122" i="12"/>
  <c r="AK122" i="12"/>
  <c r="AL122" i="12"/>
  <c r="AM122" i="12"/>
  <c r="AN122" i="12"/>
  <c r="AO122" i="12"/>
  <c r="AP122" i="12"/>
  <c r="AQ122" i="12"/>
  <c r="AR122" i="12"/>
  <c r="AS122" i="12"/>
  <c r="AT122" i="12"/>
  <c r="AU122" i="12"/>
  <c r="AV122" i="12"/>
  <c r="U123" i="12"/>
  <c r="V123" i="12"/>
  <c r="W123" i="12"/>
  <c r="X123" i="12"/>
  <c r="Y123" i="12"/>
  <c r="Z123" i="12"/>
  <c r="AA123" i="12"/>
  <c r="AB123" i="12"/>
  <c r="AC123" i="12"/>
  <c r="AD123" i="12"/>
  <c r="AE123" i="12"/>
  <c r="AF123" i="12"/>
  <c r="AG123" i="12"/>
  <c r="AH123" i="12"/>
  <c r="AI123" i="12"/>
  <c r="AJ123" i="12"/>
  <c r="AK123" i="12"/>
  <c r="AL123" i="12"/>
  <c r="AM123" i="12"/>
  <c r="AN123" i="12"/>
  <c r="AO123" i="12"/>
  <c r="AP123" i="12"/>
  <c r="AQ123" i="12"/>
  <c r="AR123" i="12"/>
  <c r="AS123" i="12"/>
  <c r="AT123" i="12"/>
  <c r="AU123" i="12"/>
  <c r="AV123" i="12"/>
  <c r="O124" i="12"/>
  <c r="P124" i="12"/>
  <c r="Q124" i="12"/>
  <c r="R124" i="12"/>
  <c r="S124" i="12"/>
  <c r="T124" i="12"/>
  <c r="U124" i="12"/>
  <c r="V124" i="12"/>
  <c r="W124" i="12"/>
  <c r="X124" i="12"/>
  <c r="Y124" i="12"/>
  <c r="Z124" i="12"/>
  <c r="AA124" i="12"/>
  <c r="AB124" i="12"/>
  <c r="AC124" i="12"/>
  <c r="AD124" i="12"/>
  <c r="AE124" i="12"/>
  <c r="AF124" i="12"/>
  <c r="AG124" i="12"/>
  <c r="AH124" i="12"/>
  <c r="AI124" i="12"/>
  <c r="AJ124" i="12"/>
  <c r="AK124" i="12"/>
  <c r="AL124" i="12"/>
  <c r="AM124" i="12"/>
  <c r="AN124" i="12"/>
  <c r="AO124" i="12"/>
  <c r="AP124" i="12"/>
  <c r="AQ124" i="12"/>
  <c r="AR124" i="12"/>
  <c r="AS124" i="12"/>
  <c r="AT124" i="12"/>
  <c r="AU124" i="12"/>
  <c r="AV124" i="12"/>
  <c r="N99" i="12"/>
  <c r="N100" i="12"/>
  <c r="N110" i="12"/>
  <c r="N111" i="12"/>
  <c r="N112" i="12"/>
  <c r="N122" i="12"/>
  <c r="N124" i="12"/>
  <c r="O72" i="12"/>
  <c r="P72" i="12"/>
  <c r="Q72" i="12"/>
  <c r="R72" i="12"/>
  <c r="S72" i="12"/>
  <c r="T72" i="12"/>
  <c r="U72" i="12"/>
  <c r="V72" i="12"/>
  <c r="W72" i="12"/>
  <c r="X72" i="12"/>
  <c r="Y72" i="12"/>
  <c r="Z72" i="12"/>
  <c r="AA72" i="12"/>
  <c r="AB72" i="12"/>
  <c r="AC72" i="12"/>
  <c r="AD72" i="12"/>
  <c r="AE72" i="12"/>
  <c r="AF72" i="12"/>
  <c r="AG72" i="12"/>
  <c r="AH72" i="12"/>
  <c r="AI72" i="12"/>
  <c r="AJ72" i="12"/>
  <c r="AK72" i="12"/>
  <c r="AL72" i="12"/>
  <c r="AM72" i="12"/>
  <c r="AN72" i="12"/>
  <c r="AO72" i="12"/>
  <c r="AP72" i="12"/>
  <c r="AQ72" i="12"/>
  <c r="AR72" i="12"/>
  <c r="AS72" i="12"/>
  <c r="AT72" i="12"/>
  <c r="AU72" i="12"/>
  <c r="AV72" i="12"/>
  <c r="N71" i="12"/>
  <c r="N72" i="12"/>
  <c r="N98" i="12"/>
  <c r="O71" i="12"/>
  <c r="P71" i="12"/>
  <c r="Q71" i="12"/>
  <c r="R71" i="12"/>
  <c r="S71" i="12"/>
  <c r="T71" i="12"/>
  <c r="U71" i="12"/>
  <c r="V71" i="12"/>
  <c r="W71" i="12"/>
  <c r="X71" i="12"/>
  <c r="Y71" i="12"/>
  <c r="Z71" i="12"/>
  <c r="AA71" i="12"/>
  <c r="AB71" i="12"/>
  <c r="AC71" i="12"/>
  <c r="AD71" i="12"/>
  <c r="AE71" i="12"/>
  <c r="AF71" i="12"/>
  <c r="AG71" i="12"/>
  <c r="AH71" i="12"/>
  <c r="AI71" i="12"/>
  <c r="AJ71" i="12"/>
  <c r="AK71" i="12"/>
  <c r="AL71" i="12"/>
  <c r="AM71" i="12"/>
  <c r="AN71" i="12"/>
  <c r="AO71" i="12"/>
  <c r="AP71" i="12"/>
  <c r="AQ71" i="12"/>
  <c r="AR71" i="12"/>
  <c r="AS71" i="12"/>
  <c r="AT71" i="12"/>
  <c r="AU71" i="12"/>
  <c r="AV71" i="12"/>
  <c r="C6" i="13"/>
  <c r="C5" i="13"/>
  <c r="D4" i="13"/>
  <c r="C4" i="13"/>
  <c r="Q14" i="3" l="1"/>
  <c r="P149" i="3"/>
  <c r="P120" i="3"/>
  <c r="DF779" i="1"/>
  <c r="GW6" i="2"/>
  <c r="DO414" i="1"/>
  <c r="DV137" i="2"/>
  <c r="CY230" i="1"/>
  <c r="CW230" i="1" s="1"/>
  <c r="DM322" i="1"/>
  <c r="DP322" i="1" s="1"/>
  <c r="CX137" i="1"/>
  <c r="DR185" i="1"/>
  <c r="CV53" i="1"/>
  <c r="EH10" i="1"/>
  <c r="HX135" i="2"/>
  <c r="CW93" i="1"/>
  <c r="FE94" i="1" s="1"/>
  <c r="GD10" i="2"/>
  <c r="DR138" i="2"/>
  <c r="FI229" i="1" s="1"/>
  <c r="CY139" i="2"/>
  <c r="DZ60" i="7"/>
  <c r="DY60" i="7"/>
  <c r="DW61" i="7"/>
  <c r="EB41" i="7"/>
  <c r="ET40" i="7"/>
  <c r="CP76" i="8"/>
  <c r="CP68" i="8"/>
  <c r="CP73" i="8"/>
  <c r="CP65" i="8"/>
  <c r="CP80" i="8"/>
  <c r="CP72" i="8"/>
  <c r="CP64" i="8"/>
  <c r="CP77" i="8"/>
  <c r="CP69" i="8"/>
  <c r="CP62" i="8"/>
  <c r="CP66" i="8"/>
  <c r="CP70" i="8"/>
  <c r="CP74" i="8"/>
  <c r="CP78" i="8"/>
  <c r="CP63" i="8"/>
  <c r="CP67" i="8"/>
  <c r="CP71" i="8"/>
  <c r="CP75" i="8"/>
  <c r="CP79" i="8"/>
  <c r="R14" i="3" l="1"/>
  <c r="Q149" i="3"/>
  <c r="Q120" i="3"/>
  <c r="DF780" i="1"/>
  <c r="GW7" i="2"/>
  <c r="DO415" i="1"/>
  <c r="DV138" i="2"/>
  <c r="CY231" i="1"/>
  <c r="CW231" i="1" s="1"/>
  <c r="DM323" i="1"/>
  <c r="DP323" i="1" s="1"/>
  <c r="CX138" i="1"/>
  <c r="DR186" i="1"/>
  <c r="CV54" i="1"/>
  <c r="EH11" i="1"/>
  <c r="HX136" i="2"/>
  <c r="CW94" i="1"/>
  <c r="FE95" i="1" s="1"/>
  <c r="GD11" i="2"/>
  <c r="CY140" i="2"/>
  <c r="DR139" i="2"/>
  <c r="FI230" i="1" s="1"/>
  <c r="DZ61" i="7"/>
  <c r="DY61" i="7"/>
  <c r="DW62" i="7"/>
  <c r="EB42" i="7"/>
  <c r="ET41" i="7"/>
  <c r="N135" i="12"/>
  <c r="N136" i="12"/>
  <c r="N162" i="12"/>
  <c r="N163" i="12"/>
  <c r="N164" i="12"/>
  <c r="N174" i="12"/>
  <c r="N175" i="12"/>
  <c r="N176" i="12"/>
  <c r="N186" i="12"/>
  <c r="N188" i="12"/>
  <c r="P135" i="12"/>
  <c r="Q135" i="12"/>
  <c r="R135" i="12"/>
  <c r="S135" i="12"/>
  <c r="T135" i="12"/>
  <c r="U135" i="12"/>
  <c r="V135" i="12"/>
  <c r="W135" i="12"/>
  <c r="X135" i="12"/>
  <c r="Y135" i="12"/>
  <c r="Z135" i="12"/>
  <c r="AA135" i="12"/>
  <c r="AB135" i="12"/>
  <c r="AC135" i="12"/>
  <c r="AD135" i="12"/>
  <c r="AE135" i="12"/>
  <c r="AF135" i="12"/>
  <c r="AG135" i="12"/>
  <c r="AH135" i="12"/>
  <c r="AI135" i="12"/>
  <c r="AJ135" i="12"/>
  <c r="AK135" i="12"/>
  <c r="AL135" i="12"/>
  <c r="AM135" i="12"/>
  <c r="AN135" i="12"/>
  <c r="AO135" i="12"/>
  <c r="AP135" i="12"/>
  <c r="AQ135" i="12"/>
  <c r="AR135" i="12"/>
  <c r="AS135" i="12"/>
  <c r="AT135" i="12"/>
  <c r="AU135" i="12"/>
  <c r="AV135" i="12"/>
  <c r="P136" i="12"/>
  <c r="Q136" i="12"/>
  <c r="R136" i="12"/>
  <c r="S136" i="12"/>
  <c r="T136" i="12"/>
  <c r="U136" i="12"/>
  <c r="V136" i="12"/>
  <c r="W136" i="12"/>
  <c r="X136" i="12"/>
  <c r="Y136" i="12"/>
  <c r="Z136" i="12"/>
  <c r="AA136" i="12"/>
  <c r="AB136" i="12"/>
  <c r="AC136" i="12"/>
  <c r="AD136" i="12"/>
  <c r="AE136" i="12"/>
  <c r="AF136" i="12"/>
  <c r="AG136" i="12"/>
  <c r="AH136" i="12"/>
  <c r="AI136" i="12"/>
  <c r="AJ136" i="12"/>
  <c r="AK136" i="12"/>
  <c r="AL136" i="12"/>
  <c r="AM136" i="12"/>
  <c r="AN136" i="12"/>
  <c r="AO136" i="12"/>
  <c r="AP136" i="12"/>
  <c r="AQ136" i="12"/>
  <c r="AR136" i="12"/>
  <c r="AS136" i="12"/>
  <c r="AT136" i="12"/>
  <c r="AU136" i="12"/>
  <c r="AV136" i="12"/>
  <c r="P162" i="12"/>
  <c r="Q162" i="12"/>
  <c r="R162" i="12"/>
  <c r="S162" i="12"/>
  <c r="T162" i="12"/>
  <c r="U162" i="12"/>
  <c r="V162" i="12"/>
  <c r="W162" i="12"/>
  <c r="X162" i="12"/>
  <c r="Y162" i="12"/>
  <c r="Z162" i="12"/>
  <c r="AA162" i="12"/>
  <c r="AB162" i="12"/>
  <c r="AC162" i="12"/>
  <c r="AD162" i="12"/>
  <c r="AE162" i="12"/>
  <c r="AF162" i="12"/>
  <c r="AG162" i="12"/>
  <c r="AH162" i="12"/>
  <c r="AI162" i="12"/>
  <c r="AJ162" i="12"/>
  <c r="AK162" i="12"/>
  <c r="AL162" i="12"/>
  <c r="AM162" i="12"/>
  <c r="AN162" i="12"/>
  <c r="AO162" i="12"/>
  <c r="AP162" i="12"/>
  <c r="AQ162" i="12"/>
  <c r="AR162" i="12"/>
  <c r="AS162" i="12"/>
  <c r="AT162" i="12"/>
  <c r="AU162" i="12"/>
  <c r="AV162" i="12"/>
  <c r="P163" i="12"/>
  <c r="Q163" i="12"/>
  <c r="R163" i="12"/>
  <c r="S163" i="12"/>
  <c r="T163" i="12"/>
  <c r="U163" i="12"/>
  <c r="V163" i="12"/>
  <c r="W163" i="12"/>
  <c r="X163" i="12"/>
  <c r="Y163" i="12"/>
  <c r="Z163" i="12"/>
  <c r="AA163" i="12"/>
  <c r="AB163" i="12"/>
  <c r="AC163" i="12"/>
  <c r="AD163" i="12"/>
  <c r="AE163" i="12"/>
  <c r="AF163" i="12"/>
  <c r="AG163" i="12"/>
  <c r="AH163" i="12"/>
  <c r="AI163" i="12"/>
  <c r="AJ163" i="12"/>
  <c r="AK163" i="12"/>
  <c r="AL163" i="12"/>
  <c r="AM163" i="12"/>
  <c r="AN163" i="12"/>
  <c r="AO163" i="12"/>
  <c r="AP163" i="12"/>
  <c r="AQ163" i="12"/>
  <c r="AR163" i="12"/>
  <c r="AS163" i="12"/>
  <c r="AT163" i="12"/>
  <c r="AU163" i="12"/>
  <c r="AV163" i="12"/>
  <c r="P164" i="12"/>
  <c r="Q164" i="12"/>
  <c r="R164" i="12"/>
  <c r="S164" i="12"/>
  <c r="T164" i="12"/>
  <c r="U164" i="12"/>
  <c r="V164" i="12"/>
  <c r="W164" i="12"/>
  <c r="X164" i="12"/>
  <c r="Y164" i="12"/>
  <c r="Z164" i="12"/>
  <c r="AA164" i="12"/>
  <c r="AB164" i="12"/>
  <c r="AC164" i="12"/>
  <c r="AD164" i="12"/>
  <c r="AE164" i="12"/>
  <c r="AF164" i="12"/>
  <c r="AG164" i="12"/>
  <c r="AH164" i="12"/>
  <c r="AI164" i="12"/>
  <c r="AJ164" i="12"/>
  <c r="AK164" i="12"/>
  <c r="AL164" i="12"/>
  <c r="AM164" i="12"/>
  <c r="AN164" i="12"/>
  <c r="AO164" i="12"/>
  <c r="AP164" i="12"/>
  <c r="AQ164" i="12"/>
  <c r="AR164" i="12"/>
  <c r="AS164" i="12"/>
  <c r="AT164" i="12"/>
  <c r="AU164" i="12"/>
  <c r="AV164" i="12"/>
  <c r="P174" i="12"/>
  <c r="Q174" i="12"/>
  <c r="R174" i="12"/>
  <c r="S174" i="12"/>
  <c r="T174" i="12"/>
  <c r="U174" i="12"/>
  <c r="V174" i="12"/>
  <c r="W174" i="12"/>
  <c r="X174" i="12"/>
  <c r="Y174" i="12"/>
  <c r="Z174" i="12"/>
  <c r="AA174" i="12"/>
  <c r="AB174" i="12"/>
  <c r="AC174" i="12"/>
  <c r="AD174" i="12"/>
  <c r="AE174" i="12"/>
  <c r="AF174" i="12"/>
  <c r="AG174" i="12"/>
  <c r="AH174" i="12"/>
  <c r="AI174" i="12"/>
  <c r="AJ174" i="12"/>
  <c r="AK174" i="12"/>
  <c r="AL174" i="12"/>
  <c r="AM174" i="12"/>
  <c r="AN174" i="12"/>
  <c r="AO174" i="12"/>
  <c r="AP174" i="12"/>
  <c r="AQ174" i="12"/>
  <c r="AR174" i="12"/>
  <c r="AS174" i="12"/>
  <c r="AT174" i="12"/>
  <c r="AU174" i="12"/>
  <c r="AV174" i="12"/>
  <c r="P175" i="12"/>
  <c r="Q175" i="12"/>
  <c r="R175" i="12"/>
  <c r="S175" i="12"/>
  <c r="T175" i="12"/>
  <c r="U175" i="12"/>
  <c r="V175" i="12"/>
  <c r="W175" i="12"/>
  <c r="X175" i="12"/>
  <c r="Y175" i="12"/>
  <c r="Z175" i="12"/>
  <c r="AA175" i="12"/>
  <c r="AB175" i="12"/>
  <c r="AC175" i="12"/>
  <c r="AD175" i="12"/>
  <c r="AE175" i="12"/>
  <c r="AF175" i="12"/>
  <c r="AG175" i="12"/>
  <c r="AH175" i="12"/>
  <c r="AI175" i="12"/>
  <c r="AJ175" i="12"/>
  <c r="AK175" i="12"/>
  <c r="AL175" i="12"/>
  <c r="AM175" i="12"/>
  <c r="AN175" i="12"/>
  <c r="AO175" i="12"/>
  <c r="AP175" i="12"/>
  <c r="AQ175" i="12"/>
  <c r="AR175" i="12"/>
  <c r="AS175" i="12"/>
  <c r="AT175" i="12"/>
  <c r="AU175" i="12"/>
  <c r="AV175" i="12"/>
  <c r="P176" i="12"/>
  <c r="Q176" i="12"/>
  <c r="R176" i="12"/>
  <c r="S176" i="12"/>
  <c r="T176" i="12"/>
  <c r="U176" i="12"/>
  <c r="V176" i="12"/>
  <c r="W176" i="12"/>
  <c r="X176" i="12"/>
  <c r="Y176" i="12"/>
  <c r="Z176" i="12"/>
  <c r="AA176" i="12"/>
  <c r="AB176" i="12"/>
  <c r="AC176" i="12"/>
  <c r="AD176" i="12"/>
  <c r="AE176" i="12"/>
  <c r="AF176" i="12"/>
  <c r="AG176" i="12"/>
  <c r="AH176" i="12"/>
  <c r="AI176" i="12"/>
  <c r="AJ176" i="12"/>
  <c r="AK176" i="12"/>
  <c r="AL176" i="12"/>
  <c r="AM176" i="12"/>
  <c r="AN176" i="12"/>
  <c r="AO176" i="12"/>
  <c r="AP176" i="12"/>
  <c r="AQ176" i="12"/>
  <c r="AR176" i="12"/>
  <c r="AS176" i="12"/>
  <c r="AT176" i="12"/>
  <c r="AU176" i="12"/>
  <c r="AV176" i="12"/>
  <c r="P186" i="12"/>
  <c r="Q186" i="12"/>
  <c r="R186" i="12"/>
  <c r="S186" i="12"/>
  <c r="T186" i="12"/>
  <c r="U186" i="12"/>
  <c r="V186" i="12"/>
  <c r="W186" i="12"/>
  <c r="X186" i="12"/>
  <c r="Y186" i="12"/>
  <c r="Z186" i="12"/>
  <c r="AA186" i="12"/>
  <c r="AB186" i="12"/>
  <c r="AC186" i="12"/>
  <c r="AD186" i="12"/>
  <c r="AE186" i="12"/>
  <c r="AF186" i="12"/>
  <c r="AG186" i="12"/>
  <c r="AH186" i="12"/>
  <c r="AI186" i="12"/>
  <c r="AJ186" i="12"/>
  <c r="AK186" i="12"/>
  <c r="AL186" i="12"/>
  <c r="AM186" i="12"/>
  <c r="AN186" i="12"/>
  <c r="AO186" i="12"/>
  <c r="AP186" i="12"/>
  <c r="AQ186" i="12"/>
  <c r="AR186" i="12"/>
  <c r="AS186" i="12"/>
  <c r="AT186" i="12"/>
  <c r="AU186" i="12"/>
  <c r="AV186" i="12"/>
  <c r="U187" i="12"/>
  <c r="V187" i="12"/>
  <c r="W187" i="12"/>
  <c r="X187" i="12"/>
  <c r="Y187" i="12"/>
  <c r="Z187" i="12"/>
  <c r="AA187" i="12"/>
  <c r="AB187" i="12"/>
  <c r="AC187" i="12"/>
  <c r="AD187" i="12"/>
  <c r="AE187" i="12"/>
  <c r="AF187" i="12"/>
  <c r="AG187" i="12"/>
  <c r="AH187" i="12"/>
  <c r="AI187" i="12"/>
  <c r="AJ187" i="12"/>
  <c r="AK187" i="12"/>
  <c r="AL187" i="12"/>
  <c r="AM187" i="12"/>
  <c r="AN187" i="12"/>
  <c r="AO187" i="12"/>
  <c r="AP187" i="12"/>
  <c r="AQ187" i="12"/>
  <c r="AR187" i="12"/>
  <c r="AS187" i="12"/>
  <c r="AT187" i="12"/>
  <c r="AU187" i="12"/>
  <c r="AV187" i="12"/>
  <c r="P188" i="12"/>
  <c r="Q188" i="12"/>
  <c r="R188" i="12"/>
  <c r="S188" i="12"/>
  <c r="T188" i="12"/>
  <c r="U188" i="12"/>
  <c r="V188" i="12"/>
  <c r="W188" i="12"/>
  <c r="X188" i="12"/>
  <c r="Y188" i="12"/>
  <c r="Z188" i="12"/>
  <c r="AA188" i="12"/>
  <c r="AB188" i="12"/>
  <c r="AC188" i="12"/>
  <c r="AD188" i="12"/>
  <c r="AE188" i="12"/>
  <c r="AF188" i="12"/>
  <c r="AG188" i="12"/>
  <c r="AH188" i="12"/>
  <c r="AI188" i="12"/>
  <c r="AJ188" i="12"/>
  <c r="AK188" i="12"/>
  <c r="AL188" i="12"/>
  <c r="AM188" i="12"/>
  <c r="AN188" i="12"/>
  <c r="AO188" i="12"/>
  <c r="AP188" i="12"/>
  <c r="AQ188" i="12"/>
  <c r="AR188" i="12"/>
  <c r="AS188" i="12"/>
  <c r="AT188" i="12"/>
  <c r="AU188" i="12"/>
  <c r="AV188" i="12"/>
  <c r="O135" i="12"/>
  <c r="O136" i="12"/>
  <c r="O162" i="12"/>
  <c r="O163" i="12"/>
  <c r="O164" i="12"/>
  <c r="O174" i="12"/>
  <c r="O175" i="12"/>
  <c r="O176" i="12"/>
  <c r="O186" i="12"/>
  <c r="O188" i="12"/>
  <c r="AW191" i="12"/>
  <c r="AW190" i="12"/>
  <c r="AW189" i="12"/>
  <c r="D189" i="12"/>
  <c r="AW188" i="12"/>
  <c r="AW187" i="12"/>
  <c r="AW186" i="12"/>
  <c r="AW185" i="12"/>
  <c r="D185" i="12"/>
  <c r="AW184" i="12"/>
  <c r="D184" i="12"/>
  <c r="AW183" i="12"/>
  <c r="AW182" i="12"/>
  <c r="D182" i="12"/>
  <c r="AW181" i="12"/>
  <c r="D181" i="12"/>
  <c r="AW180" i="12"/>
  <c r="D180" i="12"/>
  <c r="AW179" i="12"/>
  <c r="D179" i="12"/>
  <c r="AW178" i="12"/>
  <c r="D178" i="12"/>
  <c r="AW177" i="12"/>
  <c r="D177" i="12"/>
  <c r="AW176" i="12"/>
  <c r="D176" i="12"/>
  <c r="AW175" i="12"/>
  <c r="D175" i="12"/>
  <c r="AW174" i="12"/>
  <c r="AW173" i="12"/>
  <c r="D173" i="12"/>
  <c r="AW172" i="12"/>
  <c r="D172" i="12"/>
  <c r="AW171" i="12"/>
  <c r="D171" i="12"/>
  <c r="AW170" i="12"/>
  <c r="D170" i="12"/>
  <c r="AW169" i="12"/>
  <c r="D169" i="12"/>
  <c r="AW168" i="12"/>
  <c r="D168" i="12"/>
  <c r="AW167" i="12"/>
  <c r="AW166" i="12"/>
  <c r="AW165" i="12"/>
  <c r="AW164" i="12"/>
  <c r="AW163" i="12"/>
  <c r="AW162" i="12"/>
  <c r="AW161" i="12"/>
  <c r="D161" i="12"/>
  <c r="AW160" i="12"/>
  <c r="D160" i="12"/>
  <c r="AW159" i="12"/>
  <c r="D159" i="12"/>
  <c r="AW158" i="12"/>
  <c r="D158" i="12"/>
  <c r="AW157" i="12"/>
  <c r="D157" i="12"/>
  <c r="AW156" i="12"/>
  <c r="D156" i="12"/>
  <c r="AW155" i="12"/>
  <c r="D155" i="12"/>
  <c r="AW154" i="12"/>
  <c r="D154" i="12"/>
  <c r="AW153" i="12"/>
  <c r="D153" i="12"/>
  <c r="AW152" i="12"/>
  <c r="D152" i="12"/>
  <c r="AW151" i="12"/>
  <c r="D151" i="12"/>
  <c r="AW150" i="12"/>
  <c r="D150" i="12"/>
  <c r="AW149" i="12"/>
  <c r="D149" i="12"/>
  <c r="AW148" i="12"/>
  <c r="D148" i="12"/>
  <c r="AW147" i="12"/>
  <c r="D147" i="12"/>
  <c r="AW146" i="12"/>
  <c r="AW145" i="12"/>
  <c r="AW144" i="12"/>
  <c r="D144" i="12"/>
  <c r="AW143" i="12"/>
  <c r="D143" i="12"/>
  <c r="AW142" i="12"/>
  <c r="D142" i="12"/>
  <c r="AW141" i="12"/>
  <c r="D141" i="12"/>
  <c r="AW140" i="12"/>
  <c r="AW139" i="12"/>
  <c r="D139" i="12"/>
  <c r="AW138" i="12"/>
  <c r="D138" i="12"/>
  <c r="AW137" i="12"/>
  <c r="D137" i="12"/>
  <c r="AW136" i="12"/>
  <c r="AW135" i="12"/>
  <c r="D135" i="12"/>
  <c r="AW134" i="12"/>
  <c r="D134" i="12"/>
  <c r="AW133" i="12"/>
  <c r="AW132" i="12"/>
  <c r="D132" i="12"/>
  <c r="D133" i="12" s="1"/>
  <c r="S14" i="3" l="1"/>
  <c r="R149" i="3"/>
  <c r="R120" i="3"/>
  <c r="DF781" i="1"/>
  <c r="GW8" i="2"/>
  <c r="DO416" i="1"/>
  <c r="DV139" i="2"/>
  <c r="CY232" i="1"/>
  <c r="CW232" i="1" s="1"/>
  <c r="DM324" i="1"/>
  <c r="DP324" i="1" s="1"/>
  <c r="CX139" i="1"/>
  <c r="DR187" i="1"/>
  <c r="CV55" i="1"/>
  <c r="EH12" i="1"/>
  <c r="HX137" i="2"/>
  <c r="CW95" i="1"/>
  <c r="FE96" i="1" s="1"/>
  <c r="GD12" i="2"/>
  <c r="DR140" i="2"/>
  <c r="FI231" i="1" s="1"/>
  <c r="CY141" i="2"/>
  <c r="DZ62" i="7"/>
  <c r="DY62" i="7"/>
  <c r="DW63" i="7"/>
  <c r="EB43" i="7"/>
  <c r="ET42" i="7"/>
  <c r="EA9" i="2"/>
  <c r="EA10" i="2" s="1"/>
  <c r="EA11" i="2" s="1"/>
  <c r="EA12" i="2" s="1"/>
  <c r="EA13" i="2" s="1"/>
  <c r="EA14" i="2" s="1"/>
  <c r="EA15" i="2" s="1"/>
  <c r="EA16" i="2" s="1"/>
  <c r="EA17" i="2" s="1"/>
  <c r="EA18" i="2" s="1"/>
  <c r="EA19" i="2" s="1"/>
  <c r="EA20" i="2" s="1"/>
  <c r="EA21" i="2" s="1"/>
  <c r="EA22" i="2" s="1"/>
  <c r="EA23" i="2" s="1"/>
  <c r="EA24" i="2" s="1"/>
  <c r="EA25" i="2" s="1"/>
  <c r="EA26" i="2" s="1"/>
  <c r="EA27" i="2" s="1"/>
  <c r="EA28" i="2" s="1"/>
  <c r="EA29" i="2" s="1"/>
  <c r="EA30" i="2" s="1"/>
  <c r="EA31" i="2" s="1"/>
  <c r="AI66" i="2"/>
  <c r="AI59" i="2"/>
  <c r="AI56" i="2"/>
  <c r="AI51" i="2"/>
  <c r="AI46" i="2"/>
  <c r="AI45" i="2"/>
  <c r="AI36" i="2"/>
  <c r="AI35" i="2"/>
  <c r="AI16" i="2"/>
  <c r="AI15" i="2"/>
  <c r="AI11" i="2"/>
  <c r="AI26" i="2" s="1"/>
  <c r="AI10" i="2"/>
  <c r="AI86" i="2" s="1"/>
  <c r="AN209" i="1"/>
  <c r="AN148" i="1"/>
  <c r="AN147" i="1"/>
  <c r="AL118" i="1"/>
  <c r="AL108" i="1"/>
  <c r="AM108" i="1"/>
  <c r="AN108" i="1"/>
  <c r="AL124" i="1"/>
  <c r="AM124" i="1"/>
  <c r="BO65" i="1"/>
  <c r="V218" i="1"/>
  <c r="W218" i="1"/>
  <c r="X218" i="1"/>
  <c r="Y218" i="1"/>
  <c r="Z218" i="1"/>
  <c r="AA218" i="1"/>
  <c r="AB218" i="1"/>
  <c r="AC218" i="1"/>
  <c r="AD218" i="1"/>
  <c r="AE218" i="1"/>
  <c r="AF218" i="1"/>
  <c r="AG218" i="1"/>
  <c r="AH218" i="1"/>
  <c r="AI218" i="1"/>
  <c r="AJ218" i="1"/>
  <c r="AK218" i="1"/>
  <c r="AL218" i="1"/>
  <c r="AM218" i="1"/>
  <c r="U218" i="1"/>
  <c r="AH217" i="1"/>
  <c r="AI217" i="1"/>
  <c r="AJ217" i="1"/>
  <c r="AK217" i="1"/>
  <c r="AL217" i="1"/>
  <c r="AM217" i="1"/>
  <c r="V217" i="1"/>
  <c r="W217" i="1"/>
  <c r="X217" i="1"/>
  <c r="Y217" i="1"/>
  <c r="Z217" i="1"/>
  <c r="AA217" i="1"/>
  <c r="AB217" i="1"/>
  <c r="AC217" i="1"/>
  <c r="AD217" i="1"/>
  <c r="AE217" i="1"/>
  <c r="AF217" i="1"/>
  <c r="AG217" i="1"/>
  <c r="U217" i="1"/>
  <c r="BO59" i="1"/>
  <c r="AC59" i="1"/>
  <c r="AD59" i="1"/>
  <c r="AE59" i="1"/>
  <c r="AF59" i="1"/>
  <c r="AG59" i="1"/>
  <c r="AH59" i="1"/>
  <c r="AI59" i="1"/>
  <c r="AJ59" i="1"/>
  <c r="AK59" i="1"/>
  <c r="BO58" i="1"/>
  <c r="AF211" i="9"/>
  <c r="AE211" i="9"/>
  <c r="Y210" i="9"/>
  <c r="Z210" i="9"/>
  <c r="AA210" i="9"/>
  <c r="AB210" i="9"/>
  <c r="AC210" i="9"/>
  <c r="AD210" i="9"/>
  <c r="AE210" i="9"/>
  <c r="AF210" i="9"/>
  <c r="X210" i="9"/>
  <c r="W210" i="9"/>
  <c r="V210" i="9"/>
  <c r="U210" i="9"/>
  <c r="AF209" i="9"/>
  <c r="AE209" i="9"/>
  <c r="AD209" i="9"/>
  <c r="AC209" i="9"/>
  <c r="AB209" i="9"/>
  <c r="AA209" i="9"/>
  <c r="Z209" i="9"/>
  <c r="Y209" i="9"/>
  <c r="X209" i="9"/>
  <c r="W209" i="9"/>
  <c r="V209" i="9"/>
  <c r="U209" i="9"/>
  <c r="AF208" i="9"/>
  <c r="AE208" i="9"/>
  <c r="AD208" i="9"/>
  <c r="AC208" i="9"/>
  <c r="AB208" i="9"/>
  <c r="AA208" i="9"/>
  <c r="Z208" i="9"/>
  <c r="Y208" i="9"/>
  <c r="X208" i="9"/>
  <c r="W208" i="9"/>
  <c r="V208" i="9"/>
  <c r="U208" i="9"/>
  <c r="U206" i="9"/>
  <c r="V206" i="9"/>
  <c r="AA206" i="9"/>
  <c r="Z206" i="9"/>
  <c r="Y206" i="9"/>
  <c r="X206" i="9"/>
  <c r="W206" i="9"/>
  <c r="AB206" i="9"/>
  <c r="AC206" i="9"/>
  <c r="AD206" i="9"/>
  <c r="AE206" i="9"/>
  <c r="AF206" i="9"/>
  <c r="V211" i="9"/>
  <c r="W211" i="9"/>
  <c r="X211" i="9"/>
  <c r="Y211" i="9"/>
  <c r="Z211" i="9"/>
  <c r="AA211" i="9"/>
  <c r="AB211" i="9"/>
  <c r="AC211" i="9"/>
  <c r="AD211" i="9"/>
  <c r="U211" i="9"/>
  <c r="AD213" i="9"/>
  <c r="AE213" i="9"/>
  <c r="AF213" i="9"/>
  <c r="AC213" i="9"/>
  <c r="AB213" i="9"/>
  <c r="AA213" i="9"/>
  <c r="V213" i="9"/>
  <c r="W213" i="9"/>
  <c r="X213" i="9"/>
  <c r="Y213" i="9"/>
  <c r="Z213" i="9"/>
  <c r="U213" i="9"/>
  <c r="U212" i="9"/>
  <c r="V212" i="9"/>
  <c r="W212" i="9"/>
  <c r="X212" i="9"/>
  <c r="Y212" i="9"/>
  <c r="Z212" i="9"/>
  <c r="AA212" i="9"/>
  <c r="AB212" i="9"/>
  <c r="AC212" i="9"/>
  <c r="AD212" i="9"/>
  <c r="AE212" i="9"/>
  <c r="AF212" i="9"/>
  <c r="V214" i="9"/>
  <c r="W214" i="9"/>
  <c r="X214" i="9"/>
  <c r="Y214" i="9"/>
  <c r="Z214" i="9"/>
  <c r="AA214" i="9"/>
  <c r="AB214" i="9"/>
  <c r="AC214" i="9"/>
  <c r="AD214" i="9"/>
  <c r="AE214" i="9"/>
  <c r="AF214" i="9"/>
  <c r="U214" i="9"/>
  <c r="V215" i="9"/>
  <c r="W215" i="9"/>
  <c r="X215" i="9"/>
  <c r="Y215" i="9"/>
  <c r="Z215" i="9"/>
  <c r="AA215" i="9"/>
  <c r="AB215" i="9"/>
  <c r="AC215" i="9"/>
  <c r="AD215" i="9"/>
  <c r="AE215" i="9"/>
  <c r="AF215" i="9"/>
  <c r="U215" i="9"/>
  <c r="AM95" i="1"/>
  <c r="T14" i="3" l="1"/>
  <c r="S149" i="3"/>
  <c r="S120" i="3"/>
  <c r="DF782" i="1"/>
  <c r="GW9" i="2"/>
  <c r="DO417" i="1"/>
  <c r="DV140" i="2"/>
  <c r="CY233" i="1"/>
  <c r="CW233" i="1" s="1"/>
  <c r="DM325" i="1"/>
  <c r="DP325" i="1" s="1"/>
  <c r="CX140" i="1"/>
  <c r="DR188" i="1"/>
  <c r="CV56" i="1"/>
  <c r="EH13" i="1"/>
  <c r="HX138" i="2"/>
  <c r="CW96" i="1"/>
  <c r="FE97" i="1" s="1"/>
  <c r="GD13" i="2"/>
  <c r="CY142" i="2"/>
  <c r="DR141" i="2"/>
  <c r="FI232" i="1" s="1"/>
  <c r="DZ63" i="7"/>
  <c r="DY63" i="7"/>
  <c r="DW64" i="7"/>
  <c r="EB44" i="7"/>
  <c r="ET43" i="7"/>
  <c r="AI25" i="2"/>
  <c r="AN124" i="1"/>
  <c r="AN95" i="1"/>
  <c r="AN105" i="1"/>
  <c r="AM105" i="1"/>
  <c r="AL105" i="1"/>
  <c r="AN168" i="1"/>
  <c r="AW199" i="7"/>
  <c r="AW198" i="7"/>
  <c r="AW197" i="7"/>
  <c r="DO60" i="7" a="1"/>
  <c r="DO61" i="7" s="1"/>
  <c r="DM60" i="7" a="1"/>
  <c r="DM61" i="7" s="1"/>
  <c r="DC60" i="7" a="1"/>
  <c r="DC61" i="7" s="1"/>
  <c r="DG61" i="7" s="1"/>
  <c r="CL7" i="7"/>
  <c r="FB150" i="1"/>
  <c r="FB151" i="1" s="1"/>
  <c r="FB152" i="1" s="1"/>
  <c r="FB153" i="1" s="1"/>
  <c r="FB154" i="1" s="1"/>
  <c r="FB155" i="1" s="1"/>
  <c r="FB156" i="1" s="1"/>
  <c r="FB157" i="1" s="1"/>
  <c r="FB158" i="1" s="1"/>
  <c r="FB159" i="1" s="1"/>
  <c r="FB160" i="1" s="1"/>
  <c r="U14" i="3" l="1"/>
  <c r="T149" i="3"/>
  <c r="T120" i="3"/>
  <c r="AI100" i="2"/>
  <c r="AH139" i="3"/>
  <c r="DF783" i="1"/>
  <c r="GW10" i="2"/>
  <c r="DO418" i="1"/>
  <c r="DV141" i="2"/>
  <c r="CY234" i="1"/>
  <c r="CW234" i="1" s="1"/>
  <c r="DM326" i="1"/>
  <c r="DP326" i="1" s="1"/>
  <c r="CX141" i="1"/>
  <c r="DR189" i="1"/>
  <c r="CV57" i="1"/>
  <c r="EH14" i="1"/>
  <c r="HX139" i="2"/>
  <c r="CW97" i="1"/>
  <c r="FE98" i="1" s="1"/>
  <c r="GD14" i="2"/>
  <c r="CY143" i="2"/>
  <c r="DR142" i="2"/>
  <c r="FI233" i="1" s="1"/>
  <c r="DZ64" i="7"/>
  <c r="DY64" i="7"/>
  <c r="DW65" i="7"/>
  <c r="EB45" i="7"/>
  <c r="ET44" i="7"/>
  <c r="DA33" i="2"/>
  <c r="DC75" i="7"/>
  <c r="DC71" i="7"/>
  <c r="DC67" i="7"/>
  <c r="DC63" i="7"/>
  <c r="CL8" i="7"/>
  <c r="CL9" i="7" s="1"/>
  <c r="CL10" i="7" s="1"/>
  <c r="CL11" i="7" s="1"/>
  <c r="CL12" i="7" s="1"/>
  <c r="CL13" i="7" s="1"/>
  <c r="CL14" i="7" s="1"/>
  <c r="CL15" i="7" s="1"/>
  <c r="CL16" i="7" s="1"/>
  <c r="CL17" i="7" s="1"/>
  <c r="CL18" i="7" s="1"/>
  <c r="CL19" i="7" s="1"/>
  <c r="CL20" i="7" s="1"/>
  <c r="CL21" i="7" s="1"/>
  <c r="CL22" i="7" s="1"/>
  <c r="CL23" i="7" s="1"/>
  <c r="CL24" i="7" s="1"/>
  <c r="CL25" i="7" s="1"/>
  <c r="CL26" i="7" s="1"/>
  <c r="CL27" i="7" s="1"/>
  <c r="CL28" i="7" s="1"/>
  <c r="CL29" i="7" s="1"/>
  <c r="CM29" i="7" s="1"/>
  <c r="DC76" i="7"/>
  <c r="DC72" i="7"/>
  <c r="DC68" i="7"/>
  <c r="DC64" i="7"/>
  <c r="DC60" i="7"/>
  <c r="DM76" i="7"/>
  <c r="DM72" i="7"/>
  <c r="DM68" i="7"/>
  <c r="DM64" i="7"/>
  <c r="DM60" i="7"/>
  <c r="DO76" i="7"/>
  <c r="DO72" i="7"/>
  <c r="DO68" i="7"/>
  <c r="DO64" i="7"/>
  <c r="DO60" i="7"/>
  <c r="DM75" i="7"/>
  <c r="DM71" i="7"/>
  <c r="DM67" i="7"/>
  <c r="DM63" i="7"/>
  <c r="DC78" i="7"/>
  <c r="DC74" i="7"/>
  <c r="DC70" i="7"/>
  <c r="DC66" i="7"/>
  <c r="DC62" i="7"/>
  <c r="DG62" i="7" s="1"/>
  <c r="DM78" i="7"/>
  <c r="DM74" i="7"/>
  <c r="DM70" i="7"/>
  <c r="DM66" i="7"/>
  <c r="DM62" i="7"/>
  <c r="DO78" i="7"/>
  <c r="DO74" i="7"/>
  <c r="DO70" i="7"/>
  <c r="DO66" i="7"/>
  <c r="DO62" i="7"/>
  <c r="DO75" i="7"/>
  <c r="DO71" i="7"/>
  <c r="DO67" i="7"/>
  <c r="DO63" i="7"/>
  <c r="DC77" i="7"/>
  <c r="DC73" i="7"/>
  <c r="DC69" i="7"/>
  <c r="DC65" i="7"/>
  <c r="DM77" i="7"/>
  <c r="DM73" i="7"/>
  <c r="DM69" i="7"/>
  <c r="DM65" i="7"/>
  <c r="DO77" i="7"/>
  <c r="DO73" i="7"/>
  <c r="DO69" i="7"/>
  <c r="DO65" i="7"/>
  <c r="AU45" i="9"/>
  <c r="AU46" i="9" s="1"/>
  <c r="AU47" i="9" s="1"/>
  <c r="AU48" i="9" s="1"/>
  <c r="AU49" i="9" s="1"/>
  <c r="AU50" i="9" s="1"/>
  <c r="AU51" i="9" s="1"/>
  <c r="AU52" i="9" s="1"/>
  <c r="AU53" i="9" s="1"/>
  <c r="AU54" i="9" s="1"/>
  <c r="AU55" i="9" s="1"/>
  <c r="AU56" i="9" s="1"/>
  <c r="AU57" i="9" s="1"/>
  <c r="AU58" i="9" s="1"/>
  <c r="AU59" i="9" s="1"/>
  <c r="AU60" i="9" s="1"/>
  <c r="V156" i="1"/>
  <c r="X39" i="9" a="1"/>
  <c r="X39" i="9" s="1"/>
  <c r="F8" i="9"/>
  <c r="F9" i="9"/>
  <c r="F10" i="9"/>
  <c r="F11" i="9"/>
  <c r="F12" i="9"/>
  <c r="F13" i="9"/>
  <c r="N13" i="9"/>
  <c r="O13" i="9"/>
  <c r="V13" i="9"/>
  <c r="F14" i="9"/>
  <c r="N14" i="9"/>
  <c r="O14" i="9"/>
  <c r="V14" i="9"/>
  <c r="F15" i="9"/>
  <c r="N15" i="9"/>
  <c r="O15" i="9"/>
  <c r="V15" i="9"/>
  <c r="F16" i="9"/>
  <c r="N16" i="9"/>
  <c r="O16" i="9"/>
  <c r="V16" i="9"/>
  <c r="F17" i="9"/>
  <c r="N17" i="9"/>
  <c r="O17" i="9"/>
  <c r="V17" i="9"/>
  <c r="F18" i="9"/>
  <c r="N18" i="9"/>
  <c r="O18" i="9"/>
  <c r="V18" i="9"/>
  <c r="F19" i="9"/>
  <c r="N19" i="9"/>
  <c r="O19" i="9"/>
  <c r="V19" i="9"/>
  <c r="F20" i="9"/>
  <c r="N20" i="9"/>
  <c r="O20" i="9"/>
  <c r="V20" i="9"/>
  <c r="F21" i="9"/>
  <c r="N21" i="9"/>
  <c r="O21" i="9"/>
  <c r="V21" i="9"/>
  <c r="F22" i="9"/>
  <c r="N22" i="9"/>
  <c r="O22" i="9"/>
  <c r="V22" i="9"/>
  <c r="F23" i="9"/>
  <c r="N23" i="9"/>
  <c r="O23" i="9"/>
  <c r="V23" i="9"/>
  <c r="F24" i="9"/>
  <c r="N24" i="9"/>
  <c r="O24" i="9"/>
  <c r="V24" i="9"/>
  <c r="F25" i="9"/>
  <c r="N25" i="9"/>
  <c r="O25" i="9"/>
  <c r="V25" i="9"/>
  <c r="F26" i="9"/>
  <c r="N26" i="9"/>
  <c r="O26" i="9"/>
  <c r="V26" i="9"/>
  <c r="F27" i="9"/>
  <c r="N27" i="9"/>
  <c r="O27" i="9"/>
  <c r="V27" i="9"/>
  <c r="N28" i="9"/>
  <c r="O28" i="9"/>
  <c r="V28" i="9"/>
  <c r="E39" i="9"/>
  <c r="M39" i="9"/>
  <c r="M40" i="9" s="1"/>
  <c r="E40" i="9"/>
  <c r="I40" i="9" s="1"/>
  <c r="G40" i="9"/>
  <c r="G41" i="9" s="1"/>
  <c r="G42" i="9" s="1"/>
  <c r="G43" i="9" s="1"/>
  <c r="G44" i="9" s="1"/>
  <c r="G45" i="9" s="1"/>
  <c r="G46" i="9" s="1"/>
  <c r="G47" i="9" s="1"/>
  <c r="G48" i="9" s="1"/>
  <c r="G49" i="9" s="1"/>
  <c r="G50" i="9" s="1"/>
  <c r="G51" i="9" s="1"/>
  <c r="G52" i="9" s="1"/>
  <c r="G53" i="9" s="1"/>
  <c r="G54" i="9" s="1"/>
  <c r="K40" i="9"/>
  <c r="K41" i="9" s="1"/>
  <c r="K42" i="9" s="1"/>
  <c r="K43" i="9" s="1"/>
  <c r="K44" i="9" s="1"/>
  <c r="K45" i="9" s="1"/>
  <c r="K46" i="9" s="1"/>
  <c r="K47" i="9" s="1"/>
  <c r="K48" i="9" s="1"/>
  <c r="K49" i="9" s="1"/>
  <c r="K50" i="9" s="1"/>
  <c r="K51" i="9" s="1"/>
  <c r="K52" i="9" s="1"/>
  <c r="K53" i="9" s="1"/>
  <c r="K54" i="9" s="1"/>
  <c r="K55" i="9" s="1"/>
  <c r="O40" i="9"/>
  <c r="O41" i="9" s="1"/>
  <c r="O42" i="9" s="1"/>
  <c r="O43" i="9" s="1"/>
  <c r="O44" i="9" s="1"/>
  <c r="O45" i="9" s="1"/>
  <c r="O46" i="9" s="1"/>
  <c r="O47" i="9" s="1"/>
  <c r="O48" i="9" s="1"/>
  <c r="O49" i="9" s="1"/>
  <c r="O50" i="9" s="1"/>
  <c r="O51" i="9" s="1"/>
  <c r="O52" i="9" s="1"/>
  <c r="O53" i="9" s="1"/>
  <c r="O54" i="9" s="1"/>
  <c r="U40" i="9"/>
  <c r="U41" i="9" s="1"/>
  <c r="U42" i="9" s="1"/>
  <c r="U43" i="9" s="1"/>
  <c r="U44" i="9" s="1"/>
  <c r="U45" i="9" s="1"/>
  <c r="U46" i="9" s="1"/>
  <c r="U47" i="9" s="1"/>
  <c r="U48" i="9" s="1"/>
  <c r="U49" i="9" s="1"/>
  <c r="U50" i="9" s="1"/>
  <c r="U51" i="9" s="1"/>
  <c r="U52" i="9" s="1"/>
  <c r="U53" i="9" s="1"/>
  <c r="U54" i="9" s="1"/>
  <c r="U55" i="9" s="1"/>
  <c r="U56" i="9" s="1"/>
  <c r="U57" i="9" s="1"/>
  <c r="AE98" i="9"/>
  <c r="AE99" i="9"/>
  <c r="AE100" i="9"/>
  <c r="AE101" i="9"/>
  <c r="AE102" i="9"/>
  <c r="AE103" i="9"/>
  <c r="AE104" i="9"/>
  <c r="AF104" i="9"/>
  <c r="AF105" i="9"/>
  <c r="AF106" i="9"/>
  <c r="AF107" i="9"/>
  <c r="AE108" i="9"/>
  <c r="AF108" i="9"/>
  <c r="W92" i="9"/>
  <c r="AF98" i="9"/>
  <c r="AF99" i="9"/>
  <c r="AI100" i="9"/>
  <c r="AF100" i="9" s="1"/>
  <c r="AI101" i="9"/>
  <c r="AF101" i="9" s="1"/>
  <c r="AI102" i="9"/>
  <c r="AF102" i="9" s="1"/>
  <c r="AF103" i="9"/>
  <c r="O137" i="9"/>
  <c r="O138" i="9"/>
  <c r="O139" i="9"/>
  <c r="O140" i="9"/>
  <c r="O141" i="9"/>
  <c r="O142" i="9"/>
  <c r="O143" i="9"/>
  <c r="O144" i="9"/>
  <c r="O145" i="9"/>
  <c r="O146" i="9"/>
  <c r="O147" i="9"/>
  <c r="O148" i="9"/>
  <c r="O149" i="9"/>
  <c r="O150" i="9"/>
  <c r="O151" i="9"/>
  <c r="O152" i="9"/>
  <c r="O153" i="9"/>
  <c r="O154" i="9"/>
  <c r="O155" i="9"/>
  <c r="O156" i="9"/>
  <c r="O157" i="9"/>
  <c r="O158" i="9"/>
  <c r="H164" i="9"/>
  <c r="I164" i="9"/>
  <c r="H165" i="9"/>
  <c r="I165" i="9"/>
  <c r="H166" i="9"/>
  <c r="I166" i="9"/>
  <c r="H167" i="9"/>
  <c r="I167" i="9"/>
  <c r="S167" i="9"/>
  <c r="S168" i="9" s="1"/>
  <c r="S169" i="9" s="1"/>
  <c r="S170" i="9" s="1"/>
  <c r="S171" i="9" s="1"/>
  <c r="S172" i="9" s="1"/>
  <c r="H168" i="9"/>
  <c r="I168" i="9"/>
  <c r="H169" i="9"/>
  <c r="I169" i="9"/>
  <c r="H170" i="9"/>
  <c r="I170" i="9"/>
  <c r="H171" i="9"/>
  <c r="I171" i="9"/>
  <c r="H172" i="9"/>
  <c r="I172" i="9"/>
  <c r="H173" i="9"/>
  <c r="I173" i="9"/>
  <c r="H174" i="9"/>
  <c r="I174" i="9"/>
  <c r="H175" i="9"/>
  <c r="I175" i="9"/>
  <c r="H176" i="9"/>
  <c r="I176" i="9"/>
  <c r="H177" i="9"/>
  <c r="I177" i="9"/>
  <c r="H178" i="9"/>
  <c r="I178" i="9"/>
  <c r="H179" i="9"/>
  <c r="I179" i="9"/>
  <c r="R179" i="9"/>
  <c r="H180" i="9"/>
  <c r="I180" i="9"/>
  <c r="S180" i="9"/>
  <c r="R180" i="9" s="1"/>
  <c r="H181" i="9"/>
  <c r="I181" i="9"/>
  <c r="H182" i="9"/>
  <c r="I182" i="9"/>
  <c r="H183" i="9"/>
  <c r="I183" i="9"/>
  <c r="H184" i="9"/>
  <c r="I184" i="9"/>
  <c r="O184" i="9"/>
  <c r="H185" i="9"/>
  <c r="I185" i="9"/>
  <c r="O185" i="9"/>
  <c r="O186" i="9"/>
  <c r="AD3" i="8"/>
  <c r="AX3" i="8"/>
  <c r="K16" i="8" a="1"/>
  <c r="K16" i="8" s="1"/>
  <c r="BS5" i="8" s="1"/>
  <c r="M16" i="8" a="1"/>
  <c r="M16" i="8" s="1"/>
  <c r="BT5" i="8" s="1"/>
  <c r="U16" i="8" a="1"/>
  <c r="U16" i="8" s="1"/>
  <c r="V16" i="8" a="1"/>
  <c r="V17" i="8" s="1"/>
  <c r="X16" i="8"/>
  <c r="AY5" i="8" s="1"/>
  <c r="X17" i="8"/>
  <c r="AY6" i="8" s="1"/>
  <c r="X18" i="8"/>
  <c r="AY7" i="8" s="1"/>
  <c r="X19" i="8"/>
  <c r="AY8" i="8" s="1"/>
  <c r="X20" i="8"/>
  <c r="AY9" i="8" s="1"/>
  <c r="AU20" i="8"/>
  <c r="BB20" i="8"/>
  <c r="BO20" i="8" s="1"/>
  <c r="X21" i="8"/>
  <c r="AY10" i="8" s="1"/>
  <c r="AU21" i="8"/>
  <c r="X22" i="8"/>
  <c r="AY11" i="8" s="1"/>
  <c r="AF22" i="8"/>
  <c r="AU22" i="8" s="1"/>
  <c r="X23" i="8"/>
  <c r="AY12" i="8" s="1"/>
  <c r="AF23" i="8"/>
  <c r="X24" i="8"/>
  <c r="AY13" i="8" s="1"/>
  <c r="X25" i="8"/>
  <c r="AY14" i="8" s="1"/>
  <c r="X26" i="8"/>
  <c r="AY15" i="8" s="1"/>
  <c r="X27" i="8"/>
  <c r="AY16" i="8" s="1"/>
  <c r="X28" i="8"/>
  <c r="AY17" i="8" s="1"/>
  <c r="X29" i="8"/>
  <c r="AY18" i="8"/>
  <c r="X30" i="8"/>
  <c r="AY19" i="8" s="1"/>
  <c r="AZ19" i="8" s="1"/>
  <c r="AZ20" i="8" s="1"/>
  <c r="AZ21" i="8" s="1"/>
  <c r="AZ22" i="8" s="1"/>
  <c r="AZ23" i="8" s="1"/>
  <c r="AZ24" i="8" s="1"/>
  <c r="AZ25" i="8" s="1"/>
  <c r="AZ26" i="8" s="1"/>
  <c r="AZ27" i="8" s="1"/>
  <c r="AZ28" i="8" s="1"/>
  <c r="AZ29" i="8" s="1"/>
  <c r="AZ30" i="8" s="1"/>
  <c r="AZ31" i="8" s="1"/>
  <c r="AZ32" i="8" s="1"/>
  <c r="AZ33" i="8" s="1"/>
  <c r="AZ34" i="8" s="1"/>
  <c r="AZ35" i="8" s="1"/>
  <c r="AZ36" i="8" s="1"/>
  <c r="AZ37" i="8" s="1"/>
  <c r="AZ38" i="8" s="1"/>
  <c r="AZ39" i="8" s="1"/>
  <c r="AZ40" i="8" s="1"/>
  <c r="Y60" i="8"/>
  <c r="U146" i="7"/>
  <c r="AC146" i="7"/>
  <c r="AM146" i="7"/>
  <c r="U147" i="7"/>
  <c r="AC147" i="7"/>
  <c r="AM147" i="7"/>
  <c r="U148" i="7"/>
  <c r="AC148" i="7"/>
  <c r="AM148" i="7"/>
  <c r="U149" i="7"/>
  <c r="AC149" i="7"/>
  <c r="AM149" i="7"/>
  <c r="U150" i="7"/>
  <c r="AC150" i="7"/>
  <c r="AM150" i="7"/>
  <c r="U151" i="7"/>
  <c r="AC151" i="7"/>
  <c r="AD151" i="7" s="1"/>
  <c r="AD152" i="7" s="1"/>
  <c r="AD153" i="7" s="1"/>
  <c r="AD154" i="7" s="1"/>
  <c r="AD155" i="7" s="1"/>
  <c r="AD156" i="7" s="1"/>
  <c r="AD157" i="7" s="1"/>
  <c r="AD158" i="7" s="1"/>
  <c r="AD159" i="7" s="1"/>
  <c r="AD160" i="7" s="1"/>
  <c r="AD161" i="7" s="1"/>
  <c r="AD162" i="7" s="1"/>
  <c r="AD163" i="7" s="1"/>
  <c r="AD164" i="7" s="1"/>
  <c r="AD165" i="7" s="1"/>
  <c r="AD166" i="7" s="1"/>
  <c r="AD167" i="7" s="1"/>
  <c r="AD168" i="7" s="1"/>
  <c r="AM151" i="7"/>
  <c r="U152" i="7"/>
  <c r="AC152" i="7"/>
  <c r="AM152" i="7"/>
  <c r="U153" i="7"/>
  <c r="AC153" i="7"/>
  <c r="AM153" i="7"/>
  <c r="U154" i="7"/>
  <c r="AC154" i="7"/>
  <c r="AM154" i="7"/>
  <c r="U155" i="7"/>
  <c r="AC155" i="7"/>
  <c r="AM155" i="7"/>
  <c r="U156" i="7"/>
  <c r="AC156" i="7"/>
  <c r="AM156" i="7"/>
  <c r="U157" i="7"/>
  <c r="AC157" i="7"/>
  <c r="AM157" i="7"/>
  <c r="U158" i="7"/>
  <c r="AC158" i="7"/>
  <c r="AM158" i="7"/>
  <c r="U159" i="7"/>
  <c r="AC159" i="7"/>
  <c r="AM159" i="7"/>
  <c r="U160" i="7"/>
  <c r="AC160" i="7"/>
  <c r="AM160" i="7"/>
  <c r="U161" i="7"/>
  <c r="AC161" i="7"/>
  <c r="AM161" i="7"/>
  <c r="U162" i="7"/>
  <c r="AC162" i="7"/>
  <c r="AM162" i="7"/>
  <c r="U163" i="7"/>
  <c r="AC163" i="7"/>
  <c r="AM163" i="7"/>
  <c r="U164" i="7"/>
  <c r="AC164" i="7"/>
  <c r="AM164" i="7"/>
  <c r="U165" i="7"/>
  <c r="AC165" i="7"/>
  <c r="AM165" i="7"/>
  <c r="U166" i="7"/>
  <c r="AC166" i="7"/>
  <c r="AM166" i="7"/>
  <c r="U167" i="7"/>
  <c r="AC167" i="7"/>
  <c r="AM167" i="7"/>
  <c r="U168" i="7"/>
  <c r="AC168" i="7"/>
  <c r="AM168" i="7"/>
  <c r="O70" i="6"/>
  <c r="O129" i="6" s="1"/>
  <c r="P70" i="6"/>
  <c r="Q70" i="6"/>
  <c r="Q129" i="6" s="1"/>
  <c r="R70" i="6"/>
  <c r="R129" i="6" s="1"/>
  <c r="S70" i="6"/>
  <c r="S129" i="6" s="1"/>
  <c r="T70" i="6"/>
  <c r="T129" i="6" s="1"/>
  <c r="U70" i="6"/>
  <c r="U129" i="6" s="1"/>
  <c r="V70" i="6"/>
  <c r="V129" i="6" s="1"/>
  <c r="W70" i="6"/>
  <c r="W129" i="6" s="1"/>
  <c r="X70" i="6"/>
  <c r="X129" i="6" s="1"/>
  <c r="Y70" i="6"/>
  <c r="Y129" i="6" s="1"/>
  <c r="Z70" i="6"/>
  <c r="Z129" i="6" s="1"/>
  <c r="AA70" i="6"/>
  <c r="AA129" i="6" s="1"/>
  <c r="AB70" i="6"/>
  <c r="AB129" i="6" s="1"/>
  <c r="AC70" i="6"/>
  <c r="AC129" i="6" s="1"/>
  <c r="AD70" i="6"/>
  <c r="AD129" i="6" s="1"/>
  <c r="AE70" i="6"/>
  <c r="AE129" i="6" s="1"/>
  <c r="AF70" i="6"/>
  <c r="AF129" i="6" s="1"/>
  <c r="AG70" i="6"/>
  <c r="AG129" i="6" s="1"/>
  <c r="AH70" i="6"/>
  <c r="AH129" i="6" s="1"/>
  <c r="AI70" i="6"/>
  <c r="AI129" i="6" s="1"/>
  <c r="AJ70" i="6"/>
  <c r="AJ129" i="6" s="1"/>
  <c r="AK70" i="6"/>
  <c r="AK129" i="6" s="1"/>
  <c r="AL70" i="6"/>
  <c r="AL129" i="6" s="1"/>
  <c r="AM70" i="6"/>
  <c r="AM129" i="6" s="1"/>
  <c r="AN70" i="6"/>
  <c r="AN129" i="6" s="1"/>
  <c r="AO70" i="6"/>
  <c r="AO129" i="6" s="1"/>
  <c r="AP70" i="6"/>
  <c r="AP129" i="6" s="1"/>
  <c r="AQ70" i="6"/>
  <c r="AQ129" i="6" s="1"/>
  <c r="AR70" i="6"/>
  <c r="AR129" i="6" s="1"/>
  <c r="O71" i="6"/>
  <c r="O130" i="6" s="1"/>
  <c r="P71" i="6"/>
  <c r="P130" i="6" s="1"/>
  <c r="Q71" i="6"/>
  <c r="Q130" i="6" s="1"/>
  <c r="R71" i="6"/>
  <c r="R130" i="6" s="1"/>
  <c r="S71" i="6"/>
  <c r="S130" i="6" s="1"/>
  <c r="T71" i="6"/>
  <c r="T130" i="6" s="1"/>
  <c r="U71" i="6"/>
  <c r="U130" i="6" s="1"/>
  <c r="V71" i="6"/>
  <c r="V130" i="6" s="1"/>
  <c r="W71" i="6"/>
  <c r="W130" i="6" s="1"/>
  <c r="X71" i="6"/>
  <c r="X130" i="6" s="1"/>
  <c r="Y71" i="6"/>
  <c r="Y130" i="6" s="1"/>
  <c r="Z71" i="6"/>
  <c r="Z130" i="6" s="1"/>
  <c r="AA71" i="6"/>
  <c r="AA130" i="6" s="1"/>
  <c r="AB71" i="6"/>
  <c r="AB130" i="6" s="1"/>
  <c r="AC71" i="6"/>
  <c r="AC130" i="6" s="1"/>
  <c r="AD71" i="6"/>
  <c r="AD130" i="6" s="1"/>
  <c r="AE71" i="6"/>
  <c r="AE130" i="6" s="1"/>
  <c r="AF71" i="6"/>
  <c r="AF130" i="6" s="1"/>
  <c r="AG71" i="6"/>
  <c r="AG130" i="6" s="1"/>
  <c r="AH71" i="6"/>
  <c r="AH130" i="6" s="1"/>
  <c r="AI71" i="6"/>
  <c r="AI130" i="6" s="1"/>
  <c r="AJ71" i="6"/>
  <c r="AJ130" i="6" s="1"/>
  <c r="AK71" i="6"/>
  <c r="AK130" i="6" s="1"/>
  <c r="AL71" i="6"/>
  <c r="AL130" i="6" s="1"/>
  <c r="AM71" i="6"/>
  <c r="AM130" i="6" s="1"/>
  <c r="AN71" i="6"/>
  <c r="AN130" i="6" s="1"/>
  <c r="AO71" i="6"/>
  <c r="AO130" i="6" s="1"/>
  <c r="AP71" i="6"/>
  <c r="AQ71" i="6"/>
  <c r="AQ130" i="6" s="1"/>
  <c r="AR71" i="6"/>
  <c r="AR130" i="6" s="1"/>
  <c r="O96" i="6"/>
  <c r="O155" i="6" s="1"/>
  <c r="P96" i="6"/>
  <c r="P155" i="6" s="1"/>
  <c r="Q96" i="6"/>
  <c r="Q155" i="6" s="1"/>
  <c r="R96" i="6"/>
  <c r="S96" i="6"/>
  <c r="S155" i="6" s="1"/>
  <c r="T96" i="6"/>
  <c r="T155" i="6" s="1"/>
  <c r="U96" i="6"/>
  <c r="U155" i="6" s="1"/>
  <c r="V96" i="6"/>
  <c r="V155" i="6" s="1"/>
  <c r="W96" i="6"/>
  <c r="W155" i="6" s="1"/>
  <c r="X96" i="6"/>
  <c r="X155" i="6" s="1"/>
  <c r="Y96" i="6"/>
  <c r="Y155" i="6" s="1"/>
  <c r="Z96" i="6"/>
  <c r="Z155" i="6" s="1"/>
  <c r="AA96" i="6"/>
  <c r="AA155" i="6" s="1"/>
  <c r="AB96" i="6"/>
  <c r="AB155" i="6" s="1"/>
  <c r="AC96" i="6"/>
  <c r="AC155" i="6" s="1"/>
  <c r="AD96" i="6"/>
  <c r="AD155" i="6" s="1"/>
  <c r="AE96" i="6"/>
  <c r="AE155" i="6" s="1"/>
  <c r="AF96" i="6"/>
  <c r="AF155" i="6" s="1"/>
  <c r="AG96" i="6"/>
  <c r="AG155" i="6" s="1"/>
  <c r="AH96" i="6"/>
  <c r="AH155" i="6" s="1"/>
  <c r="AI96" i="6"/>
  <c r="AI155" i="6" s="1"/>
  <c r="AJ96" i="6"/>
  <c r="AJ155" i="6" s="1"/>
  <c r="AK96" i="6"/>
  <c r="AK155" i="6" s="1"/>
  <c r="AL96" i="6"/>
  <c r="AL155" i="6" s="1"/>
  <c r="AM96" i="6"/>
  <c r="AM155" i="6" s="1"/>
  <c r="AN96" i="6"/>
  <c r="AN155" i="6" s="1"/>
  <c r="AO96" i="6"/>
  <c r="AO155" i="6" s="1"/>
  <c r="AP96" i="6"/>
  <c r="AP155" i="6" s="1"/>
  <c r="AQ96" i="6"/>
  <c r="AQ155" i="6" s="1"/>
  <c r="AR96" i="6"/>
  <c r="AR155" i="6" s="1"/>
  <c r="O97" i="6"/>
  <c r="O156" i="6" s="1"/>
  <c r="P97" i="6"/>
  <c r="P156" i="6" s="1"/>
  <c r="Q97" i="6"/>
  <c r="Q156" i="6" s="1"/>
  <c r="R97" i="6"/>
  <c r="R156" i="6" s="1"/>
  <c r="S97" i="6"/>
  <c r="S156" i="6" s="1"/>
  <c r="T97" i="6"/>
  <c r="T156" i="6" s="1"/>
  <c r="U97" i="6"/>
  <c r="U156" i="6" s="1"/>
  <c r="V97" i="6"/>
  <c r="V156" i="6" s="1"/>
  <c r="W97" i="6"/>
  <c r="W156" i="6" s="1"/>
  <c r="X97" i="6"/>
  <c r="X156" i="6" s="1"/>
  <c r="Y97" i="6"/>
  <c r="Y156" i="6" s="1"/>
  <c r="Z97" i="6"/>
  <c r="Z156" i="6" s="1"/>
  <c r="AA97" i="6"/>
  <c r="AA156" i="6" s="1"/>
  <c r="AB97" i="6"/>
  <c r="AB156" i="6" s="1"/>
  <c r="AC97" i="6"/>
  <c r="AC156" i="6" s="1"/>
  <c r="AD97" i="6"/>
  <c r="AD156" i="6" s="1"/>
  <c r="AE97" i="6"/>
  <c r="AE156" i="6" s="1"/>
  <c r="AF97" i="6"/>
  <c r="AF156" i="6" s="1"/>
  <c r="AG97" i="6"/>
  <c r="AG156" i="6" s="1"/>
  <c r="AH97" i="6"/>
  <c r="AH156" i="6" s="1"/>
  <c r="AI97" i="6"/>
  <c r="AI156" i="6" s="1"/>
  <c r="AJ97" i="6"/>
  <c r="AJ156" i="6" s="1"/>
  <c r="AK97" i="6"/>
  <c r="AK156" i="6" s="1"/>
  <c r="AL97" i="6"/>
  <c r="AL156" i="6" s="1"/>
  <c r="AM97" i="6"/>
  <c r="AM156" i="6" s="1"/>
  <c r="AN97" i="6"/>
  <c r="AO97" i="6"/>
  <c r="AO156" i="6" s="1"/>
  <c r="AP97" i="6"/>
  <c r="AP156" i="6" s="1"/>
  <c r="AQ97" i="6"/>
  <c r="AQ156" i="6" s="1"/>
  <c r="AR97" i="6"/>
  <c r="AR156" i="6" s="1"/>
  <c r="O98" i="6"/>
  <c r="O157" i="6" s="1"/>
  <c r="P98" i="6"/>
  <c r="P157" i="6" s="1"/>
  <c r="Q98" i="6"/>
  <c r="Q157" i="6" s="1"/>
  <c r="R98" i="6"/>
  <c r="R157" i="6" s="1"/>
  <c r="S98" i="6"/>
  <c r="S157" i="6" s="1"/>
  <c r="T98" i="6"/>
  <c r="U98" i="6"/>
  <c r="U157" i="6" s="1"/>
  <c r="V98" i="6"/>
  <c r="V157" i="6" s="1"/>
  <c r="W98" i="6"/>
  <c r="W157" i="6" s="1"/>
  <c r="X98" i="6"/>
  <c r="X157" i="6" s="1"/>
  <c r="Y98" i="6"/>
  <c r="Y157" i="6" s="1"/>
  <c r="Z98" i="6"/>
  <c r="Z157" i="6" s="1"/>
  <c r="AA98" i="6"/>
  <c r="AA157" i="6" s="1"/>
  <c r="AB98" i="6"/>
  <c r="AB157" i="6" s="1"/>
  <c r="AC98" i="6"/>
  <c r="AC157" i="6" s="1"/>
  <c r="AD98" i="6"/>
  <c r="AD157" i="6" s="1"/>
  <c r="AE98" i="6"/>
  <c r="AE157" i="6" s="1"/>
  <c r="AF98" i="6"/>
  <c r="AF157" i="6" s="1"/>
  <c r="AG98" i="6"/>
  <c r="AG157" i="6" s="1"/>
  <c r="AH98" i="6"/>
  <c r="AH157" i="6" s="1"/>
  <c r="AI98" i="6"/>
  <c r="AI157" i="6" s="1"/>
  <c r="AJ98" i="6"/>
  <c r="AJ157" i="6" s="1"/>
  <c r="AK98" i="6"/>
  <c r="AK157" i="6" s="1"/>
  <c r="AL98" i="6"/>
  <c r="AL157" i="6" s="1"/>
  <c r="AM98" i="6"/>
  <c r="AM157" i="6" s="1"/>
  <c r="AN98" i="6"/>
  <c r="AN157" i="6" s="1"/>
  <c r="AO98" i="6"/>
  <c r="AO157" i="6" s="1"/>
  <c r="AP98" i="6"/>
  <c r="AP157" i="6" s="1"/>
  <c r="AQ98" i="6"/>
  <c r="AQ157" i="6" s="1"/>
  <c r="AR98" i="6"/>
  <c r="AR157" i="6" s="1"/>
  <c r="O108" i="6"/>
  <c r="O167" i="6" s="1"/>
  <c r="P108" i="6"/>
  <c r="P167" i="6" s="1"/>
  <c r="Q108" i="6"/>
  <c r="Q167" i="6" s="1"/>
  <c r="R108" i="6"/>
  <c r="R167" i="6" s="1"/>
  <c r="S108" i="6"/>
  <c r="S167" i="6" s="1"/>
  <c r="T108" i="6"/>
  <c r="T167" i="6" s="1"/>
  <c r="U108" i="6"/>
  <c r="U167" i="6" s="1"/>
  <c r="V108" i="6"/>
  <c r="V167" i="6" s="1"/>
  <c r="W108" i="6"/>
  <c r="W167" i="6" s="1"/>
  <c r="X108" i="6"/>
  <c r="X167" i="6" s="1"/>
  <c r="Y108" i="6"/>
  <c r="Y167" i="6" s="1"/>
  <c r="Z108" i="6"/>
  <c r="Z167" i="6" s="1"/>
  <c r="AA108" i="6"/>
  <c r="AA167" i="6" s="1"/>
  <c r="AB108" i="6"/>
  <c r="AB167" i="6" s="1"/>
  <c r="AC108" i="6"/>
  <c r="AC167" i="6" s="1"/>
  <c r="AD108" i="6"/>
  <c r="AD167" i="6" s="1"/>
  <c r="AE108" i="6"/>
  <c r="AE167" i="6" s="1"/>
  <c r="AF108" i="6"/>
  <c r="AF167" i="6" s="1"/>
  <c r="AG108" i="6"/>
  <c r="AG167" i="6" s="1"/>
  <c r="AH108" i="6"/>
  <c r="AH167" i="6" s="1"/>
  <c r="AI108" i="6"/>
  <c r="AI167" i="6" s="1"/>
  <c r="AJ108" i="6"/>
  <c r="AJ167" i="6" s="1"/>
  <c r="AK108" i="6"/>
  <c r="AK167" i="6" s="1"/>
  <c r="AL108" i="6"/>
  <c r="AL167" i="6" s="1"/>
  <c r="AM108" i="6"/>
  <c r="AM167" i="6" s="1"/>
  <c r="AN108" i="6"/>
  <c r="AN167" i="6" s="1"/>
  <c r="AO108" i="6"/>
  <c r="AO167" i="6" s="1"/>
  <c r="AP108" i="6"/>
  <c r="AP167" i="6" s="1"/>
  <c r="AQ108" i="6"/>
  <c r="AQ167" i="6" s="1"/>
  <c r="AR108" i="6"/>
  <c r="AR167" i="6" s="1"/>
  <c r="O109" i="6"/>
  <c r="O168" i="6" s="1"/>
  <c r="P109" i="6"/>
  <c r="P168" i="6" s="1"/>
  <c r="Q109" i="6"/>
  <c r="Q168" i="6" s="1"/>
  <c r="R109" i="6"/>
  <c r="R168" i="6" s="1"/>
  <c r="S109" i="6"/>
  <c r="S168" i="6" s="1"/>
  <c r="T109" i="6"/>
  <c r="T168" i="6" s="1"/>
  <c r="U109" i="6"/>
  <c r="U168" i="6" s="1"/>
  <c r="V109" i="6"/>
  <c r="V168" i="6" s="1"/>
  <c r="W109" i="6"/>
  <c r="W168" i="6" s="1"/>
  <c r="X109" i="6"/>
  <c r="X168" i="6" s="1"/>
  <c r="Y109" i="6"/>
  <c r="Y168" i="6" s="1"/>
  <c r="Z109" i="6"/>
  <c r="Z168" i="6" s="1"/>
  <c r="AA109" i="6"/>
  <c r="AA168" i="6" s="1"/>
  <c r="AB109" i="6"/>
  <c r="AB168" i="6" s="1"/>
  <c r="AC109" i="6"/>
  <c r="AC168" i="6" s="1"/>
  <c r="AD109" i="6"/>
  <c r="AD168" i="6" s="1"/>
  <c r="AE109" i="6"/>
  <c r="AE168" i="6" s="1"/>
  <c r="AF109" i="6"/>
  <c r="AF168" i="6" s="1"/>
  <c r="AG109" i="6"/>
  <c r="AG168" i="6" s="1"/>
  <c r="AH109" i="6"/>
  <c r="AH168" i="6" s="1"/>
  <c r="AI109" i="6"/>
  <c r="AI168" i="6" s="1"/>
  <c r="AJ109" i="6"/>
  <c r="AJ168" i="6" s="1"/>
  <c r="AK109" i="6"/>
  <c r="AK168" i="6" s="1"/>
  <c r="AL109" i="6"/>
  <c r="AL168" i="6" s="1"/>
  <c r="AM109" i="6"/>
  <c r="AM168" i="6" s="1"/>
  <c r="AN109" i="6"/>
  <c r="AN168" i="6" s="1"/>
  <c r="AO109" i="6"/>
  <c r="AO168" i="6" s="1"/>
  <c r="AP109" i="6"/>
  <c r="AP168" i="6" s="1"/>
  <c r="AQ109" i="6"/>
  <c r="AQ168" i="6" s="1"/>
  <c r="AR109" i="6"/>
  <c r="AR168" i="6" s="1"/>
  <c r="O110" i="6"/>
  <c r="O169" i="6" s="1"/>
  <c r="P110" i="6"/>
  <c r="P169" i="6" s="1"/>
  <c r="Q110" i="6"/>
  <c r="Q169" i="6" s="1"/>
  <c r="R110" i="6"/>
  <c r="R169" i="6" s="1"/>
  <c r="S110" i="6"/>
  <c r="S169" i="6" s="1"/>
  <c r="T110" i="6"/>
  <c r="T169" i="6" s="1"/>
  <c r="U110" i="6"/>
  <c r="U169" i="6" s="1"/>
  <c r="V110" i="6"/>
  <c r="V169" i="6" s="1"/>
  <c r="W110" i="6"/>
  <c r="W169" i="6" s="1"/>
  <c r="X110" i="6"/>
  <c r="X169" i="6" s="1"/>
  <c r="Y110" i="6"/>
  <c r="Y169" i="6" s="1"/>
  <c r="Z110" i="6"/>
  <c r="Z169" i="6" s="1"/>
  <c r="AA110" i="6"/>
  <c r="AA169" i="6" s="1"/>
  <c r="AB110" i="6"/>
  <c r="AB169" i="6" s="1"/>
  <c r="AC110" i="6"/>
  <c r="AC169" i="6" s="1"/>
  <c r="AD110" i="6"/>
  <c r="AD169" i="6" s="1"/>
  <c r="AE110" i="6"/>
  <c r="AE169" i="6" s="1"/>
  <c r="AF110" i="6"/>
  <c r="AF169" i="6" s="1"/>
  <c r="AG110" i="6"/>
  <c r="AG169" i="6" s="1"/>
  <c r="AH110" i="6"/>
  <c r="AH169" i="6" s="1"/>
  <c r="AI110" i="6"/>
  <c r="AI169" i="6" s="1"/>
  <c r="AJ110" i="6"/>
  <c r="AJ169" i="6" s="1"/>
  <c r="AK110" i="6"/>
  <c r="AK169" i="6" s="1"/>
  <c r="AL110" i="6"/>
  <c r="AL169" i="6" s="1"/>
  <c r="AM110" i="6"/>
  <c r="AM169" i="6" s="1"/>
  <c r="AN110" i="6"/>
  <c r="AN169" i="6" s="1"/>
  <c r="AO110" i="6"/>
  <c r="AO169" i="6" s="1"/>
  <c r="AP110" i="6"/>
  <c r="AP169" i="6" s="1"/>
  <c r="AQ110" i="6"/>
  <c r="AQ169" i="6" s="1"/>
  <c r="AR110" i="6"/>
  <c r="AR169" i="6" s="1"/>
  <c r="O116" i="6"/>
  <c r="O175" i="6" s="1"/>
  <c r="P116" i="6"/>
  <c r="P175" i="6" s="1"/>
  <c r="Q116" i="6"/>
  <c r="Q175" i="6" s="1"/>
  <c r="R116" i="6"/>
  <c r="R175" i="6" s="1"/>
  <c r="S116" i="6"/>
  <c r="S175" i="6" s="1"/>
  <c r="T116" i="6"/>
  <c r="T175" i="6" s="1"/>
  <c r="U116" i="6"/>
  <c r="U175" i="6" s="1"/>
  <c r="V116" i="6"/>
  <c r="V175" i="6" s="1"/>
  <c r="W116" i="6"/>
  <c r="W175" i="6" s="1"/>
  <c r="X116" i="6"/>
  <c r="X175" i="6" s="1"/>
  <c r="Y116" i="6"/>
  <c r="Y175" i="6" s="1"/>
  <c r="Z116" i="6"/>
  <c r="Z175" i="6" s="1"/>
  <c r="AA116" i="6"/>
  <c r="AA175" i="6" s="1"/>
  <c r="AB116" i="6"/>
  <c r="AB175" i="6" s="1"/>
  <c r="AC116" i="6"/>
  <c r="AC175" i="6" s="1"/>
  <c r="AD116" i="6"/>
  <c r="AD175" i="6" s="1"/>
  <c r="AE116" i="6"/>
  <c r="AE175" i="6" s="1"/>
  <c r="AF116" i="6"/>
  <c r="AF175" i="6" s="1"/>
  <c r="AG116" i="6"/>
  <c r="AG175" i="6" s="1"/>
  <c r="AH116" i="6"/>
  <c r="AH175" i="6" s="1"/>
  <c r="AI116" i="6"/>
  <c r="AI175" i="6" s="1"/>
  <c r="AJ116" i="6"/>
  <c r="AJ175" i="6" s="1"/>
  <c r="AK116" i="6"/>
  <c r="AK175" i="6" s="1"/>
  <c r="AL116" i="6"/>
  <c r="AL175" i="6" s="1"/>
  <c r="AM116" i="6"/>
  <c r="AM175" i="6" s="1"/>
  <c r="AN116" i="6"/>
  <c r="AN175" i="6" s="1"/>
  <c r="AO116" i="6"/>
  <c r="AO175" i="6" s="1"/>
  <c r="AP116" i="6"/>
  <c r="AP175" i="6" s="1"/>
  <c r="AQ116" i="6"/>
  <c r="AQ175" i="6" s="1"/>
  <c r="AR116" i="6"/>
  <c r="AR175" i="6" s="1"/>
  <c r="V117" i="6"/>
  <c r="V176" i="6" s="1"/>
  <c r="W117" i="6"/>
  <c r="W176" i="6" s="1"/>
  <c r="X117" i="6"/>
  <c r="X176" i="6" s="1"/>
  <c r="Y117" i="6"/>
  <c r="Y176" i="6" s="1"/>
  <c r="Z117" i="6"/>
  <c r="Z176" i="6" s="1"/>
  <c r="AA117" i="6"/>
  <c r="AA176" i="6" s="1"/>
  <c r="AB117" i="6"/>
  <c r="AB176" i="6" s="1"/>
  <c r="AC117" i="6"/>
  <c r="AC176" i="6" s="1"/>
  <c r="AD117" i="6"/>
  <c r="AD176" i="6" s="1"/>
  <c r="AE117" i="6"/>
  <c r="AE176" i="6" s="1"/>
  <c r="AF117" i="6"/>
  <c r="AF176" i="6" s="1"/>
  <c r="AG117" i="6"/>
  <c r="AG176" i="6" s="1"/>
  <c r="AH117" i="6"/>
  <c r="AH176" i="6" s="1"/>
  <c r="AI117" i="6"/>
  <c r="AI176" i="6" s="1"/>
  <c r="AJ117" i="6"/>
  <c r="AJ176" i="6" s="1"/>
  <c r="AK117" i="6"/>
  <c r="AK176" i="6" s="1"/>
  <c r="AL117" i="6"/>
  <c r="AL176" i="6" s="1"/>
  <c r="AM117" i="6"/>
  <c r="AM176" i="6" s="1"/>
  <c r="AN117" i="6"/>
  <c r="AN176" i="6" s="1"/>
  <c r="AO117" i="6"/>
  <c r="AO176" i="6" s="1"/>
  <c r="AP117" i="6"/>
  <c r="AP176" i="6" s="1"/>
  <c r="AQ117" i="6"/>
  <c r="AQ176" i="6" s="1"/>
  <c r="AR117" i="6"/>
  <c r="AR176" i="6" s="1"/>
  <c r="O118" i="6"/>
  <c r="O177" i="6" s="1"/>
  <c r="P118" i="6"/>
  <c r="P177" i="6" s="1"/>
  <c r="Q118" i="6"/>
  <c r="Q177" i="6" s="1"/>
  <c r="R118" i="6"/>
  <c r="R177" i="6" s="1"/>
  <c r="S118" i="6"/>
  <c r="S177" i="6" s="1"/>
  <c r="T118" i="6"/>
  <c r="T177" i="6" s="1"/>
  <c r="U118" i="6"/>
  <c r="U177" i="6" s="1"/>
  <c r="V118" i="6"/>
  <c r="V177" i="6" s="1"/>
  <c r="W118" i="6"/>
  <c r="W177" i="6" s="1"/>
  <c r="X118" i="6"/>
  <c r="X177" i="6" s="1"/>
  <c r="Y118" i="6"/>
  <c r="Y177" i="6" s="1"/>
  <c r="Z118" i="6"/>
  <c r="Z177" i="6" s="1"/>
  <c r="AA118" i="6"/>
  <c r="AA177" i="6" s="1"/>
  <c r="AB118" i="6"/>
  <c r="AB177" i="6" s="1"/>
  <c r="AC118" i="6"/>
  <c r="AC177" i="6" s="1"/>
  <c r="AD118" i="6"/>
  <c r="AD177" i="6" s="1"/>
  <c r="AE118" i="6"/>
  <c r="AE177" i="6" s="1"/>
  <c r="AF118" i="6"/>
  <c r="AF177" i="6" s="1"/>
  <c r="AG118" i="6"/>
  <c r="AG177" i="6" s="1"/>
  <c r="AH118" i="6"/>
  <c r="AH177" i="6" s="1"/>
  <c r="AI118" i="6"/>
  <c r="AI177" i="6" s="1"/>
  <c r="AJ118" i="6"/>
  <c r="AJ177" i="6" s="1"/>
  <c r="AK118" i="6"/>
  <c r="AK177" i="6" s="1"/>
  <c r="AL118" i="6"/>
  <c r="AL177" i="6" s="1"/>
  <c r="AM118" i="6"/>
  <c r="AM177" i="6" s="1"/>
  <c r="AN118" i="6"/>
  <c r="AN177" i="6" s="1"/>
  <c r="AO118" i="6"/>
  <c r="AO177" i="6" s="1"/>
  <c r="AP118" i="6"/>
  <c r="AP177" i="6" s="1"/>
  <c r="AQ118" i="6"/>
  <c r="AQ177" i="6" s="1"/>
  <c r="AR118" i="6"/>
  <c r="AR177" i="6" s="1"/>
  <c r="N126" i="6"/>
  <c r="N127" i="6"/>
  <c r="N128" i="6"/>
  <c r="N129" i="6"/>
  <c r="P129" i="6"/>
  <c r="N130" i="6"/>
  <c r="AP130" i="6"/>
  <c r="N131" i="6"/>
  <c r="N132" i="6"/>
  <c r="N133" i="6"/>
  <c r="N134" i="6"/>
  <c r="N135" i="6"/>
  <c r="N136" i="6"/>
  <c r="N137" i="6"/>
  <c r="N138" i="6"/>
  <c r="N139" i="6"/>
  <c r="N140" i="6"/>
  <c r="N141" i="6"/>
  <c r="N142" i="6"/>
  <c r="N143" i="6"/>
  <c r="N144" i="6"/>
  <c r="N145" i="6"/>
  <c r="N146" i="6"/>
  <c r="N147" i="6"/>
  <c r="N148" i="6"/>
  <c r="N149" i="6"/>
  <c r="N150" i="6"/>
  <c r="N151" i="6"/>
  <c r="N152" i="6"/>
  <c r="N153" i="6"/>
  <c r="N154" i="6"/>
  <c r="N155" i="6"/>
  <c r="R155" i="6"/>
  <c r="N156" i="6"/>
  <c r="AN156" i="6"/>
  <c r="N157" i="6"/>
  <c r="T157" i="6"/>
  <c r="N158" i="6"/>
  <c r="N159" i="6"/>
  <c r="N160" i="6"/>
  <c r="N161" i="6"/>
  <c r="N162" i="6"/>
  <c r="N163" i="6"/>
  <c r="N164" i="6"/>
  <c r="N165" i="6"/>
  <c r="N166" i="6"/>
  <c r="N167" i="6"/>
  <c r="N168" i="6"/>
  <c r="N169" i="6"/>
  <c r="N170" i="6"/>
  <c r="N171" i="6"/>
  <c r="N172" i="6"/>
  <c r="N173" i="6"/>
  <c r="N174" i="6"/>
  <c r="N175" i="6"/>
  <c r="N176" i="6"/>
  <c r="N177" i="6"/>
  <c r="N178" i="6"/>
  <c r="N179" i="6"/>
  <c r="BE7" i="5"/>
  <c r="AP8" i="5" a="1"/>
  <c r="AP9" i="5" s="1"/>
  <c r="AT8" i="5" a="1"/>
  <c r="AT8" i="5" s="1"/>
  <c r="AV8" i="5" a="1"/>
  <c r="AV11" i="5" s="1"/>
  <c r="K13" i="5"/>
  <c r="M13" i="5" s="1"/>
  <c r="M14" i="5" s="1"/>
  <c r="M15" i="5" s="1"/>
  <c r="M16" i="5" s="1"/>
  <c r="M17" i="5" s="1"/>
  <c r="M18" i="5" s="1"/>
  <c r="M19" i="5" s="1"/>
  <c r="M20" i="5" s="1"/>
  <c r="M21" i="5" s="1"/>
  <c r="M22" i="5" s="1"/>
  <c r="M23" i="5" s="1"/>
  <c r="M24" i="5" s="1"/>
  <c r="M25" i="5" s="1"/>
  <c r="M26" i="5" s="1"/>
  <c r="M27" i="5" s="1"/>
  <c r="K14" i="5"/>
  <c r="L14" i="5"/>
  <c r="O14" i="5"/>
  <c r="N14" i="5" s="1"/>
  <c r="S14" i="5"/>
  <c r="T14" i="5" s="1"/>
  <c r="V14" i="5"/>
  <c r="AI8" i="5" s="1"/>
  <c r="Y14" i="5"/>
  <c r="AK8" i="5" s="1"/>
  <c r="AC24" i="5"/>
  <c r="L15" i="5"/>
  <c r="O15" i="5"/>
  <c r="N15" i="5" s="1"/>
  <c r="S15" i="5"/>
  <c r="V15" i="5"/>
  <c r="AI9" i="5" s="1"/>
  <c r="Y15" i="5"/>
  <c r="AK9" i="5" s="1"/>
  <c r="L16" i="5"/>
  <c r="O16" i="5"/>
  <c r="N16" i="5" s="1"/>
  <c r="S16" i="5"/>
  <c r="AM10" i="5" s="1"/>
  <c r="V16" i="5"/>
  <c r="W16" i="5" s="1"/>
  <c r="Y16" i="5"/>
  <c r="AK10" i="5" s="1"/>
  <c r="L17" i="5"/>
  <c r="O17" i="5"/>
  <c r="N17" i="5" s="1"/>
  <c r="S17" i="5"/>
  <c r="AM11" i="5" s="1"/>
  <c r="V17" i="5"/>
  <c r="AI11" i="5" s="1"/>
  <c r="Y17" i="5"/>
  <c r="AK11" i="5" s="1"/>
  <c r="L18" i="5"/>
  <c r="O18" i="5"/>
  <c r="N18" i="5" s="1"/>
  <c r="S18" i="5"/>
  <c r="V18" i="5"/>
  <c r="W18" i="5" s="1"/>
  <c r="Y18" i="5"/>
  <c r="L19" i="5"/>
  <c r="O19" i="5"/>
  <c r="N19" i="5" s="1"/>
  <c r="S19" i="5"/>
  <c r="AM13" i="5" s="1"/>
  <c r="V19" i="5"/>
  <c r="AI13" i="5" s="1"/>
  <c r="Y19" i="5"/>
  <c r="AK13" i="5" s="1"/>
  <c r="L20" i="5"/>
  <c r="O20" i="5"/>
  <c r="N20" i="5" s="1"/>
  <c r="S20" i="5"/>
  <c r="AM14" i="5" s="1"/>
  <c r="V20" i="5"/>
  <c r="W20" i="5" s="1"/>
  <c r="Y20" i="5"/>
  <c r="AK14" i="5" s="1"/>
  <c r="L21" i="5"/>
  <c r="O21" i="5"/>
  <c r="N21" i="5" s="1"/>
  <c r="S21" i="5"/>
  <c r="AM15" i="5" s="1"/>
  <c r="V21" i="5"/>
  <c r="AI15" i="5" s="1"/>
  <c r="Y21" i="5"/>
  <c r="L22" i="5"/>
  <c r="O22" i="5"/>
  <c r="N22" i="5" s="1"/>
  <c r="S22" i="5"/>
  <c r="AM16" i="5" s="1"/>
  <c r="V22" i="5"/>
  <c r="W22" i="5" s="1"/>
  <c r="Y22" i="5"/>
  <c r="AK16" i="5" s="1"/>
  <c r="AN22" i="5"/>
  <c r="L23" i="5"/>
  <c r="O23" i="5"/>
  <c r="N23" i="5" s="1"/>
  <c r="S23" i="5"/>
  <c r="AM17" i="5" s="1"/>
  <c r="V23" i="5"/>
  <c r="Y23" i="5"/>
  <c r="AK17" i="5" s="1"/>
  <c r="AL23" i="5"/>
  <c r="AN23" i="5"/>
  <c r="AN24" i="5" s="1"/>
  <c r="AN25" i="5" s="1"/>
  <c r="AN26" i="5" s="1"/>
  <c r="AN27" i="5" s="1"/>
  <c r="AN28" i="5" s="1"/>
  <c r="AN29" i="5" s="1"/>
  <c r="AN30" i="5" s="1"/>
  <c r="AN31" i="5" s="1"/>
  <c r="AN32" i="5" s="1"/>
  <c r="AN33" i="5" s="1"/>
  <c r="AN34" i="5" s="1"/>
  <c r="AN35" i="5" s="1"/>
  <c r="AN36" i="5" s="1"/>
  <c r="AN37" i="5" s="1"/>
  <c r="AN38" i="5" s="1"/>
  <c r="AN39" i="5" s="1"/>
  <c r="AN40" i="5" s="1"/>
  <c r="AN41" i="5" s="1"/>
  <c r="AN42" i="5" s="1"/>
  <c r="AN43" i="5" s="1"/>
  <c r="L24" i="5"/>
  <c r="O24" i="5"/>
  <c r="N24" i="5" s="1"/>
  <c r="S24" i="5"/>
  <c r="V24" i="5"/>
  <c r="AI18" i="5" s="1"/>
  <c r="Y24" i="5"/>
  <c r="AK18" i="5" s="1"/>
  <c r="AL24" i="5"/>
  <c r="L25" i="5"/>
  <c r="O25" i="5"/>
  <c r="N25" i="5" s="1"/>
  <c r="S25" i="5"/>
  <c r="T25" i="5" s="1"/>
  <c r="V25" i="5"/>
  <c r="Y25" i="5"/>
  <c r="AK19" i="5" s="1"/>
  <c r="AL25" i="5"/>
  <c r="L26" i="5"/>
  <c r="O26" i="5"/>
  <c r="N26" i="5" s="1"/>
  <c r="S26" i="5"/>
  <c r="T26" i="5" s="1"/>
  <c r="V26" i="5"/>
  <c r="Y26" i="5"/>
  <c r="AK20" i="5" s="1"/>
  <c r="AZ26" i="5"/>
  <c r="AX26" i="5" s="1"/>
  <c r="O27" i="5"/>
  <c r="N27" i="5" s="1"/>
  <c r="S27" i="5"/>
  <c r="AM21" i="5" s="1"/>
  <c r="V27" i="5"/>
  <c r="W27" i="5" s="1"/>
  <c r="Y27" i="5"/>
  <c r="AC27" i="5"/>
  <c r="V28" i="5"/>
  <c r="AI22" i="5" s="1"/>
  <c r="AJ22" i="5" s="1"/>
  <c r="Y28" i="5"/>
  <c r="AK22" i="5" s="1"/>
  <c r="BC28" i="5"/>
  <c r="N29" i="5"/>
  <c r="N30" i="5" s="1"/>
  <c r="N31" i="5" s="1"/>
  <c r="N32" i="5" s="1"/>
  <c r="N33" i="5" s="1"/>
  <c r="N34" i="5" s="1"/>
  <c r="N35" i="5" s="1"/>
  <c r="N36" i="5" s="1"/>
  <c r="N37" i="5" s="1"/>
  <c r="N38" i="5" s="1"/>
  <c r="N39" i="5" s="1"/>
  <c r="N40" i="5" s="1"/>
  <c r="N41" i="5" s="1"/>
  <c r="N42" i="5" s="1"/>
  <c r="N43" i="5" s="1"/>
  <c r="N44" i="5" s="1"/>
  <c r="N45" i="5" s="1"/>
  <c r="N46" i="5" s="1"/>
  <c r="N47" i="5" s="1"/>
  <c r="N48" i="5" s="1"/>
  <c r="N49" i="5" s="1"/>
  <c r="BC29" i="5"/>
  <c r="AC36" i="5"/>
  <c r="BC30" i="5"/>
  <c r="BC31" i="5"/>
  <c r="Z32" i="5"/>
  <c r="AL26" i="5" s="1"/>
  <c r="BC32" i="5"/>
  <c r="BC33" i="5"/>
  <c r="BC34" i="5"/>
  <c r="BC35" i="5"/>
  <c r="BC36" i="5"/>
  <c r="BC37" i="5"/>
  <c r="BC38" i="5"/>
  <c r="BC39" i="5"/>
  <c r="BC40" i="5"/>
  <c r="BC41" i="5"/>
  <c r="BC42" i="5"/>
  <c r="BC43" i="5"/>
  <c r="BD6" i="3"/>
  <c r="F7" i="3"/>
  <c r="F8" i="3" s="1"/>
  <c r="F9" i="3" s="1"/>
  <c r="F10" i="3" s="1"/>
  <c r="BD7" i="3"/>
  <c r="BD9" i="3"/>
  <c r="BD10" i="3"/>
  <c r="N123" i="12"/>
  <c r="N187" i="12" s="1"/>
  <c r="O123" i="12"/>
  <c r="O187" i="12" s="1"/>
  <c r="Q123" i="12"/>
  <c r="Q187" i="12" s="1"/>
  <c r="R123" i="12"/>
  <c r="R187" i="12" s="1"/>
  <c r="S123" i="12"/>
  <c r="S187" i="12" s="1"/>
  <c r="BD218" i="3"/>
  <c r="BD219" i="3"/>
  <c r="BD220" i="3"/>
  <c r="BD221" i="3"/>
  <c r="BD222" i="3"/>
  <c r="BD223" i="3"/>
  <c r="BD224" i="3"/>
  <c r="BD225" i="3"/>
  <c r="BD226" i="3"/>
  <c r="BD227" i="3"/>
  <c r="BD228" i="3"/>
  <c r="BD229" i="3"/>
  <c r="BD230" i="3"/>
  <c r="BD231" i="3"/>
  <c r="BD232" i="3"/>
  <c r="BD233" i="3"/>
  <c r="BD234" i="3"/>
  <c r="BD235" i="3"/>
  <c r="BD236" i="3"/>
  <c r="BD237" i="3"/>
  <c r="BD238" i="3"/>
  <c r="BD239" i="3"/>
  <c r="BD240" i="3"/>
  <c r="BD241" i="3"/>
  <c r="BD242" i="3"/>
  <c r="BD243" i="3"/>
  <c r="BD244" i="3"/>
  <c r="BD245" i="3"/>
  <c r="BD246" i="3"/>
  <c r="BD247" i="3"/>
  <c r="BD248" i="3"/>
  <c r="BD249" i="3"/>
  <c r="BD250" i="3"/>
  <c r="BD251" i="3"/>
  <c r="BD252" i="3"/>
  <c r="BD253" i="3"/>
  <c r="BD254" i="3"/>
  <c r="BD255" i="3"/>
  <c r="BD256" i="3"/>
  <c r="BD257" i="3"/>
  <c r="EG8" i="2"/>
  <c r="FI8" i="2" s="1"/>
  <c r="P10" i="2"/>
  <c r="Q10" i="2"/>
  <c r="R10" i="2"/>
  <c r="S10" i="2"/>
  <c r="T10" i="2"/>
  <c r="U10" i="2"/>
  <c r="V10" i="2"/>
  <c r="W10" i="2"/>
  <c r="X10" i="2"/>
  <c r="Y10" i="2"/>
  <c r="Z10" i="2"/>
  <c r="AA10" i="2"/>
  <c r="AB10" i="2"/>
  <c r="AC10" i="2"/>
  <c r="AD10" i="2"/>
  <c r="AE10" i="2"/>
  <c r="AF10" i="2"/>
  <c r="AG10" i="2"/>
  <c r="AH10" i="2"/>
  <c r="AH25" i="2" s="1"/>
  <c r="AG139" i="3" s="1"/>
  <c r="P11" i="2"/>
  <c r="P26" i="2" s="1"/>
  <c r="Q11" i="2"/>
  <c r="Q26" i="2" s="1"/>
  <c r="Q27" i="2" s="1"/>
  <c r="Q29" i="2" s="1"/>
  <c r="P131" i="3" s="1"/>
  <c r="S11" i="2"/>
  <c r="S26" i="2" s="1"/>
  <c r="U11" i="2"/>
  <c r="U26" i="2" s="1"/>
  <c r="V11" i="2"/>
  <c r="V26" i="2" s="1"/>
  <c r="W11" i="2"/>
  <c r="W26" i="2" s="1"/>
  <c r="X11" i="2"/>
  <c r="X26" i="2" s="1"/>
  <c r="Y11" i="2"/>
  <c r="Y26" i="2" s="1"/>
  <c r="Z11" i="2"/>
  <c r="Z26" i="2" s="1"/>
  <c r="AA11" i="2"/>
  <c r="AA26" i="2" s="1"/>
  <c r="AB11" i="2"/>
  <c r="AB26" i="2" s="1"/>
  <c r="AC11" i="2"/>
  <c r="AC26" i="2" s="1"/>
  <c r="AD11" i="2"/>
  <c r="AD26" i="2" s="1"/>
  <c r="AE11" i="2"/>
  <c r="AE26" i="2" s="1"/>
  <c r="AF11" i="2"/>
  <c r="AF26" i="2" s="1"/>
  <c r="AG11" i="2"/>
  <c r="AG26" i="2" s="1"/>
  <c r="AH11" i="2"/>
  <c r="AH26" i="2" s="1"/>
  <c r="P15" i="2"/>
  <c r="Q15" i="2"/>
  <c r="R15" i="2"/>
  <c r="S15" i="2"/>
  <c r="T15" i="2"/>
  <c r="U15" i="2"/>
  <c r="V15" i="2"/>
  <c r="W15" i="2"/>
  <c r="X15" i="2"/>
  <c r="Y15" i="2"/>
  <c r="Z15" i="2"/>
  <c r="AA15" i="2"/>
  <c r="AB15" i="2"/>
  <c r="AC15" i="2"/>
  <c r="AD15" i="2"/>
  <c r="AE15" i="2"/>
  <c r="AF15" i="2"/>
  <c r="AG15" i="2"/>
  <c r="AH15" i="2"/>
  <c r="AC16" i="2"/>
  <c r="AD16" i="2"/>
  <c r="AE16" i="2"/>
  <c r="AF16" i="2"/>
  <c r="AG16" i="2"/>
  <c r="AH16" i="2"/>
  <c r="Q17" i="2"/>
  <c r="R17" i="2" s="1"/>
  <c r="S17" i="2" s="1"/>
  <c r="S19" i="2" s="1"/>
  <c r="Q30" i="2"/>
  <c r="R30" i="2"/>
  <c r="S30" i="2"/>
  <c r="T30" i="2"/>
  <c r="U30" i="2"/>
  <c r="V30" i="2"/>
  <c r="W30" i="2"/>
  <c r="X30" i="2"/>
  <c r="Y30" i="2"/>
  <c r="Z30" i="2"/>
  <c r="AA30" i="2"/>
  <c r="AB30" i="2"/>
  <c r="AC30" i="2"/>
  <c r="AD30" i="2"/>
  <c r="AE30" i="2"/>
  <c r="AF30" i="2"/>
  <c r="AG30" i="2"/>
  <c r="Q35" i="2"/>
  <c r="R35" i="2"/>
  <c r="S35" i="2"/>
  <c r="T35" i="2"/>
  <c r="U35" i="2"/>
  <c r="V35" i="2"/>
  <c r="W35" i="2"/>
  <c r="X35" i="2"/>
  <c r="Y35" i="2"/>
  <c r="Z35" i="2"/>
  <c r="AA35" i="2"/>
  <c r="AB35" i="2"/>
  <c r="AC35" i="2"/>
  <c r="AD35" i="2"/>
  <c r="AE35" i="2"/>
  <c r="AF35" i="2"/>
  <c r="AG35" i="2"/>
  <c r="AH35" i="2"/>
  <c r="Q36" i="2"/>
  <c r="Q37" i="2" s="1"/>
  <c r="Q39" i="2" s="1"/>
  <c r="R36" i="2"/>
  <c r="S36" i="2"/>
  <c r="T36" i="2"/>
  <c r="U36" i="2"/>
  <c r="V36" i="2"/>
  <c r="W36" i="2"/>
  <c r="X36" i="2"/>
  <c r="Y36" i="2"/>
  <c r="AA36" i="2"/>
  <c r="AB36" i="2"/>
  <c r="AC36" i="2"/>
  <c r="AD36" i="2"/>
  <c r="AE36" i="2"/>
  <c r="AF36" i="2"/>
  <c r="AG36" i="2"/>
  <c r="AH36" i="2"/>
  <c r="Q45" i="2"/>
  <c r="R45" i="2"/>
  <c r="S45" i="2"/>
  <c r="T45" i="2"/>
  <c r="U45" i="2"/>
  <c r="V45" i="2"/>
  <c r="W45" i="2"/>
  <c r="X45" i="2"/>
  <c r="Y45" i="2"/>
  <c r="Z45" i="2"/>
  <c r="AA45" i="2"/>
  <c r="AB45" i="2"/>
  <c r="AC45" i="2"/>
  <c r="AD45" i="2"/>
  <c r="AE45" i="2"/>
  <c r="AF45" i="2"/>
  <c r="AG45" i="2"/>
  <c r="AH45" i="2"/>
  <c r="Q46" i="2"/>
  <c r="Q47" i="2" s="1"/>
  <c r="Q49" i="2" s="1"/>
  <c r="R46" i="2"/>
  <c r="S46" i="2"/>
  <c r="T46" i="2"/>
  <c r="U46" i="2"/>
  <c r="V46" i="2"/>
  <c r="W46" i="2"/>
  <c r="X46" i="2"/>
  <c r="Y46" i="2"/>
  <c r="Z46" i="2"/>
  <c r="AA46" i="2"/>
  <c r="AB46" i="2"/>
  <c r="AC46" i="2"/>
  <c r="AD46" i="2"/>
  <c r="AE46" i="2"/>
  <c r="AF46" i="2"/>
  <c r="AG46" i="2"/>
  <c r="AH46" i="2"/>
  <c r="Q50" i="2"/>
  <c r="R50" i="2"/>
  <c r="S50" i="2"/>
  <c r="T50" i="2"/>
  <c r="U50" i="2"/>
  <c r="V50" i="2"/>
  <c r="W50" i="2"/>
  <c r="X50" i="2"/>
  <c r="Y50" i="2"/>
  <c r="Z50" i="2"/>
  <c r="AA50" i="2"/>
  <c r="AB50" i="2"/>
  <c r="AC50" i="2"/>
  <c r="AD50" i="2"/>
  <c r="AE50" i="2"/>
  <c r="Q51" i="2"/>
  <c r="Q52" i="2" s="1"/>
  <c r="Q54" i="2" s="1"/>
  <c r="P107" i="3" s="1"/>
  <c r="P187" i="3" s="1"/>
  <c r="R51" i="2"/>
  <c r="S51" i="2"/>
  <c r="T51" i="2"/>
  <c r="U51" i="2"/>
  <c r="V51" i="2"/>
  <c r="W51" i="2"/>
  <c r="X51" i="2"/>
  <c r="Y51" i="2"/>
  <c r="Z51" i="2"/>
  <c r="AA51" i="2"/>
  <c r="AB51" i="2"/>
  <c r="AC51" i="2"/>
  <c r="AD51" i="2"/>
  <c r="AE51" i="2"/>
  <c r="AF51" i="2"/>
  <c r="AG51" i="2"/>
  <c r="AH51" i="2"/>
  <c r="W56" i="2"/>
  <c r="X56" i="2"/>
  <c r="Y56" i="2"/>
  <c r="Z56" i="2"/>
  <c r="AA56" i="2"/>
  <c r="AB56" i="2"/>
  <c r="AC56" i="2"/>
  <c r="AD56" i="2"/>
  <c r="AE56" i="2"/>
  <c r="AF56" i="2"/>
  <c r="AG56" i="2"/>
  <c r="AH56" i="2"/>
  <c r="Q58" i="2"/>
  <c r="R58" i="2"/>
  <c r="S58" i="2"/>
  <c r="T58" i="2"/>
  <c r="U58" i="2"/>
  <c r="V58" i="2"/>
  <c r="W58" i="2"/>
  <c r="X58" i="2"/>
  <c r="Y58" i="2"/>
  <c r="Z58" i="2"/>
  <c r="AA58" i="2"/>
  <c r="AB58" i="2"/>
  <c r="AC58" i="2"/>
  <c r="AD58" i="2"/>
  <c r="AE58" i="2"/>
  <c r="AF58" i="2"/>
  <c r="AG58" i="2"/>
  <c r="AH58" i="2"/>
  <c r="Q59" i="2"/>
  <c r="Q60" i="2" s="1"/>
  <c r="R59" i="2"/>
  <c r="S59" i="2"/>
  <c r="T59" i="2"/>
  <c r="U59" i="2"/>
  <c r="V59" i="2"/>
  <c r="W59" i="2"/>
  <c r="X59" i="2"/>
  <c r="Y59" i="2"/>
  <c r="Z59" i="2"/>
  <c r="AA59" i="2"/>
  <c r="AB59" i="2"/>
  <c r="AC59" i="2"/>
  <c r="AD59" i="2"/>
  <c r="AE59" i="2"/>
  <c r="AF59" i="2"/>
  <c r="AG59" i="2"/>
  <c r="AH59" i="2"/>
  <c r="Q66" i="2"/>
  <c r="R66" i="2"/>
  <c r="S66" i="2"/>
  <c r="T66" i="2"/>
  <c r="U66" i="2"/>
  <c r="V66" i="2"/>
  <c r="W66" i="2"/>
  <c r="X66" i="2"/>
  <c r="Y66" i="2"/>
  <c r="Z66" i="2"/>
  <c r="AA66" i="2"/>
  <c r="AB66" i="2"/>
  <c r="AC66" i="2"/>
  <c r="AD66" i="2"/>
  <c r="AE66" i="2"/>
  <c r="AF66" i="2"/>
  <c r="AG66" i="2"/>
  <c r="AH66" i="2"/>
  <c r="Q63" i="2"/>
  <c r="R63" i="2"/>
  <c r="S63" i="2"/>
  <c r="T63" i="2"/>
  <c r="U63" i="2"/>
  <c r="V63" i="2"/>
  <c r="W63" i="2"/>
  <c r="X63" i="2"/>
  <c r="Y63" i="2"/>
  <c r="Z63" i="2"/>
  <c r="AA63" i="2"/>
  <c r="AB63" i="2"/>
  <c r="AC63" i="2"/>
  <c r="AD63" i="2"/>
  <c r="AE63" i="2"/>
  <c r="AF63" i="2"/>
  <c r="AG63" i="2"/>
  <c r="AH63" i="2"/>
  <c r="DA8" i="2"/>
  <c r="P98" i="2"/>
  <c r="P100" i="2"/>
  <c r="AX95" i="8"/>
  <c r="BO52" i="1"/>
  <c r="BO53" i="1"/>
  <c r="BO54" i="1"/>
  <c r="Q55" i="1"/>
  <c r="R55" i="1"/>
  <c r="R57" i="1" s="1"/>
  <c r="S55" i="1"/>
  <c r="S57" i="1" s="1"/>
  <c r="T55" i="1"/>
  <c r="T57" i="1" s="1"/>
  <c r="U55" i="1"/>
  <c r="V55" i="1"/>
  <c r="W55" i="1"/>
  <c r="W57" i="1" s="1"/>
  <c r="Q143" i="3" s="1"/>
  <c r="X55" i="1"/>
  <c r="Y55" i="1"/>
  <c r="Y57" i="1" s="1"/>
  <c r="S143" i="3" s="1"/>
  <c r="Z55" i="1"/>
  <c r="AA55" i="1"/>
  <c r="AA57" i="1" s="1"/>
  <c r="U143" i="3" s="1"/>
  <c r="AB55" i="1"/>
  <c r="AC55" i="1"/>
  <c r="AC57" i="1" s="1"/>
  <c r="W143" i="3" s="1"/>
  <c r="AD55" i="1"/>
  <c r="AE55" i="1"/>
  <c r="AE57" i="1" s="1"/>
  <c r="Y143" i="3" s="1"/>
  <c r="AF55" i="1"/>
  <c r="AG55" i="1"/>
  <c r="AG57" i="1" s="1"/>
  <c r="AA143" i="3" s="1"/>
  <c r="AH55" i="1"/>
  <c r="AI55" i="1"/>
  <c r="AI57" i="1" s="1"/>
  <c r="AC143" i="3" s="1"/>
  <c r="AJ55" i="1"/>
  <c r="AK55" i="1"/>
  <c r="BO55" i="1"/>
  <c r="BO56" i="1"/>
  <c r="P57" i="1"/>
  <c r="Q57" i="1"/>
  <c r="BO57" i="1"/>
  <c r="P60" i="1"/>
  <c r="Q60" i="1"/>
  <c r="R60" i="1"/>
  <c r="S60" i="1"/>
  <c r="T60" i="1"/>
  <c r="U60" i="1"/>
  <c r="V60" i="1"/>
  <c r="Q56" i="2" s="1"/>
  <c r="W60" i="1"/>
  <c r="R56" i="2" s="1"/>
  <c r="X60" i="1"/>
  <c r="S56" i="2" s="1"/>
  <c r="Y60" i="1"/>
  <c r="T56" i="2" s="1"/>
  <c r="Z60" i="1"/>
  <c r="U56" i="2" s="1"/>
  <c r="AA60" i="1"/>
  <c r="V56" i="2" s="1"/>
  <c r="BO60" i="1"/>
  <c r="BO61" i="1"/>
  <c r="BO62" i="1"/>
  <c r="Q63" i="1"/>
  <c r="R63" i="1"/>
  <c r="R68" i="1" s="1"/>
  <c r="S63" i="1"/>
  <c r="S68" i="1" s="1"/>
  <c r="T63" i="1"/>
  <c r="T68" i="1" s="1"/>
  <c r="U63" i="1"/>
  <c r="U68" i="1" s="1"/>
  <c r="V63" i="1"/>
  <c r="V68" i="1" s="1"/>
  <c r="W63" i="1"/>
  <c r="W68" i="1" s="1"/>
  <c r="X63" i="1"/>
  <c r="X68" i="1" s="1"/>
  <c r="Y63" i="1"/>
  <c r="Y68" i="1" s="1"/>
  <c r="Z63" i="1"/>
  <c r="Z68" i="1" s="1"/>
  <c r="AA63" i="1"/>
  <c r="AA68" i="1" s="1"/>
  <c r="AB63" i="1"/>
  <c r="AB68" i="1" s="1"/>
  <c r="AC63" i="1"/>
  <c r="AC68" i="1" s="1"/>
  <c r="AD63" i="1"/>
  <c r="AD68" i="1" s="1"/>
  <c r="AE63" i="1"/>
  <c r="AE68" i="1" s="1"/>
  <c r="AF63" i="1"/>
  <c r="AF68" i="1" s="1"/>
  <c r="AG63" i="1"/>
  <c r="AG68" i="1" s="1"/>
  <c r="AH63" i="1"/>
  <c r="AH68" i="1" s="1"/>
  <c r="AI63" i="1"/>
  <c r="AI68" i="1" s="1"/>
  <c r="AJ63" i="1"/>
  <c r="AJ68" i="1" s="1"/>
  <c r="AK63" i="1"/>
  <c r="BO63" i="1"/>
  <c r="BO64" i="1"/>
  <c r="P66" i="1"/>
  <c r="Q66" i="1"/>
  <c r="Q67" i="1" s="1"/>
  <c r="R66" i="1"/>
  <c r="S66" i="1"/>
  <c r="S67" i="1" s="1"/>
  <c r="T66" i="1"/>
  <c r="T67" i="1" s="1"/>
  <c r="U66" i="1"/>
  <c r="U168" i="1" s="1"/>
  <c r="V66" i="1"/>
  <c r="Q20" i="2" s="1"/>
  <c r="W66" i="1"/>
  <c r="R20" i="2" s="1"/>
  <c r="X66" i="1"/>
  <c r="S20" i="2" s="1"/>
  <c r="Y66" i="1"/>
  <c r="T20" i="2" s="1"/>
  <c r="Z66" i="1"/>
  <c r="U20" i="2" s="1"/>
  <c r="AA66" i="1"/>
  <c r="V20" i="2" s="1"/>
  <c r="AB66" i="1"/>
  <c r="W20" i="2" s="1"/>
  <c r="AC66" i="1"/>
  <c r="X20" i="2" s="1"/>
  <c r="AD66" i="1"/>
  <c r="Y20" i="2" s="1"/>
  <c r="AE66" i="1"/>
  <c r="Z20" i="2" s="1"/>
  <c r="AF66" i="1"/>
  <c r="AA20" i="2" s="1"/>
  <c r="AG66" i="1"/>
  <c r="AB20" i="2" s="1"/>
  <c r="AH66" i="1"/>
  <c r="AC20" i="2" s="1"/>
  <c r="AI66" i="1"/>
  <c r="AD20" i="2" s="1"/>
  <c r="AJ66" i="1"/>
  <c r="AE20" i="2" s="1"/>
  <c r="AK66" i="1"/>
  <c r="AF20" i="2" s="1"/>
  <c r="BO66" i="1"/>
  <c r="R67" i="1"/>
  <c r="U67" i="1"/>
  <c r="BO67" i="1"/>
  <c r="Q68" i="1"/>
  <c r="BO68" i="1"/>
  <c r="BO69" i="1"/>
  <c r="BO70" i="1"/>
  <c r="BO77" i="1"/>
  <c r="BO79" i="1"/>
  <c r="BO80" i="1"/>
  <c r="BO81" i="1"/>
  <c r="AI82" i="1"/>
  <c r="DY8" i="2" s="1" a="1"/>
  <c r="BO82" i="1"/>
  <c r="BO83" i="1"/>
  <c r="BO84" i="1"/>
  <c r="BO85" i="1"/>
  <c r="BO86" i="1"/>
  <c r="BO88" i="1"/>
  <c r="BO89" i="1"/>
  <c r="BO90" i="1"/>
  <c r="BO91" i="1"/>
  <c r="Z93" i="1"/>
  <c r="AA93" i="1"/>
  <c r="AB93" i="1"/>
  <c r="V147" i="3" s="1"/>
  <c r="AC93" i="1"/>
  <c r="AD93" i="1"/>
  <c r="AE93" i="1"/>
  <c r="AF93" i="1"/>
  <c r="Z147" i="3" s="1"/>
  <c r="AG93" i="1"/>
  <c r="AH93" i="1"/>
  <c r="AI93" i="1"/>
  <c r="AK95" i="1"/>
  <c r="AL95" i="1"/>
  <c r="BO93" i="1"/>
  <c r="U94" i="1"/>
  <c r="V94" i="1"/>
  <c r="W94" i="1"/>
  <c r="X94" i="1"/>
  <c r="Y94" i="1"/>
  <c r="Z94" i="1"/>
  <c r="AA94" i="1"/>
  <c r="AB94" i="1"/>
  <c r="AC94" i="1"/>
  <c r="AD94" i="1"/>
  <c r="AE94" i="1"/>
  <c r="AF94" i="1"/>
  <c r="AG94" i="1"/>
  <c r="AH94" i="1"/>
  <c r="AI94" i="1"/>
  <c r="AJ94" i="1"/>
  <c r="AK94" i="1"/>
  <c r="U95" i="1"/>
  <c r="V95" i="1"/>
  <c r="W95" i="1"/>
  <c r="X95" i="1"/>
  <c r="Y95" i="1"/>
  <c r="AF95" i="1"/>
  <c r="AJ95" i="1"/>
  <c r="BO95" i="1"/>
  <c r="BO96" i="1"/>
  <c r="BO98" i="1"/>
  <c r="BO99" i="1"/>
  <c r="Z100" i="1"/>
  <c r="T153" i="3" s="1"/>
  <c r="AA100" i="1"/>
  <c r="U153" i="3" s="1"/>
  <c r="AB100" i="1"/>
  <c r="V153" i="3" s="1"/>
  <c r="AC100" i="1"/>
  <c r="W153" i="3" s="1"/>
  <c r="AD100" i="1"/>
  <c r="X153" i="3" s="1"/>
  <c r="AE100" i="1"/>
  <c r="Y153" i="3" s="1"/>
  <c r="AF100" i="1"/>
  <c r="Z153" i="3" s="1"/>
  <c r="AG100" i="1"/>
  <c r="AA153" i="3" s="1"/>
  <c r="AH100" i="1"/>
  <c r="AB153" i="3" s="1"/>
  <c r="AI100" i="1"/>
  <c r="AC153" i="3" s="1"/>
  <c r="AJ100" i="1"/>
  <c r="AD153" i="3" s="1"/>
  <c r="AK100" i="1"/>
  <c r="AE153" i="3" s="1"/>
  <c r="BO100" i="1"/>
  <c r="BO101" i="1"/>
  <c r="BO102" i="1"/>
  <c r="BO103" i="1"/>
  <c r="U104" i="1"/>
  <c r="V104" i="1"/>
  <c r="W104" i="1"/>
  <c r="X104" i="1"/>
  <c r="Y104" i="1"/>
  <c r="V107" i="1"/>
  <c r="W107" i="1" s="1"/>
  <c r="BO107" i="1"/>
  <c r="U108" i="1"/>
  <c r="V108" i="1"/>
  <c r="W108" i="1"/>
  <c r="X108" i="1"/>
  <c r="Y108" i="1"/>
  <c r="Z108" i="1"/>
  <c r="AA108" i="1"/>
  <c r="AB108" i="1"/>
  <c r="AC108" i="1"/>
  <c r="AD108" i="1"/>
  <c r="AE108" i="1"/>
  <c r="AF108" i="1"/>
  <c r="AG108" i="1"/>
  <c r="AH108" i="1"/>
  <c r="AI108" i="1"/>
  <c r="AJ108" i="1"/>
  <c r="AK108" i="1"/>
  <c r="BO108" i="1"/>
  <c r="U109" i="1"/>
  <c r="BO109" i="1"/>
  <c r="U110" i="1"/>
  <c r="V110" i="1"/>
  <c r="W110" i="1"/>
  <c r="X110" i="1"/>
  <c r="Y110" i="1"/>
  <c r="Z110" i="1"/>
  <c r="AA110" i="1"/>
  <c r="AB110" i="1"/>
  <c r="AC110" i="1"/>
  <c r="AD110" i="1"/>
  <c r="AE110" i="1"/>
  <c r="AF110" i="1"/>
  <c r="AG110" i="1"/>
  <c r="AH110" i="1"/>
  <c r="AI110" i="1"/>
  <c r="AJ110" i="1"/>
  <c r="AK110" i="1"/>
  <c r="BO111" i="1"/>
  <c r="AH112" i="1"/>
  <c r="AH115" i="1" s="1"/>
  <c r="AI112" i="1"/>
  <c r="AI115" i="1" s="1"/>
  <c r="BO112" i="1"/>
  <c r="BO113" i="1"/>
  <c r="BO114" i="1"/>
  <c r="U115" i="1"/>
  <c r="V115" i="1"/>
  <c r="W115" i="1"/>
  <c r="X115" i="1"/>
  <c r="Y115" i="1"/>
  <c r="Z115" i="1"/>
  <c r="AA115" i="1"/>
  <c r="AB115" i="1"/>
  <c r="AC115" i="1"/>
  <c r="AD115" i="1"/>
  <c r="AE115" i="1"/>
  <c r="AF115" i="1"/>
  <c r="AG115" i="1"/>
  <c r="BO116" i="1"/>
  <c r="U117" i="1"/>
  <c r="V117" i="1"/>
  <c r="W117" i="1"/>
  <c r="X117" i="1"/>
  <c r="Y117" i="1"/>
  <c r="Z117" i="1"/>
  <c r="AA117" i="1"/>
  <c r="AB117" i="1"/>
  <c r="AC117" i="1"/>
  <c r="AD117" i="1"/>
  <c r="AE117" i="1"/>
  <c r="AF117" i="1"/>
  <c r="AG117" i="1"/>
  <c r="AH117" i="1"/>
  <c r="AI117" i="1"/>
  <c r="BO117" i="1"/>
  <c r="U118" i="1"/>
  <c r="V118" i="1"/>
  <c r="W118" i="1"/>
  <c r="X118" i="1"/>
  <c r="Y118" i="1"/>
  <c r="Z118" i="1"/>
  <c r="AA118" i="1"/>
  <c r="AB118" i="1"/>
  <c r="AC118" i="1"/>
  <c r="AD118" i="1"/>
  <c r="AE118" i="1"/>
  <c r="AF118" i="1"/>
  <c r="AG118" i="1"/>
  <c r="AH118" i="1"/>
  <c r="AI118" i="1"/>
  <c r="AJ118" i="1"/>
  <c r="AK118" i="1"/>
  <c r="BO118" i="1"/>
  <c r="U119" i="1"/>
  <c r="V119" i="1"/>
  <c r="W119" i="1"/>
  <c r="X119" i="1"/>
  <c r="Y119" i="1"/>
  <c r="Z119" i="1"/>
  <c r="AA119" i="1"/>
  <c r="AB119" i="1"/>
  <c r="AC119" i="1"/>
  <c r="AD119" i="1"/>
  <c r="AE119" i="1"/>
  <c r="AF119" i="1"/>
  <c r="AG119" i="1"/>
  <c r="AH119" i="1"/>
  <c r="AI119" i="1"/>
  <c r="AJ119" i="1"/>
  <c r="BO119" i="1"/>
  <c r="U120" i="1"/>
  <c r="V120" i="1"/>
  <c r="W120" i="1"/>
  <c r="X120" i="1"/>
  <c r="Y120" i="1"/>
  <c r="Z120" i="1"/>
  <c r="AA120" i="1"/>
  <c r="AB120" i="1"/>
  <c r="AC120" i="1"/>
  <c r="AD120" i="1"/>
  <c r="AE120" i="1"/>
  <c r="AF120" i="1"/>
  <c r="AG120" i="1"/>
  <c r="AH120" i="1"/>
  <c r="AI120" i="1"/>
  <c r="BO120" i="1"/>
  <c r="U121" i="1"/>
  <c r="V121" i="1"/>
  <c r="W121" i="1"/>
  <c r="X121" i="1"/>
  <c r="Y121" i="1"/>
  <c r="Z121" i="1"/>
  <c r="AA121" i="1"/>
  <c r="AB121" i="1"/>
  <c r="AC121" i="1"/>
  <c r="AD121" i="1"/>
  <c r="AE121" i="1"/>
  <c r="AF121" i="1"/>
  <c r="AG121" i="1"/>
  <c r="BO121" i="1"/>
  <c r="U122" i="1"/>
  <c r="V122" i="1"/>
  <c r="W122" i="1"/>
  <c r="X122" i="1"/>
  <c r="Y122" i="1"/>
  <c r="Z122" i="1"/>
  <c r="AA122" i="1"/>
  <c r="AB122" i="1"/>
  <c r="AC122" i="1"/>
  <c r="AD122" i="1"/>
  <c r="AE122" i="1"/>
  <c r="AF122" i="1"/>
  <c r="AG122" i="1"/>
  <c r="AH122" i="1"/>
  <c r="AI122" i="1"/>
  <c r="BO122" i="1"/>
  <c r="U124" i="1"/>
  <c r="AK124" i="1"/>
  <c r="BO124" i="1"/>
  <c r="U125" i="1"/>
  <c r="V125" i="1"/>
  <c r="BO125" i="1"/>
  <c r="BO126" i="1"/>
  <c r="BO127" i="1"/>
  <c r="W129" i="1"/>
  <c r="Y129" i="1"/>
  <c r="Y130" i="1" s="1"/>
  <c r="BO129" i="1"/>
  <c r="V130" i="1"/>
  <c r="Z130" i="1"/>
  <c r="AA130" i="1"/>
  <c r="AB130" i="1"/>
  <c r="AC130" i="1"/>
  <c r="AD130" i="1"/>
  <c r="AE130" i="1"/>
  <c r="AF130" i="1"/>
  <c r="AG130" i="1"/>
  <c r="AH130" i="1"/>
  <c r="AI130" i="1"/>
  <c r="AJ130" i="1"/>
  <c r="AK130" i="1"/>
  <c r="BO130" i="1"/>
  <c r="AE131" i="1"/>
  <c r="BO131" i="1"/>
  <c r="AE132" i="1"/>
  <c r="AE133" i="1" s="1"/>
  <c r="BO132" i="1"/>
  <c r="BO134" i="1"/>
  <c r="BO135" i="1"/>
  <c r="BO136" i="1"/>
  <c r="BO137" i="1"/>
  <c r="BO138" i="1"/>
  <c r="BO139" i="1"/>
  <c r="BO140" i="1"/>
  <c r="BO141" i="1"/>
  <c r="BO142" i="1"/>
  <c r="BO143" i="1"/>
  <c r="BO144" i="1"/>
  <c r="U145" i="1"/>
  <c r="BO145" i="1"/>
  <c r="BO146" i="1"/>
  <c r="U147" i="1"/>
  <c r="V147" i="1"/>
  <c r="W147" i="1"/>
  <c r="X147" i="1"/>
  <c r="Y147" i="1"/>
  <c r="Z147" i="1"/>
  <c r="AA147" i="1"/>
  <c r="AB147" i="1"/>
  <c r="AC147" i="1"/>
  <c r="AD147" i="1"/>
  <c r="AE147" i="1"/>
  <c r="AF147" i="1"/>
  <c r="AG147" i="1"/>
  <c r="AH147" i="1"/>
  <c r="AI147" i="1"/>
  <c r="AJ147" i="1"/>
  <c r="AK147" i="1"/>
  <c r="AL147" i="1"/>
  <c r="AM147" i="1"/>
  <c r="BO147" i="1"/>
  <c r="U148" i="1"/>
  <c r="V148" i="1"/>
  <c r="W148" i="1"/>
  <c r="X148" i="1"/>
  <c r="Y148" i="1"/>
  <c r="Z148" i="1"/>
  <c r="AA148" i="1"/>
  <c r="AB148" i="1"/>
  <c r="AC148" i="1"/>
  <c r="AD148" i="1"/>
  <c r="AE148" i="1"/>
  <c r="AF148" i="1"/>
  <c r="AG148" i="1"/>
  <c r="AH148" i="1"/>
  <c r="AI148" i="1"/>
  <c r="AJ148" i="1"/>
  <c r="AK148" i="1"/>
  <c r="AL148" i="1"/>
  <c r="AM148" i="1"/>
  <c r="BO148" i="1"/>
  <c r="BO149" i="1"/>
  <c r="V151" i="1"/>
  <c r="BO151" i="1"/>
  <c r="V152" i="1"/>
  <c r="BO152" i="1"/>
  <c r="V153" i="1"/>
  <c r="P132" i="3" s="1"/>
  <c r="BO153" i="1"/>
  <c r="V154" i="1"/>
  <c r="BO154" i="1"/>
  <c r="BO155" i="1"/>
  <c r="BO156" i="1"/>
  <c r="V157" i="1"/>
  <c r="BO157" i="1"/>
  <c r="V158" i="1"/>
  <c r="W158" i="1" s="1"/>
  <c r="X158" i="1" s="1"/>
  <c r="Y158" i="1" s="1"/>
  <c r="Z158" i="1" s="1"/>
  <c r="AA158" i="1" s="1"/>
  <c r="AB158" i="1" s="1"/>
  <c r="AC158" i="1" s="1"/>
  <c r="AD158" i="1" s="1"/>
  <c r="BO158" i="1"/>
  <c r="V159" i="1"/>
  <c r="BO159" i="1"/>
  <c r="V161" i="1"/>
  <c r="BO161" i="1"/>
  <c r="V162" i="1"/>
  <c r="BO162" i="1"/>
  <c r="V163" i="1"/>
  <c r="BO163" i="1"/>
  <c r="V164" i="1"/>
  <c r="BO164" i="1"/>
  <c r="V165" i="1"/>
  <c r="BO165" i="1"/>
  <c r="V166" i="1"/>
  <c r="BO166" i="1"/>
  <c r="U167" i="1"/>
  <c r="X168" i="1"/>
  <c r="AF168" i="1"/>
  <c r="AL168" i="1"/>
  <c r="AM168" i="1"/>
  <c r="BO169" i="1"/>
  <c r="BO170" i="1"/>
  <c r="BO171" i="1"/>
  <c r="BO172" i="1"/>
  <c r="BO174" i="1"/>
  <c r="BO175" i="1"/>
  <c r="U176" i="1"/>
  <c r="BO176" i="1"/>
  <c r="U177" i="1"/>
  <c r="BO177" i="1"/>
  <c r="BO178" i="1"/>
  <c r="BO179" i="1"/>
  <c r="BO180" i="1"/>
  <c r="BO181" i="1"/>
  <c r="BO182" i="1"/>
  <c r="BO183" i="1"/>
  <c r="BO184" i="1"/>
  <c r="BO185" i="1"/>
  <c r="BO186" i="1"/>
  <c r="BO187" i="1"/>
  <c r="BO188" i="1"/>
  <c r="BO189" i="1"/>
  <c r="BO190" i="1"/>
  <c r="U191" i="1"/>
  <c r="BO191" i="1"/>
  <c r="BO192" i="1"/>
  <c r="U193" i="1"/>
  <c r="BO193" i="1"/>
  <c r="U194" i="1"/>
  <c r="O119" i="3" s="1"/>
  <c r="BO194" i="1"/>
  <c r="U195" i="1"/>
  <c r="BO195" i="1"/>
  <c r="BO196" i="1"/>
  <c r="U197" i="1"/>
  <c r="O162" i="3" s="1"/>
  <c r="O164" i="3" s="1"/>
  <c r="BO197" i="1"/>
  <c r="BO198" i="1"/>
  <c r="BO199" i="1"/>
  <c r="BO200" i="1"/>
  <c r="BO201" i="1"/>
  <c r="Z202" i="1"/>
  <c r="AA202" i="1"/>
  <c r="AB202" i="1"/>
  <c r="AC202" i="1"/>
  <c r="AD202" i="1"/>
  <c r="AE202" i="1"/>
  <c r="AF202" i="1"/>
  <c r="AG202" i="1"/>
  <c r="AH202" i="1"/>
  <c r="AI202" i="1"/>
  <c r="AJ202" i="1"/>
  <c r="BO202" i="1"/>
  <c r="BO203" i="1"/>
  <c r="U204" i="1"/>
  <c r="V204" i="1"/>
  <c r="W204" i="1"/>
  <c r="X204" i="1"/>
  <c r="Y204" i="1"/>
  <c r="Z204" i="1"/>
  <c r="AA204" i="1"/>
  <c r="AB204" i="1"/>
  <c r="AC204" i="1"/>
  <c r="AD204" i="1"/>
  <c r="AE204" i="1"/>
  <c r="AF204" i="1"/>
  <c r="AG204" i="1"/>
  <c r="AH204" i="1"/>
  <c r="AI204" i="1"/>
  <c r="AJ204" i="1"/>
  <c r="AK204" i="1"/>
  <c r="AL204" i="1"/>
  <c r="BO204" i="1"/>
  <c r="Z205" i="1"/>
  <c r="AA205" i="1"/>
  <c r="AB205" i="1"/>
  <c r="AC205" i="1"/>
  <c r="AD205" i="1"/>
  <c r="AE205" i="1"/>
  <c r="AF205" i="1"/>
  <c r="AG205" i="1"/>
  <c r="AH205" i="1"/>
  <c r="AI205" i="1"/>
  <c r="BO205" i="1"/>
  <c r="Z206" i="1"/>
  <c r="AA206" i="1"/>
  <c r="AB206" i="1"/>
  <c r="AC206" i="1"/>
  <c r="AD206" i="1"/>
  <c r="AE206" i="1"/>
  <c r="AF206" i="1"/>
  <c r="AG206" i="1"/>
  <c r="AH206" i="1"/>
  <c r="AI206" i="1"/>
  <c r="BO206" i="1"/>
  <c r="BO207" i="1"/>
  <c r="BO208" i="1"/>
  <c r="U209" i="1"/>
  <c r="V209" i="1"/>
  <c r="W209" i="1"/>
  <c r="X209" i="1"/>
  <c r="Y209" i="1"/>
  <c r="Z209" i="1"/>
  <c r="AA209" i="1"/>
  <c r="AB209" i="1"/>
  <c r="AC209" i="1"/>
  <c r="AD209" i="1"/>
  <c r="AE209" i="1"/>
  <c r="AF209" i="1"/>
  <c r="AG209" i="1"/>
  <c r="AH209" i="1"/>
  <c r="AI209" i="1"/>
  <c r="AJ209" i="1"/>
  <c r="AK209" i="1"/>
  <c r="AL209" i="1"/>
  <c r="AM209" i="1"/>
  <c r="BO209" i="1"/>
  <c r="BO210" i="1"/>
  <c r="BO211" i="1"/>
  <c r="AH95" i="1" l="1"/>
  <c r="AB147" i="3"/>
  <c r="AD95" i="1"/>
  <c r="X147" i="3"/>
  <c r="AH207" i="1"/>
  <c r="AD207" i="1"/>
  <c r="Z207" i="1"/>
  <c r="AC124" i="1"/>
  <c r="AK67" i="1"/>
  <c r="CU372" i="1" a="1"/>
  <c r="K29" i="8"/>
  <c r="P29" i="8" s="1"/>
  <c r="Z95" i="1"/>
  <c r="T147" i="3"/>
  <c r="Q68" i="2"/>
  <c r="P129" i="3"/>
  <c r="Y124" i="1"/>
  <c r="AI95" i="1"/>
  <c r="AC147" i="3"/>
  <c r="AE95" i="1"/>
  <c r="Y147" i="3"/>
  <c r="AA95" i="1"/>
  <c r="U147" i="3"/>
  <c r="AC67" i="1"/>
  <c r="Z14" i="5"/>
  <c r="R11" i="2"/>
  <c r="R26" i="2" s="1"/>
  <c r="W130" i="1"/>
  <c r="CS372" i="1" s="1" a="1"/>
  <c r="AG124" i="1"/>
  <c r="U105" i="1"/>
  <c r="U199" i="1" s="1"/>
  <c r="AB95" i="1"/>
  <c r="AG95" i="1"/>
  <c r="AA147" i="3"/>
  <c r="AC95" i="1"/>
  <c r="W147" i="3"/>
  <c r="V14" i="3"/>
  <c r="U149" i="3"/>
  <c r="U120" i="3"/>
  <c r="DF784" i="1"/>
  <c r="GW11" i="2"/>
  <c r="Q48" i="2"/>
  <c r="EG9" i="2"/>
  <c r="ET49" i="2"/>
  <c r="DO419" i="1"/>
  <c r="DV142" i="2"/>
  <c r="CY235" i="1"/>
  <c r="CW235" i="1" s="1"/>
  <c r="DM327" i="1"/>
  <c r="DP327" i="1" s="1"/>
  <c r="Q12" i="2"/>
  <c r="Q14" i="2" s="1"/>
  <c r="CX142" i="1"/>
  <c r="DR190" i="1"/>
  <c r="CV58" i="1"/>
  <c r="EH15" i="1"/>
  <c r="HX140" i="2"/>
  <c r="CW98" i="1"/>
  <c r="FE99" i="1" s="1"/>
  <c r="Q69" i="2"/>
  <c r="AK125" i="1"/>
  <c r="AK169" i="1"/>
  <c r="AI125" i="1"/>
  <c r="AI169" i="1"/>
  <c r="AG125" i="1"/>
  <c r="AG169" i="1"/>
  <c r="AE125" i="1"/>
  <c r="AE169" i="1"/>
  <c r="AC125" i="1"/>
  <c r="AC169" i="1"/>
  <c r="AA125" i="1"/>
  <c r="AA169" i="1"/>
  <c r="AI207" i="1"/>
  <c r="AG207" i="1"/>
  <c r="AE207" i="1"/>
  <c r="AC207" i="1"/>
  <c r="AA207" i="1"/>
  <c r="P77" i="2"/>
  <c r="V193" i="1"/>
  <c r="P159" i="3" s="1"/>
  <c r="CD96" i="2" a="1"/>
  <c r="CF96" i="2" a="1"/>
  <c r="AJ125" i="1"/>
  <c r="AJ169" i="1"/>
  <c r="AH125" i="1"/>
  <c r="AH169" i="1"/>
  <c r="AF125" i="1"/>
  <c r="AF169" i="1"/>
  <c r="AD104" i="1"/>
  <c r="AD125" i="1"/>
  <c r="AD169" i="1"/>
  <c r="AB125" i="1"/>
  <c r="AB169" i="1"/>
  <c r="Z125" i="1"/>
  <c r="BG211" i="2" s="1" a="1"/>
  <c r="Z169" i="1"/>
  <c r="DY8" i="2"/>
  <c r="DY29" i="2"/>
  <c r="DY25" i="2"/>
  <c r="DY21" i="2"/>
  <c r="DY17" i="2"/>
  <c r="DY13" i="2"/>
  <c r="DY9" i="2"/>
  <c r="DY28" i="2"/>
  <c r="DY24" i="2"/>
  <c r="DY20" i="2"/>
  <c r="DY16" i="2"/>
  <c r="DY12" i="2"/>
  <c r="DY31" i="2"/>
  <c r="DY27" i="2"/>
  <c r="DY23" i="2"/>
  <c r="DY19" i="2"/>
  <c r="DY15" i="2"/>
  <c r="DY11" i="2"/>
  <c r="DY30" i="2"/>
  <c r="DY26" i="2"/>
  <c r="DY22" i="2"/>
  <c r="DY18" i="2"/>
  <c r="DY14" i="2"/>
  <c r="DY10" i="2"/>
  <c r="GD15" i="2"/>
  <c r="CY144" i="2"/>
  <c r="DR143" i="2"/>
  <c r="FI234" i="1" s="1"/>
  <c r="EG10" i="2"/>
  <c r="EH9" i="2"/>
  <c r="GV6" i="2" s="1"/>
  <c r="AE78" i="2"/>
  <c r="AC78" i="2"/>
  <c r="AA78" i="2"/>
  <c r="Y78" i="2"/>
  <c r="W78" i="2"/>
  <c r="U78" i="2"/>
  <c r="S78" i="2"/>
  <c r="Q78" i="2"/>
  <c r="AD65" i="2"/>
  <c r="AD67" i="2" s="1"/>
  <c r="AB65" i="2"/>
  <c r="AB67" i="2" s="1"/>
  <c r="Z65" i="2"/>
  <c r="Z67" i="2" s="1"/>
  <c r="X65" i="2"/>
  <c r="X67" i="2" s="1"/>
  <c r="V65" i="2"/>
  <c r="V67" i="2" s="1"/>
  <c r="T65" i="2"/>
  <c r="T67" i="2" s="1"/>
  <c r="R65" i="2"/>
  <c r="R67" i="2" s="1"/>
  <c r="AD78" i="2"/>
  <c r="AB78" i="2"/>
  <c r="Z78" i="2"/>
  <c r="X78" i="2"/>
  <c r="V78" i="2"/>
  <c r="T78" i="2"/>
  <c r="R78" i="2"/>
  <c r="Q62" i="2"/>
  <c r="AE65" i="2"/>
  <c r="AE67" i="2" s="1"/>
  <c r="AC65" i="2"/>
  <c r="AC67" i="2" s="1"/>
  <c r="AA65" i="2"/>
  <c r="AA67" i="2" s="1"/>
  <c r="Y65" i="2"/>
  <c r="Y67" i="2" s="1"/>
  <c r="W65" i="2"/>
  <c r="W67" i="2" s="1"/>
  <c r="U65" i="2"/>
  <c r="U67" i="2" s="1"/>
  <c r="S65" i="2"/>
  <c r="S67" i="2" s="1"/>
  <c r="Q65" i="2"/>
  <c r="Q67" i="2" s="1"/>
  <c r="P65" i="2"/>
  <c r="AT9" i="5"/>
  <c r="BC9" i="5" s="1"/>
  <c r="V177" i="1"/>
  <c r="W177" i="1" s="1"/>
  <c r="X177" i="1" s="1"/>
  <c r="Y177" i="1" s="1"/>
  <c r="Z177" i="1" s="1"/>
  <c r="AA177" i="1" s="1"/>
  <c r="AB177" i="1" s="1"/>
  <c r="AC177" i="1" s="1"/>
  <c r="AD177" i="1" s="1"/>
  <c r="AE177" i="1" s="1"/>
  <c r="AF177" i="1" s="1"/>
  <c r="AG177" i="1" s="1"/>
  <c r="AH177" i="1" s="1"/>
  <c r="AI177" i="1" s="1"/>
  <c r="AJ177" i="1" s="1"/>
  <c r="AK177" i="1" s="1"/>
  <c r="AL177" i="1" s="1"/>
  <c r="AM177" i="1" s="1"/>
  <c r="AN177" i="1" s="1"/>
  <c r="AO177" i="1" s="1"/>
  <c r="AP177" i="1" s="1"/>
  <c r="AQ177" i="1" s="1"/>
  <c r="DW778" i="1" a="1"/>
  <c r="DW778" i="1" s="1"/>
  <c r="CW778" i="1" a="1"/>
  <c r="AK90" i="1"/>
  <c r="W166" i="1"/>
  <c r="X166" i="1" s="1"/>
  <c r="Y166" i="1" s="1"/>
  <c r="Z166" i="1" s="1"/>
  <c r="AA166" i="1" s="1"/>
  <c r="AB166" i="1" s="1"/>
  <c r="AC166" i="1" s="1"/>
  <c r="AD166" i="1" s="1"/>
  <c r="AE166" i="1" s="1"/>
  <c r="AF166" i="1" s="1"/>
  <c r="AG166" i="1" s="1"/>
  <c r="AH166" i="1" s="1"/>
  <c r="AI166" i="1" s="1"/>
  <c r="AJ166" i="1" s="1"/>
  <c r="AK166" i="1" s="1"/>
  <c r="AL166" i="1" s="1"/>
  <c r="AM166" i="1" s="1"/>
  <c r="AN166" i="1" s="1"/>
  <c r="AO166" i="1" s="1"/>
  <c r="AP166" i="1" s="1"/>
  <c r="AQ166" i="1" s="1"/>
  <c r="AR166" i="1" s="1"/>
  <c r="W164" i="1"/>
  <c r="W163" i="1"/>
  <c r="X163" i="1" s="1"/>
  <c r="Y163" i="1" s="1"/>
  <c r="Z163" i="1" s="1"/>
  <c r="AA163" i="1" s="1"/>
  <c r="AB163" i="1" s="1"/>
  <c r="AC163" i="1" s="1"/>
  <c r="AD163" i="1" s="1"/>
  <c r="AE163" i="1" s="1"/>
  <c r="AF163" i="1" s="1"/>
  <c r="AG163" i="1" s="1"/>
  <c r="AH163" i="1" s="1"/>
  <c r="AI163" i="1" s="1"/>
  <c r="AJ163" i="1" s="1"/>
  <c r="AK163" i="1" s="1"/>
  <c r="AL163" i="1" s="1"/>
  <c r="AM163" i="1" s="1"/>
  <c r="AN163" i="1" s="1"/>
  <c r="AO163" i="1" s="1"/>
  <c r="AP163" i="1" s="1"/>
  <c r="AQ163" i="1" s="1"/>
  <c r="AR163" i="1" s="1"/>
  <c r="W161" i="1"/>
  <c r="X161" i="1" s="1"/>
  <c r="Y161" i="1" s="1"/>
  <c r="V184" i="1"/>
  <c r="AE158" i="1"/>
  <c r="AF158" i="1" s="1"/>
  <c r="AG158" i="1" s="1"/>
  <c r="AH158" i="1" s="1"/>
  <c r="AI158" i="1" s="1"/>
  <c r="AJ158" i="1" s="1"/>
  <c r="AK158" i="1" s="1"/>
  <c r="AL158" i="1" s="1"/>
  <c r="AM158" i="1" s="1"/>
  <c r="AN158" i="1" s="1"/>
  <c r="AO158" i="1" s="1"/>
  <c r="AP158" i="1" s="1"/>
  <c r="AQ158" i="1" s="1"/>
  <c r="AR158" i="1" s="1"/>
  <c r="AI124" i="1"/>
  <c r="AE124" i="1"/>
  <c r="AA124" i="1"/>
  <c r="W124" i="1"/>
  <c r="AC105" i="1"/>
  <c r="AG67" i="1"/>
  <c r="Y67" i="1"/>
  <c r="AP15" i="5"/>
  <c r="AP14" i="5"/>
  <c r="AP13" i="5"/>
  <c r="N29" i="8"/>
  <c r="K27" i="8"/>
  <c r="P27" i="8" s="1"/>
  <c r="K19" i="8"/>
  <c r="BS8" i="8" s="1"/>
  <c r="DG63" i="7"/>
  <c r="DG64" i="7" s="1"/>
  <c r="DG65" i="7" s="1"/>
  <c r="DG66" i="7" s="1"/>
  <c r="DG67" i="7" s="1"/>
  <c r="DG68" i="7" s="1"/>
  <c r="DG69" i="7" s="1"/>
  <c r="DG70" i="7" s="1"/>
  <c r="DG71" i="7" s="1"/>
  <c r="DG72" i="7" s="1"/>
  <c r="DG73" i="7" s="1"/>
  <c r="DG74" i="7" s="1"/>
  <c r="DG75" i="7" s="1"/>
  <c r="DG76" i="7" s="1"/>
  <c r="DG77" i="7" s="1"/>
  <c r="DG78" i="7" s="1"/>
  <c r="AJ168" i="1"/>
  <c r="AB168" i="1"/>
  <c r="U149" i="1"/>
  <c r="DW797" i="1"/>
  <c r="DW789" i="1"/>
  <c r="DW781" i="1"/>
  <c r="DW794" i="1"/>
  <c r="DW786" i="1"/>
  <c r="DW799" i="1"/>
  <c r="DW791" i="1"/>
  <c r="DW783" i="1"/>
  <c r="DW796" i="1"/>
  <c r="DW788" i="1"/>
  <c r="DW780" i="1"/>
  <c r="AF25" i="2"/>
  <c r="AR8" i="5" a="1"/>
  <c r="AR9" i="5" s="1"/>
  <c r="V186" i="1"/>
  <c r="P20" i="3" s="1"/>
  <c r="AH168" i="1"/>
  <c r="AD168" i="1"/>
  <c r="Z168" i="1"/>
  <c r="V168" i="1"/>
  <c r="AJ124" i="1"/>
  <c r="AH124" i="1"/>
  <c r="AF124" i="1"/>
  <c r="AD124" i="1"/>
  <c r="AB124" i="1"/>
  <c r="Z124" i="1"/>
  <c r="X124" i="1"/>
  <c r="V124" i="1"/>
  <c r="U57" i="1"/>
  <c r="O143" i="3" s="1"/>
  <c r="AT24" i="5"/>
  <c r="BC24" i="5" s="1"/>
  <c r="AT23" i="5"/>
  <c r="AU23" i="5" s="1"/>
  <c r="AT22" i="5"/>
  <c r="BC22" i="5" s="1"/>
  <c r="V166" i="7"/>
  <c r="V162" i="7"/>
  <c r="V158" i="7"/>
  <c r="V154" i="7"/>
  <c r="V152" i="7"/>
  <c r="U92" i="1"/>
  <c r="W165" i="1"/>
  <c r="X165" i="1" s="1"/>
  <c r="Y165" i="1" s="1"/>
  <c r="Z165" i="1" s="1"/>
  <c r="AA165" i="1" s="1"/>
  <c r="AB165" i="1" s="1"/>
  <c r="AC165" i="1" s="1"/>
  <c r="AD165" i="1" s="1"/>
  <c r="AE165" i="1" s="1"/>
  <c r="AF165" i="1" s="1"/>
  <c r="AG165" i="1" s="1"/>
  <c r="AH165" i="1" s="1"/>
  <c r="AI165" i="1" s="1"/>
  <c r="AJ165" i="1" s="1"/>
  <c r="AK165" i="1" s="1"/>
  <c r="AL165" i="1" s="1"/>
  <c r="AM165" i="1" s="1"/>
  <c r="AN165" i="1" s="1"/>
  <c r="AO165" i="1" s="1"/>
  <c r="AP165" i="1" s="1"/>
  <c r="AQ165" i="1" s="1"/>
  <c r="AR165" i="1" s="1"/>
  <c r="V187" i="1"/>
  <c r="W159" i="1"/>
  <c r="W152" i="1"/>
  <c r="Z36" i="2"/>
  <c r="V109" i="1"/>
  <c r="AI104" i="1"/>
  <c r="AG104" i="1"/>
  <c r="AE104" i="1"/>
  <c r="AC104" i="1"/>
  <c r="AA104" i="1"/>
  <c r="AC90" i="1"/>
  <c r="U90" i="1"/>
  <c r="AE25" i="2"/>
  <c r="AC25" i="2"/>
  <c r="AA25" i="2"/>
  <c r="Y25" i="2"/>
  <c r="W25" i="2"/>
  <c r="U25" i="2"/>
  <c r="S25" i="2"/>
  <c r="Q25" i="2"/>
  <c r="AZ27" i="5"/>
  <c r="AX27" i="5" s="1"/>
  <c r="BD27" i="5" s="1"/>
  <c r="V197" i="1"/>
  <c r="V176" i="1"/>
  <c r="U170" i="1"/>
  <c r="V167" i="1"/>
  <c r="V199" i="1"/>
  <c r="AH104" i="1"/>
  <c r="AF104" i="1"/>
  <c r="AB104" i="1"/>
  <c r="Z104" i="1"/>
  <c r="Y90" i="1"/>
  <c r="AK57" i="1"/>
  <c r="AE143" i="3" s="1"/>
  <c r="AD25" i="2"/>
  <c r="AB25" i="2"/>
  <c r="Z25" i="2"/>
  <c r="X25" i="2"/>
  <c r="V25" i="2"/>
  <c r="T25" i="2"/>
  <c r="R25" i="2"/>
  <c r="AC37" i="5"/>
  <c r="AB36" i="5"/>
  <c r="AT15" i="5"/>
  <c r="BC15" i="5" s="1"/>
  <c r="M30" i="8"/>
  <c r="BT19" i="8" s="1"/>
  <c r="M29" i="8"/>
  <c r="BT18" i="8" s="1"/>
  <c r="S181" i="9"/>
  <c r="E41" i="9"/>
  <c r="I41" i="9" s="1"/>
  <c r="DZ65" i="7"/>
  <c r="DY65" i="7"/>
  <c r="DW66" i="7"/>
  <c r="V150" i="7"/>
  <c r="EB46" i="7"/>
  <c r="ET45" i="7"/>
  <c r="V165" i="7"/>
  <c r="V161" i="7"/>
  <c r="V157" i="7"/>
  <c r="V153" i="7"/>
  <c r="V151" i="7"/>
  <c r="V147" i="7"/>
  <c r="Q19" i="2"/>
  <c r="Q70" i="2" s="1"/>
  <c r="Q71" i="2" s="1"/>
  <c r="AT26" i="5"/>
  <c r="BC26" i="5" s="1"/>
  <c r="AT25" i="5"/>
  <c r="BC25" i="5" s="1"/>
  <c r="AT21" i="5"/>
  <c r="AU22" i="5" s="1"/>
  <c r="AT20" i="5"/>
  <c r="BC20" i="5" s="1"/>
  <c r="AT19" i="5"/>
  <c r="BC19" i="5" s="1"/>
  <c r="AT18" i="5"/>
  <c r="BC18" i="5" s="1"/>
  <c r="AT17" i="5"/>
  <c r="BC17" i="5" s="1"/>
  <c r="AT11" i="5"/>
  <c r="BC11" i="5" s="1"/>
  <c r="M18" i="8"/>
  <c r="BT7" i="8" s="1"/>
  <c r="W193" i="1"/>
  <c r="Q159" i="3" s="1"/>
  <c r="V191" i="1"/>
  <c r="U174" i="1"/>
  <c r="AI168" i="1"/>
  <c r="AG168" i="1"/>
  <c r="AE168" i="1"/>
  <c r="AC168" i="1"/>
  <c r="AA168" i="1"/>
  <c r="Y168" i="1"/>
  <c r="W168" i="1"/>
  <c r="W153" i="1"/>
  <c r="Q132" i="3" s="1"/>
  <c r="AI121" i="1"/>
  <c r="AI67" i="1"/>
  <c r="AE67" i="1"/>
  <c r="AA67" i="1"/>
  <c r="W67" i="1"/>
  <c r="V36" i="8"/>
  <c r="V32" i="8"/>
  <c r="V34" i="8"/>
  <c r="V31" i="8"/>
  <c r="N16" i="8"/>
  <c r="Y16" i="8" s="1"/>
  <c r="AE5" i="8" s="1"/>
  <c r="AU5" i="8" s="1"/>
  <c r="AV25" i="5"/>
  <c r="AW25" i="5" s="1"/>
  <c r="AV24" i="5"/>
  <c r="AW24" i="5" s="1"/>
  <c r="AP22" i="5"/>
  <c r="P16" i="8"/>
  <c r="AV26" i="5"/>
  <c r="AV21" i="5"/>
  <c r="AP21" i="5"/>
  <c r="AV23" i="5"/>
  <c r="AV22" i="5"/>
  <c r="AV20" i="5"/>
  <c r="AP20" i="5"/>
  <c r="AV19" i="5"/>
  <c r="AP19" i="5"/>
  <c r="AV18" i="5"/>
  <c r="AP18" i="5"/>
  <c r="AV17" i="5"/>
  <c r="AP17" i="5"/>
  <c r="AP16" i="5"/>
  <c r="R27" i="2"/>
  <c r="R29" i="2" s="1"/>
  <c r="Q131" i="3" s="1"/>
  <c r="K30" i="8"/>
  <c r="O30" i="8" s="1"/>
  <c r="K28" i="8"/>
  <c r="Q28" i="8" s="1"/>
  <c r="K24" i="8"/>
  <c r="O24" i="8" s="1"/>
  <c r="K18" i="8"/>
  <c r="O18" i="8" s="1"/>
  <c r="K17" i="8"/>
  <c r="BS6" i="8" s="1"/>
  <c r="AK168" i="1"/>
  <c r="AG25" i="2"/>
  <c r="U31" i="8"/>
  <c r="U29" i="8"/>
  <c r="U28" i="8"/>
  <c r="U26" i="8"/>
  <c r="U23" i="8"/>
  <c r="U21" i="8"/>
  <c r="U24" i="8"/>
  <c r="U22" i="8"/>
  <c r="U19" i="8"/>
  <c r="R12" i="2"/>
  <c r="S12" i="2" s="1"/>
  <c r="S14" i="2" s="1"/>
  <c r="AF125" i="12"/>
  <c r="AF189" i="12" s="1"/>
  <c r="X107" i="1"/>
  <c r="Y107" i="1" s="1"/>
  <c r="Z107" i="1" s="1"/>
  <c r="AA107" i="1" s="1"/>
  <c r="AB107" i="1" s="1"/>
  <c r="AC107" i="1" s="1"/>
  <c r="AD107" i="1" s="1"/>
  <c r="AE107" i="1" s="1"/>
  <c r="AF107" i="1" s="1"/>
  <c r="AG107" i="1" s="1"/>
  <c r="AH107" i="1" s="1"/>
  <c r="V194" i="1"/>
  <c r="P119" i="3" s="1"/>
  <c r="P183" i="3" s="1"/>
  <c r="X54" i="9"/>
  <c r="AR125" i="12"/>
  <c r="AR189" i="12" s="1"/>
  <c r="V125" i="12"/>
  <c r="V189" i="12" s="1"/>
  <c r="AV125" i="12"/>
  <c r="AV189" i="12" s="1"/>
  <c r="AL125" i="12"/>
  <c r="AL189" i="12" s="1"/>
  <c r="AB125" i="12"/>
  <c r="AB189" i="12" s="1"/>
  <c r="P125" i="12"/>
  <c r="P189" i="12" s="1"/>
  <c r="AT16" i="5"/>
  <c r="BC16" i="5" s="1"/>
  <c r="Z16" i="5"/>
  <c r="AI10" i="5"/>
  <c r="AU10" i="5" s="1"/>
  <c r="T16" i="5"/>
  <c r="AT14" i="5"/>
  <c r="BC14" i="5" s="1"/>
  <c r="AT10" i="5"/>
  <c r="BC10" i="5" s="1"/>
  <c r="V35" i="8"/>
  <c r="V33" i="8"/>
  <c r="M32" i="8"/>
  <c r="BT21" i="8" s="1"/>
  <c r="M28" i="8"/>
  <c r="BT17" i="8" s="1"/>
  <c r="M25" i="8"/>
  <c r="BT14" i="8" s="1"/>
  <c r="M24" i="8"/>
  <c r="BT13" i="8" s="1"/>
  <c r="M20" i="8"/>
  <c r="BT9" i="8" s="1"/>
  <c r="Z15" i="5"/>
  <c r="W15" i="5"/>
  <c r="AT125" i="12"/>
  <c r="AT189" i="12" s="1"/>
  <c r="AN125" i="12"/>
  <c r="AN189" i="12" s="1"/>
  <c r="AJ125" i="12"/>
  <c r="AJ189" i="12" s="1"/>
  <c r="AD125" i="12"/>
  <c r="AD189" i="12" s="1"/>
  <c r="X125" i="12"/>
  <c r="X189" i="12" s="1"/>
  <c r="T125" i="12"/>
  <c r="T189" i="12" s="1"/>
  <c r="N125" i="12"/>
  <c r="N189" i="12" s="1"/>
  <c r="AT12" i="5"/>
  <c r="BC12" i="5" s="1"/>
  <c r="U36" i="8"/>
  <c r="U35" i="8"/>
  <c r="U34" i="8"/>
  <c r="U33" i="8"/>
  <c r="U32" i="8"/>
  <c r="M31" i="8"/>
  <c r="U30" i="8"/>
  <c r="U27" i="8"/>
  <c r="M27" i="8"/>
  <c r="BT16" i="8" s="1"/>
  <c r="M26" i="8"/>
  <c r="BT15" i="8" s="1"/>
  <c r="U25" i="8"/>
  <c r="M23" i="8"/>
  <c r="BT12" i="8" s="1"/>
  <c r="M22" i="8"/>
  <c r="BT11" i="8" s="1"/>
  <c r="M21" i="8"/>
  <c r="BT10" i="8" s="1"/>
  <c r="U20" i="8"/>
  <c r="U18" i="8"/>
  <c r="U17" i="8"/>
  <c r="X46" i="9"/>
  <c r="CM30" i="7"/>
  <c r="CM31" i="7" s="1"/>
  <c r="CM32" i="7" s="1"/>
  <c r="AU8" i="5"/>
  <c r="BC8" i="5"/>
  <c r="T117" i="6"/>
  <c r="T176" i="6" s="1"/>
  <c r="Z28" i="5"/>
  <c r="AM20" i="5"/>
  <c r="Z25" i="5"/>
  <c r="Z24" i="5"/>
  <c r="W24" i="5"/>
  <c r="AI12" i="5"/>
  <c r="AV16" i="5"/>
  <c r="AV15" i="5"/>
  <c r="AV14" i="5"/>
  <c r="AT13" i="5"/>
  <c r="BC13" i="5" s="1"/>
  <c r="AV12" i="5"/>
  <c r="AP12" i="5"/>
  <c r="AP11" i="5"/>
  <c r="AV10" i="5"/>
  <c r="AP10" i="5"/>
  <c r="AV9" i="5"/>
  <c r="AX9" i="5" s="1"/>
  <c r="AY9" i="5" s="1"/>
  <c r="AV8" i="5"/>
  <c r="AX8" i="5" s="1"/>
  <c r="AP8" i="5"/>
  <c r="X50" i="9"/>
  <c r="X42" i="9"/>
  <c r="AU125" i="12"/>
  <c r="AU189" i="12" s="1"/>
  <c r="AS125" i="12"/>
  <c r="AS189" i="12" s="1"/>
  <c r="AQ125" i="12"/>
  <c r="AQ189" i="12" s="1"/>
  <c r="AM125" i="12"/>
  <c r="AM189" i="12" s="1"/>
  <c r="AK125" i="12"/>
  <c r="AK189" i="12" s="1"/>
  <c r="AI125" i="12"/>
  <c r="AI189" i="12" s="1"/>
  <c r="AE125" i="12"/>
  <c r="AE189" i="12" s="1"/>
  <c r="AC125" i="12"/>
  <c r="AC189" i="12" s="1"/>
  <c r="AA125" i="12"/>
  <c r="AA189" i="12" s="1"/>
  <c r="W125" i="12"/>
  <c r="W189" i="12" s="1"/>
  <c r="U125" i="12"/>
  <c r="U189" i="12" s="1"/>
  <c r="S125" i="12"/>
  <c r="S189" i="12" s="1"/>
  <c r="O125" i="12"/>
  <c r="O189" i="12" s="1"/>
  <c r="R52" i="2"/>
  <c r="R54" i="2" s="1"/>
  <c r="Q107" i="3" s="1"/>
  <c r="Q187" i="3" s="1"/>
  <c r="R37" i="2"/>
  <c r="S37" i="2" s="1"/>
  <c r="T37" i="2" s="1"/>
  <c r="Q29" i="8"/>
  <c r="Q16" i="8"/>
  <c r="O16" i="8"/>
  <c r="R47" i="2"/>
  <c r="S47" i="2" s="1"/>
  <c r="P117" i="6"/>
  <c r="P176" i="6" s="1"/>
  <c r="AI21" i="5"/>
  <c r="AJ21" i="5" s="1"/>
  <c r="AJ23" i="5" s="1"/>
  <c r="AJ24" i="5" s="1"/>
  <c r="T27" i="5"/>
  <c r="Z26" i="5"/>
  <c r="AM19" i="5"/>
  <c r="W21" i="5"/>
  <c r="Z19" i="5"/>
  <c r="W19" i="5"/>
  <c r="W17" i="5"/>
  <c r="K32" i="8"/>
  <c r="BS21" i="8" s="1"/>
  <c r="K31" i="8"/>
  <c r="BS20" i="8" s="1"/>
  <c r="V30" i="8"/>
  <c r="O29" i="8"/>
  <c r="BS18" i="8"/>
  <c r="K26" i="8"/>
  <c r="P26" i="8" s="1"/>
  <c r="K25" i="8"/>
  <c r="BS14" i="8" s="1"/>
  <c r="K23" i="8"/>
  <c r="K22" i="8"/>
  <c r="O22" i="8" s="1"/>
  <c r="K21" i="8"/>
  <c r="K20" i="8"/>
  <c r="O20" i="8" s="1"/>
  <c r="X56" i="9"/>
  <c r="X52" i="9"/>
  <c r="X48" i="9"/>
  <c r="X44" i="9"/>
  <c r="X40" i="9"/>
  <c r="BD26" i="5"/>
  <c r="AW26" i="5"/>
  <c r="X193" i="1"/>
  <c r="R159" i="3" s="1"/>
  <c r="W191" i="1"/>
  <c r="X164" i="1"/>
  <c r="AL22" i="5"/>
  <c r="AF207" i="1"/>
  <c r="AB207" i="1"/>
  <c r="V195" i="1"/>
  <c r="W186" i="1"/>
  <c r="Q20" i="3" s="1"/>
  <c r="U178" i="1"/>
  <c r="W157" i="1"/>
  <c r="X157" i="1" s="1"/>
  <c r="T11" i="2"/>
  <c r="AJ104" i="1"/>
  <c r="W16" i="8" a="1"/>
  <c r="AJ67" i="1"/>
  <c r="AH67" i="1"/>
  <c r="AF67" i="1"/>
  <c r="AD67" i="1"/>
  <c r="AB67" i="1"/>
  <c r="Z67" i="1"/>
  <c r="X67" i="1"/>
  <c r="V67" i="1"/>
  <c r="DY372" i="1" s="1" a="1"/>
  <c r="AJ57" i="1"/>
  <c r="AD143" i="3" s="1"/>
  <c r="AH57" i="1"/>
  <c r="AB143" i="3" s="1"/>
  <c r="AF57" i="1"/>
  <c r="Z143" i="3" s="1"/>
  <c r="AD57" i="1"/>
  <c r="X143" i="3" s="1"/>
  <c r="AB57" i="1"/>
  <c r="V143" i="3" s="1"/>
  <c r="Z57" i="1"/>
  <c r="T143" i="3" s="1"/>
  <c r="X57" i="1"/>
  <c r="R143" i="3" s="1"/>
  <c r="V57" i="1"/>
  <c r="P143" i="3" s="1"/>
  <c r="R19" i="2"/>
  <c r="T17" i="2"/>
  <c r="R117" i="6"/>
  <c r="R176" i="6" s="1"/>
  <c r="Z33" i="5"/>
  <c r="W28" i="5"/>
  <c r="AC26" i="5"/>
  <c r="AC25" i="5"/>
  <c r="Z23" i="5"/>
  <c r="AI16" i="5"/>
  <c r="T21" i="5"/>
  <c r="Z20" i="5"/>
  <c r="AI14" i="5"/>
  <c r="T20" i="5"/>
  <c r="T17" i="5"/>
  <c r="AM8" i="5"/>
  <c r="W162" i="1"/>
  <c r="V175" i="1"/>
  <c r="W151" i="1"/>
  <c r="X151" i="1" s="1"/>
  <c r="AK104" i="1"/>
  <c r="X57" i="9"/>
  <c r="X55" i="9"/>
  <c r="X53" i="9"/>
  <c r="X51" i="9"/>
  <c r="X49" i="9"/>
  <c r="X47" i="9"/>
  <c r="X45" i="9"/>
  <c r="X43" i="9"/>
  <c r="X41" i="9"/>
  <c r="DA34" i="2"/>
  <c r="AX94" i="8"/>
  <c r="AX90" i="8"/>
  <c r="AX89" i="8"/>
  <c r="AX87" i="8"/>
  <c r="BU5" i="8"/>
  <c r="CL5" i="8" s="1"/>
  <c r="W176" i="1"/>
  <c r="X186" i="1"/>
  <c r="R20" i="3" s="1"/>
  <c r="V170" i="1"/>
  <c r="X159" i="1"/>
  <c r="Q53" i="2"/>
  <c r="AF133" i="1"/>
  <c r="AG133" i="1" s="1"/>
  <c r="AH133" i="1" s="1"/>
  <c r="AI133" i="1" s="1"/>
  <c r="AJ133" i="1" s="1"/>
  <c r="AK133" i="1" s="1"/>
  <c r="AL133" i="1" s="1"/>
  <c r="AM133" i="1" s="1"/>
  <c r="AN133" i="1" s="1"/>
  <c r="AO133" i="1" s="1"/>
  <c r="AP133" i="1" s="1"/>
  <c r="AQ133" i="1" s="1"/>
  <c r="AR133" i="1" s="1"/>
  <c r="AH121" i="1"/>
  <c r="CT65" i="8"/>
  <c r="CT69" i="8"/>
  <c r="CT63" i="8"/>
  <c r="CT67" i="8"/>
  <c r="CT71" i="8"/>
  <c r="CT75" i="8"/>
  <c r="CT79" i="8"/>
  <c r="CT64" i="8"/>
  <c r="CT68" i="8"/>
  <c r="CT72" i="8"/>
  <c r="CT76" i="8"/>
  <c r="CT80" i="8"/>
  <c r="CT73" i="8"/>
  <c r="CT62" i="8"/>
  <c r="CT74" i="8"/>
  <c r="CT66" i="8"/>
  <c r="CT77" i="8"/>
  <c r="CT70" i="8"/>
  <c r="CT78" i="8"/>
  <c r="AX96" i="8"/>
  <c r="W154" i="1"/>
  <c r="AK105" i="1"/>
  <c r="T123" i="12"/>
  <c r="T187" i="12" s="1"/>
  <c r="U117" i="6"/>
  <c r="U176" i="6" s="1"/>
  <c r="AM18" i="5"/>
  <c r="T24" i="5"/>
  <c r="W23" i="5"/>
  <c r="AI17" i="5"/>
  <c r="AM9" i="5"/>
  <c r="AU9" i="5" s="1"/>
  <c r="T15" i="5"/>
  <c r="M41" i="9"/>
  <c r="Q40" i="9"/>
  <c r="Q38" i="2"/>
  <c r="AK21" i="5"/>
  <c r="Z27" i="5"/>
  <c r="AI19" i="5"/>
  <c r="W25" i="5"/>
  <c r="AI20" i="5"/>
  <c r="W26" i="5"/>
  <c r="AM12" i="5"/>
  <c r="T18" i="5"/>
  <c r="V163" i="7"/>
  <c r="V164" i="7"/>
  <c r="V148" i="7"/>
  <c r="V149" i="7"/>
  <c r="AX91" i="8"/>
  <c r="R60" i="2"/>
  <c r="P123" i="12"/>
  <c r="P187" i="12" s="1"/>
  <c r="Q117" i="6"/>
  <c r="Q176" i="6" s="1"/>
  <c r="AK15" i="5"/>
  <c r="Z21" i="5"/>
  <c r="AK12" i="5"/>
  <c r="Z18" i="5"/>
  <c r="S117" i="6"/>
  <c r="S176" i="6" s="1"/>
  <c r="O117" i="6"/>
  <c r="O176" i="6" s="1"/>
  <c r="T23" i="5"/>
  <c r="Z22" i="5"/>
  <c r="T22" i="5"/>
  <c r="T19" i="5"/>
  <c r="Z17" i="5"/>
  <c r="AC14" i="5"/>
  <c r="AC16" i="5"/>
  <c r="AC18" i="5"/>
  <c r="AC20" i="5"/>
  <c r="AC22" i="5"/>
  <c r="AC23" i="5"/>
  <c r="AC15" i="5"/>
  <c r="AC17" i="5"/>
  <c r="AC19" i="5"/>
  <c r="AC21" i="5"/>
  <c r="W14" i="5"/>
  <c r="V159" i="7"/>
  <c r="V160" i="7"/>
  <c r="AU23" i="8"/>
  <c r="AF24" i="8"/>
  <c r="R181" i="9"/>
  <c r="S182" i="9"/>
  <c r="V155" i="7"/>
  <c r="V156" i="7"/>
  <c r="V167" i="7"/>
  <c r="V168" i="7"/>
  <c r="V18" i="8"/>
  <c r="V20" i="8"/>
  <c r="V22" i="8"/>
  <c r="V23" i="8"/>
  <c r="V24" i="8"/>
  <c r="V25" i="8"/>
  <c r="V26" i="8"/>
  <c r="V27" i="8"/>
  <c r="V28" i="8"/>
  <c r="V16" i="8"/>
  <c r="V29" i="8"/>
  <c r="V19" i="8"/>
  <c r="V21" i="8"/>
  <c r="AV13" i="5"/>
  <c r="M17" i="8"/>
  <c r="M19" i="8"/>
  <c r="P55" i="2"/>
  <c r="U198" i="1"/>
  <c r="AH100" i="2"/>
  <c r="X172" i="1"/>
  <c r="V172" i="1"/>
  <c r="U172" i="1"/>
  <c r="DK60" i="7" a="1"/>
  <c r="W156" i="1"/>
  <c r="DY372" i="1" l="1"/>
  <c r="DY389" i="1"/>
  <c r="DY381" i="1"/>
  <c r="DY373" i="1"/>
  <c r="DY388" i="1"/>
  <c r="DY380" i="1"/>
  <c r="DY395" i="1"/>
  <c r="DY387" i="1"/>
  <c r="DY379" i="1"/>
  <c r="DY394" i="1"/>
  <c r="DY386" i="1"/>
  <c r="DY378" i="1"/>
  <c r="DY383" i="1"/>
  <c r="DY390" i="1"/>
  <c r="DY374" i="1"/>
  <c r="DY393" i="1"/>
  <c r="DY385" i="1"/>
  <c r="DY377" i="1"/>
  <c r="DY392" i="1"/>
  <c r="DY384" i="1"/>
  <c r="DY376" i="1"/>
  <c r="DY391" i="1"/>
  <c r="DY375" i="1"/>
  <c r="DY382" i="1"/>
  <c r="CS374" i="1"/>
  <c r="CS378" i="1"/>
  <c r="CS382" i="1"/>
  <c r="CS386" i="1"/>
  <c r="CS390" i="1"/>
  <c r="CS394" i="1"/>
  <c r="CS375" i="1"/>
  <c r="CS379" i="1"/>
  <c r="CS383" i="1"/>
  <c r="CS387" i="1"/>
  <c r="CS391" i="1"/>
  <c r="CS395" i="1"/>
  <c r="CS372" i="1"/>
  <c r="CS376" i="1"/>
  <c r="CS380" i="1"/>
  <c r="CS384" i="1"/>
  <c r="CS388" i="1"/>
  <c r="CS392" i="1"/>
  <c r="CS373" i="1"/>
  <c r="CS377" i="1"/>
  <c r="CS381" i="1"/>
  <c r="CS385" i="1"/>
  <c r="CS389" i="1"/>
  <c r="CS393" i="1"/>
  <c r="R68" i="2"/>
  <c r="R69" i="2" s="1"/>
  <c r="Q129" i="3"/>
  <c r="DK52" i="1" a="1"/>
  <c r="W194" i="1"/>
  <c r="Q119" i="3" s="1"/>
  <c r="Q183" i="3" s="1"/>
  <c r="P156" i="3"/>
  <c r="P26" i="3"/>
  <c r="P160" i="3" s="1"/>
  <c r="V179" i="1"/>
  <c r="P130" i="3" s="1"/>
  <c r="P128" i="3"/>
  <c r="W197" i="1"/>
  <c r="P162" i="3"/>
  <c r="CU374" i="1"/>
  <c r="DS278" i="1" s="1"/>
  <c r="DV278" i="1" s="1"/>
  <c r="CU378" i="1"/>
  <c r="DS282" i="1" s="1"/>
  <c r="DV282" i="1" s="1"/>
  <c r="CU382" i="1"/>
  <c r="DS286" i="1" s="1"/>
  <c r="DV286" i="1" s="1"/>
  <c r="CU386" i="1"/>
  <c r="DS290" i="1" s="1"/>
  <c r="DV290" i="1" s="1"/>
  <c r="CU390" i="1"/>
  <c r="DS294" i="1" s="1"/>
  <c r="DV294" i="1" s="1"/>
  <c r="CU394" i="1"/>
  <c r="DS298" i="1" s="1"/>
  <c r="DV298" i="1" s="1"/>
  <c r="CU375" i="1"/>
  <c r="DS279" i="1" s="1"/>
  <c r="DV279" i="1" s="1"/>
  <c r="CU379" i="1"/>
  <c r="DS283" i="1" s="1"/>
  <c r="DV283" i="1" s="1"/>
  <c r="CU383" i="1"/>
  <c r="DS287" i="1" s="1"/>
  <c r="DV287" i="1" s="1"/>
  <c r="CU387" i="1"/>
  <c r="DS291" i="1" s="1"/>
  <c r="DV291" i="1" s="1"/>
  <c r="CU391" i="1"/>
  <c r="DS295" i="1" s="1"/>
  <c r="DV295" i="1" s="1"/>
  <c r="CU395" i="1"/>
  <c r="DS299" i="1" s="1"/>
  <c r="DV299" i="1" s="1"/>
  <c r="CU372" i="1"/>
  <c r="DS276" i="1" s="1"/>
  <c r="DV276" i="1" s="1"/>
  <c r="CU376" i="1"/>
  <c r="DS280" i="1" s="1"/>
  <c r="DV280" i="1" s="1"/>
  <c r="CU380" i="1"/>
  <c r="DS284" i="1" s="1"/>
  <c r="DV284" i="1" s="1"/>
  <c r="CU384" i="1"/>
  <c r="DS288" i="1" s="1"/>
  <c r="DV288" i="1" s="1"/>
  <c r="CU388" i="1"/>
  <c r="DS292" i="1" s="1"/>
  <c r="DV292" i="1" s="1"/>
  <c r="CU392" i="1"/>
  <c r="DS296" i="1" s="1"/>
  <c r="DV296" i="1" s="1"/>
  <c r="CU373" i="1"/>
  <c r="DS277" i="1" s="1"/>
  <c r="DV277" i="1" s="1"/>
  <c r="CU377" i="1"/>
  <c r="DS281" i="1" s="1"/>
  <c r="DV281" i="1" s="1"/>
  <c r="CU381" i="1"/>
  <c r="DS285" i="1" s="1"/>
  <c r="DV285" i="1" s="1"/>
  <c r="CU385" i="1"/>
  <c r="DS289" i="1" s="1"/>
  <c r="DV289" i="1" s="1"/>
  <c r="CU389" i="1"/>
  <c r="DS293" i="1" s="1"/>
  <c r="DV293" i="1" s="1"/>
  <c r="CU393" i="1"/>
  <c r="DS297" i="1" s="1"/>
  <c r="DV297" i="1" s="1"/>
  <c r="Q77" i="2"/>
  <c r="P99" i="3"/>
  <c r="P184" i="3" s="1"/>
  <c r="BE211" i="2" a="1"/>
  <c r="BE214" i="2" s="1"/>
  <c r="BW214" i="2" s="1"/>
  <c r="P18" i="3"/>
  <c r="Q156" i="3"/>
  <c r="Q26" i="3"/>
  <c r="Q160" i="3" s="1"/>
  <c r="CS229" i="1" a="1"/>
  <c r="W14" i="3"/>
  <c r="V149" i="3"/>
  <c r="V120" i="3"/>
  <c r="R100" i="2"/>
  <c r="Q139" i="3"/>
  <c r="V100" i="2"/>
  <c r="U139" i="3"/>
  <c r="Z100" i="2"/>
  <c r="Y139" i="3"/>
  <c r="AD100" i="2"/>
  <c r="AC139" i="3"/>
  <c r="S100" i="2"/>
  <c r="R139" i="3"/>
  <c r="W100" i="2"/>
  <c r="V139" i="3"/>
  <c r="AA100" i="2"/>
  <c r="Z139" i="3"/>
  <c r="AE100" i="2"/>
  <c r="AD139" i="3"/>
  <c r="AF100" i="2"/>
  <c r="AE139" i="3"/>
  <c r="DF785" i="1"/>
  <c r="GW12" i="2"/>
  <c r="Q13" i="2"/>
  <c r="P142" i="3" s="1"/>
  <c r="P135" i="3"/>
  <c r="ET50" i="2"/>
  <c r="FI9" i="2"/>
  <c r="IA50" i="2"/>
  <c r="S13" i="2"/>
  <c r="R142" i="3" s="1"/>
  <c r="R135" i="3"/>
  <c r="AG100" i="2"/>
  <c r="AF139" i="3"/>
  <c r="T100" i="2"/>
  <c r="S139" i="3"/>
  <c r="X100" i="2"/>
  <c r="W139" i="3"/>
  <c r="AB100" i="2"/>
  <c r="AA139" i="3"/>
  <c r="Q28" i="2"/>
  <c r="P139" i="3"/>
  <c r="U100" i="2"/>
  <c r="T139" i="3"/>
  <c r="Y100" i="2"/>
  <c r="X139" i="3"/>
  <c r="AC100" i="2"/>
  <c r="AB139" i="3"/>
  <c r="FI10" i="2"/>
  <c r="IA51" i="2"/>
  <c r="EH10" i="2"/>
  <c r="GV7" i="2" s="1"/>
  <c r="ET51" i="2"/>
  <c r="DO420" i="1"/>
  <c r="DV143" i="2"/>
  <c r="CY236" i="1"/>
  <c r="CW236" i="1" s="1"/>
  <c r="DM328" i="1"/>
  <c r="DP328" i="1" s="1"/>
  <c r="Q79" i="2"/>
  <c r="CX143" i="1"/>
  <c r="DR191" i="1"/>
  <c r="CV59" i="1"/>
  <c r="EH16" i="1"/>
  <c r="HX141" i="2"/>
  <c r="CW99" i="1"/>
  <c r="FE100" i="1" s="1"/>
  <c r="BE211" i="2"/>
  <c r="BE222" i="2"/>
  <c r="BE230" i="2"/>
  <c r="BE218" i="2"/>
  <c r="BE234" i="2"/>
  <c r="BF234" i="2" s="1"/>
  <c r="BE232" i="2"/>
  <c r="BE224" i="2"/>
  <c r="BE233" i="2"/>
  <c r="BF233" i="2" s="1"/>
  <c r="BW233" i="2" s="1"/>
  <c r="BE229" i="2"/>
  <c r="BE225" i="2"/>
  <c r="BE217" i="2"/>
  <c r="BE213" i="2"/>
  <c r="BE228" i="2"/>
  <c r="BE212" i="2"/>
  <c r="BE231" i="2"/>
  <c r="BE227" i="2"/>
  <c r="BE219" i="2"/>
  <c r="BE215" i="2"/>
  <c r="BG211" i="2"/>
  <c r="BG226" i="2"/>
  <c r="BG234" i="2"/>
  <c r="BH234" i="2" s="1"/>
  <c r="BG230" i="2"/>
  <c r="BG214" i="2"/>
  <c r="BG228" i="2"/>
  <c r="BG220" i="2"/>
  <c r="BG212" i="2"/>
  <c r="BX212" i="2" s="1"/>
  <c r="BG231" i="2"/>
  <c r="BG227" i="2"/>
  <c r="BG223" i="2"/>
  <c r="BG219" i="2"/>
  <c r="BG215" i="2"/>
  <c r="BG218" i="2"/>
  <c r="BG222" i="2"/>
  <c r="BG232" i="2"/>
  <c r="BG224" i="2"/>
  <c r="BG216" i="2"/>
  <c r="BG233" i="2"/>
  <c r="BH233" i="2" s="1"/>
  <c r="BG229" i="2"/>
  <c r="BG225" i="2"/>
  <c r="BG221" i="2"/>
  <c r="BG217" i="2"/>
  <c r="BG213" i="2"/>
  <c r="Y164" i="1"/>
  <c r="AR177" i="1"/>
  <c r="CV316" i="1" a="1"/>
  <c r="CD96" i="2"/>
  <c r="CV96" i="2" s="1"/>
  <c r="CD111" i="2"/>
  <c r="CV111" i="2" s="1"/>
  <c r="CD103" i="2"/>
  <c r="CV103" i="2" s="1"/>
  <c r="CD107" i="2"/>
  <c r="CV107" i="2" s="1"/>
  <c r="CD117" i="2"/>
  <c r="CD109" i="2"/>
  <c r="CV109" i="2" s="1"/>
  <c r="CD101" i="2"/>
  <c r="CV101" i="2" s="1"/>
  <c r="CD118" i="2"/>
  <c r="CE118" i="2" s="1"/>
  <c r="CD114" i="2"/>
  <c r="CV114" i="2" s="1"/>
  <c r="CD110" i="2"/>
  <c r="CV110" i="2" s="1"/>
  <c r="CD106" i="2"/>
  <c r="CV106" i="2" s="1"/>
  <c r="CD102" i="2"/>
  <c r="CV102" i="2" s="1"/>
  <c r="CD98" i="2"/>
  <c r="CV98" i="2" s="1"/>
  <c r="CD119" i="2"/>
  <c r="CE119" i="2" s="1"/>
  <c r="CD115" i="2"/>
  <c r="CV115" i="2" s="1"/>
  <c r="CD99" i="2"/>
  <c r="CV99" i="2" s="1"/>
  <c r="CD113" i="2"/>
  <c r="CV113" i="2" s="1"/>
  <c r="CD105" i="2"/>
  <c r="CV105" i="2" s="1"/>
  <c r="CD97" i="2"/>
  <c r="CV97" i="2" s="1"/>
  <c r="CD116" i="2"/>
  <c r="CV116" i="2" s="1"/>
  <c r="CD112" i="2"/>
  <c r="CV112" i="2" s="1"/>
  <c r="CD108" i="2"/>
  <c r="CV108" i="2" s="1"/>
  <c r="CD104" i="2"/>
  <c r="CV104" i="2" s="1"/>
  <c r="CD100" i="2"/>
  <c r="CV100" i="2" s="1"/>
  <c r="U171" i="1"/>
  <c r="P97" i="2" s="1"/>
  <c r="DA650" i="1" a="1"/>
  <c r="DA652" i="1" s="1"/>
  <c r="DB652" i="1" s="1"/>
  <c r="DS652" i="1" s="1"/>
  <c r="CV9" i="1" a="1"/>
  <c r="EP95" i="2" a="1"/>
  <c r="CF97" i="2"/>
  <c r="CW97" i="2" s="1"/>
  <c r="CF99" i="2"/>
  <c r="CW99" i="2" s="1"/>
  <c r="CF101" i="2"/>
  <c r="CW101" i="2" s="1"/>
  <c r="CF103" i="2"/>
  <c r="CW103" i="2" s="1"/>
  <c r="CF105" i="2"/>
  <c r="CW105" i="2" s="1"/>
  <c r="CF107" i="2"/>
  <c r="CW107" i="2" s="1"/>
  <c r="CF109" i="2"/>
  <c r="CW109" i="2" s="1"/>
  <c r="CF111" i="2"/>
  <c r="CW111" i="2" s="1"/>
  <c r="CF113" i="2"/>
  <c r="CW113" i="2" s="1"/>
  <c r="CF115" i="2"/>
  <c r="CW115" i="2" s="1"/>
  <c r="CF117" i="2"/>
  <c r="CF119" i="2"/>
  <c r="CG119" i="2" s="1"/>
  <c r="CF96" i="2"/>
  <c r="CW96" i="2" s="1"/>
  <c r="CF98" i="2"/>
  <c r="CW98" i="2" s="1"/>
  <c r="CF100" i="2"/>
  <c r="CW100" i="2" s="1"/>
  <c r="CF102" i="2"/>
  <c r="CW102" i="2" s="1"/>
  <c r="CF104" i="2"/>
  <c r="CW104" i="2" s="1"/>
  <c r="CF106" i="2"/>
  <c r="CW106" i="2" s="1"/>
  <c r="CF108" i="2"/>
  <c r="CW108" i="2" s="1"/>
  <c r="CF110" i="2"/>
  <c r="CW110" i="2" s="1"/>
  <c r="CF112" i="2"/>
  <c r="CW112" i="2" s="1"/>
  <c r="CF114" i="2"/>
  <c r="CW114" i="2" s="1"/>
  <c r="CF116" i="2"/>
  <c r="CW116" i="2" s="1"/>
  <c r="CF118" i="2"/>
  <c r="CG118" i="2" s="1"/>
  <c r="EG11" i="2"/>
  <c r="GD16" i="2"/>
  <c r="CY145" i="2"/>
  <c r="DR144" i="2"/>
  <c r="FI235" i="1" s="1"/>
  <c r="P67" i="2"/>
  <c r="P78" i="2"/>
  <c r="P79" i="2" s="1"/>
  <c r="P19" i="8"/>
  <c r="O27" i="8"/>
  <c r="Z27" i="8" s="1"/>
  <c r="X191" i="1"/>
  <c r="W90" i="1"/>
  <c r="AE90" i="1"/>
  <c r="W184" i="1"/>
  <c r="Q18" i="3" s="1"/>
  <c r="AG105" i="1"/>
  <c r="DA650" i="1"/>
  <c r="DA654" i="1"/>
  <c r="DB654" i="1" s="1"/>
  <c r="DS654" i="1" s="1"/>
  <c r="DA656" i="1"/>
  <c r="DB656" i="1" s="1"/>
  <c r="DS656" i="1" s="1"/>
  <c r="DA658" i="1"/>
  <c r="DB658" i="1" s="1"/>
  <c r="DS658" i="1" s="1"/>
  <c r="DA660" i="1"/>
  <c r="DB660" i="1" s="1"/>
  <c r="DS660" i="1" s="1"/>
  <c r="DA662" i="1"/>
  <c r="DB662" i="1" s="1"/>
  <c r="DS662" i="1" s="1"/>
  <c r="DA664" i="1"/>
  <c r="DB664" i="1" s="1"/>
  <c r="DS664" i="1" s="1"/>
  <c r="DA666" i="1"/>
  <c r="DB666" i="1" s="1"/>
  <c r="DS666" i="1" s="1"/>
  <c r="DA668" i="1"/>
  <c r="DB668" i="1" s="1"/>
  <c r="DS668" i="1" s="1"/>
  <c r="DA670" i="1"/>
  <c r="DB670" i="1" s="1"/>
  <c r="DS670" i="1" s="1"/>
  <c r="DA651" i="1"/>
  <c r="DB651" i="1" s="1"/>
  <c r="DS651" i="1" s="1"/>
  <c r="DA653" i="1"/>
  <c r="DB653" i="1" s="1"/>
  <c r="DS653" i="1" s="1"/>
  <c r="DA655" i="1"/>
  <c r="DB655" i="1" s="1"/>
  <c r="DS655" i="1" s="1"/>
  <c r="DA657" i="1"/>
  <c r="DB657" i="1" s="1"/>
  <c r="DS657" i="1" s="1"/>
  <c r="DA659" i="1"/>
  <c r="DB659" i="1" s="1"/>
  <c r="DS659" i="1" s="1"/>
  <c r="DA661" i="1"/>
  <c r="DB661" i="1" s="1"/>
  <c r="DS661" i="1" s="1"/>
  <c r="DA663" i="1"/>
  <c r="DB663" i="1" s="1"/>
  <c r="DS663" i="1" s="1"/>
  <c r="DA665" i="1"/>
  <c r="DB665" i="1" s="1"/>
  <c r="DS665" i="1" s="1"/>
  <c r="DA667" i="1"/>
  <c r="DB667" i="1" s="1"/>
  <c r="DS667" i="1" s="1"/>
  <c r="DA669" i="1"/>
  <c r="DB669" i="1" s="1"/>
  <c r="DS669" i="1" s="1"/>
  <c r="DA671" i="1"/>
  <c r="DB671" i="1" s="1"/>
  <c r="DS671" i="1" s="1"/>
  <c r="EV608" i="1" a="1"/>
  <c r="CX7" i="7" a="1"/>
  <c r="CX8" i="7" s="1"/>
  <c r="W172" i="1"/>
  <c r="BS16" i="8"/>
  <c r="BU16" i="8" s="1"/>
  <c r="CL16" i="8" s="1"/>
  <c r="Y193" i="1"/>
  <c r="S159" i="3" s="1"/>
  <c r="U84" i="1"/>
  <c r="U85" i="1" s="1"/>
  <c r="Q27" i="8"/>
  <c r="N27" i="8"/>
  <c r="Y27" i="8" s="1"/>
  <c r="AE16" i="8" s="1"/>
  <c r="AU16" i="8" s="1"/>
  <c r="AA90" i="1"/>
  <c r="AI105" i="1"/>
  <c r="W149" i="1"/>
  <c r="AG90" i="1"/>
  <c r="Q92" i="2"/>
  <c r="Q93" i="2" s="1"/>
  <c r="X152" i="1"/>
  <c r="DW784" i="1"/>
  <c r="EA784" i="1" s="1"/>
  <c r="DW792" i="1"/>
  <c r="EB792" i="1" s="1"/>
  <c r="DW779" i="1"/>
  <c r="EA779" i="1" s="1"/>
  <c r="DW787" i="1"/>
  <c r="EE827" i="1" s="1"/>
  <c r="DW795" i="1"/>
  <c r="EB795" i="1" s="1"/>
  <c r="DW782" i="1"/>
  <c r="EA782" i="1" s="1"/>
  <c r="DW790" i="1"/>
  <c r="EA790" i="1" s="1"/>
  <c r="DW798" i="1"/>
  <c r="EE838" i="1" s="1"/>
  <c r="DW785" i="1"/>
  <c r="EA785" i="1" s="1"/>
  <c r="DW793" i="1"/>
  <c r="EB793" i="1" s="1"/>
  <c r="ET778" i="1" a="1"/>
  <c r="ET781" i="1" s="1"/>
  <c r="Y105" i="1"/>
  <c r="DB778" i="1" a="1"/>
  <c r="CW778" i="1"/>
  <c r="CW799" i="1"/>
  <c r="DA799" i="1" s="1"/>
  <c r="CW795" i="1"/>
  <c r="DA795" i="1" s="1"/>
  <c r="CW791" i="1"/>
  <c r="DA791" i="1" s="1"/>
  <c r="CW787" i="1"/>
  <c r="DA787" i="1" s="1"/>
  <c r="CW783" i="1"/>
  <c r="DA783" i="1" s="1"/>
  <c r="CW779" i="1"/>
  <c r="DA779" i="1" s="1"/>
  <c r="CW796" i="1"/>
  <c r="DA796" i="1" s="1"/>
  <c r="CW792" i="1"/>
  <c r="DA792" i="1" s="1"/>
  <c r="CW788" i="1"/>
  <c r="DA788" i="1" s="1"/>
  <c r="CW784" i="1"/>
  <c r="DA784" i="1" s="1"/>
  <c r="CW780" i="1"/>
  <c r="DA780" i="1" s="1"/>
  <c r="CW797" i="1"/>
  <c r="DA797" i="1" s="1"/>
  <c r="CW793" i="1"/>
  <c r="DA793" i="1" s="1"/>
  <c r="CW789" i="1"/>
  <c r="DA789" i="1" s="1"/>
  <c r="CW785" i="1"/>
  <c r="DA785" i="1" s="1"/>
  <c r="CW781" i="1"/>
  <c r="DA781" i="1" s="1"/>
  <c r="CW798" i="1"/>
  <c r="DA798" i="1" s="1"/>
  <c r="CW794" i="1"/>
  <c r="DA794" i="1" s="1"/>
  <c r="CW790" i="1"/>
  <c r="DA790" i="1" s="1"/>
  <c r="CW786" i="1"/>
  <c r="DA786" i="1" s="1"/>
  <c r="CW782" i="1"/>
  <c r="DA782" i="1" s="1"/>
  <c r="EA608" i="1" a="1"/>
  <c r="Y29" i="8"/>
  <c r="AE18" i="8" s="1"/>
  <c r="AF18" i="8" s="1"/>
  <c r="O19" i="8"/>
  <c r="Z19" i="8" s="1"/>
  <c r="AG8" i="8" s="1"/>
  <c r="AV8" i="8" s="1"/>
  <c r="Q19" i="8"/>
  <c r="N19" i="8"/>
  <c r="Y19" i="8" s="1"/>
  <c r="AE8" i="8" s="1"/>
  <c r="AU8" i="8" s="1"/>
  <c r="EE824" i="1"/>
  <c r="EE832" i="1"/>
  <c r="EE819" i="1"/>
  <c r="EA787" i="1"/>
  <c r="EE835" i="1"/>
  <c r="EE822" i="1"/>
  <c r="EE830" i="1"/>
  <c r="EB798" i="1"/>
  <c r="EE825" i="1"/>
  <c r="EE833" i="1"/>
  <c r="EA818" i="1"/>
  <c r="EA778" i="1"/>
  <c r="EE818" i="1"/>
  <c r="ET787" i="1"/>
  <c r="ET796" i="1"/>
  <c r="R39" i="9" a="1"/>
  <c r="R39" i="9" s="1"/>
  <c r="S39" i="9" s="1"/>
  <c r="S40" i="9" s="1"/>
  <c r="V198" i="1"/>
  <c r="V181" i="1"/>
  <c r="X197" i="1"/>
  <c r="R162" i="3" s="1"/>
  <c r="F65" i="8" a="1"/>
  <c r="F66" i="8" s="1"/>
  <c r="G66" i="8" s="1"/>
  <c r="K62" i="8" s="1"/>
  <c r="Y62" i="8" s="1"/>
  <c r="EA780" i="1"/>
  <c r="EE820" i="1"/>
  <c r="EA788" i="1"/>
  <c r="EE828" i="1"/>
  <c r="EB796" i="1"/>
  <c r="EE836" i="1"/>
  <c r="EA783" i="1"/>
  <c r="EE823" i="1"/>
  <c r="EA791" i="1"/>
  <c r="EE831" i="1"/>
  <c r="EB799" i="1"/>
  <c r="EE839" i="1"/>
  <c r="EA786" i="1"/>
  <c r="EE826" i="1"/>
  <c r="EB794" i="1"/>
  <c r="EE834" i="1"/>
  <c r="EA781" i="1"/>
  <c r="EE821" i="1"/>
  <c r="EA789" i="1"/>
  <c r="EE829" i="1"/>
  <c r="EB797" i="1"/>
  <c r="EE837" i="1"/>
  <c r="V149" i="1"/>
  <c r="AX22" i="5"/>
  <c r="AY22" i="5" s="1"/>
  <c r="AZ22" i="5" s="1"/>
  <c r="AX11" i="5"/>
  <c r="AY11" i="5" s="1"/>
  <c r="Q100" i="2"/>
  <c r="BE73" i="2" s="1" a="1"/>
  <c r="AR8" i="5"/>
  <c r="AQ8" i="5" s="1"/>
  <c r="AX18" i="5"/>
  <c r="BD18" i="5" s="1"/>
  <c r="AX20" i="5"/>
  <c r="AY20" i="5" s="1"/>
  <c r="AR13" i="5"/>
  <c r="AQ13" i="5" s="1"/>
  <c r="AR21" i="5"/>
  <c r="AQ21" i="5" s="1"/>
  <c r="AR18" i="5"/>
  <c r="AQ18" i="5" s="1"/>
  <c r="AR16" i="5"/>
  <c r="AQ16" i="5" s="1"/>
  <c r="AR24" i="5"/>
  <c r="BU18" i="8"/>
  <c r="CL18" i="8" s="1"/>
  <c r="AU24" i="5"/>
  <c r="AR17" i="5"/>
  <c r="AQ17" i="5" s="1"/>
  <c r="AR25" i="5"/>
  <c r="AR10" i="5"/>
  <c r="AQ10" i="5" s="1"/>
  <c r="AR12" i="5"/>
  <c r="AQ12" i="5" s="1"/>
  <c r="AU16" i="5"/>
  <c r="AR11" i="5"/>
  <c r="AQ11" i="5" s="1"/>
  <c r="AR15" i="5"/>
  <c r="AQ15" i="5" s="1"/>
  <c r="AR19" i="5"/>
  <c r="AQ19" i="5" s="1"/>
  <c r="AR23" i="5"/>
  <c r="AR14" i="5"/>
  <c r="AQ14" i="5" s="1"/>
  <c r="AR22" i="5"/>
  <c r="AQ22" i="5" s="1"/>
  <c r="AR20" i="5"/>
  <c r="AQ20" i="5" s="1"/>
  <c r="AX23" i="5"/>
  <c r="AY23" i="5" s="1"/>
  <c r="AZ23" i="5" s="1"/>
  <c r="BC23" i="5"/>
  <c r="AX10" i="5"/>
  <c r="AY10" i="5" s="1"/>
  <c r="DA60" i="7" a="1"/>
  <c r="DA60" i="7" s="1"/>
  <c r="AS178" i="7" s="1"/>
  <c r="X153" i="1"/>
  <c r="W109" i="1"/>
  <c r="W199" i="1"/>
  <c r="Q128" i="3" s="1"/>
  <c r="V183" i="1"/>
  <c r="V178" i="1"/>
  <c r="E42" i="9"/>
  <c r="I42" i="9" s="1"/>
  <c r="V146" i="1"/>
  <c r="AZ28" i="5"/>
  <c r="V190" i="1"/>
  <c r="P25" i="3" s="1"/>
  <c r="P163" i="3" s="1"/>
  <c r="AX17" i="5"/>
  <c r="BD17" i="5" s="1"/>
  <c r="AX19" i="5"/>
  <c r="BD19" i="5" s="1"/>
  <c r="V174" i="1"/>
  <c r="V105" i="1"/>
  <c r="V90" i="1"/>
  <c r="Z105" i="1"/>
  <c r="Z90" i="1"/>
  <c r="AD105" i="1"/>
  <c r="AD90" i="1"/>
  <c r="AH105" i="1"/>
  <c r="AH90" i="1"/>
  <c r="AI90" i="1"/>
  <c r="AD6" i="7" a="1"/>
  <c r="EC8" i="2"/>
  <c r="X105" i="1"/>
  <c r="X90" i="1"/>
  <c r="AB105" i="1"/>
  <c r="AB90" i="1"/>
  <c r="AF105" i="1"/>
  <c r="AF90" i="1"/>
  <c r="AJ105" i="1"/>
  <c r="AJ90" i="1"/>
  <c r="V92" i="1"/>
  <c r="DJ68" i="9" a="1"/>
  <c r="BA47" i="7" a="1"/>
  <c r="AC38" i="5"/>
  <c r="AB37" i="5"/>
  <c r="L29" i="8"/>
  <c r="P30" i="8"/>
  <c r="DW67" i="7"/>
  <c r="DZ66" i="7"/>
  <c r="DY66" i="7"/>
  <c r="EB47" i="7"/>
  <c r="ET46" i="7"/>
  <c r="BC21" i="5"/>
  <c r="AU18" i="5"/>
  <c r="AX21" i="5"/>
  <c r="BD21" i="5" s="1"/>
  <c r="W105" i="1"/>
  <c r="AE105" i="1"/>
  <c r="R49" i="2"/>
  <c r="I34" i="8"/>
  <c r="I36" i="8"/>
  <c r="AA105" i="1"/>
  <c r="Z29" i="8"/>
  <c r="AG18" i="8" s="1"/>
  <c r="AU14" i="5"/>
  <c r="AQ9" i="5"/>
  <c r="O25" i="8"/>
  <c r="Z25" i="8" s="1"/>
  <c r="AW23" i="5"/>
  <c r="AB119" i="6"/>
  <c r="AB178" i="6" s="1"/>
  <c r="AX24" i="5"/>
  <c r="AY24" i="5" s="1"/>
  <c r="AZ24" i="5" s="1"/>
  <c r="P18" i="8"/>
  <c r="Q30" i="8"/>
  <c r="AX12" i="5"/>
  <c r="Q17" i="8"/>
  <c r="K15" i="5"/>
  <c r="K16" i="5" s="1"/>
  <c r="BS13" i="8"/>
  <c r="BU13" i="8" s="1"/>
  <c r="CL13" i="8" s="1"/>
  <c r="O26" i="8"/>
  <c r="Z26" i="8" s="1"/>
  <c r="AG15" i="8" s="1"/>
  <c r="AV15" i="8" s="1"/>
  <c r="S27" i="2"/>
  <c r="S29" i="2" s="1"/>
  <c r="R131" i="3" s="1"/>
  <c r="O17" i="8"/>
  <c r="Z17" i="8" s="1"/>
  <c r="AG6" i="8" s="1"/>
  <c r="AV6" i="8" s="1"/>
  <c r="BU14" i="8"/>
  <c r="CL14" i="8" s="1"/>
  <c r="N28" i="8"/>
  <c r="Y28" i="8" s="1"/>
  <c r="BS17" i="8"/>
  <c r="BU17" i="8" s="1"/>
  <c r="CL17" i="8" s="1"/>
  <c r="AX25" i="5"/>
  <c r="AX14" i="5"/>
  <c r="AX16" i="5"/>
  <c r="I35" i="8"/>
  <c r="N24" i="8"/>
  <c r="Y24" i="8" s="1"/>
  <c r="O28" i="8"/>
  <c r="Z28" i="8" s="1"/>
  <c r="AG17" i="8" s="1"/>
  <c r="AV17" i="8" s="1"/>
  <c r="P17" i="8"/>
  <c r="BD9" i="5"/>
  <c r="AU15" i="5"/>
  <c r="AU20" i="5"/>
  <c r="AU19" i="5"/>
  <c r="R39" i="2"/>
  <c r="R38" i="2" s="1"/>
  <c r="AU17" i="5"/>
  <c r="P28" i="8"/>
  <c r="AD119" i="6"/>
  <c r="AD178" i="6" s="1"/>
  <c r="BU21" i="8"/>
  <c r="BV21" i="8" s="1"/>
  <c r="CL21" i="8" s="1"/>
  <c r="AU13" i="5"/>
  <c r="N17" i="8"/>
  <c r="Y17" i="8" s="1"/>
  <c r="AE6" i="8" s="1"/>
  <c r="AU6" i="8" s="1"/>
  <c r="I33" i="8"/>
  <c r="Z30" i="8"/>
  <c r="AG19" i="8" s="1"/>
  <c r="Z16" i="8"/>
  <c r="AG5" i="8" s="1"/>
  <c r="AV5" i="8" s="1"/>
  <c r="N26" i="8"/>
  <c r="Y26" i="8" s="1"/>
  <c r="AU12" i="5"/>
  <c r="AJ25" i="5"/>
  <c r="AJ26" i="5" s="1"/>
  <c r="AJ27" i="5" s="1"/>
  <c r="AJ28" i="5" s="1"/>
  <c r="AJ29" i="5" s="1"/>
  <c r="AJ30" i="5" s="1"/>
  <c r="AJ31" i="5" s="1"/>
  <c r="AJ32" i="5" s="1"/>
  <c r="AJ33" i="5" s="1"/>
  <c r="AJ34" i="5" s="1"/>
  <c r="AJ35" i="5" s="1"/>
  <c r="AJ36" i="5" s="1"/>
  <c r="AJ37" i="5" s="1"/>
  <c r="AJ38" i="5" s="1"/>
  <c r="AJ39" i="5" s="1"/>
  <c r="AJ40" i="5" s="1"/>
  <c r="AJ41" i="5" s="1"/>
  <c r="AJ42" i="5" s="1"/>
  <c r="AJ43" i="5" s="1"/>
  <c r="AX15" i="5"/>
  <c r="AU11" i="5"/>
  <c r="I32" i="8"/>
  <c r="BS7" i="8"/>
  <c r="BU7" i="8" s="1"/>
  <c r="CL7" i="8" s="1"/>
  <c r="N18" i="8"/>
  <c r="Y18" i="8" s="1"/>
  <c r="AE7" i="8" s="1"/>
  <c r="AU7" i="8" s="1"/>
  <c r="Q18" i="8"/>
  <c r="BS19" i="8"/>
  <c r="BU19" i="8" s="1"/>
  <c r="CL19" i="8" s="1"/>
  <c r="N30" i="8"/>
  <c r="Y30" i="8" s="1"/>
  <c r="S39" i="2"/>
  <c r="S38" i="2" s="1"/>
  <c r="Q24" i="8"/>
  <c r="P24" i="8"/>
  <c r="AL119" i="6"/>
  <c r="AL178" i="6" s="1"/>
  <c r="T39" i="2"/>
  <c r="U37" i="2"/>
  <c r="Q55" i="2"/>
  <c r="Q57" i="2" s="1"/>
  <c r="S55" i="2"/>
  <c r="S57" i="2" s="1"/>
  <c r="U55" i="2"/>
  <c r="U57" i="2" s="1"/>
  <c r="W55" i="2"/>
  <c r="W57" i="2" s="1"/>
  <c r="Y55" i="2"/>
  <c r="Y57" i="2" s="1"/>
  <c r="AA55" i="2"/>
  <c r="AA57" i="2" s="1"/>
  <c r="AC55" i="2"/>
  <c r="AC57" i="2" s="1"/>
  <c r="AE55" i="2"/>
  <c r="AE57" i="2" s="1"/>
  <c r="R55" i="2"/>
  <c r="R57" i="2" s="1"/>
  <c r="T55" i="2"/>
  <c r="T57" i="2" s="1"/>
  <c r="V55" i="2"/>
  <c r="V57" i="2" s="1"/>
  <c r="X55" i="2"/>
  <c r="X57" i="2" s="1"/>
  <c r="Z55" i="2"/>
  <c r="Z57" i="2" s="1"/>
  <c r="AB55" i="2"/>
  <c r="AB57" i="2" s="1"/>
  <c r="AD55" i="2"/>
  <c r="AD57" i="2" s="1"/>
  <c r="Q119" i="6"/>
  <c r="Q178" i="6" s="1"/>
  <c r="X119" i="6"/>
  <c r="X178" i="6" s="1"/>
  <c r="AJ119" i="6"/>
  <c r="AJ178" i="6" s="1"/>
  <c r="AG119" i="6"/>
  <c r="AG178" i="6" s="1"/>
  <c r="T119" i="6"/>
  <c r="T178" i="6" s="1"/>
  <c r="AN119" i="6"/>
  <c r="AN178" i="6" s="1"/>
  <c r="U119" i="6"/>
  <c r="U178" i="6" s="1"/>
  <c r="AO119" i="6"/>
  <c r="AO178" i="6" s="1"/>
  <c r="AE119" i="6"/>
  <c r="AE178" i="6" s="1"/>
  <c r="AM119" i="6"/>
  <c r="AM178" i="6" s="1"/>
  <c r="S52" i="2"/>
  <c r="T52" i="2" s="1"/>
  <c r="R53" i="2"/>
  <c r="R14" i="2"/>
  <c r="AC119" i="6"/>
  <c r="AC178" i="6" s="1"/>
  <c r="AK119" i="6"/>
  <c r="AK178" i="6" s="1"/>
  <c r="AR119" i="6"/>
  <c r="AR178" i="6" s="1"/>
  <c r="V119" i="6"/>
  <c r="V178" i="6" s="1"/>
  <c r="P119" i="6"/>
  <c r="P178" i="6" s="1"/>
  <c r="AF119" i="6"/>
  <c r="AF178" i="6" s="1"/>
  <c r="Y119" i="6"/>
  <c r="Y178" i="6" s="1"/>
  <c r="O119" i="6"/>
  <c r="O178" i="6" s="1"/>
  <c r="W119" i="6"/>
  <c r="W178" i="6" s="1"/>
  <c r="CM33" i="7"/>
  <c r="CM34" i="7" s="1"/>
  <c r="CM35" i="7" s="1"/>
  <c r="CM36" i="7" s="1"/>
  <c r="CM37" i="7" s="1"/>
  <c r="CM38" i="7" s="1"/>
  <c r="CM39" i="7" s="1"/>
  <c r="CM40" i="7" s="1"/>
  <c r="CM41" i="7" s="1"/>
  <c r="CM42" i="7" s="1"/>
  <c r="V188" i="1"/>
  <c r="P27" i="3" s="1"/>
  <c r="BT20" i="8"/>
  <c r="BU20" i="8" s="1"/>
  <c r="BV20" i="8" s="1"/>
  <c r="I31" i="8"/>
  <c r="R28" i="2"/>
  <c r="R125" i="12"/>
  <c r="R189" i="12" s="1"/>
  <c r="S119" i="6"/>
  <c r="S178" i="6" s="1"/>
  <c r="Y125" i="12"/>
  <c r="Y189" i="12" s="1"/>
  <c r="Z119" i="6"/>
  <c r="Z178" i="6" s="1"/>
  <c r="AH125" i="12"/>
  <c r="AH189" i="12" s="1"/>
  <c r="AI119" i="6"/>
  <c r="AI178" i="6" s="1"/>
  <c r="AO125" i="12"/>
  <c r="AO189" i="12" s="1"/>
  <c r="AP119" i="6"/>
  <c r="AP178" i="6" s="1"/>
  <c r="BD8" i="5"/>
  <c r="AY8" i="5"/>
  <c r="Z24" i="8"/>
  <c r="AG13" i="8" s="1"/>
  <c r="AV13" i="8" s="1"/>
  <c r="L16" i="8"/>
  <c r="Q125" i="12"/>
  <c r="Q189" i="12" s="1"/>
  <c r="R119" i="6"/>
  <c r="R178" i="6" s="1"/>
  <c r="Z125" i="12"/>
  <c r="Z189" i="12" s="1"/>
  <c r="AA119" i="6"/>
  <c r="AA178" i="6" s="1"/>
  <c r="AG125" i="12"/>
  <c r="AG189" i="12" s="1"/>
  <c r="AH119" i="6"/>
  <c r="AH178" i="6" s="1"/>
  <c r="AP125" i="12"/>
  <c r="AP189" i="12" s="1"/>
  <c r="AQ119" i="6"/>
  <c r="AQ178" i="6" s="1"/>
  <c r="O21" i="8"/>
  <c r="Z21" i="8" s="1"/>
  <c r="AG10" i="8" s="1"/>
  <c r="AV10" i="8" s="1"/>
  <c r="Q21" i="8"/>
  <c r="BS10" i="8"/>
  <c r="BU10" i="8" s="1"/>
  <c r="CL10" i="8" s="1"/>
  <c r="N21" i="8"/>
  <c r="P21" i="8"/>
  <c r="BS12" i="8"/>
  <c r="BU12" i="8" s="1"/>
  <c r="CL12" i="8" s="1"/>
  <c r="N23" i="8"/>
  <c r="Y23" i="8" s="1"/>
  <c r="AE12" i="8" s="1"/>
  <c r="AU12" i="8" s="1"/>
  <c r="Q23" i="8"/>
  <c r="P23" i="8"/>
  <c r="O23" i="8"/>
  <c r="Z23" i="8" s="1"/>
  <c r="Q26" i="8"/>
  <c r="BS15" i="8"/>
  <c r="BU15" i="8" s="1"/>
  <c r="CL15" i="8" s="1"/>
  <c r="AU21" i="5"/>
  <c r="BS9" i="8"/>
  <c r="BU9" i="8" s="1"/>
  <c r="CL9" i="8" s="1"/>
  <c r="N20" i="8"/>
  <c r="Y20" i="8" s="1"/>
  <c r="AE9" i="8" s="1"/>
  <c r="AU9" i="8" s="1"/>
  <c r="Q20" i="8"/>
  <c r="P20" i="8"/>
  <c r="BS11" i="8"/>
  <c r="BU11" i="8" s="1"/>
  <c r="CL11" i="8" s="1"/>
  <c r="P22" i="8"/>
  <c r="N22" i="8"/>
  <c r="Y22" i="8" s="1"/>
  <c r="AE11" i="8" s="1"/>
  <c r="AU11" i="8" s="1"/>
  <c r="Q22" i="8"/>
  <c r="P25" i="8"/>
  <c r="N25" i="8"/>
  <c r="Y25" i="8" s="1"/>
  <c r="AE14" i="8" s="1"/>
  <c r="AU14" i="8" s="1"/>
  <c r="Q25" i="8"/>
  <c r="E43" i="9"/>
  <c r="W180" i="1"/>
  <c r="Q141" i="3" s="1"/>
  <c r="V189" i="1"/>
  <c r="W195" i="1"/>
  <c r="X162" i="1"/>
  <c r="W175" i="1"/>
  <c r="W187" i="1"/>
  <c r="AL27" i="5"/>
  <c r="Z34" i="5"/>
  <c r="U17" i="2"/>
  <c r="T19" i="2"/>
  <c r="W16" i="8"/>
  <c r="AA16" i="8" s="1"/>
  <c r="BA5" i="8" s="1"/>
  <c r="BO5" i="8" s="1"/>
  <c r="W18" i="8"/>
  <c r="W20" i="8"/>
  <c r="W22" i="8"/>
  <c r="W24" i="8"/>
  <c r="W26" i="8"/>
  <c r="AA26" i="8" s="1"/>
  <c r="BA15" i="8" s="1"/>
  <c r="BO15" i="8" s="1"/>
  <c r="W28" i="8"/>
  <c r="W30" i="8"/>
  <c r="W17" i="8"/>
  <c r="W19" i="8"/>
  <c r="W21" i="8"/>
  <c r="W23" i="8"/>
  <c r="W25" i="8"/>
  <c r="W27" i="8"/>
  <c r="AA27" i="8" s="1"/>
  <c r="BA16" i="8" s="1"/>
  <c r="BO16" i="8" s="1"/>
  <c r="W29" i="8"/>
  <c r="AA29" i="8" s="1"/>
  <c r="BA18" i="8" s="1"/>
  <c r="T26" i="2"/>
  <c r="T12" i="2"/>
  <c r="X194" i="1"/>
  <c r="R119" i="3" s="1"/>
  <c r="R183" i="3" s="1"/>
  <c r="W188" i="1"/>
  <c r="Q27" i="3" s="1"/>
  <c r="DA35" i="2"/>
  <c r="BT8" i="8"/>
  <c r="BU8" i="8" s="1"/>
  <c r="CL8" i="8" s="1"/>
  <c r="S49" i="2"/>
  <c r="T47" i="2"/>
  <c r="X154" i="1"/>
  <c r="W167" i="1"/>
  <c r="CU66" i="8"/>
  <c r="DK66" i="8" s="1"/>
  <c r="CU80" i="8"/>
  <c r="DK80" i="8" s="1"/>
  <c r="CU64" i="8"/>
  <c r="DK64" i="8" s="1"/>
  <c r="CU67" i="8"/>
  <c r="DK67" i="8" s="1"/>
  <c r="CU61" i="8"/>
  <c r="DK61" i="8" s="1"/>
  <c r="Y159" i="1"/>
  <c r="X184" i="1"/>
  <c r="R18" i="3" s="1"/>
  <c r="X190" i="1"/>
  <c r="R25" i="3" s="1"/>
  <c r="R163" i="3" s="1"/>
  <c r="Y197" i="1"/>
  <c r="S162" i="3" s="1"/>
  <c r="Z161" i="1"/>
  <c r="Y186" i="1"/>
  <c r="S20" i="3" s="1"/>
  <c r="Z18" i="8"/>
  <c r="BT6" i="8"/>
  <c r="BU6" i="8" s="1"/>
  <c r="CL6" i="8" s="1"/>
  <c r="AF25" i="8"/>
  <c r="AU24" i="8"/>
  <c r="CU78" i="8"/>
  <c r="DK78" i="8" s="1"/>
  <c r="CU74" i="8"/>
  <c r="DK74" i="8" s="1"/>
  <c r="CU76" i="8"/>
  <c r="DK76" i="8" s="1"/>
  <c r="CU79" i="8"/>
  <c r="DK79" i="8" s="1"/>
  <c r="CU63" i="8"/>
  <c r="DK63" i="8" s="1"/>
  <c r="W179" i="1"/>
  <c r="Q130" i="3" s="1"/>
  <c r="Y157" i="1"/>
  <c r="Z20" i="8"/>
  <c r="AX92" i="8"/>
  <c r="CU70" i="8"/>
  <c r="DK70" i="8" s="1"/>
  <c r="CU62" i="8"/>
  <c r="DK62" i="8" s="1"/>
  <c r="CU72" i="8"/>
  <c r="DK72" i="8" s="1"/>
  <c r="CU75" i="8"/>
  <c r="DK75" i="8" s="1"/>
  <c r="CU69" i="8"/>
  <c r="DK69" i="8" s="1"/>
  <c r="X109" i="1"/>
  <c r="Y151" i="1"/>
  <c r="W183" i="1"/>
  <c r="X176" i="1"/>
  <c r="Z22" i="8"/>
  <c r="AX13" i="5"/>
  <c r="R182" i="9"/>
  <c r="S183" i="9"/>
  <c r="S60" i="2"/>
  <c r="R62" i="2"/>
  <c r="M42" i="9"/>
  <c r="Q41" i="9"/>
  <c r="CU77" i="8"/>
  <c r="DK77" i="8" s="1"/>
  <c r="CU73" i="8"/>
  <c r="DK73" i="8" s="1"/>
  <c r="CU68" i="8"/>
  <c r="DK68" i="8" s="1"/>
  <c r="CU71" i="8"/>
  <c r="DK71" i="8" s="1"/>
  <c r="CU65" i="8"/>
  <c r="DK65" i="8" s="1"/>
  <c r="Z193" i="1"/>
  <c r="T159" i="3" s="1"/>
  <c r="Y191" i="1"/>
  <c r="X156" i="1"/>
  <c r="DK60" i="7"/>
  <c r="DK61" i="7"/>
  <c r="DK62" i="7"/>
  <c r="DK63" i="7"/>
  <c r="DK64" i="7"/>
  <c r="DK65" i="7"/>
  <c r="DK66" i="7"/>
  <c r="DK67" i="7"/>
  <c r="DK68" i="7"/>
  <c r="DK69" i="7"/>
  <c r="DK70" i="7"/>
  <c r="DK71" i="7"/>
  <c r="DK72" i="7"/>
  <c r="DK73" i="7"/>
  <c r="DK74" i="7"/>
  <c r="DK75" i="7"/>
  <c r="DK76" i="7"/>
  <c r="DK77" i="7"/>
  <c r="DK78" i="7"/>
  <c r="Q97" i="9"/>
  <c r="Q96" i="9"/>
  <c r="Q95" i="9"/>
  <c r="Q94" i="9"/>
  <c r="Q93" i="9"/>
  <c r="U67" i="9"/>
  <c r="R77" i="2" l="1"/>
  <c r="Q99" i="3"/>
  <c r="Q184" i="3" s="1"/>
  <c r="P24" i="3"/>
  <c r="ET788" i="1"/>
  <c r="ET779" i="1"/>
  <c r="BE223" i="2"/>
  <c r="BE220" i="2"/>
  <c r="BE221" i="2"/>
  <c r="BE216" i="2"/>
  <c r="BE226" i="2"/>
  <c r="W190" i="1"/>
  <c r="Q25" i="3" s="1"/>
  <c r="Q163" i="3" s="1"/>
  <c r="Q162" i="3"/>
  <c r="EU382" i="1"/>
  <c r="ED382" i="1"/>
  <c r="HC331" i="1" s="1"/>
  <c r="DX382" i="1"/>
  <c r="FG704" i="1"/>
  <c r="FE704" i="1" s="1"/>
  <c r="EU384" i="1"/>
  <c r="ED384" i="1"/>
  <c r="HC333" i="1" s="1"/>
  <c r="DX384" i="1"/>
  <c r="FG706" i="1"/>
  <c r="FE706" i="1" s="1"/>
  <c r="EU393" i="1"/>
  <c r="ED393" i="1"/>
  <c r="HC342" i="1" s="1"/>
  <c r="DX393" i="1"/>
  <c r="FG715" i="1"/>
  <c r="FE715" i="1" s="1"/>
  <c r="EU378" i="1"/>
  <c r="ED378" i="1"/>
  <c r="HC327" i="1" s="1"/>
  <c r="DX378" i="1"/>
  <c r="FG700" i="1"/>
  <c r="FE700" i="1" s="1"/>
  <c r="EU387" i="1"/>
  <c r="ED387" i="1"/>
  <c r="HC336" i="1" s="1"/>
  <c r="DX387" i="1"/>
  <c r="FG709" i="1"/>
  <c r="FE709" i="1" s="1"/>
  <c r="EU373" i="1"/>
  <c r="DX373" i="1"/>
  <c r="FG695" i="1"/>
  <c r="FE695" i="1" s="1"/>
  <c r="ED373" i="1"/>
  <c r="HC322" i="1" s="1"/>
  <c r="X149" i="1"/>
  <c r="R132" i="3"/>
  <c r="ET780" i="1"/>
  <c r="CE120" i="2"/>
  <c r="CE121" i="2" s="1"/>
  <c r="CE122" i="2" s="1"/>
  <c r="CE123" i="2" s="1"/>
  <c r="CE124" i="2" s="1"/>
  <c r="CE125" i="2" s="1"/>
  <c r="CE126" i="2" s="1"/>
  <c r="CE127" i="2" s="1"/>
  <c r="CE128" i="2" s="1"/>
  <c r="CE129" i="2" s="1"/>
  <c r="CE130" i="2" s="1"/>
  <c r="CE131" i="2" s="1"/>
  <c r="EU375" i="1"/>
  <c r="ED375" i="1"/>
  <c r="HC324" i="1" s="1"/>
  <c r="DX375" i="1"/>
  <c r="FG697" i="1"/>
  <c r="FE697" i="1" s="1"/>
  <c r="EU392" i="1"/>
  <c r="ED392" i="1"/>
  <c r="HC341" i="1" s="1"/>
  <c r="DX392" i="1"/>
  <c r="FG714" i="1"/>
  <c r="FE714" i="1" s="1"/>
  <c r="EU374" i="1"/>
  <c r="ED374" i="1"/>
  <c r="HC323" i="1" s="1"/>
  <c r="DX374" i="1"/>
  <c r="FG696" i="1"/>
  <c r="FE696" i="1" s="1"/>
  <c r="EU386" i="1"/>
  <c r="ED386" i="1"/>
  <c r="HC335" i="1" s="1"/>
  <c r="DX386" i="1"/>
  <c r="FG708" i="1"/>
  <c r="FE708" i="1" s="1"/>
  <c r="EU395" i="1"/>
  <c r="ED395" i="1"/>
  <c r="HC344" i="1" s="1"/>
  <c r="DX395" i="1"/>
  <c r="EU381" i="1"/>
  <c r="ED381" i="1"/>
  <c r="HC330" i="1" s="1"/>
  <c r="DX381" i="1"/>
  <c r="FG703" i="1"/>
  <c r="FE703" i="1" s="1"/>
  <c r="S156" i="3"/>
  <c r="S26" i="3"/>
  <c r="S160" i="3" s="1"/>
  <c r="ET795" i="1"/>
  <c r="S68" i="2"/>
  <c r="S69" i="2" s="1"/>
  <c r="R129" i="3"/>
  <c r="R156" i="3"/>
  <c r="R26" i="3"/>
  <c r="R160" i="3" s="1"/>
  <c r="DK52" i="1"/>
  <c r="DP138" i="1" s="1"/>
  <c r="DK56" i="1"/>
  <c r="DP142" i="1" s="1"/>
  <c r="DK60" i="1"/>
  <c r="DP146" i="1" s="1"/>
  <c r="DK64" i="1"/>
  <c r="DP150" i="1" s="1"/>
  <c r="DK68" i="1"/>
  <c r="DP154" i="1" s="1"/>
  <c r="DK72" i="1"/>
  <c r="DP158" i="1" s="1"/>
  <c r="DK53" i="1"/>
  <c r="DP139" i="1" s="1"/>
  <c r="DK57" i="1"/>
  <c r="DP143" i="1" s="1"/>
  <c r="DK61" i="1"/>
  <c r="DP147" i="1" s="1"/>
  <c r="DK65" i="1"/>
  <c r="DP151" i="1" s="1"/>
  <c r="DK69" i="1"/>
  <c r="DP155" i="1" s="1"/>
  <c r="DK73" i="1"/>
  <c r="DP159" i="1" s="1"/>
  <c r="DK55" i="1"/>
  <c r="DP141" i="1" s="1"/>
  <c r="DK59" i="1"/>
  <c r="DP145" i="1" s="1"/>
  <c r="DK63" i="1"/>
  <c r="DP149" i="1" s="1"/>
  <c r="DK67" i="1"/>
  <c r="DP153" i="1" s="1"/>
  <c r="DK71" i="1"/>
  <c r="DP157" i="1" s="1"/>
  <c r="DK75" i="1"/>
  <c r="DP161" i="1" s="1"/>
  <c r="DK54" i="1"/>
  <c r="DP140" i="1" s="1"/>
  <c r="DK58" i="1"/>
  <c r="DP144" i="1" s="1"/>
  <c r="DK62" i="1"/>
  <c r="DP148" i="1" s="1"/>
  <c r="DK66" i="1"/>
  <c r="DP152" i="1" s="1"/>
  <c r="DK70" i="1"/>
  <c r="DP156" i="1" s="1"/>
  <c r="DK74" i="1"/>
  <c r="DP160" i="1" s="1"/>
  <c r="EU391" i="1"/>
  <c r="ED391" i="1"/>
  <c r="HC340" i="1" s="1"/>
  <c r="DX391" i="1"/>
  <c r="FG713" i="1"/>
  <c r="FE713" i="1" s="1"/>
  <c r="EU377" i="1"/>
  <c r="ED377" i="1"/>
  <c r="HC326" i="1" s="1"/>
  <c r="DX377" i="1"/>
  <c r="FG699" i="1"/>
  <c r="FE699" i="1" s="1"/>
  <c r="EU390" i="1"/>
  <c r="ED390" i="1"/>
  <c r="HC339" i="1" s="1"/>
  <c r="DX390" i="1"/>
  <c r="FG712" i="1"/>
  <c r="FE712" i="1" s="1"/>
  <c r="EU394" i="1"/>
  <c r="ED394" i="1"/>
  <c r="HC343" i="1" s="1"/>
  <c r="DX394" i="1"/>
  <c r="EU380" i="1"/>
  <c r="ED380" i="1"/>
  <c r="HC329" i="1" s="1"/>
  <c r="DX380" i="1"/>
  <c r="FG702" i="1"/>
  <c r="FE702" i="1" s="1"/>
  <c r="EU389" i="1"/>
  <c r="ED389" i="1"/>
  <c r="HC338" i="1" s="1"/>
  <c r="DX389" i="1"/>
  <c r="FG711" i="1"/>
  <c r="FE711" i="1" s="1"/>
  <c r="CS229" i="1"/>
  <c r="CS233" i="1"/>
  <c r="CS237" i="1"/>
  <c r="CS241" i="1"/>
  <c r="CS245" i="1"/>
  <c r="CS249" i="1"/>
  <c r="CS230" i="1"/>
  <c r="EM228" i="1" s="1"/>
  <c r="CS234" i="1"/>
  <c r="CS238" i="1"/>
  <c r="CS242" i="1"/>
  <c r="CS246" i="1"/>
  <c r="CS250" i="1"/>
  <c r="CS231" i="1"/>
  <c r="CS239" i="1"/>
  <c r="CS247" i="1"/>
  <c r="CS251" i="1"/>
  <c r="CS232" i="1"/>
  <c r="CS236" i="1"/>
  <c r="CS244" i="1"/>
  <c r="CS248" i="1"/>
  <c r="CS235" i="1"/>
  <c r="CS243" i="1"/>
  <c r="CS240" i="1"/>
  <c r="CS252" i="1"/>
  <c r="CV373" i="1"/>
  <c r="CV374" i="1" s="1"/>
  <c r="CV375" i="1" s="1"/>
  <c r="CV376" i="1" s="1"/>
  <c r="CV377" i="1" s="1"/>
  <c r="CV378" i="1" s="1"/>
  <c r="CV379" i="1" s="1"/>
  <c r="CV380" i="1" s="1"/>
  <c r="CV381" i="1" s="1"/>
  <c r="CV382" i="1" s="1"/>
  <c r="CV383" i="1" s="1"/>
  <c r="CV384" i="1" s="1"/>
  <c r="CV385" i="1" s="1"/>
  <c r="CV386" i="1" s="1"/>
  <c r="CV387" i="1" s="1"/>
  <c r="CV388" i="1" s="1"/>
  <c r="CV389" i="1" s="1"/>
  <c r="CV390" i="1" s="1"/>
  <c r="CV391" i="1" s="1"/>
  <c r="CV392" i="1" s="1"/>
  <c r="CV393" i="1" s="1"/>
  <c r="CV394" i="1" s="1"/>
  <c r="CV395" i="1" s="1"/>
  <c r="CT373" i="1"/>
  <c r="CT374" i="1" s="1"/>
  <c r="CT375" i="1" s="1"/>
  <c r="CT376" i="1" s="1"/>
  <c r="CT377" i="1" s="1"/>
  <c r="CT378" i="1" s="1"/>
  <c r="CT379" i="1" s="1"/>
  <c r="CT380" i="1" s="1"/>
  <c r="CT381" i="1" s="1"/>
  <c r="CT382" i="1" s="1"/>
  <c r="CT383" i="1" s="1"/>
  <c r="CT384" i="1" s="1"/>
  <c r="CT385" i="1" s="1"/>
  <c r="CT386" i="1" s="1"/>
  <c r="CT387" i="1" s="1"/>
  <c r="CT388" i="1" s="1"/>
  <c r="CT389" i="1" s="1"/>
  <c r="CT390" i="1" s="1"/>
  <c r="CT391" i="1" s="1"/>
  <c r="CT392" i="1" s="1"/>
  <c r="CT393" i="1" s="1"/>
  <c r="CT394" i="1" s="1"/>
  <c r="CT395" i="1" s="1"/>
  <c r="EU376" i="1"/>
  <c r="ED376" i="1"/>
  <c r="HC325" i="1" s="1"/>
  <c r="DX376" i="1"/>
  <c r="FG698" i="1"/>
  <c r="FE698" i="1" s="1"/>
  <c r="EU385" i="1"/>
  <c r="ED385" i="1"/>
  <c r="HC334" i="1" s="1"/>
  <c r="DX385" i="1"/>
  <c r="FG707" i="1"/>
  <c r="FE707" i="1" s="1"/>
  <c r="EU383" i="1"/>
  <c r="ED383" i="1"/>
  <c r="HC332" i="1" s="1"/>
  <c r="DX383" i="1"/>
  <c r="FG705" i="1"/>
  <c r="FE705" i="1" s="1"/>
  <c r="EU379" i="1"/>
  <c r="ED379" i="1"/>
  <c r="HC328" i="1" s="1"/>
  <c r="DX379" i="1"/>
  <c r="FG701" i="1"/>
  <c r="FE701" i="1" s="1"/>
  <c r="EU388" i="1"/>
  <c r="ED388" i="1"/>
  <c r="HC337" i="1" s="1"/>
  <c r="DX388" i="1"/>
  <c r="FG710" i="1"/>
  <c r="FE710" i="1" s="1"/>
  <c r="FG694" i="1"/>
  <c r="FE694" i="1" s="1"/>
  <c r="ED372" i="1"/>
  <c r="X14" i="3"/>
  <c r="W149" i="3"/>
  <c r="W120" i="3"/>
  <c r="DF786" i="1"/>
  <c r="GW13" i="2"/>
  <c r="R165" i="3"/>
  <c r="R166" i="3"/>
  <c r="R13" i="2"/>
  <c r="Q142" i="3" s="1"/>
  <c r="Q135" i="3"/>
  <c r="FI11" i="2"/>
  <c r="IA52" i="2"/>
  <c r="P165" i="3"/>
  <c r="P166" i="3"/>
  <c r="S48" i="2"/>
  <c r="R48" i="2"/>
  <c r="EH11" i="2"/>
  <c r="GV8" i="2" s="1"/>
  <c r="ET52" i="2"/>
  <c r="DO421" i="1"/>
  <c r="DV144" i="2"/>
  <c r="CY237" i="1"/>
  <c r="CW237" i="1" s="1"/>
  <c r="DM329" i="1"/>
  <c r="DP329" i="1" s="1"/>
  <c r="CX144" i="1"/>
  <c r="DR192" i="1"/>
  <c r="CV60" i="1"/>
  <c r="EH17" i="1"/>
  <c r="AY17" i="5"/>
  <c r="EG12" i="2"/>
  <c r="HX142" i="2"/>
  <c r="CW100" i="1"/>
  <c r="FE101" i="1" s="1"/>
  <c r="AA19" i="8"/>
  <c r="BA8" i="8" s="1"/>
  <c r="BO8" i="8" s="1"/>
  <c r="CV9" i="1"/>
  <c r="CV11" i="1"/>
  <c r="CV13" i="1"/>
  <c r="CV15" i="1"/>
  <c r="CV17" i="1"/>
  <c r="CV19" i="1"/>
  <c r="CV21" i="1"/>
  <c r="CV23" i="1"/>
  <c r="CV25" i="1"/>
  <c r="CV27" i="1"/>
  <c r="CV29" i="1"/>
  <c r="CV31" i="1"/>
  <c r="CV10" i="1"/>
  <c r="CV12" i="1"/>
  <c r="CV14" i="1"/>
  <c r="CV16" i="1"/>
  <c r="CV18" i="1"/>
  <c r="CV20" i="1"/>
  <c r="CV22" i="1"/>
  <c r="CV24" i="1"/>
  <c r="CV26" i="1"/>
  <c r="CV28" i="1"/>
  <c r="CV30" i="1"/>
  <c r="CV32" i="1"/>
  <c r="BH235" i="2"/>
  <c r="BH236" i="2" s="1"/>
  <c r="BH237" i="2" s="1"/>
  <c r="BH238" i="2" s="1"/>
  <c r="BH239" i="2" s="1"/>
  <c r="BH240" i="2" s="1"/>
  <c r="BH241" i="2" s="1"/>
  <c r="BH242" i="2" s="1"/>
  <c r="BH243" i="2" s="1"/>
  <c r="BH244" i="2" s="1"/>
  <c r="BH245" i="2" s="1"/>
  <c r="BH246" i="2" s="1"/>
  <c r="BH247" i="2" s="1"/>
  <c r="BH248" i="2" s="1"/>
  <c r="BH249" i="2" s="1"/>
  <c r="BH250" i="2" s="1"/>
  <c r="BH251" i="2" s="1"/>
  <c r="BX233" i="2"/>
  <c r="CG120" i="2"/>
  <c r="CG121" i="2" s="1"/>
  <c r="CG122" i="2" s="1"/>
  <c r="CG123" i="2" s="1"/>
  <c r="CG124" i="2" s="1"/>
  <c r="CG125" i="2" s="1"/>
  <c r="CG126" i="2" s="1"/>
  <c r="CG127" i="2" s="1"/>
  <c r="CG128" i="2" s="1"/>
  <c r="CG129" i="2" s="1"/>
  <c r="CG130" i="2" s="1"/>
  <c r="CG131" i="2" s="1"/>
  <c r="EP96" i="2"/>
  <c r="EP98" i="2"/>
  <c r="EP100" i="2"/>
  <c r="EP102" i="2"/>
  <c r="EP104" i="2"/>
  <c r="EP106" i="2"/>
  <c r="EP108" i="2"/>
  <c r="EP110" i="2"/>
  <c r="EP112" i="2"/>
  <c r="EP114" i="2"/>
  <c r="EP116" i="2"/>
  <c r="EP118" i="2"/>
  <c r="EP95" i="2"/>
  <c r="EP97" i="2"/>
  <c r="EP99" i="2"/>
  <c r="EP101" i="2"/>
  <c r="EP103" i="2"/>
  <c r="EP105" i="2"/>
  <c r="EP107" i="2"/>
  <c r="EP109" i="2"/>
  <c r="EP111" i="2"/>
  <c r="EP113" i="2"/>
  <c r="EP115" i="2"/>
  <c r="EP117" i="2"/>
  <c r="CV317" i="1"/>
  <c r="CV319" i="1"/>
  <c r="CV321" i="1"/>
  <c r="CV323" i="1"/>
  <c r="CV325" i="1"/>
  <c r="CV327" i="1"/>
  <c r="CV329" i="1"/>
  <c r="CV331" i="1"/>
  <c r="CV333" i="1"/>
  <c r="CV335" i="1"/>
  <c r="CV337" i="1"/>
  <c r="CV339" i="1"/>
  <c r="CV316" i="1"/>
  <c r="CV318" i="1"/>
  <c r="CV320" i="1"/>
  <c r="CV322" i="1"/>
  <c r="CV324" i="1"/>
  <c r="CV326" i="1"/>
  <c r="CV328" i="1"/>
  <c r="CV330" i="1"/>
  <c r="CV332" i="1"/>
  <c r="CV334" i="1"/>
  <c r="CV336" i="1"/>
  <c r="CV338" i="1"/>
  <c r="Z164" i="1"/>
  <c r="GD17" i="2"/>
  <c r="DR145" i="2"/>
  <c r="FI236" i="1" s="1"/>
  <c r="CY146" i="2"/>
  <c r="EC30" i="2"/>
  <c r="EC31" i="2"/>
  <c r="R79" i="2"/>
  <c r="R80" i="2" s="1"/>
  <c r="R81" i="2" s="1"/>
  <c r="BE74" i="2"/>
  <c r="BE76" i="2"/>
  <c r="BE78" i="2"/>
  <c r="BE80" i="2"/>
  <c r="BE82" i="2"/>
  <c r="BE84" i="2"/>
  <c r="BE86" i="2"/>
  <c r="BE88" i="2"/>
  <c r="BE90" i="2"/>
  <c r="BE92" i="2"/>
  <c r="BE94" i="2"/>
  <c r="BE96" i="2"/>
  <c r="BE73" i="2"/>
  <c r="BE77" i="2"/>
  <c r="BE81" i="2"/>
  <c r="BE85" i="2"/>
  <c r="BE89" i="2"/>
  <c r="BE93" i="2"/>
  <c r="BE75" i="2"/>
  <c r="BE79" i="2"/>
  <c r="BE83" i="2"/>
  <c r="BE87" i="2"/>
  <c r="BE91" i="2"/>
  <c r="BE95" i="2"/>
  <c r="Q80" i="2"/>
  <c r="R70" i="2"/>
  <c r="R71" i="2" s="1"/>
  <c r="ET792" i="1"/>
  <c r="ET784" i="1"/>
  <c r="ET799" i="1"/>
  <c r="ET791" i="1"/>
  <c r="ET783" i="1"/>
  <c r="P204" i="3"/>
  <c r="BX231" i="2"/>
  <c r="CX7" i="7"/>
  <c r="BW211" i="2"/>
  <c r="CX23" i="7"/>
  <c r="CX15" i="7"/>
  <c r="CX19" i="7"/>
  <c r="CX11" i="7"/>
  <c r="CX25" i="7"/>
  <c r="CX21" i="7"/>
  <c r="CX17" i="7"/>
  <c r="CX13" i="7"/>
  <c r="CX9" i="7"/>
  <c r="CX24" i="7"/>
  <c r="CX22" i="7"/>
  <c r="CX20" i="7"/>
  <c r="CX18" i="7"/>
  <c r="CX16" i="7"/>
  <c r="CX14" i="7"/>
  <c r="CX12" i="7"/>
  <c r="CX10" i="7"/>
  <c r="BD11" i="5"/>
  <c r="AU18" i="8"/>
  <c r="BD20" i="5"/>
  <c r="Q90" i="2"/>
  <c r="Q87" i="2" s="1"/>
  <c r="Q88" i="2" s="1"/>
  <c r="Q89" i="2" s="1"/>
  <c r="L27" i="8"/>
  <c r="R92" i="2"/>
  <c r="R90" i="2" s="1"/>
  <c r="R87" i="2" s="1"/>
  <c r="ET798" i="1"/>
  <c r="ET794" i="1"/>
  <c r="ET790" i="1"/>
  <c r="ET786" i="1"/>
  <c r="ET782" i="1"/>
  <c r="ET778" i="1"/>
  <c r="ET797" i="1"/>
  <c r="ET793" i="1"/>
  <c r="ET789" i="1"/>
  <c r="ET785" i="1"/>
  <c r="EA608" i="1"/>
  <c r="EA629" i="1"/>
  <c r="EA625" i="1"/>
  <c r="EA621" i="1"/>
  <c r="EA617" i="1"/>
  <c r="EA613" i="1"/>
  <c r="EA609" i="1"/>
  <c r="EA626" i="1"/>
  <c r="EA622" i="1"/>
  <c r="EA618" i="1"/>
  <c r="EA614" i="1"/>
  <c r="EA610" i="1"/>
  <c r="EA627" i="1"/>
  <c r="EA623" i="1"/>
  <c r="EA619" i="1"/>
  <c r="EA615" i="1"/>
  <c r="EA611" i="1"/>
  <c r="EA628" i="1"/>
  <c r="EA624" i="1"/>
  <c r="EA620" i="1"/>
  <c r="EA616" i="1"/>
  <c r="EA612" i="1"/>
  <c r="DB778" i="1"/>
  <c r="DB797" i="1"/>
  <c r="DC797" i="1" s="1"/>
  <c r="DB793" i="1"/>
  <c r="DC793" i="1" s="1"/>
  <c r="DT793" i="1" s="1"/>
  <c r="DB789" i="1"/>
  <c r="DC789" i="1" s="1"/>
  <c r="DT789" i="1" s="1"/>
  <c r="DB785" i="1"/>
  <c r="DB781" i="1"/>
  <c r="DC781" i="1" s="1"/>
  <c r="DT781" i="1" s="1"/>
  <c r="DB798" i="1"/>
  <c r="DC798" i="1" s="1"/>
  <c r="DB794" i="1"/>
  <c r="DC794" i="1" s="1"/>
  <c r="DT794" i="1" s="1"/>
  <c r="DB790" i="1"/>
  <c r="DB786" i="1"/>
  <c r="DC786" i="1" s="1"/>
  <c r="DT786" i="1" s="1"/>
  <c r="DB782" i="1"/>
  <c r="DC782" i="1" s="1"/>
  <c r="DT782" i="1" s="1"/>
  <c r="DB799" i="1"/>
  <c r="DC799" i="1" s="1"/>
  <c r="DB795" i="1"/>
  <c r="DC795" i="1" s="1"/>
  <c r="DB791" i="1"/>
  <c r="DC791" i="1" s="1"/>
  <c r="DT791" i="1" s="1"/>
  <c r="DB787" i="1"/>
  <c r="DC787" i="1" s="1"/>
  <c r="DT787" i="1" s="1"/>
  <c r="DB783" i="1"/>
  <c r="DB779" i="1"/>
  <c r="DC779" i="1" s="1"/>
  <c r="DT779" i="1" s="1"/>
  <c r="DB796" i="1"/>
  <c r="DC796" i="1" s="1"/>
  <c r="DB792" i="1"/>
  <c r="DC792" i="1" s="1"/>
  <c r="DT792" i="1" s="1"/>
  <c r="DB788" i="1"/>
  <c r="DC788" i="1" s="1"/>
  <c r="DT788" i="1" s="1"/>
  <c r="DB784" i="1"/>
  <c r="DC784" i="1" s="1"/>
  <c r="DT784" i="1" s="1"/>
  <c r="DB780" i="1"/>
  <c r="DC780" i="1" s="1"/>
  <c r="DT780" i="1" s="1"/>
  <c r="EV608" i="1"/>
  <c r="EV627" i="1"/>
  <c r="EV623" i="1"/>
  <c r="EV619" i="1"/>
  <c r="EV615" i="1"/>
  <c r="EV611" i="1"/>
  <c r="EV628" i="1"/>
  <c r="EV624" i="1"/>
  <c r="EV620" i="1"/>
  <c r="EV616" i="1"/>
  <c r="EV612" i="1"/>
  <c r="EV629" i="1"/>
  <c r="EV625" i="1"/>
  <c r="EV621" i="1"/>
  <c r="EV617" i="1"/>
  <c r="EV613" i="1"/>
  <c r="EV609" i="1"/>
  <c r="EV626" i="1"/>
  <c r="EV622" i="1"/>
  <c r="EV618" i="1"/>
  <c r="EV614" i="1"/>
  <c r="EV610" i="1"/>
  <c r="DC790" i="1"/>
  <c r="DT790" i="1" s="1"/>
  <c r="DC785" i="1"/>
  <c r="DT785" i="1" s="1"/>
  <c r="DC783" i="1"/>
  <c r="DT783" i="1" s="1"/>
  <c r="Y152" i="1"/>
  <c r="Y172" i="1"/>
  <c r="L19" i="8"/>
  <c r="BD22" i="5"/>
  <c r="EC29" i="2"/>
  <c r="R48" i="9"/>
  <c r="F76" i="8"/>
  <c r="G76" i="8" s="1"/>
  <c r="K72" i="8" s="1"/>
  <c r="Y72" i="8" s="1"/>
  <c r="R56" i="9"/>
  <c r="R40" i="9"/>
  <c r="W40" i="9" s="1"/>
  <c r="F79" i="8"/>
  <c r="G79" i="8" s="1"/>
  <c r="K75" i="8" s="1"/>
  <c r="Y75" i="8" s="1"/>
  <c r="R52" i="9"/>
  <c r="R44" i="9"/>
  <c r="F68" i="8"/>
  <c r="G68" i="8" s="1"/>
  <c r="K64" i="8" s="1"/>
  <c r="Y64" i="8" s="1"/>
  <c r="F84" i="8"/>
  <c r="G84" i="8" s="1"/>
  <c r="K80" i="8" s="1"/>
  <c r="Y80" i="8" s="1"/>
  <c r="F85" i="8"/>
  <c r="G85" i="8" s="1"/>
  <c r="K81" i="8" s="1"/>
  <c r="Y81" i="8" s="1"/>
  <c r="R54" i="9"/>
  <c r="R50" i="9"/>
  <c r="R46" i="9"/>
  <c r="R42" i="9"/>
  <c r="F72" i="8"/>
  <c r="G72" i="8" s="1"/>
  <c r="K68" i="8" s="1"/>
  <c r="Y68" i="8" s="1"/>
  <c r="F80" i="8"/>
  <c r="G80" i="8" s="1"/>
  <c r="K76" i="8" s="1"/>
  <c r="Y76" i="8" s="1"/>
  <c r="F71" i="8"/>
  <c r="G71" i="8" s="1"/>
  <c r="K67" i="8" s="1"/>
  <c r="Y67" i="8" s="1"/>
  <c r="F69" i="8"/>
  <c r="G69" i="8" s="1"/>
  <c r="K65" i="8" s="1"/>
  <c r="Y65" i="8" s="1"/>
  <c r="F81" i="8"/>
  <c r="G81" i="8" s="1"/>
  <c r="K77" i="8" s="1"/>
  <c r="Y77" i="8" s="1"/>
  <c r="R57" i="9"/>
  <c r="R55" i="9"/>
  <c r="R53" i="9"/>
  <c r="R51" i="9"/>
  <c r="R49" i="9"/>
  <c r="R47" i="9"/>
  <c r="R45" i="9"/>
  <c r="R43" i="9"/>
  <c r="R41" i="9"/>
  <c r="Y153" i="1"/>
  <c r="X199" i="1"/>
  <c r="R128" i="3" s="1"/>
  <c r="F70" i="8"/>
  <c r="G70" i="8" s="1"/>
  <c r="K66" i="8" s="1"/>
  <c r="Y66" i="8" s="1"/>
  <c r="F74" i="8"/>
  <c r="G74" i="8" s="1"/>
  <c r="K70" i="8" s="1"/>
  <c r="Y70" i="8" s="1"/>
  <c r="F78" i="8"/>
  <c r="G78" i="8" s="1"/>
  <c r="K74" i="8" s="1"/>
  <c r="Y74" i="8" s="1"/>
  <c r="F82" i="8"/>
  <c r="G82" i="8" s="1"/>
  <c r="K78" i="8" s="1"/>
  <c r="Y78" i="8" s="1"/>
  <c r="F67" i="8"/>
  <c r="G67" i="8" s="1"/>
  <c r="K63" i="8" s="1"/>
  <c r="Y63" i="8" s="1"/>
  <c r="F75" i="8"/>
  <c r="G75" i="8" s="1"/>
  <c r="K71" i="8" s="1"/>
  <c r="Y71" i="8" s="1"/>
  <c r="F83" i="8"/>
  <c r="G83" i="8" s="1"/>
  <c r="K79" i="8" s="1"/>
  <c r="Y79" i="8" s="1"/>
  <c r="F77" i="8"/>
  <c r="G77" i="8" s="1"/>
  <c r="K73" i="8" s="1"/>
  <c r="Y73" i="8" s="1"/>
  <c r="F73" i="8"/>
  <c r="G73" i="8" s="1"/>
  <c r="K69" i="8" s="1"/>
  <c r="Y69" i="8" s="1"/>
  <c r="F65" i="8"/>
  <c r="G65" i="8" s="1"/>
  <c r="K61" i="8" s="1"/>
  <c r="Y61" i="8" s="1"/>
  <c r="V145" i="1"/>
  <c r="V180" i="1"/>
  <c r="P141" i="3" s="1"/>
  <c r="ES778" i="1"/>
  <c r="EA839" i="1"/>
  <c r="EA835" i="1"/>
  <c r="EA831" i="1"/>
  <c r="EA827" i="1"/>
  <c r="EA823" i="1"/>
  <c r="EA838" i="1"/>
  <c r="EA834" i="1"/>
  <c r="EA830" i="1"/>
  <c r="EA826" i="1"/>
  <c r="EA822" i="1"/>
  <c r="EA837" i="1"/>
  <c r="EA833" i="1"/>
  <c r="EA829" i="1"/>
  <c r="EA825" i="1"/>
  <c r="EA821" i="1"/>
  <c r="EA819" i="1"/>
  <c r="EA836" i="1"/>
  <c r="EA832" i="1"/>
  <c r="EA828" i="1"/>
  <c r="EA824" i="1"/>
  <c r="EA820" i="1"/>
  <c r="ED818" i="1"/>
  <c r="DA67" i="7"/>
  <c r="AS185" i="7" s="1"/>
  <c r="DA75" i="7"/>
  <c r="AS193" i="7" s="1"/>
  <c r="AY18" i="5"/>
  <c r="DA71" i="7"/>
  <c r="AS189" i="7" s="1"/>
  <c r="DA63" i="7"/>
  <c r="AS181" i="7" s="1"/>
  <c r="DA77" i="7"/>
  <c r="AS195" i="7" s="1"/>
  <c r="DA73" i="7"/>
  <c r="AS191" i="7" s="1"/>
  <c r="DA69" i="7"/>
  <c r="AS187" i="7" s="1"/>
  <c r="DA65" i="7"/>
  <c r="AS183" i="7" s="1"/>
  <c r="DA61" i="7"/>
  <c r="AS179" i="7" s="1"/>
  <c r="BW212" i="2"/>
  <c r="S54" i="2"/>
  <c r="R107" i="3" s="1"/>
  <c r="R187" i="3" s="1"/>
  <c r="BX214" i="2"/>
  <c r="BW216" i="2"/>
  <c r="BW217" i="2"/>
  <c r="BW219" i="2"/>
  <c r="BW218" i="2"/>
  <c r="DA78" i="7"/>
  <c r="AS196" i="7" s="1"/>
  <c r="DA76" i="7"/>
  <c r="AS194" i="7" s="1"/>
  <c r="DA74" i="7"/>
  <c r="AS192" i="7" s="1"/>
  <c r="DA72" i="7"/>
  <c r="AS190" i="7" s="1"/>
  <c r="DA70" i="7"/>
  <c r="AS188" i="7" s="1"/>
  <c r="DA68" i="7"/>
  <c r="AS186" i="7" s="1"/>
  <c r="DA66" i="7"/>
  <c r="AS184" i="7" s="1"/>
  <c r="DA64" i="7"/>
  <c r="AS182" i="7" s="1"/>
  <c r="DA62" i="7"/>
  <c r="AS180" i="7" s="1"/>
  <c r="BD23" i="5"/>
  <c r="BW225" i="2"/>
  <c r="BW228" i="2"/>
  <c r="BW227" i="2"/>
  <c r="BW232" i="2"/>
  <c r="BW222" i="2"/>
  <c r="AU25" i="5"/>
  <c r="BX215" i="2"/>
  <c r="AA22" i="8"/>
  <c r="BA11" i="8" s="1"/>
  <c r="BO11" i="8" s="1"/>
  <c r="BX230" i="2"/>
  <c r="BX223" i="2"/>
  <c r="BX228" i="2"/>
  <c r="AY21" i="5"/>
  <c r="BD10" i="5"/>
  <c r="AY19" i="5"/>
  <c r="BX222" i="2"/>
  <c r="BX227" i="2"/>
  <c r="BX219" i="2"/>
  <c r="BX211" i="2"/>
  <c r="BX220" i="2"/>
  <c r="BW213" i="2"/>
  <c r="BW221" i="2"/>
  <c r="BW229" i="2"/>
  <c r="BW220" i="2"/>
  <c r="BW215" i="2"/>
  <c r="BW223" i="2"/>
  <c r="BW231" i="2"/>
  <c r="BW224" i="2"/>
  <c r="BW226" i="2"/>
  <c r="BW230" i="2"/>
  <c r="L30" i="8"/>
  <c r="AX28" i="5"/>
  <c r="AZ29" i="5"/>
  <c r="W145" i="1"/>
  <c r="W174" i="1"/>
  <c r="AU27" i="5"/>
  <c r="AW27" i="5" s="1"/>
  <c r="BX226" i="2"/>
  <c r="BX218" i="2"/>
  <c r="BX229" i="2"/>
  <c r="BX225" i="2"/>
  <c r="BX221" i="2"/>
  <c r="BX217" i="2"/>
  <c r="BX213" i="2"/>
  <c r="BX224" i="2"/>
  <c r="BX216" i="2"/>
  <c r="AY12" i="5"/>
  <c r="BD12" i="5"/>
  <c r="W178" i="1"/>
  <c r="W92" i="1"/>
  <c r="V37" i="2"/>
  <c r="W37" i="2" s="1"/>
  <c r="U39" i="2"/>
  <c r="U38" i="2" s="1"/>
  <c r="L26" i="8"/>
  <c r="AY25" i="5"/>
  <c r="BD25" i="5"/>
  <c r="CV117" i="2"/>
  <c r="U146" i="1"/>
  <c r="DJ68" i="9"/>
  <c r="DJ71" i="9"/>
  <c r="DJ79" i="9"/>
  <c r="DJ87" i="9"/>
  <c r="DJ75" i="9"/>
  <c r="DJ83" i="9"/>
  <c r="DJ91" i="9"/>
  <c r="DJ93" i="9"/>
  <c r="DJ85" i="9"/>
  <c r="DJ77" i="9"/>
  <c r="DJ69" i="9"/>
  <c r="DJ92" i="9"/>
  <c r="DJ88" i="9"/>
  <c r="DJ84" i="9"/>
  <c r="DJ80" i="9"/>
  <c r="DJ76" i="9"/>
  <c r="DJ72" i="9"/>
  <c r="DJ89" i="9"/>
  <c r="DJ81" i="9"/>
  <c r="DJ73" i="9"/>
  <c r="DJ90" i="9"/>
  <c r="DJ86" i="9"/>
  <c r="DJ82" i="9"/>
  <c r="DJ78" i="9"/>
  <c r="DJ74" i="9"/>
  <c r="DJ70" i="9"/>
  <c r="CW117" i="2"/>
  <c r="AD6" i="7"/>
  <c r="AC47" i="7" s="1"/>
  <c r="AD7" i="7"/>
  <c r="AC48" i="7" s="1"/>
  <c r="AD11" i="7"/>
  <c r="AD15" i="7"/>
  <c r="AD19" i="7"/>
  <c r="AD23" i="7"/>
  <c r="AD27" i="7"/>
  <c r="AD9" i="7"/>
  <c r="AD13" i="7"/>
  <c r="AD17" i="7"/>
  <c r="AD21" i="7"/>
  <c r="AD25" i="7"/>
  <c r="AD26" i="7"/>
  <c r="AD22" i="7"/>
  <c r="AD18" i="7"/>
  <c r="AD14" i="7"/>
  <c r="AD10" i="7"/>
  <c r="AD24" i="7"/>
  <c r="AD20" i="7"/>
  <c r="AD16" i="7"/>
  <c r="AD12" i="7"/>
  <c r="AD8" i="7"/>
  <c r="AA24" i="8"/>
  <c r="BA13" i="8" s="1"/>
  <c r="BO13" i="8" s="1"/>
  <c r="L18" i="8"/>
  <c r="BA47" i="7"/>
  <c r="BA49" i="7"/>
  <c r="BA51" i="7"/>
  <c r="BA53" i="7"/>
  <c r="BA55" i="7"/>
  <c r="BA57" i="7"/>
  <c r="BA59" i="7"/>
  <c r="BA61" i="7"/>
  <c r="BA63" i="7"/>
  <c r="BA65" i="7"/>
  <c r="BA67" i="7"/>
  <c r="BA48" i="7"/>
  <c r="BV48" i="7" s="1"/>
  <c r="BA50" i="7"/>
  <c r="BA52" i="7"/>
  <c r="BA54" i="7"/>
  <c r="BA56" i="7"/>
  <c r="BA58" i="7"/>
  <c r="BA60" i="7"/>
  <c r="BA62" i="7"/>
  <c r="BA64" i="7"/>
  <c r="BA66" i="7"/>
  <c r="BA68" i="7"/>
  <c r="AC39" i="5"/>
  <c r="AB38" i="5"/>
  <c r="AA30" i="8"/>
  <c r="BA19" i="8" s="1"/>
  <c r="BO19" i="8" s="1"/>
  <c r="AA18" i="8"/>
  <c r="BA7" i="8" s="1"/>
  <c r="BO7" i="8" s="1"/>
  <c r="DZ67" i="7"/>
  <c r="DY67" i="7"/>
  <c r="T27" i="2"/>
  <c r="T29" i="2" s="1"/>
  <c r="S131" i="3" s="1"/>
  <c r="DW68" i="7"/>
  <c r="EB48" i="7"/>
  <c r="ET47" i="7"/>
  <c r="AA23" i="8"/>
  <c r="BA12" i="8" s="1"/>
  <c r="BO12" i="8" s="1"/>
  <c r="L24" i="8"/>
  <c r="I16" i="8"/>
  <c r="L28" i="8"/>
  <c r="L17" i="8"/>
  <c r="L25" i="8"/>
  <c r="L23" i="8"/>
  <c r="AA17" i="8"/>
  <c r="I17" i="8" s="1"/>
  <c r="AA28" i="8"/>
  <c r="BA17" i="8" s="1"/>
  <c r="BO17" i="8" s="1"/>
  <c r="BD24" i="5"/>
  <c r="I29" i="8"/>
  <c r="AA21" i="8"/>
  <c r="BA10" i="8" s="1"/>
  <c r="BO10" i="8" s="1"/>
  <c r="AA20" i="8"/>
  <c r="BA9" i="8" s="1"/>
  <c r="BO9" i="8" s="1"/>
  <c r="BD14" i="5"/>
  <c r="AY14" i="5"/>
  <c r="BD16" i="5"/>
  <c r="AY16" i="5"/>
  <c r="AY15" i="5"/>
  <c r="BD15" i="5"/>
  <c r="AE19" i="8"/>
  <c r="T38" i="2"/>
  <c r="EC28" i="2"/>
  <c r="EC10" i="2"/>
  <c r="EC14" i="2"/>
  <c r="DZ14" i="2" s="1"/>
  <c r="GC14" i="2" s="1"/>
  <c r="EC18" i="2"/>
  <c r="DZ18" i="2" s="1"/>
  <c r="GC18" i="2" s="1"/>
  <c r="EC22" i="2"/>
  <c r="DZ22" i="2" s="1"/>
  <c r="GC22" i="2" s="1"/>
  <c r="EC12" i="2"/>
  <c r="DZ12" i="2" s="1"/>
  <c r="GC12" i="2" s="1"/>
  <c r="EC16" i="2"/>
  <c r="DZ16" i="2" s="1"/>
  <c r="GC16" i="2" s="1"/>
  <c r="EC20" i="2"/>
  <c r="DZ20" i="2" s="1"/>
  <c r="GC20" i="2" s="1"/>
  <c r="CL20" i="8"/>
  <c r="BV22" i="8"/>
  <c r="L20" i="8"/>
  <c r="L21" i="8"/>
  <c r="Y21" i="8"/>
  <c r="EC23" i="2"/>
  <c r="DZ23" i="2" s="1"/>
  <c r="GC23" i="2" s="1"/>
  <c r="EC21" i="2"/>
  <c r="DZ21" i="2" s="1"/>
  <c r="GC21" i="2" s="1"/>
  <c r="EC19" i="2"/>
  <c r="DZ19" i="2" s="1"/>
  <c r="GC19" i="2" s="1"/>
  <c r="EC17" i="2"/>
  <c r="DZ17" i="2" s="1"/>
  <c r="GC17" i="2" s="1"/>
  <c r="EC15" i="2"/>
  <c r="DZ15" i="2" s="1"/>
  <c r="GC15" i="2" s="1"/>
  <c r="EC13" i="2"/>
  <c r="DZ13" i="2" s="1"/>
  <c r="GC13" i="2" s="1"/>
  <c r="EC11" i="2"/>
  <c r="DZ11" i="2" s="1"/>
  <c r="GC11" i="2" s="1"/>
  <c r="EC9" i="2"/>
  <c r="L22" i="8"/>
  <c r="AA25" i="8"/>
  <c r="BA14" i="8" s="1"/>
  <c r="BO14" i="8" s="1"/>
  <c r="AL28" i="5"/>
  <c r="Z35" i="5"/>
  <c r="Y162" i="1"/>
  <c r="X175" i="1"/>
  <c r="X187" i="1"/>
  <c r="X195" i="1"/>
  <c r="W189" i="1"/>
  <c r="Q24" i="3" s="1"/>
  <c r="S28" i="2"/>
  <c r="X188" i="1"/>
  <c r="R27" i="3" s="1"/>
  <c r="Y194" i="1"/>
  <c r="S119" i="3" s="1"/>
  <c r="S183" i="3" s="1"/>
  <c r="U12" i="2"/>
  <c r="T14" i="2"/>
  <c r="BB18" i="8"/>
  <c r="BO18" i="8"/>
  <c r="U19" i="2"/>
  <c r="V17" i="2"/>
  <c r="I43" i="9"/>
  <c r="E44" i="9"/>
  <c r="DA36" i="2"/>
  <c r="Y149" i="1"/>
  <c r="R183" i="9"/>
  <c r="S184" i="9"/>
  <c r="R184" i="9" s="1"/>
  <c r="Y109" i="1"/>
  <c r="Z151" i="1"/>
  <c r="Z157" i="1"/>
  <c r="X179" i="1"/>
  <c r="R130" i="3" s="1"/>
  <c r="AF26" i="8"/>
  <c r="AU25" i="8"/>
  <c r="Y190" i="1"/>
  <c r="S25" i="3" s="1"/>
  <c r="S163" i="3" s="1"/>
  <c r="Z197" i="1"/>
  <c r="T162" i="3" s="1"/>
  <c r="Z159" i="1"/>
  <c r="Y184" i="1"/>
  <c r="S18" i="3" s="1"/>
  <c r="W170" i="1"/>
  <c r="W181" i="1"/>
  <c r="W198" i="1"/>
  <c r="AV19" i="8"/>
  <c r="AH19" i="8"/>
  <c r="AG16" i="8"/>
  <c r="AV16" i="8" s="1"/>
  <c r="I27" i="8"/>
  <c r="BD13" i="5"/>
  <c r="AY13" i="5"/>
  <c r="AG11" i="8"/>
  <c r="AV11" i="8" s="1"/>
  <c r="U47" i="2"/>
  <c r="T49" i="2"/>
  <c r="M43" i="9"/>
  <c r="Q42" i="9"/>
  <c r="T60" i="2"/>
  <c r="S62" i="2"/>
  <c r="AE17" i="8"/>
  <c r="AU17" i="8" s="1"/>
  <c r="K17" i="5"/>
  <c r="AG7" i="8"/>
  <c r="AV7" i="8" s="1"/>
  <c r="X167" i="1"/>
  <c r="Y154" i="1"/>
  <c r="AE15" i="8"/>
  <c r="AU15" i="8" s="1"/>
  <c r="I26" i="8"/>
  <c r="AG14" i="8"/>
  <c r="AV14" i="8" s="1"/>
  <c r="AV18" i="8"/>
  <c r="AH18" i="8"/>
  <c r="Z191" i="1"/>
  <c r="AA193" i="1"/>
  <c r="U159" i="3" s="1"/>
  <c r="Z172" i="1"/>
  <c r="X145" i="1"/>
  <c r="X180" i="1"/>
  <c r="R141" i="3" s="1"/>
  <c r="AE13" i="8"/>
  <c r="AU13" i="8" s="1"/>
  <c r="Y176" i="1"/>
  <c r="X183" i="1"/>
  <c r="U52" i="2"/>
  <c r="T54" i="2"/>
  <c r="S107" i="3" s="1"/>
  <c r="S187" i="3" s="1"/>
  <c r="AG9" i="8"/>
  <c r="AV9" i="8" s="1"/>
  <c r="W84" i="1"/>
  <c r="W192" i="1"/>
  <c r="W155" i="1"/>
  <c r="W171" i="1"/>
  <c r="R97" i="2" s="1"/>
  <c r="AA161" i="1"/>
  <c r="Z186" i="1"/>
  <c r="T20" i="3" s="1"/>
  <c r="AG12" i="8"/>
  <c r="AV12" i="8" s="1"/>
  <c r="AE38" i="9"/>
  <c r="EK8" i="2"/>
  <c r="EP8" i="2" s="1"/>
  <c r="EC24" i="2"/>
  <c r="DZ24" i="2" s="1"/>
  <c r="GC24" i="2" s="1"/>
  <c r="EC25" i="2"/>
  <c r="DZ25" i="2" s="1"/>
  <c r="GC25" i="2" s="1"/>
  <c r="EC26" i="2"/>
  <c r="DZ26" i="2" s="1"/>
  <c r="GC26" i="2" s="1"/>
  <c r="EC27" i="2"/>
  <c r="DZ27" i="2" s="1"/>
  <c r="GC27" i="2" s="1"/>
  <c r="S41" i="9"/>
  <c r="Y156" i="1"/>
  <c r="AF38" i="9"/>
  <c r="CW332" i="1" l="1"/>
  <c r="CU332" i="1"/>
  <c r="CW324" i="1"/>
  <c r="CU324" i="1"/>
  <c r="CW316" i="1"/>
  <c r="CU316" i="1"/>
  <c r="CW333" i="1"/>
  <c r="CU333" i="1"/>
  <c r="CW325" i="1"/>
  <c r="CU325" i="1"/>
  <c r="CW317" i="1"/>
  <c r="CU317" i="1"/>
  <c r="EM238" i="1"/>
  <c r="CR240" i="1"/>
  <c r="DP238" i="1" s="1"/>
  <c r="DR238" i="1" s="1"/>
  <c r="EM242" i="1"/>
  <c r="CR244" i="1"/>
  <c r="DP242" i="1" s="1"/>
  <c r="DR242" i="1" s="1"/>
  <c r="EM245" i="1"/>
  <c r="CR247" i="1"/>
  <c r="DP245" i="1" s="1"/>
  <c r="DR245" i="1" s="1"/>
  <c r="EM244" i="1"/>
  <c r="CR246" i="1"/>
  <c r="DP244" i="1" s="1"/>
  <c r="DR244" i="1" s="1"/>
  <c r="EM235" i="1"/>
  <c r="CR237" i="1"/>
  <c r="DP235" i="1" s="1"/>
  <c r="DR235" i="1" s="1"/>
  <c r="T156" i="3"/>
  <c r="T26" i="3"/>
  <c r="T160" i="3" s="1"/>
  <c r="Z153" i="1"/>
  <c r="T132" i="3" s="1"/>
  <c r="S132" i="3"/>
  <c r="CW338" i="1"/>
  <c r="CU338" i="1"/>
  <c r="CW330" i="1"/>
  <c r="CU330" i="1"/>
  <c r="CW322" i="1"/>
  <c r="CU322" i="1"/>
  <c r="CW339" i="1"/>
  <c r="CU339" i="1"/>
  <c r="CW331" i="1"/>
  <c r="CU331" i="1"/>
  <c r="CW323" i="1"/>
  <c r="CU323" i="1"/>
  <c r="EM241" i="1"/>
  <c r="CR243" i="1"/>
  <c r="DP241" i="1" s="1"/>
  <c r="DR241" i="1" s="1"/>
  <c r="EM234" i="1"/>
  <c r="CR236" i="1"/>
  <c r="DP234" i="1" s="1"/>
  <c r="DR234" i="1" s="1"/>
  <c r="EM237" i="1"/>
  <c r="CR239" i="1"/>
  <c r="DP237" i="1" s="1"/>
  <c r="DR237" i="1" s="1"/>
  <c r="EM240" i="1"/>
  <c r="CR242" i="1"/>
  <c r="DP240" i="1" s="1"/>
  <c r="DR240" i="1" s="1"/>
  <c r="EM247" i="1"/>
  <c r="CR249" i="1"/>
  <c r="DP247" i="1" s="1"/>
  <c r="DR247" i="1" s="1"/>
  <c r="EM231" i="1"/>
  <c r="CR233" i="1"/>
  <c r="DP231" i="1" s="1"/>
  <c r="DR231" i="1" s="1"/>
  <c r="S77" i="2"/>
  <c r="R99" i="3"/>
  <c r="R184" i="3" s="1"/>
  <c r="T68" i="2"/>
  <c r="T69" i="2" s="1"/>
  <c r="S129" i="3"/>
  <c r="CW336" i="1"/>
  <c r="CU336" i="1"/>
  <c r="CW328" i="1"/>
  <c r="CU328" i="1"/>
  <c r="CW320" i="1"/>
  <c r="CU320" i="1"/>
  <c r="CW337" i="1"/>
  <c r="CU337" i="1"/>
  <c r="CW329" i="1"/>
  <c r="CU329" i="1"/>
  <c r="CW321" i="1"/>
  <c r="CU321" i="1"/>
  <c r="HC321" i="1"/>
  <c r="O117" i="3" a="1"/>
  <c r="EM233" i="1"/>
  <c r="CR235" i="1"/>
  <c r="DP233" i="1" s="1"/>
  <c r="DR233" i="1" s="1"/>
  <c r="EM230" i="1"/>
  <c r="CR232" i="1"/>
  <c r="DP230" i="1" s="1"/>
  <c r="DR230" i="1" s="1"/>
  <c r="EM229" i="1"/>
  <c r="CR231" i="1"/>
  <c r="DP229" i="1" s="1"/>
  <c r="DR229" i="1" s="1"/>
  <c r="EM236" i="1"/>
  <c r="CR238" i="1"/>
  <c r="DP236" i="1" s="1"/>
  <c r="DR236" i="1" s="1"/>
  <c r="EM243" i="1"/>
  <c r="CR245" i="1"/>
  <c r="DP243" i="1" s="1"/>
  <c r="DR243" i="1" s="1"/>
  <c r="CW334" i="1"/>
  <c r="CU334" i="1"/>
  <c r="CW326" i="1"/>
  <c r="CU326" i="1"/>
  <c r="CW318" i="1"/>
  <c r="CU318" i="1"/>
  <c r="CW335" i="1"/>
  <c r="CU335" i="1"/>
  <c r="CW327" i="1"/>
  <c r="CU327" i="1"/>
  <c r="CW319" i="1"/>
  <c r="CU319" i="1"/>
  <c r="EM250" i="1"/>
  <c r="EN250" i="1" s="1"/>
  <c r="CR252" i="1"/>
  <c r="EM246" i="1"/>
  <c r="CR248" i="1"/>
  <c r="DP246" i="1" s="1"/>
  <c r="DR246" i="1" s="1"/>
  <c r="EM249" i="1"/>
  <c r="CR251" i="1"/>
  <c r="EM248" i="1"/>
  <c r="CR250" i="1"/>
  <c r="DP248" i="1" s="1"/>
  <c r="DR248" i="1" s="1"/>
  <c r="EM232" i="1"/>
  <c r="CR234" i="1"/>
  <c r="DP232" i="1" s="1"/>
  <c r="DR232" i="1" s="1"/>
  <c r="EM239" i="1"/>
  <c r="CR241" i="1"/>
  <c r="DP239" i="1" s="1"/>
  <c r="DR239" i="1" s="1"/>
  <c r="Y14" i="3"/>
  <c r="X149" i="3"/>
  <c r="X120" i="3"/>
  <c r="R88" i="2"/>
  <c r="DF787" i="1"/>
  <c r="GW14" i="2"/>
  <c r="T13" i="2"/>
  <c r="S142" i="3" s="1"/>
  <c r="S135" i="3"/>
  <c r="FI12" i="2"/>
  <c r="IA53" i="2"/>
  <c r="Q165" i="3"/>
  <c r="Q166" i="3"/>
  <c r="T48" i="2"/>
  <c r="DO422" i="1"/>
  <c r="DV145" i="2"/>
  <c r="EH12" i="2"/>
  <c r="GV9" i="2" s="1"/>
  <c r="ET53" i="2"/>
  <c r="CY238" i="1"/>
  <c r="CW238" i="1" s="1"/>
  <c r="DM330" i="1"/>
  <c r="DP330" i="1" s="1"/>
  <c r="CX145" i="1"/>
  <c r="DR193" i="1"/>
  <c r="I19" i="8"/>
  <c r="CV61" i="1"/>
  <c r="EH18" i="1"/>
  <c r="EG13" i="2"/>
  <c r="HX143" i="2"/>
  <c r="CW101" i="1"/>
  <c r="FE102" i="1" s="1"/>
  <c r="Q34" i="2"/>
  <c r="P136" i="3" s="1"/>
  <c r="EQ158" i="2"/>
  <c r="GE117" i="2"/>
  <c r="EQ154" i="2"/>
  <c r="GE113" i="2"/>
  <c r="EQ150" i="2"/>
  <c r="GE109" i="2"/>
  <c r="EQ146" i="2"/>
  <c r="GE105" i="2"/>
  <c r="EQ142" i="2"/>
  <c r="GE101" i="2"/>
  <c r="EQ138" i="2"/>
  <c r="GE97" i="2"/>
  <c r="EQ159" i="2"/>
  <c r="GE118" i="2"/>
  <c r="EQ155" i="2"/>
  <c r="GE114" i="2"/>
  <c r="EQ151" i="2"/>
  <c r="GE110" i="2"/>
  <c r="EQ147" i="2"/>
  <c r="GE106" i="2"/>
  <c r="EQ143" i="2"/>
  <c r="GE102" i="2"/>
  <c r="EQ139" i="2"/>
  <c r="GE98" i="2"/>
  <c r="S34" i="2"/>
  <c r="R34" i="2"/>
  <c r="Q136" i="3" s="1"/>
  <c r="AA164" i="1"/>
  <c r="EQ156" i="2"/>
  <c r="GE115" i="2"/>
  <c r="EQ152" i="2"/>
  <c r="GE111" i="2"/>
  <c r="EQ148" i="2"/>
  <c r="GE107" i="2"/>
  <c r="EQ144" i="2"/>
  <c r="GE103" i="2"/>
  <c r="EQ140" i="2"/>
  <c r="GE99" i="2"/>
  <c r="EQ157" i="2"/>
  <c r="GE116" i="2"/>
  <c r="EQ153" i="2"/>
  <c r="GE112" i="2"/>
  <c r="EQ149" i="2"/>
  <c r="GE108" i="2"/>
  <c r="EQ145" i="2"/>
  <c r="GE104" i="2"/>
  <c r="EQ141" i="2"/>
  <c r="GE100" i="2"/>
  <c r="EQ137" i="2"/>
  <c r="GE96" i="2"/>
  <c r="GD18" i="2"/>
  <c r="CY147" i="2"/>
  <c r="DR146" i="2"/>
  <c r="FI237" i="1" s="1"/>
  <c r="DZ29" i="2"/>
  <c r="GC29" i="2" s="1"/>
  <c r="DZ31" i="2"/>
  <c r="GC31" i="2" s="1"/>
  <c r="DZ30" i="2"/>
  <c r="GC30" i="2" s="1"/>
  <c r="S53" i="2"/>
  <c r="S79" i="2"/>
  <c r="S80" i="2" s="1"/>
  <c r="S81" i="2" s="1"/>
  <c r="Q81" i="2"/>
  <c r="S70" i="2"/>
  <c r="S71" i="2" s="1"/>
  <c r="DT796" i="1"/>
  <c r="DE796" i="1"/>
  <c r="DT799" i="1"/>
  <c r="DE799" i="1"/>
  <c r="DT798" i="1"/>
  <c r="DE798" i="1"/>
  <c r="DT797" i="1"/>
  <c r="DE797" i="1"/>
  <c r="DT795" i="1"/>
  <c r="DE795" i="1"/>
  <c r="R204" i="3"/>
  <c r="Q204" i="3"/>
  <c r="I30" i="8"/>
  <c r="R93" i="2"/>
  <c r="CR230" i="1"/>
  <c r="DP228" i="1" s="1"/>
  <c r="DR228" i="1" s="1"/>
  <c r="EX610" i="1"/>
  <c r="EW610" i="1"/>
  <c r="EX618" i="1"/>
  <c r="EW618" i="1"/>
  <c r="EX626" i="1"/>
  <c r="EW626" i="1"/>
  <c r="EX613" i="1"/>
  <c r="EW613" i="1"/>
  <c r="EX621" i="1"/>
  <c r="EW621" i="1"/>
  <c r="EX629" i="1"/>
  <c r="EW629" i="1"/>
  <c r="EX616" i="1"/>
  <c r="EW616" i="1"/>
  <c r="EX624" i="1"/>
  <c r="EW624" i="1"/>
  <c r="EX611" i="1"/>
  <c r="EW611" i="1"/>
  <c r="EX619" i="1"/>
  <c r="EW619" i="1"/>
  <c r="EX627" i="1"/>
  <c r="EW627" i="1"/>
  <c r="Z152" i="1"/>
  <c r="EX614" i="1"/>
  <c r="EW614" i="1"/>
  <c r="EX622" i="1"/>
  <c r="EW622" i="1"/>
  <c r="EX609" i="1"/>
  <c r="EW609" i="1"/>
  <c r="EX617" i="1"/>
  <c r="EW617" i="1"/>
  <c r="EX625" i="1"/>
  <c r="EW625" i="1"/>
  <c r="EX612" i="1"/>
  <c r="EW612" i="1"/>
  <c r="EX620" i="1"/>
  <c r="EW620" i="1"/>
  <c r="EX628" i="1"/>
  <c r="EW628" i="1"/>
  <c r="EX615" i="1"/>
  <c r="EW615" i="1"/>
  <c r="EX623" i="1"/>
  <c r="EW623" i="1"/>
  <c r="EX608" i="1"/>
  <c r="EW608" i="1"/>
  <c r="O203" i="3"/>
  <c r="W41" i="9"/>
  <c r="ES780" i="1"/>
  <c r="ES788" i="1"/>
  <c r="ES796" i="1"/>
  <c r="ES781" i="1"/>
  <c r="ES789" i="1"/>
  <c r="ES797" i="1"/>
  <c r="ES786" i="1"/>
  <c r="ES794" i="1"/>
  <c r="ES783" i="1"/>
  <c r="ES791" i="1"/>
  <c r="ES799" i="1"/>
  <c r="S92" i="2"/>
  <c r="X174" i="1"/>
  <c r="Y199" i="1"/>
  <c r="S128" i="3" s="1"/>
  <c r="ES784" i="1"/>
  <c r="ES792" i="1"/>
  <c r="ES779" i="1"/>
  <c r="ES785" i="1"/>
  <c r="ES793" i="1"/>
  <c r="ES782" i="1"/>
  <c r="ES790" i="1"/>
  <c r="ES798" i="1"/>
  <c r="ES787" i="1"/>
  <c r="ES795" i="1"/>
  <c r="V84" i="1"/>
  <c r="V85" i="1" s="1"/>
  <c r="V192" i="1"/>
  <c r="V155" i="1"/>
  <c r="V171" i="1"/>
  <c r="Q97" i="2" s="1"/>
  <c r="R89" i="2"/>
  <c r="I22" i="8"/>
  <c r="BC27" i="5"/>
  <c r="BX232" i="2"/>
  <c r="I24" i="8"/>
  <c r="I20" i="8"/>
  <c r="BB19" i="8"/>
  <c r="BB21" i="8" s="1"/>
  <c r="BB22" i="8" s="1"/>
  <c r="V39" i="2"/>
  <c r="V38" i="2" s="1"/>
  <c r="U27" i="2"/>
  <c r="U29" i="2" s="1"/>
  <c r="T131" i="3" s="1"/>
  <c r="AW28" i="5"/>
  <c r="BD28" i="5"/>
  <c r="I23" i="8"/>
  <c r="I25" i="8"/>
  <c r="I28" i="8"/>
  <c r="AZ30" i="5"/>
  <c r="AX29" i="5"/>
  <c r="X178" i="1"/>
  <c r="X92" i="1"/>
  <c r="W146" i="1"/>
  <c r="BV66" i="7"/>
  <c r="BC66" i="7"/>
  <c r="BV62" i="7"/>
  <c r="BC62" i="7"/>
  <c r="BV58" i="7"/>
  <c r="BC58" i="7"/>
  <c r="BV54" i="7"/>
  <c r="BC54" i="7"/>
  <c r="BV50" i="7"/>
  <c r="BC50" i="7"/>
  <c r="BV67" i="7"/>
  <c r="BC67" i="7"/>
  <c r="BV63" i="7"/>
  <c r="BC63" i="7"/>
  <c r="BV59" i="7"/>
  <c r="BC59" i="7"/>
  <c r="BV55" i="7"/>
  <c r="BC55" i="7"/>
  <c r="BV51" i="7"/>
  <c r="BC51" i="7"/>
  <c r="X146" i="1"/>
  <c r="AC49" i="7"/>
  <c r="AE49" i="7" s="1"/>
  <c r="AF8" i="7"/>
  <c r="AC57" i="7"/>
  <c r="AF16" i="7"/>
  <c r="AC65" i="7"/>
  <c r="AF24" i="7"/>
  <c r="AG24" i="7" s="1"/>
  <c r="AC55" i="7"/>
  <c r="AF14" i="7"/>
  <c r="AC63" i="7"/>
  <c r="AF22" i="7"/>
  <c r="AG22" i="7" s="1"/>
  <c r="AC66" i="7"/>
  <c r="AF25" i="7"/>
  <c r="AG25" i="7" s="1"/>
  <c r="AC58" i="7"/>
  <c r="AF17" i="7"/>
  <c r="AC50" i="7"/>
  <c r="AF9" i="7"/>
  <c r="AC64" i="7"/>
  <c r="AF23" i="7"/>
  <c r="AG23" i="7" s="1"/>
  <c r="AC56" i="7"/>
  <c r="AF15" i="7"/>
  <c r="CW118" i="2"/>
  <c r="BX234" i="2"/>
  <c r="BV68" i="7"/>
  <c r="BC68" i="7"/>
  <c r="BV64" i="7"/>
  <c r="BC64" i="7"/>
  <c r="BV60" i="7"/>
  <c r="BC60" i="7"/>
  <c r="BV56" i="7"/>
  <c r="BC56" i="7"/>
  <c r="BV52" i="7"/>
  <c r="BC52" i="7"/>
  <c r="BV65" i="7"/>
  <c r="BC65" i="7"/>
  <c r="BV61" i="7"/>
  <c r="BC61" i="7"/>
  <c r="BV57" i="7"/>
  <c r="BC57" i="7"/>
  <c r="BV53" i="7"/>
  <c r="BC53" i="7"/>
  <c r="BV49" i="7"/>
  <c r="BC49" i="7"/>
  <c r="AC53" i="7"/>
  <c r="AF12" i="7"/>
  <c r="AC61" i="7"/>
  <c r="AF20" i="7"/>
  <c r="AG20" i="7" s="1"/>
  <c r="AC51" i="7"/>
  <c r="AF10" i="7"/>
  <c r="AC59" i="7"/>
  <c r="AF18" i="7"/>
  <c r="AC67" i="7"/>
  <c r="AF26" i="7"/>
  <c r="AG26" i="7" s="1"/>
  <c r="AC62" i="7"/>
  <c r="AF21" i="7"/>
  <c r="AG21" i="7" s="1"/>
  <c r="AC54" i="7"/>
  <c r="AF13" i="7"/>
  <c r="AC68" i="7"/>
  <c r="AF27" i="7"/>
  <c r="AG27" i="7" s="1"/>
  <c r="AC60" i="7"/>
  <c r="AF19" i="7"/>
  <c r="AG19" i="7" s="1"/>
  <c r="AC52" i="7"/>
  <c r="AF11" i="7"/>
  <c r="CV118" i="2"/>
  <c r="AC40" i="5"/>
  <c r="AB39" i="5"/>
  <c r="I18" i="8"/>
  <c r="BA6" i="8"/>
  <c r="BO6" i="8" s="1"/>
  <c r="AT80" i="12"/>
  <c r="AT144" i="12" s="1"/>
  <c r="AR80" i="12"/>
  <c r="AR144" i="12" s="1"/>
  <c r="AS80" i="12"/>
  <c r="AS144" i="12" s="1"/>
  <c r="AV80" i="12"/>
  <c r="AV144" i="12" s="1"/>
  <c r="AU80" i="12"/>
  <c r="AU144" i="12" s="1"/>
  <c r="DZ68" i="7"/>
  <c r="DY68" i="7"/>
  <c r="DW69" i="7"/>
  <c r="EB49" i="7"/>
  <c r="ET48" i="7"/>
  <c r="DZ28" i="2"/>
  <c r="GC28" i="2" s="1"/>
  <c r="EK10" i="2"/>
  <c r="EP10" i="2" s="1"/>
  <c r="DZ10" i="2"/>
  <c r="GC10" i="2" s="1"/>
  <c r="EI10" i="2"/>
  <c r="FJ10" i="2" s="1"/>
  <c r="EK12" i="2"/>
  <c r="EP12" i="2" s="1"/>
  <c r="AF19" i="8"/>
  <c r="AU19" i="8"/>
  <c r="EI12" i="2"/>
  <c r="FJ12" i="2" s="1"/>
  <c r="BV23" i="8"/>
  <c r="CL22" i="8"/>
  <c r="AE10" i="8"/>
  <c r="AU10" i="8" s="1"/>
  <c r="I21" i="8"/>
  <c r="EK11" i="2"/>
  <c r="EP11" i="2" s="1"/>
  <c r="EI11" i="2"/>
  <c r="FJ11" i="2" s="1"/>
  <c r="DZ9" i="2"/>
  <c r="GC9" i="2" s="1"/>
  <c r="EI9" i="2"/>
  <c r="FJ9" i="2" s="1"/>
  <c r="EK9" i="2"/>
  <c r="EP9" i="2" s="1"/>
  <c r="I44" i="9"/>
  <c r="E45" i="9"/>
  <c r="V12" i="2"/>
  <c r="U14" i="2"/>
  <c r="Y195" i="1"/>
  <c r="X189" i="1"/>
  <c r="R24" i="3" s="1"/>
  <c r="Y175" i="1"/>
  <c r="Y187" i="1"/>
  <c r="Z162" i="1"/>
  <c r="V19" i="2"/>
  <c r="W17" i="2"/>
  <c r="Y188" i="1"/>
  <c r="S27" i="3" s="1"/>
  <c r="Z194" i="1"/>
  <c r="T119" i="3" s="1"/>
  <c r="T183" i="3" s="1"/>
  <c r="AL29" i="5"/>
  <c r="Z36" i="5"/>
  <c r="T28" i="2"/>
  <c r="DA37" i="2"/>
  <c r="AB161" i="1"/>
  <c r="AA186" i="1"/>
  <c r="U20" i="3" s="1"/>
  <c r="T53" i="2"/>
  <c r="X170" i="1"/>
  <c r="X181" i="1"/>
  <c r="X198" i="1"/>
  <c r="AH20" i="8"/>
  <c r="AA159" i="1"/>
  <c r="Z184" i="1"/>
  <c r="T18" i="3" s="1"/>
  <c r="W85" i="1"/>
  <c r="V52" i="2"/>
  <c r="U54" i="2"/>
  <c r="T107" i="3" s="1"/>
  <c r="T187" i="3" s="1"/>
  <c r="K18" i="5"/>
  <c r="T62" i="2"/>
  <c r="T70" i="2" s="1"/>
  <c r="T71" i="2" s="1"/>
  <c r="U60" i="2"/>
  <c r="M44" i="9"/>
  <c r="Q43" i="9"/>
  <c r="X37" i="2"/>
  <c r="W39" i="2"/>
  <c r="AA197" i="1"/>
  <c r="U162" i="3" s="1"/>
  <c r="Z190" i="1"/>
  <c r="T25" i="3" s="1"/>
  <c r="T163" i="3" s="1"/>
  <c r="Y174" i="1"/>
  <c r="Y179" i="1"/>
  <c r="S130" i="3" s="1"/>
  <c r="Z199" i="1"/>
  <c r="T128" i="3" s="1"/>
  <c r="X84" i="1"/>
  <c r="X85" i="1" s="1"/>
  <c r="X192" i="1"/>
  <c r="X155" i="1"/>
  <c r="X171" i="1"/>
  <c r="S97" i="2" s="1"/>
  <c r="AA157" i="1"/>
  <c r="AA153" i="1"/>
  <c r="U132" i="3" s="1"/>
  <c r="Z149" i="1"/>
  <c r="Z176" i="1"/>
  <c r="Y183" i="1"/>
  <c r="AB193" i="1"/>
  <c r="V159" i="3" s="1"/>
  <c r="AA191" i="1"/>
  <c r="AA172" i="1"/>
  <c r="Y167" i="1"/>
  <c r="Z154" i="1"/>
  <c r="U49" i="2"/>
  <c r="V47" i="2"/>
  <c r="AU26" i="8"/>
  <c r="AF27" i="8"/>
  <c r="Z109" i="1"/>
  <c r="AA151" i="1"/>
  <c r="Y180" i="1"/>
  <c r="S141" i="3" s="1"/>
  <c r="Y145" i="1"/>
  <c r="Z156" i="1"/>
  <c r="S42" i="9"/>
  <c r="T77" i="2" l="1"/>
  <c r="T79" i="2" s="1"/>
  <c r="T80" i="2" s="1"/>
  <c r="T81" i="2" s="1"/>
  <c r="S99" i="3"/>
  <c r="S184" i="3" s="1"/>
  <c r="O117" i="3"/>
  <c r="V117" i="3"/>
  <c r="V125" i="3" s="1"/>
  <c r="Z117" i="3"/>
  <c r="Z125" i="3" s="1"/>
  <c r="AJ117" i="3"/>
  <c r="AJ125" i="3" s="1"/>
  <c r="T117" i="3"/>
  <c r="T125" i="3" s="1"/>
  <c r="AE117" i="3"/>
  <c r="AE125" i="3" s="1"/>
  <c r="W117" i="3"/>
  <c r="W125" i="3" s="1"/>
  <c r="R117" i="3"/>
  <c r="R125" i="3" s="1"/>
  <c r="AF117" i="3"/>
  <c r="AF125" i="3" s="1"/>
  <c r="P117" i="3"/>
  <c r="P125" i="3" s="1"/>
  <c r="AK117" i="3"/>
  <c r="AK125" i="3" s="1"/>
  <c r="AC117" i="3"/>
  <c r="AC125" i="3" s="1"/>
  <c r="U117" i="3"/>
  <c r="U125" i="3" s="1"/>
  <c r="AD117" i="3"/>
  <c r="AD125" i="3" s="1"/>
  <c r="AB117" i="3"/>
  <c r="AB125" i="3" s="1"/>
  <c r="AI117" i="3"/>
  <c r="AI125" i="3" s="1"/>
  <c r="AA117" i="3"/>
  <c r="AA125" i="3" s="1"/>
  <c r="S117" i="3"/>
  <c r="S125" i="3" s="1"/>
  <c r="AL117" i="3"/>
  <c r="AL125" i="3" s="1"/>
  <c r="AH117" i="3"/>
  <c r="AH125" i="3" s="1"/>
  <c r="X117" i="3"/>
  <c r="X125" i="3" s="1"/>
  <c r="AG117" i="3"/>
  <c r="AG125" i="3" s="1"/>
  <c r="Y117" i="3"/>
  <c r="Y125" i="3" s="1"/>
  <c r="Q117" i="3"/>
  <c r="Q125" i="3" s="1"/>
  <c r="U156" i="3"/>
  <c r="U26" i="3"/>
  <c r="U160" i="3" s="1"/>
  <c r="DP249" i="1"/>
  <c r="DR249" i="1" s="1"/>
  <c r="EG249" i="1" s="1"/>
  <c r="CU251" i="1"/>
  <c r="DP250" i="1"/>
  <c r="DR250" i="1" s="1"/>
  <c r="CU252" i="1"/>
  <c r="U68" i="2"/>
  <c r="T129" i="3"/>
  <c r="Z14" i="3"/>
  <c r="Y149" i="3"/>
  <c r="Y120" i="3"/>
  <c r="S98" i="2"/>
  <c r="S101" i="2" s="1"/>
  <c r="R136" i="3"/>
  <c r="FI13" i="2"/>
  <c r="IA54" i="2"/>
  <c r="U13" i="2"/>
  <c r="T142" i="3" s="1"/>
  <c r="T135" i="3"/>
  <c r="DF788" i="1"/>
  <c r="GW15" i="2"/>
  <c r="S165" i="3"/>
  <c r="S166" i="3"/>
  <c r="EL9" i="2"/>
  <c r="EU50" i="2"/>
  <c r="EL11" i="2"/>
  <c r="EQ11" i="2" s="1"/>
  <c r="EU52" i="2"/>
  <c r="EL12" i="2"/>
  <c r="EQ12" i="2" s="1"/>
  <c r="EU53" i="2"/>
  <c r="EL10" i="2"/>
  <c r="EQ10" i="2" s="1"/>
  <c r="EU51" i="2"/>
  <c r="EH13" i="2"/>
  <c r="GV10" i="2" s="1"/>
  <c r="ET54" i="2"/>
  <c r="DO423" i="1"/>
  <c r="DV146" i="2"/>
  <c r="CY239" i="1"/>
  <c r="CW239" i="1" s="1"/>
  <c r="DM331" i="1"/>
  <c r="DP331" i="1" s="1"/>
  <c r="EK13" i="2"/>
  <c r="EP13" i="2" s="1"/>
  <c r="CX146" i="1"/>
  <c r="DR194" i="1"/>
  <c r="EI13" i="2"/>
  <c r="FJ13" i="2" s="1"/>
  <c r="EG14" i="2"/>
  <c r="CV62" i="1"/>
  <c r="EH19" i="1"/>
  <c r="HX144" i="2"/>
  <c r="CW102" i="1"/>
  <c r="FE103" i="1" s="1"/>
  <c r="S31" i="2"/>
  <c r="S33" i="2"/>
  <c r="R137" i="3" s="1"/>
  <c r="U69" i="2"/>
  <c r="Q98" i="2"/>
  <c r="Q101" i="2" s="1"/>
  <c r="Q33" i="2"/>
  <c r="P137" i="3" s="1"/>
  <c r="Q31" i="2"/>
  <c r="Q32" i="2" s="1"/>
  <c r="T34" i="2"/>
  <c r="AB164" i="1"/>
  <c r="R98" i="2"/>
  <c r="R101" i="2" s="1"/>
  <c r="R33" i="2"/>
  <c r="Q137" i="3" s="1"/>
  <c r="R31" i="2"/>
  <c r="GD19" i="2"/>
  <c r="CY148" i="2"/>
  <c r="DR147" i="2"/>
  <c r="FI238" i="1" s="1"/>
  <c r="AE50" i="7"/>
  <c r="CU250" i="1"/>
  <c r="CU242" i="1"/>
  <c r="CU234" i="1"/>
  <c r="CU247" i="1"/>
  <c r="CU239" i="1"/>
  <c r="CU231" i="1"/>
  <c r="CU244" i="1"/>
  <c r="CU236" i="1"/>
  <c r="CU249" i="1"/>
  <c r="CU241" i="1"/>
  <c r="CU233" i="1"/>
  <c r="T92" i="2"/>
  <c r="T90" i="2" s="1"/>
  <c r="AA152" i="1"/>
  <c r="CU246" i="1"/>
  <c r="CU238" i="1"/>
  <c r="CU230" i="1"/>
  <c r="CU243" i="1"/>
  <c r="CU235" i="1"/>
  <c r="CU248" i="1"/>
  <c r="CU240" i="1"/>
  <c r="CU232" i="1"/>
  <c r="CU245" i="1"/>
  <c r="CU237" i="1"/>
  <c r="R203" i="3"/>
  <c r="Q203" i="3"/>
  <c r="S93" i="2"/>
  <c r="S90" i="2"/>
  <c r="S87" i="2" s="1"/>
  <c r="S88" i="2" s="1"/>
  <c r="V27" i="2"/>
  <c r="W27" i="2" s="1"/>
  <c r="BO21" i="8"/>
  <c r="AE52" i="7"/>
  <c r="AE60" i="7"/>
  <c r="AF60" i="7" s="1"/>
  <c r="AE68" i="7"/>
  <c r="AF68" i="7" s="1"/>
  <c r="AE67" i="7"/>
  <c r="AF67" i="7" s="1"/>
  <c r="AE59" i="7"/>
  <c r="AE51" i="7"/>
  <c r="BD29" i="5"/>
  <c r="AW29" i="5"/>
  <c r="AX30" i="5"/>
  <c r="AZ31" i="5"/>
  <c r="Y146" i="1"/>
  <c r="BX235" i="2"/>
  <c r="CW119" i="2"/>
  <c r="AE56" i="7"/>
  <c r="AE64" i="7"/>
  <c r="AF64" i="7" s="1"/>
  <c r="AE58" i="7"/>
  <c r="AE66" i="7"/>
  <c r="AF66" i="7" s="1"/>
  <c r="AE63" i="7"/>
  <c r="AF63" i="7" s="1"/>
  <c r="AE55" i="7"/>
  <c r="AE65" i="7"/>
  <c r="AF65" i="7" s="1"/>
  <c r="AE57" i="7"/>
  <c r="Y178" i="1"/>
  <c r="Y92" i="1"/>
  <c r="CV119" i="2"/>
  <c r="AE54" i="7"/>
  <c r="AE62" i="7"/>
  <c r="AF62" i="7" s="1"/>
  <c r="AE61" i="7"/>
  <c r="AF61" i="7" s="1"/>
  <c r="AE53" i="7"/>
  <c r="AC41" i="5"/>
  <c r="AB40" i="5"/>
  <c r="DZ69" i="7"/>
  <c r="DY69" i="7"/>
  <c r="DW70" i="7"/>
  <c r="EB50" i="7"/>
  <c r="ET49" i="7"/>
  <c r="U48" i="2"/>
  <c r="W38" i="2"/>
  <c r="BV24" i="8"/>
  <c r="CL23" i="8"/>
  <c r="EQ9" i="2"/>
  <c r="AL30" i="5"/>
  <c r="Z37" i="5"/>
  <c r="Z188" i="1"/>
  <c r="T27" i="3" s="1"/>
  <c r="AA194" i="1"/>
  <c r="U119" i="3" s="1"/>
  <c r="U183" i="3" s="1"/>
  <c r="Z175" i="1"/>
  <c r="AA162" i="1"/>
  <c r="Z187" i="1"/>
  <c r="Y189" i="1"/>
  <c r="S24" i="3" s="1"/>
  <c r="Z195" i="1"/>
  <c r="W12" i="2"/>
  <c r="V14" i="2"/>
  <c r="X17" i="2"/>
  <c r="W19" i="2"/>
  <c r="U28" i="2"/>
  <c r="BO22" i="8"/>
  <c r="BB23" i="8"/>
  <c r="I45" i="9"/>
  <c r="E46" i="9"/>
  <c r="DA38" i="2"/>
  <c r="AV20" i="8"/>
  <c r="AH21" i="8"/>
  <c r="Y84" i="1"/>
  <c r="Y85" i="1" s="1"/>
  <c r="Y192" i="1"/>
  <c r="Y155" i="1"/>
  <c r="Y171" i="1"/>
  <c r="T97" i="2" s="1"/>
  <c r="AB157" i="1"/>
  <c r="M45" i="9"/>
  <c r="Q44" i="9"/>
  <c r="AB159" i="1"/>
  <c r="AA184" i="1"/>
  <c r="U18" i="3" s="1"/>
  <c r="AG79" i="6"/>
  <c r="AG138" i="6" s="1"/>
  <c r="AF80" i="12"/>
  <c r="AF144" i="12" s="1"/>
  <c r="AB80" i="8" a="1"/>
  <c r="Q79" i="6"/>
  <c r="Q138" i="6" s="1"/>
  <c r="P80" i="12"/>
  <c r="P144" i="12" s="1"/>
  <c r="AH79" i="6"/>
  <c r="AH138" i="6" s="1"/>
  <c r="AG80" i="12"/>
  <c r="AG144" i="12" s="1"/>
  <c r="R79" i="6"/>
  <c r="R138" i="6" s="1"/>
  <c r="Q80" i="12"/>
  <c r="Q144" i="12" s="1"/>
  <c r="AI79" i="6"/>
  <c r="AI138" i="6" s="1"/>
  <c r="AH80" i="12"/>
  <c r="AH144" i="12" s="1"/>
  <c r="S79" i="6"/>
  <c r="S138" i="6" s="1"/>
  <c r="R80" i="12"/>
  <c r="R144" i="12" s="1"/>
  <c r="AN79" i="6"/>
  <c r="AN138" i="6" s="1"/>
  <c r="AM80" i="12"/>
  <c r="AM144" i="12" s="1"/>
  <c r="X79" i="6"/>
  <c r="X138" i="6" s="1"/>
  <c r="W80" i="12"/>
  <c r="W144" i="12" s="1"/>
  <c r="V54" i="2"/>
  <c r="U107" i="3" s="1"/>
  <c r="U187" i="3" s="1"/>
  <c r="W52" i="2"/>
  <c r="AK79" i="6"/>
  <c r="AK138" i="6" s="1"/>
  <c r="AJ80" i="12"/>
  <c r="AJ144" i="12" s="1"/>
  <c r="U79" i="6"/>
  <c r="U138" i="6" s="1"/>
  <c r="T80" i="12"/>
  <c r="T144" i="12" s="1"/>
  <c r="V79" i="6"/>
  <c r="V138" i="6" s="1"/>
  <c r="U80" i="12"/>
  <c r="U144" i="12" s="1"/>
  <c r="W79" i="6"/>
  <c r="W138" i="6" s="1"/>
  <c r="V80" i="12"/>
  <c r="V144" i="12" s="1"/>
  <c r="AB79" i="6"/>
  <c r="AB138" i="6" s="1"/>
  <c r="AA80" i="12"/>
  <c r="AA144" i="12" s="1"/>
  <c r="AA154" i="1"/>
  <c r="Z167" i="1"/>
  <c r="Z178" i="1" s="1"/>
  <c r="V60" i="2"/>
  <c r="U62" i="2"/>
  <c r="U70" i="2" s="1"/>
  <c r="U71" i="2" s="1"/>
  <c r="AC161" i="1"/>
  <c r="AB186" i="1"/>
  <c r="V20" i="3" s="1"/>
  <c r="AC79" i="6"/>
  <c r="AC138" i="6" s="1"/>
  <c r="AB80" i="12"/>
  <c r="AB144" i="12" s="1"/>
  <c r="AD79" i="6"/>
  <c r="AD138" i="6" s="1"/>
  <c r="AC80" i="12"/>
  <c r="AC144" i="12" s="1"/>
  <c r="AE79" i="6"/>
  <c r="AE138" i="6" s="1"/>
  <c r="AD80" i="12"/>
  <c r="AD144" i="12" s="1"/>
  <c r="N80" i="12"/>
  <c r="N144" i="12" s="1"/>
  <c r="O79" i="6"/>
  <c r="O138" i="6" s="1"/>
  <c r="AJ79" i="6"/>
  <c r="AJ138" i="6" s="1"/>
  <c r="AI80" i="12"/>
  <c r="AI144" i="12" s="1"/>
  <c r="T79" i="6"/>
  <c r="T138" i="6" s="1"/>
  <c r="S80" i="12"/>
  <c r="S144" i="12" s="1"/>
  <c r="AA109" i="1"/>
  <c r="AB151" i="1"/>
  <c r="AA176" i="1"/>
  <c r="Z183" i="1"/>
  <c r="AA149" i="1"/>
  <c r="AB153" i="1"/>
  <c r="V132" i="3" s="1"/>
  <c r="AA199" i="1"/>
  <c r="U128" i="3" s="1"/>
  <c r="Z179" i="1"/>
  <c r="T130" i="3" s="1"/>
  <c r="Z174" i="1"/>
  <c r="AB197" i="1"/>
  <c r="V162" i="3" s="1"/>
  <c r="AA190" i="1"/>
  <c r="U25" i="3" s="1"/>
  <c r="U163" i="3" s="1"/>
  <c r="AL79" i="6"/>
  <c r="AL138" i="6" s="1"/>
  <c r="AK80" i="12"/>
  <c r="AK144" i="12" s="1"/>
  <c r="AM79" i="6"/>
  <c r="AM138" i="6" s="1"/>
  <c r="AL80" i="12"/>
  <c r="AL144" i="12" s="1"/>
  <c r="AR79" i="6"/>
  <c r="AR138" i="6" s="1"/>
  <c r="AQ80" i="12"/>
  <c r="AQ144" i="12" s="1"/>
  <c r="AU27" i="8"/>
  <c r="AF28" i="8"/>
  <c r="V49" i="2"/>
  <c r="W47" i="2"/>
  <c r="Y181" i="1"/>
  <c r="Y170" i="1"/>
  <c r="Y198" i="1"/>
  <c r="AB191" i="1"/>
  <c r="AC193" i="1"/>
  <c r="W159" i="3" s="1"/>
  <c r="AB172" i="1"/>
  <c r="Z145" i="1"/>
  <c r="Z180" i="1"/>
  <c r="T141" i="3" s="1"/>
  <c r="Y37" i="2"/>
  <c r="X39" i="2"/>
  <c r="K19" i="5"/>
  <c r="U53" i="2"/>
  <c r="AO79" i="6"/>
  <c r="AO138" i="6" s="1"/>
  <c r="AN80" i="12"/>
  <c r="AN144" i="12" s="1"/>
  <c r="Y79" i="6"/>
  <c r="Y138" i="6" s="1"/>
  <c r="X80" i="12"/>
  <c r="X144" i="12" s="1"/>
  <c r="AP79" i="6"/>
  <c r="AP138" i="6" s="1"/>
  <c r="AO80" i="12"/>
  <c r="AO144" i="12" s="1"/>
  <c r="Z79" i="6"/>
  <c r="Z138" i="6" s="1"/>
  <c r="Y80" i="12"/>
  <c r="Y144" i="12" s="1"/>
  <c r="AQ79" i="6"/>
  <c r="AQ138" i="6" s="1"/>
  <c r="AP80" i="12"/>
  <c r="AP144" i="12" s="1"/>
  <c r="AA79" i="6"/>
  <c r="AA138" i="6" s="1"/>
  <c r="Z80" i="12"/>
  <c r="Z144" i="12" s="1"/>
  <c r="AF79" i="6"/>
  <c r="AF138" i="6" s="1"/>
  <c r="AE80" i="12"/>
  <c r="AE144" i="12" s="1"/>
  <c r="P79" i="6"/>
  <c r="P138" i="6" s="1"/>
  <c r="O80" i="12"/>
  <c r="O144" i="12" s="1"/>
  <c r="Y82" i="8"/>
  <c r="AH95" i="6"/>
  <c r="AH154" i="6" s="1"/>
  <c r="AG97" i="12"/>
  <c r="AG161" i="12" s="1"/>
  <c r="AG95" i="6"/>
  <c r="AG154" i="6" s="1"/>
  <c r="AF97" i="12"/>
  <c r="AF161" i="12" s="1"/>
  <c r="AF95" i="6"/>
  <c r="AF154" i="6" s="1"/>
  <c r="AE97" i="12"/>
  <c r="AE161" i="12" s="1"/>
  <c r="AE95" i="6"/>
  <c r="AE154" i="6" s="1"/>
  <c r="AD97" i="12"/>
  <c r="AD161" i="12" s="1"/>
  <c r="AD95" i="6"/>
  <c r="AD154" i="6" s="1"/>
  <c r="AC97" i="12"/>
  <c r="AC161" i="12" s="1"/>
  <c r="AC95" i="6"/>
  <c r="AC154" i="6" s="1"/>
  <c r="AB97" i="12"/>
  <c r="AB161" i="12" s="1"/>
  <c r="AB95" i="6"/>
  <c r="AB154" i="6" s="1"/>
  <c r="AA97" i="12"/>
  <c r="AA161" i="12" s="1"/>
  <c r="AA95" i="6"/>
  <c r="AA154" i="6" s="1"/>
  <c r="Z97" i="12"/>
  <c r="Z161" i="12" s="1"/>
  <c r="Z95" i="6"/>
  <c r="Z154" i="6" s="1"/>
  <c r="Y97" i="12"/>
  <c r="Y161" i="12" s="1"/>
  <c r="Y95" i="6"/>
  <c r="Y154" i="6" s="1"/>
  <c r="X97" i="12"/>
  <c r="X161" i="12" s="1"/>
  <c r="X95" i="6"/>
  <c r="X154" i="6" s="1"/>
  <c r="W97" i="12"/>
  <c r="W161" i="12" s="1"/>
  <c r="W95" i="6"/>
  <c r="W154" i="6" s="1"/>
  <c r="V97" i="12"/>
  <c r="V161" i="12" s="1"/>
  <c r="V95" i="6"/>
  <c r="V154" i="6" s="1"/>
  <c r="U97" i="12"/>
  <c r="U161" i="12" s="1"/>
  <c r="U95" i="6"/>
  <c r="U154" i="6" s="1"/>
  <c r="T97" i="12"/>
  <c r="T161" i="12" s="1"/>
  <c r="T95" i="6"/>
  <c r="T154" i="6" s="1"/>
  <c r="S97" i="12"/>
  <c r="S161" i="12" s="1"/>
  <c r="S95" i="6"/>
  <c r="S154" i="6" s="1"/>
  <c r="R97" i="12"/>
  <c r="R161" i="12" s="1"/>
  <c r="R95" i="6"/>
  <c r="R154" i="6" s="1"/>
  <c r="Q97" i="12"/>
  <c r="Q161" i="12" s="1"/>
  <c r="Q95" i="6"/>
  <c r="Q154" i="6" s="1"/>
  <c r="P97" i="12"/>
  <c r="P161" i="12" s="1"/>
  <c r="P95" i="6"/>
  <c r="P154" i="6" s="1"/>
  <c r="O97" i="12"/>
  <c r="O161" i="12" s="1"/>
  <c r="O95" i="6"/>
  <c r="O154" i="6" s="1"/>
  <c r="N97" i="12"/>
  <c r="N161" i="12" s="1"/>
  <c r="S43" i="9"/>
  <c r="W42" i="9"/>
  <c r="AA156" i="1"/>
  <c r="V156" i="3" l="1"/>
  <c r="V26" i="3"/>
  <c r="V160" i="3" s="1"/>
  <c r="EY101" i="1"/>
  <c r="FG235" i="1"/>
  <c r="FG246" i="1"/>
  <c r="EY112" i="1"/>
  <c r="CV248" i="1"/>
  <c r="FG236" i="1"/>
  <c r="EY102" i="1"/>
  <c r="EY97" i="1"/>
  <c r="FG231" i="1"/>
  <c r="FG242" i="1"/>
  <c r="EY108" i="1"/>
  <c r="CV244" i="1"/>
  <c r="FG232" i="1"/>
  <c r="EY98" i="1"/>
  <c r="FG249" i="1"/>
  <c r="EY115" i="1"/>
  <c r="U77" i="2"/>
  <c r="T99" i="3"/>
  <c r="T184" i="3" s="1"/>
  <c r="EY109" i="1"/>
  <c r="FG243" i="1"/>
  <c r="CV245" i="1"/>
  <c r="FG233" i="1"/>
  <c r="EY99" i="1"/>
  <c r="FG244" i="1"/>
  <c r="EY110" i="1"/>
  <c r="CV246" i="1"/>
  <c r="EY105" i="1"/>
  <c r="FG239" i="1"/>
  <c r="FG229" i="1"/>
  <c r="EY95" i="1"/>
  <c r="FG240" i="1"/>
  <c r="EY106" i="1"/>
  <c r="FG230" i="1"/>
  <c r="EY96" i="1"/>
  <c r="FG241" i="1"/>
  <c r="EY107" i="1"/>
  <c r="V68" i="2"/>
  <c r="V69" i="2" s="1"/>
  <c r="U129" i="3"/>
  <c r="EY113" i="1"/>
  <c r="FG247" i="1"/>
  <c r="CV249" i="1"/>
  <c r="FG237" i="1"/>
  <c r="EY103" i="1"/>
  <c r="FG248" i="1"/>
  <c r="EY114" i="1"/>
  <c r="FG250" i="1"/>
  <c r="EY116" i="1"/>
  <c r="FG238" i="1"/>
  <c r="EY104" i="1"/>
  <c r="EY94" i="1"/>
  <c r="FG228" i="1"/>
  <c r="FG234" i="1"/>
  <c r="EY100" i="1"/>
  <c r="FG245" i="1"/>
  <c r="EY111" i="1"/>
  <c r="CV247" i="1"/>
  <c r="DR251" i="1"/>
  <c r="EG250" i="1"/>
  <c r="AA14" i="3"/>
  <c r="Z149" i="3"/>
  <c r="Z120" i="3"/>
  <c r="T98" i="2"/>
  <c r="T101" i="2" s="1"/>
  <c r="S136" i="3"/>
  <c r="T165" i="3"/>
  <c r="T166" i="3"/>
  <c r="V13" i="2"/>
  <c r="U142" i="3" s="1"/>
  <c r="U135" i="3"/>
  <c r="DF789" i="1"/>
  <c r="GW16" i="2"/>
  <c r="FI14" i="2"/>
  <c r="IA55" i="2"/>
  <c r="DO424" i="1"/>
  <c r="DV147" i="2"/>
  <c r="EL13" i="2"/>
  <c r="EQ13" i="2" s="1"/>
  <c r="EU54" i="2"/>
  <c r="EH14" i="2"/>
  <c r="GV11" i="2" s="1"/>
  <c r="ET55" i="2"/>
  <c r="CY240" i="1"/>
  <c r="CW240" i="1" s="1"/>
  <c r="DM332" i="1"/>
  <c r="DP332" i="1" s="1"/>
  <c r="CX147" i="1"/>
  <c r="DR195" i="1"/>
  <c r="EG15" i="2"/>
  <c r="EI14" i="2"/>
  <c r="FJ14" i="2" s="1"/>
  <c r="EK14" i="2"/>
  <c r="EP14" i="2" s="1"/>
  <c r="U79" i="2"/>
  <c r="U80" i="2" s="1"/>
  <c r="U81" i="2" s="1"/>
  <c r="CV63" i="1"/>
  <c r="EH20" i="1"/>
  <c r="T33" i="2"/>
  <c r="S137" i="3" s="1"/>
  <c r="HX145" i="2"/>
  <c r="CW103" i="1"/>
  <c r="FE104" i="1" s="1"/>
  <c r="T31" i="2"/>
  <c r="U34" i="2"/>
  <c r="AC164" i="1"/>
  <c r="R32" i="2"/>
  <c r="S32" i="2" s="1"/>
  <c r="GD20" i="2"/>
  <c r="CY149" i="2"/>
  <c r="DR148" i="2"/>
  <c r="FI239" i="1" s="1"/>
  <c r="T93" i="2"/>
  <c r="P203" i="3"/>
  <c r="S203" i="3"/>
  <c r="S204" i="3"/>
  <c r="T87" i="2"/>
  <c r="T88" i="2" s="1"/>
  <c r="AB152" i="1"/>
  <c r="U92" i="2"/>
  <c r="U90" i="2" s="1"/>
  <c r="U87" i="2" s="1"/>
  <c r="S89" i="2"/>
  <c r="V29" i="2"/>
  <c r="U131" i="3" s="1"/>
  <c r="AZ32" i="5"/>
  <c r="AX31" i="5"/>
  <c r="AW30" i="5"/>
  <c r="BD30" i="5"/>
  <c r="Z146" i="1"/>
  <c r="Z92" i="1"/>
  <c r="CV120" i="2"/>
  <c r="CW120" i="2"/>
  <c r="BX236" i="2"/>
  <c r="AC42" i="5"/>
  <c r="AB41" i="5"/>
  <c r="DZ70" i="7"/>
  <c r="DY70" i="7"/>
  <c r="DW71" i="7"/>
  <c r="EB51" i="7"/>
  <c r="ET50" i="7"/>
  <c r="V48" i="2"/>
  <c r="X38" i="2"/>
  <c r="BV25" i="8"/>
  <c r="CL24" i="8"/>
  <c r="X19" i="2"/>
  <c r="Y17" i="2"/>
  <c r="X12" i="2"/>
  <c r="W14" i="2"/>
  <c r="AA175" i="1"/>
  <c r="AA187" i="1"/>
  <c r="AB162" i="1"/>
  <c r="AA188" i="1"/>
  <c r="U27" i="3" s="1"/>
  <c r="AB194" i="1"/>
  <c r="V119" i="3" s="1"/>
  <c r="V183" i="3" s="1"/>
  <c r="AL31" i="5"/>
  <c r="Z38" i="5"/>
  <c r="I46" i="9"/>
  <c r="E47" i="9"/>
  <c r="BO23" i="8"/>
  <c r="BB24" i="8"/>
  <c r="AA195" i="1"/>
  <c r="Z189" i="1"/>
  <c r="T24" i="3" s="1"/>
  <c r="X27" i="2"/>
  <c r="W29" i="2"/>
  <c r="V131" i="3" s="1"/>
  <c r="DA39" i="2"/>
  <c r="BW234" i="2"/>
  <c r="AA180" i="1"/>
  <c r="U141" i="3" s="1"/>
  <c r="AA145" i="1"/>
  <c r="V53" i="2"/>
  <c r="AF29" i="8"/>
  <c r="AU28" i="8"/>
  <c r="AB190" i="1"/>
  <c r="V25" i="3" s="1"/>
  <c r="V163" i="3" s="1"/>
  <c r="AC197" i="1"/>
  <c r="W162" i="3" s="1"/>
  <c r="W60" i="2"/>
  <c r="V62" i="2"/>
  <c r="V70" i="2" s="1"/>
  <c r="V71" i="2" s="1"/>
  <c r="Z170" i="1"/>
  <c r="Z181" i="1"/>
  <c r="Z198" i="1"/>
  <c r="M46" i="9"/>
  <c r="Q45" i="9"/>
  <c r="Y39" i="2"/>
  <c r="Z37" i="2"/>
  <c r="AC159" i="1"/>
  <c r="AB184" i="1"/>
  <c r="V18" i="3" s="1"/>
  <c r="K20" i="5"/>
  <c r="Z84" i="1"/>
  <c r="Z192" i="1"/>
  <c r="Z155" i="1"/>
  <c r="Z171" i="1"/>
  <c r="U97" i="2" s="1"/>
  <c r="W49" i="2"/>
  <c r="X47" i="2"/>
  <c r="AB176" i="1"/>
  <c r="AA183" i="1"/>
  <c r="AB109" i="1"/>
  <c r="AC151" i="1"/>
  <c r="AB154" i="1"/>
  <c r="AA167" i="1"/>
  <c r="AC157" i="1"/>
  <c r="AH22" i="8"/>
  <c r="AV21" i="8"/>
  <c r="AA174" i="1"/>
  <c r="AB199" i="1"/>
  <c r="V128" i="3" s="1"/>
  <c r="AA179" i="1"/>
  <c r="U130" i="3" s="1"/>
  <c r="AD193" i="1"/>
  <c r="X159" i="3" s="1"/>
  <c r="AC191" i="1"/>
  <c r="AC172" i="1"/>
  <c r="AC153" i="1"/>
  <c r="W132" i="3" s="1"/>
  <c r="AB149" i="1"/>
  <c r="AD161" i="1"/>
  <c r="AC186" i="1"/>
  <c r="W20" i="3" s="1"/>
  <c r="X52" i="2"/>
  <c r="W54" i="2"/>
  <c r="V107" i="3" s="1"/>
  <c r="V187" i="3" s="1"/>
  <c r="AB82" i="8"/>
  <c r="AB86" i="8"/>
  <c r="AB90" i="8"/>
  <c r="AB94" i="8"/>
  <c r="AB91" i="8"/>
  <c r="AB80" i="8"/>
  <c r="AB84" i="8"/>
  <c r="AB88" i="8"/>
  <c r="AB92" i="8"/>
  <c r="AB96" i="8"/>
  <c r="AB83" i="8"/>
  <c r="AB81" i="8"/>
  <c r="AB85" i="8"/>
  <c r="AB89" i="8"/>
  <c r="AB93" i="8"/>
  <c r="AB87" i="8"/>
  <c r="AB95" i="8"/>
  <c r="Y83" i="8"/>
  <c r="AB156" i="1"/>
  <c r="S44" i="9"/>
  <c r="W43" i="9"/>
  <c r="W68" i="2" l="1"/>
  <c r="W69" i="2" s="1"/>
  <c r="V129" i="3"/>
  <c r="W156" i="3"/>
  <c r="W26" i="3"/>
  <c r="W160" i="3" s="1"/>
  <c r="V77" i="2"/>
  <c r="V79" i="2" s="1"/>
  <c r="V80" i="2" s="1"/>
  <c r="U99" i="3"/>
  <c r="U184" i="3" s="1"/>
  <c r="DR252" i="1"/>
  <c r="EG251" i="1"/>
  <c r="AB14" i="3"/>
  <c r="AA149" i="3"/>
  <c r="AA120" i="3"/>
  <c r="U98" i="2"/>
  <c r="U101" i="2" s="1"/>
  <c r="T136" i="3"/>
  <c r="FI15" i="2"/>
  <c r="IA56" i="2"/>
  <c r="W13" i="2"/>
  <c r="V142" i="3" s="1"/>
  <c r="V135" i="3"/>
  <c r="DF790" i="1"/>
  <c r="GW17" i="2"/>
  <c r="U165" i="3"/>
  <c r="U166" i="3"/>
  <c r="DO425" i="1"/>
  <c r="DV148" i="2"/>
  <c r="EH15" i="2"/>
  <c r="GV12" i="2" s="1"/>
  <c r="ET56" i="2"/>
  <c r="EL14" i="2"/>
  <c r="EQ14" i="2" s="1"/>
  <c r="EU55" i="2"/>
  <c r="CY241" i="1"/>
  <c r="CW241" i="1" s="1"/>
  <c r="DM333" i="1"/>
  <c r="DP333" i="1" s="1"/>
  <c r="EK15" i="2"/>
  <c r="EP15" i="2" s="1"/>
  <c r="EI15" i="2"/>
  <c r="FJ15" i="2" s="1"/>
  <c r="CX148" i="1"/>
  <c r="DR196" i="1"/>
  <c r="EG16" i="2"/>
  <c r="EK16" i="2" s="1"/>
  <c r="EP16" i="2" s="1"/>
  <c r="U31" i="2"/>
  <c r="CV64" i="1"/>
  <c r="EH21" i="1"/>
  <c r="U33" i="2"/>
  <c r="T137" i="3" s="1"/>
  <c r="T32" i="2"/>
  <c r="U32" i="2" s="1"/>
  <c r="HX146" i="2"/>
  <c r="CW104" i="1"/>
  <c r="FE105" i="1" s="1"/>
  <c r="V34" i="2"/>
  <c r="V33" i="2" s="1"/>
  <c r="U137" i="3" s="1"/>
  <c r="AD164" i="1"/>
  <c r="GD21" i="2"/>
  <c r="CY150" i="2"/>
  <c r="DR149" i="2"/>
  <c r="FI240" i="1" s="1"/>
  <c r="V81" i="2"/>
  <c r="T203" i="3"/>
  <c r="T204" i="3"/>
  <c r="AC152" i="1"/>
  <c r="V92" i="2"/>
  <c r="V90" i="2" s="1"/>
  <c r="V87" i="2" s="1"/>
  <c r="U88" i="2"/>
  <c r="T89" i="2"/>
  <c r="V28" i="2"/>
  <c r="BD31" i="5"/>
  <c r="AW31" i="5"/>
  <c r="AZ33" i="5"/>
  <c r="AX32" i="5"/>
  <c r="AA92" i="1"/>
  <c r="BX237" i="2"/>
  <c r="CV121" i="2"/>
  <c r="AA146" i="1"/>
  <c r="CW121" i="2"/>
  <c r="AC43" i="5"/>
  <c r="AB42" i="5"/>
  <c r="DW72" i="7"/>
  <c r="DZ71" i="7"/>
  <c r="DY71" i="7"/>
  <c r="EB52" i="7"/>
  <c r="ET51" i="7"/>
  <c r="W48" i="2"/>
  <c r="Y38" i="2"/>
  <c r="BV26" i="8"/>
  <c r="CL25" i="8"/>
  <c r="W28" i="2"/>
  <c r="AB195" i="1"/>
  <c r="AA189" i="1"/>
  <c r="U24" i="3" s="1"/>
  <c r="BO24" i="8"/>
  <c r="BB25" i="8"/>
  <c r="I47" i="9"/>
  <c r="E48" i="9"/>
  <c r="AL32" i="5"/>
  <c r="Z39" i="5"/>
  <c r="AC194" i="1"/>
  <c r="W119" i="3" s="1"/>
  <c r="W183" i="3" s="1"/>
  <c r="AB188" i="1"/>
  <c r="V27" i="3" s="1"/>
  <c r="AB175" i="1"/>
  <c r="AC162" i="1"/>
  <c r="AB187" i="1"/>
  <c r="X14" i="2"/>
  <c r="Y12" i="2"/>
  <c r="Z17" i="2"/>
  <c r="Y19" i="2"/>
  <c r="Y27" i="2"/>
  <c r="X29" i="2"/>
  <c r="W131" i="3" s="1"/>
  <c r="DA40" i="2"/>
  <c r="BF235" i="2"/>
  <c r="BW235" i="2" s="1"/>
  <c r="AE161" i="1"/>
  <c r="AD186" i="1"/>
  <c r="X20" i="3" s="1"/>
  <c r="AD191" i="1"/>
  <c r="AE193" i="1"/>
  <c r="Y159" i="3" s="1"/>
  <c r="AD172" i="1"/>
  <c r="AA170" i="1"/>
  <c r="AA181" i="1"/>
  <c r="AA198" i="1"/>
  <c r="AC109" i="1"/>
  <c r="AD151" i="1"/>
  <c r="AA178" i="1"/>
  <c r="Y47" i="2"/>
  <c r="X49" i="2"/>
  <c r="K21" i="5"/>
  <c r="X60" i="2"/>
  <c r="W62" i="2"/>
  <c r="W70" i="2" s="1"/>
  <c r="W71" i="2" s="1"/>
  <c r="AB145" i="1"/>
  <c r="AB180" i="1"/>
  <c r="V141" i="3" s="1"/>
  <c r="AC199" i="1"/>
  <c r="W128" i="3" s="1"/>
  <c r="AB179" i="1"/>
  <c r="V130" i="3" s="1"/>
  <c r="AB174" i="1"/>
  <c r="AB167" i="1"/>
  <c r="AB178" i="1" s="1"/>
  <c r="AC154" i="1"/>
  <c r="Z39" i="2"/>
  <c r="AA37" i="2"/>
  <c r="AD197" i="1"/>
  <c r="X162" i="3" s="1"/>
  <c r="AC190" i="1"/>
  <c r="W25" i="3" s="1"/>
  <c r="W163" i="3" s="1"/>
  <c r="AA84" i="1"/>
  <c r="AA85" i="1" s="1"/>
  <c r="AA192" i="1"/>
  <c r="AA155" i="1"/>
  <c r="AA171" i="1"/>
  <c r="V97" i="2" s="1"/>
  <c r="W53" i="2"/>
  <c r="AC149" i="1"/>
  <c r="AD153" i="1"/>
  <c r="X132" i="3" s="1"/>
  <c r="AH23" i="8"/>
  <c r="AV22" i="8"/>
  <c r="AD157" i="1"/>
  <c r="M47" i="9"/>
  <c r="Q46" i="9"/>
  <c r="Y52" i="2"/>
  <c r="X54" i="2"/>
  <c r="W107" i="3" s="1"/>
  <c r="W187" i="3" s="1"/>
  <c r="AB183" i="1"/>
  <c r="AC176" i="1"/>
  <c r="Z85" i="1"/>
  <c r="AD159" i="1"/>
  <c r="AC184" i="1"/>
  <c r="W18" i="3" s="1"/>
  <c r="AF30" i="8"/>
  <c r="AU29" i="8"/>
  <c r="Y84" i="8"/>
  <c r="S45" i="9"/>
  <c r="W44" i="9"/>
  <c r="AC156" i="1"/>
  <c r="X156" i="3" l="1"/>
  <c r="X26" i="3"/>
  <c r="X160" i="3" s="1"/>
  <c r="DR253" i="1"/>
  <c r="EG252" i="1"/>
  <c r="X68" i="2"/>
  <c r="X69" i="2" s="1"/>
  <c r="W129" i="3"/>
  <c r="W77" i="2"/>
  <c r="W79" i="2" s="1"/>
  <c r="W80" i="2" s="1"/>
  <c r="W81" i="2" s="1"/>
  <c r="V99" i="3"/>
  <c r="V184" i="3" s="1"/>
  <c r="AC14" i="3"/>
  <c r="AB149" i="3"/>
  <c r="AB120" i="3"/>
  <c r="V165" i="3"/>
  <c r="V166" i="3"/>
  <c r="X13" i="2"/>
  <c r="W142" i="3" s="1"/>
  <c r="W135" i="3"/>
  <c r="DF791" i="1"/>
  <c r="GW18" i="2"/>
  <c r="V98" i="2"/>
  <c r="V101" i="2" s="1"/>
  <c r="U136" i="3"/>
  <c r="FI16" i="2"/>
  <c r="IA57" i="2"/>
  <c r="EL15" i="2"/>
  <c r="EQ15" i="2" s="1"/>
  <c r="EU56" i="2"/>
  <c r="DO426" i="1"/>
  <c r="DV149" i="2"/>
  <c r="EH16" i="2"/>
  <c r="GV13" i="2" s="1"/>
  <c r="ET57" i="2"/>
  <c r="CY242" i="1"/>
  <c r="CW242" i="1" s="1"/>
  <c r="DM334" i="1"/>
  <c r="DP334" i="1" s="1"/>
  <c r="EI16" i="2"/>
  <c r="FJ16" i="2" s="1"/>
  <c r="EG17" i="2"/>
  <c r="CX149" i="1"/>
  <c r="DR197" i="1"/>
  <c r="CV65" i="1"/>
  <c r="EH22" i="1"/>
  <c r="HX147" i="2"/>
  <c r="CW105" i="1"/>
  <c r="FE106" i="1" s="1"/>
  <c r="V31" i="2"/>
  <c r="V32" i="2" s="1"/>
  <c r="W34" i="2"/>
  <c r="AE164" i="1"/>
  <c r="GD22" i="2"/>
  <c r="CZ150" i="2"/>
  <c r="CY151" i="2"/>
  <c r="DR150" i="2"/>
  <c r="FI241" i="1" s="1"/>
  <c r="U203" i="3"/>
  <c r="U204" i="3"/>
  <c r="AD152" i="1"/>
  <c r="W92" i="2"/>
  <c r="W90" i="2" s="1"/>
  <c r="W87" i="2" s="1"/>
  <c r="V88" i="2"/>
  <c r="U89" i="2"/>
  <c r="AZ34" i="5"/>
  <c r="AX33" i="5"/>
  <c r="BD32" i="5"/>
  <c r="AW32" i="5"/>
  <c r="CW122" i="2"/>
  <c r="AB146" i="1"/>
  <c r="CV122" i="2"/>
  <c r="BX238" i="2"/>
  <c r="AB92" i="1"/>
  <c r="AC44" i="5"/>
  <c r="AB43" i="5"/>
  <c r="DZ72" i="7"/>
  <c r="DY72" i="7"/>
  <c r="DW73" i="7"/>
  <c r="EB53" i="7"/>
  <c r="ET53" i="7" s="1"/>
  <c r="ET52" i="7"/>
  <c r="Z38" i="2"/>
  <c r="X48" i="2"/>
  <c r="BV27" i="8"/>
  <c r="CL26" i="8"/>
  <c r="Y29" i="2"/>
  <c r="X131" i="3" s="1"/>
  <c r="Z27" i="2"/>
  <c r="Y14" i="2"/>
  <c r="Z12" i="2"/>
  <c r="AD194" i="1"/>
  <c r="X119" i="3" s="1"/>
  <c r="X183" i="3" s="1"/>
  <c r="AC188" i="1"/>
  <c r="W27" i="3" s="1"/>
  <c r="AC195" i="1"/>
  <c r="AB189" i="1"/>
  <c r="V24" i="3" s="1"/>
  <c r="X28" i="2"/>
  <c r="Z19" i="2"/>
  <c r="AA17" i="2"/>
  <c r="AC175" i="1"/>
  <c r="AC187" i="1"/>
  <c r="AD162" i="1"/>
  <c r="AL33" i="5"/>
  <c r="Z40" i="5"/>
  <c r="I48" i="9"/>
  <c r="E49" i="9"/>
  <c r="BO25" i="8"/>
  <c r="BB26" i="8"/>
  <c r="DA41" i="2"/>
  <c r="BF236" i="2"/>
  <c r="BW236" i="2" s="1"/>
  <c r="AD176" i="1"/>
  <c r="AC183" i="1"/>
  <c r="X53" i="2"/>
  <c r="M48" i="9"/>
  <c r="Q47" i="9"/>
  <c r="AA39" i="2"/>
  <c r="AB37" i="2"/>
  <c r="Y49" i="2"/>
  <c r="Z47" i="2"/>
  <c r="AF31" i="8"/>
  <c r="AU30" i="8"/>
  <c r="Y54" i="2"/>
  <c r="X107" i="3" s="1"/>
  <c r="X187" i="3" s="1"/>
  <c r="Z52" i="2"/>
  <c r="AV23" i="8"/>
  <c r="AH24" i="8"/>
  <c r="AC167" i="1"/>
  <c r="AD154" i="1"/>
  <c r="AC174" i="1"/>
  <c r="AC179" i="1"/>
  <c r="W130" i="3" s="1"/>
  <c r="AD199" i="1"/>
  <c r="X128" i="3" s="1"/>
  <c r="AE159" i="1"/>
  <c r="AD184" i="1"/>
  <c r="X18" i="3" s="1"/>
  <c r="AE157" i="1"/>
  <c r="AE153" i="1"/>
  <c r="Y132" i="3" s="1"/>
  <c r="AD149" i="1"/>
  <c r="AD190" i="1"/>
  <c r="X25" i="3" s="1"/>
  <c r="X163" i="3" s="1"/>
  <c r="AE197" i="1"/>
  <c r="Y162" i="3" s="1"/>
  <c r="AB170" i="1"/>
  <c r="AB181" i="1"/>
  <c r="AB198" i="1"/>
  <c r="AB84" i="1"/>
  <c r="AB85" i="1" s="1"/>
  <c r="AB192" i="1"/>
  <c r="AB155" i="1"/>
  <c r="AB171" i="1"/>
  <c r="W97" i="2" s="1"/>
  <c r="X62" i="2"/>
  <c r="X70" i="2" s="1"/>
  <c r="X71" i="2" s="1"/>
  <c r="Y60" i="2"/>
  <c r="K22" i="5"/>
  <c r="AD109" i="1"/>
  <c r="AE151" i="1"/>
  <c r="AF193" i="1"/>
  <c r="Z159" i="3" s="1"/>
  <c r="AE191" i="1"/>
  <c r="AE172" i="1"/>
  <c r="AC180" i="1"/>
  <c r="W141" i="3" s="1"/>
  <c r="AC145" i="1"/>
  <c r="AF161" i="1"/>
  <c r="AE186" i="1"/>
  <c r="Y20" i="3" s="1"/>
  <c r="Y85" i="8"/>
  <c r="AD156" i="1"/>
  <c r="S46" i="9"/>
  <c r="W45" i="9"/>
  <c r="Y68" i="2" l="1"/>
  <c r="Y69" i="2" s="1"/>
  <c r="X129" i="3"/>
  <c r="DR254" i="1"/>
  <c r="EG253" i="1"/>
  <c r="Y156" i="3"/>
  <c r="Y26" i="3"/>
  <c r="Y160" i="3" s="1"/>
  <c r="X77" i="2"/>
  <c r="X79" i="2" s="1"/>
  <c r="X80" i="2" s="1"/>
  <c r="X81" i="2" s="1"/>
  <c r="W99" i="3"/>
  <c r="W184" i="3" s="1"/>
  <c r="AD14" i="3"/>
  <c r="AC149" i="3"/>
  <c r="AC120" i="3"/>
  <c r="Y13" i="2"/>
  <c r="X142" i="3" s="1"/>
  <c r="X135" i="3"/>
  <c r="W98" i="2"/>
  <c r="W101" i="2" s="1"/>
  <c r="V136" i="3"/>
  <c r="FI17" i="2"/>
  <c r="IA58" i="2"/>
  <c r="W165" i="3"/>
  <c r="W166" i="3"/>
  <c r="DF792" i="1"/>
  <c r="GW19" i="2"/>
  <c r="EH17" i="2"/>
  <c r="GV14" i="2" s="1"/>
  <c r="ET58" i="2"/>
  <c r="DO427" i="1"/>
  <c r="DV150" i="2"/>
  <c r="EL16" i="2"/>
  <c r="EQ16" i="2" s="1"/>
  <c r="EU57" i="2"/>
  <c r="EK17" i="2"/>
  <c r="EP17" i="2" s="1"/>
  <c r="W33" i="2"/>
  <c r="V137" i="3" s="1"/>
  <c r="CY243" i="1"/>
  <c r="CW243" i="1" s="1"/>
  <c r="DM335" i="1"/>
  <c r="EI17" i="2"/>
  <c r="FJ17" i="2" s="1"/>
  <c r="EG18" i="2"/>
  <c r="CX150" i="1"/>
  <c r="DR198" i="1"/>
  <c r="CV66" i="1"/>
  <c r="EH23" i="1"/>
  <c r="W31" i="2"/>
  <c r="W32" i="2" s="1"/>
  <c r="HX148" i="2"/>
  <c r="CW106" i="1"/>
  <c r="FE107" i="1" s="1"/>
  <c r="AF164" i="1"/>
  <c r="X34" i="2"/>
  <c r="GD23" i="2"/>
  <c r="CZ151" i="2"/>
  <c r="CY152" i="2"/>
  <c r="DR151" i="2"/>
  <c r="FI242" i="1" s="1"/>
  <c r="V203" i="3"/>
  <c r="V204" i="3"/>
  <c r="X92" i="2"/>
  <c r="X90" i="2" s="1"/>
  <c r="X87" i="2" s="1"/>
  <c r="AE152" i="1"/>
  <c r="V89" i="2"/>
  <c r="W88" i="2"/>
  <c r="AW33" i="5"/>
  <c r="BD33" i="5"/>
  <c r="AX34" i="5"/>
  <c r="AZ35" i="5"/>
  <c r="CW123" i="2"/>
  <c r="AC92" i="1"/>
  <c r="BX239" i="2"/>
  <c r="CV123" i="2"/>
  <c r="AC45" i="5"/>
  <c r="AB44" i="5"/>
  <c r="DZ73" i="7"/>
  <c r="DY73" i="7"/>
  <c r="DW74" i="7"/>
  <c r="Y48" i="2"/>
  <c r="AA38" i="2"/>
  <c r="BV28" i="8"/>
  <c r="CL27" i="8"/>
  <c r="BO26" i="8"/>
  <c r="BB27" i="8"/>
  <c r="I49" i="9"/>
  <c r="E50" i="9"/>
  <c r="AL34" i="5"/>
  <c r="Z41" i="5"/>
  <c r="AB17" i="2"/>
  <c r="AA19" i="2"/>
  <c r="X33" i="2"/>
  <c r="W137" i="3" s="1"/>
  <c r="AC189" i="1"/>
  <c r="W24" i="3" s="1"/>
  <c r="AD195" i="1"/>
  <c r="AD188" i="1"/>
  <c r="X27" i="3" s="1"/>
  <c r="AE194" i="1"/>
  <c r="Y119" i="3" s="1"/>
  <c r="Y183" i="3" s="1"/>
  <c r="Y28" i="2"/>
  <c r="AD175" i="1"/>
  <c r="AE162" i="1"/>
  <c r="AD187" i="1"/>
  <c r="AA12" i="2"/>
  <c r="Z14" i="2"/>
  <c r="Z29" i="2"/>
  <c r="AA27" i="2"/>
  <c r="EK18" i="2"/>
  <c r="EP18" i="2" s="1"/>
  <c r="DA42" i="2"/>
  <c r="BF237" i="2"/>
  <c r="BW237" i="2" s="1"/>
  <c r="K23" i="5"/>
  <c r="AF197" i="1"/>
  <c r="Z162" i="3" s="1"/>
  <c r="AE190" i="1"/>
  <c r="Y25" i="3" s="1"/>
  <c r="Y163" i="3" s="1"/>
  <c r="AE149" i="1"/>
  <c r="AF153" i="1"/>
  <c r="Z132" i="3" s="1"/>
  <c r="AF157" i="1"/>
  <c r="AF159" i="1"/>
  <c r="AE184" i="1"/>
  <c r="Y18" i="3" s="1"/>
  <c r="AE154" i="1"/>
  <c r="AD167" i="1"/>
  <c r="AH25" i="8"/>
  <c r="AV24" i="8"/>
  <c r="AF32" i="8"/>
  <c r="AU31" i="8"/>
  <c r="AF191" i="1"/>
  <c r="AG193" i="1"/>
  <c r="AA159" i="3" s="1"/>
  <c r="AF172" i="1"/>
  <c r="AE109" i="1"/>
  <c r="AF151" i="1"/>
  <c r="Z60" i="2"/>
  <c r="Y62" i="2"/>
  <c r="Y70" i="2" s="1"/>
  <c r="Y71" i="2" s="1"/>
  <c r="AE199" i="1"/>
  <c r="Y128" i="3" s="1"/>
  <c r="AD179" i="1"/>
  <c r="X130" i="3" s="1"/>
  <c r="AD174" i="1"/>
  <c r="AC181" i="1"/>
  <c r="AC170" i="1"/>
  <c r="AC198" i="1"/>
  <c r="Z54" i="2"/>
  <c r="Y107" i="3" s="1"/>
  <c r="Y187" i="3" s="1"/>
  <c r="AA52" i="2"/>
  <c r="AC37" i="2"/>
  <c r="AB39" i="2"/>
  <c r="AC178" i="1"/>
  <c r="AG161" i="1"/>
  <c r="AF186" i="1"/>
  <c r="Z20" i="3" s="1"/>
  <c r="Y53" i="2"/>
  <c r="M49" i="9"/>
  <c r="Q48" i="9"/>
  <c r="AC84" i="1"/>
  <c r="AC85" i="1" s="1"/>
  <c r="AC192" i="1"/>
  <c r="AC155" i="1"/>
  <c r="AC171" i="1"/>
  <c r="X97" i="2" s="1"/>
  <c r="AD145" i="1"/>
  <c r="AD180" i="1"/>
  <c r="X141" i="3" s="1"/>
  <c r="Z49" i="2"/>
  <c r="AA47" i="2"/>
  <c r="AE176" i="1"/>
  <c r="AD183" i="1"/>
  <c r="Y86" i="8"/>
  <c r="S47" i="9"/>
  <c r="W46" i="9"/>
  <c r="AE156" i="1"/>
  <c r="Z156" i="3" l="1"/>
  <c r="Z26" i="3"/>
  <c r="Z160" i="3" s="1"/>
  <c r="Y77" i="2"/>
  <c r="Y79" i="2" s="1"/>
  <c r="Y80" i="2" s="1"/>
  <c r="Y81" i="2" s="1"/>
  <c r="X99" i="3"/>
  <c r="X184" i="3" s="1"/>
  <c r="DR255" i="1"/>
  <c r="EG254" i="1"/>
  <c r="Z68" i="2"/>
  <c r="Z69" i="2" s="1"/>
  <c r="Y129" i="3"/>
  <c r="AE14" i="3"/>
  <c r="AD149" i="3"/>
  <c r="AD120" i="3"/>
  <c r="Z28" i="2"/>
  <c r="Y131" i="3"/>
  <c r="FI18" i="2"/>
  <c r="IA59" i="2"/>
  <c r="Z13" i="2"/>
  <c r="Y142" i="3" s="1"/>
  <c r="Y135" i="3"/>
  <c r="DF793" i="1"/>
  <c r="GW20" i="2"/>
  <c r="X98" i="2"/>
  <c r="X101" i="2" s="1"/>
  <c r="W136" i="3"/>
  <c r="X165" i="3"/>
  <c r="X166" i="3"/>
  <c r="EH18" i="2"/>
  <c r="GV15" i="2" s="1"/>
  <c r="ET59" i="2"/>
  <c r="DO428" i="1"/>
  <c r="DV151" i="2"/>
  <c r="EL17" i="2"/>
  <c r="EQ17" i="2" s="1"/>
  <c r="EU58" i="2"/>
  <c r="DQ335" i="1"/>
  <c r="DP335" i="1"/>
  <c r="CY244" i="1"/>
  <c r="CW244" i="1" s="1"/>
  <c r="DM336" i="1"/>
  <c r="DQ336" i="1" s="1"/>
  <c r="EI18" i="2"/>
  <c r="FJ18" i="2" s="1"/>
  <c r="EG19" i="2"/>
  <c r="CX151" i="1"/>
  <c r="DR199" i="1"/>
  <c r="CV67" i="1"/>
  <c r="EH24" i="1"/>
  <c r="HX149" i="2"/>
  <c r="CW107" i="1"/>
  <c r="FE108" i="1" s="1"/>
  <c r="X31" i="2"/>
  <c r="X32" i="2" s="1"/>
  <c r="AG164" i="1"/>
  <c r="Y34" i="2"/>
  <c r="GD24" i="2"/>
  <c r="CZ152" i="2"/>
  <c r="CY153" i="2"/>
  <c r="DR152" i="2"/>
  <c r="FI243" i="1" s="1"/>
  <c r="W203" i="3"/>
  <c r="W204" i="3"/>
  <c r="Y92" i="2"/>
  <c r="Y90" i="2" s="1"/>
  <c r="Y87" i="2" s="1"/>
  <c r="AF152" i="1"/>
  <c r="X88" i="2"/>
  <c r="W89" i="2"/>
  <c r="AZ36" i="5"/>
  <c r="AX35" i="5"/>
  <c r="AC146" i="1"/>
  <c r="AW34" i="5"/>
  <c r="BD34" i="5"/>
  <c r="CV124" i="2"/>
  <c r="BX240" i="2"/>
  <c r="CW124" i="2"/>
  <c r="AD178" i="1"/>
  <c r="AD92" i="1"/>
  <c r="AD146" i="1"/>
  <c r="AC46" i="5"/>
  <c r="AB45" i="5"/>
  <c r="DW75" i="7"/>
  <c r="DZ74" i="7"/>
  <c r="DY74" i="7"/>
  <c r="Z48" i="2"/>
  <c r="AB38" i="2"/>
  <c r="CL28" i="8"/>
  <c r="BV29" i="8"/>
  <c r="AA14" i="2"/>
  <c r="AB12" i="2"/>
  <c r="AE175" i="1"/>
  <c r="AE187" i="1"/>
  <c r="AF162" i="1"/>
  <c r="AE195" i="1"/>
  <c r="AD189" i="1"/>
  <c r="X24" i="3" s="1"/>
  <c r="AL35" i="5"/>
  <c r="Z42" i="5"/>
  <c r="I50" i="9"/>
  <c r="E51" i="9"/>
  <c r="BO27" i="8"/>
  <c r="BB28" i="8"/>
  <c r="AA29" i="2"/>
  <c r="AB27" i="2"/>
  <c r="AF194" i="1"/>
  <c r="Z119" i="3" s="1"/>
  <c r="Z183" i="3" s="1"/>
  <c r="AE188" i="1"/>
  <c r="Y27" i="3" s="1"/>
  <c r="AB19" i="2"/>
  <c r="AC17" i="2"/>
  <c r="DA49" i="2"/>
  <c r="DA43" i="2"/>
  <c r="BF238" i="2"/>
  <c r="BW238" i="2" s="1"/>
  <c r="AA49" i="2"/>
  <c r="AB47" i="2"/>
  <c r="AD84" i="1"/>
  <c r="AD85" i="1" s="1"/>
  <c r="AD192" i="1"/>
  <c r="AD155" i="1"/>
  <c r="AD171" i="1"/>
  <c r="Y97" i="2" s="1"/>
  <c r="AH161" i="1"/>
  <c r="AG186" i="1"/>
  <c r="AA20" i="3" s="1"/>
  <c r="AE174" i="1"/>
  <c r="AF199" i="1"/>
  <c r="Z128" i="3" s="1"/>
  <c r="AE179" i="1"/>
  <c r="Y130" i="3" s="1"/>
  <c r="Z62" i="2"/>
  <c r="Z70" i="2" s="1"/>
  <c r="Z71" i="2" s="1"/>
  <c r="AA60" i="2"/>
  <c r="AD170" i="1"/>
  <c r="AD181" i="1"/>
  <c r="AD198" i="1"/>
  <c r="AG157" i="1"/>
  <c r="K24" i="5"/>
  <c r="M50" i="9"/>
  <c r="Q49" i="9"/>
  <c r="AF109" i="1"/>
  <c r="AG151" i="1"/>
  <c r="AF33" i="8"/>
  <c r="AU32" i="8"/>
  <c r="AF154" i="1"/>
  <c r="AE167" i="1"/>
  <c r="AG159" i="1"/>
  <c r="AF184" i="1"/>
  <c r="Z18" i="3" s="1"/>
  <c r="AF190" i="1"/>
  <c r="Z25" i="3" s="1"/>
  <c r="Z163" i="3" s="1"/>
  <c r="AG197" i="1"/>
  <c r="AA162" i="3" s="1"/>
  <c r="AE183" i="1"/>
  <c r="AF176" i="1"/>
  <c r="AD37" i="2"/>
  <c r="AC39" i="2"/>
  <c r="AB52" i="2"/>
  <c r="AA54" i="2"/>
  <c r="Z107" i="3" s="1"/>
  <c r="Z187" i="3" s="1"/>
  <c r="AH193" i="1"/>
  <c r="AB159" i="3" s="1"/>
  <c r="AG191" i="1"/>
  <c r="AG172" i="1"/>
  <c r="AG153" i="1"/>
  <c r="AA132" i="3" s="1"/>
  <c r="AF149" i="1"/>
  <c r="Z53" i="2"/>
  <c r="AH26" i="8"/>
  <c r="AV25" i="8"/>
  <c r="AE180" i="1"/>
  <c r="Y141" i="3" s="1"/>
  <c r="AE145" i="1"/>
  <c r="Y87" i="8"/>
  <c r="AF156" i="1"/>
  <c r="S48" i="9"/>
  <c r="W47" i="9"/>
  <c r="Z77" i="2" l="1"/>
  <c r="Z79" i="2" s="1"/>
  <c r="Z80" i="2" s="1"/>
  <c r="Z81" i="2" s="1"/>
  <c r="Y99" i="3"/>
  <c r="Y184" i="3" s="1"/>
  <c r="AA68" i="2"/>
  <c r="AA69" i="2" s="1"/>
  <c r="Z129" i="3"/>
  <c r="AA156" i="3"/>
  <c r="AA26" i="3"/>
  <c r="AA160" i="3" s="1"/>
  <c r="DR256" i="1"/>
  <c r="EG255" i="1"/>
  <c r="AF14" i="3"/>
  <c r="AE149" i="3"/>
  <c r="AE120" i="3"/>
  <c r="AA28" i="2"/>
  <c r="Z131" i="3"/>
  <c r="DF794" i="1"/>
  <c r="GW21" i="2"/>
  <c r="Y98" i="2"/>
  <c r="Y101" i="2" s="1"/>
  <c r="X136" i="3"/>
  <c r="AA13" i="2"/>
  <c r="Z142" i="3" s="1"/>
  <c r="Z135" i="3"/>
  <c r="FI19" i="2"/>
  <c r="IA60" i="2"/>
  <c r="Y165" i="3"/>
  <c r="Y166" i="3"/>
  <c r="EH19" i="2"/>
  <c r="GV16" i="2" s="1"/>
  <c r="ET60" i="2"/>
  <c r="DO429" i="1"/>
  <c r="DV152" i="2"/>
  <c r="EL18" i="2"/>
  <c r="EQ18" i="2" s="1"/>
  <c r="EU59" i="2"/>
  <c r="CY245" i="1"/>
  <c r="CW245" i="1" s="1"/>
  <c r="DM337" i="1"/>
  <c r="DQ337" i="1" s="1"/>
  <c r="EG20" i="2"/>
  <c r="EI19" i="2"/>
  <c r="FJ19" i="2" s="1"/>
  <c r="EK19" i="2"/>
  <c r="EP19" i="2" s="1"/>
  <c r="Y31" i="2"/>
  <c r="Y32" i="2" s="1"/>
  <c r="Y33" i="2"/>
  <c r="X137" i="3" s="1"/>
  <c r="CX152" i="1"/>
  <c r="DR200" i="1"/>
  <c r="CV68" i="1"/>
  <c r="EH25" i="1"/>
  <c r="HX150" i="2"/>
  <c r="CW108" i="1"/>
  <c r="FE109" i="1" s="1"/>
  <c r="Z34" i="2"/>
  <c r="Y136" i="3" s="1"/>
  <c r="AH164" i="1"/>
  <c r="GD25" i="2"/>
  <c r="CZ153" i="2"/>
  <c r="DR153" i="2"/>
  <c r="FI244" i="1" s="1"/>
  <c r="CY154" i="2"/>
  <c r="Y203" i="3"/>
  <c r="Y204" i="3"/>
  <c r="X203" i="3"/>
  <c r="X204" i="3"/>
  <c r="AG152" i="1"/>
  <c r="AE178" i="1"/>
  <c r="Z92" i="2"/>
  <c r="Z90" i="2" s="1"/>
  <c r="Z87" i="2" s="1"/>
  <c r="Y88" i="2"/>
  <c r="X89" i="2"/>
  <c r="BD35" i="5"/>
  <c r="AW35" i="5"/>
  <c r="AZ37" i="5"/>
  <c r="AX36" i="5"/>
  <c r="AE92" i="1"/>
  <c r="AE146" i="1"/>
  <c r="CV125" i="2"/>
  <c r="CW125" i="2"/>
  <c r="BX241" i="2"/>
  <c r="AC47" i="5"/>
  <c r="AB46" i="5"/>
  <c r="DZ75" i="7"/>
  <c r="DY75" i="7"/>
  <c r="DW76" i="7"/>
  <c r="AA48" i="2"/>
  <c r="AC38" i="2"/>
  <c r="BV30" i="8"/>
  <c r="CL29" i="8"/>
  <c r="AD17" i="2"/>
  <c r="AC19" i="2"/>
  <c r="AF188" i="1"/>
  <c r="Z27" i="3" s="1"/>
  <c r="AG194" i="1"/>
  <c r="AA119" i="3" s="1"/>
  <c r="AA183" i="3" s="1"/>
  <c r="AC27" i="2"/>
  <c r="AB29" i="2"/>
  <c r="BB29" i="8"/>
  <c r="BO28" i="8"/>
  <c r="I51" i="9"/>
  <c r="E52" i="9"/>
  <c r="AL36" i="5"/>
  <c r="Z43" i="5"/>
  <c r="AF195" i="1"/>
  <c r="AE189" i="1"/>
  <c r="Y24" i="3" s="1"/>
  <c r="AC12" i="2"/>
  <c r="AB14" i="2"/>
  <c r="AF175" i="1"/>
  <c r="AG162" i="1"/>
  <c r="AF187" i="1"/>
  <c r="EG21" i="2"/>
  <c r="BF239" i="2"/>
  <c r="BW239" i="2" s="1"/>
  <c r="AF145" i="1"/>
  <c r="AF180" i="1"/>
  <c r="Z141" i="3" s="1"/>
  <c r="AC52" i="2"/>
  <c r="AB54" i="2"/>
  <c r="AA107" i="3" s="1"/>
  <c r="AA187" i="3" s="1"/>
  <c r="AG109" i="1"/>
  <c r="AH151" i="1"/>
  <c r="K25" i="5"/>
  <c r="AE84" i="1"/>
  <c r="AE85" i="1" s="1"/>
  <c r="AE171" i="1"/>
  <c r="Z97" i="2" s="1"/>
  <c r="AE192" i="1"/>
  <c r="AE155" i="1"/>
  <c r="AG149" i="1"/>
  <c r="AH153" i="1"/>
  <c r="AB132" i="3" s="1"/>
  <c r="AH159" i="1"/>
  <c r="AG184" i="1"/>
  <c r="AA18" i="3" s="1"/>
  <c r="AF34" i="8"/>
  <c r="AU33" i="8"/>
  <c r="AH157" i="1"/>
  <c r="AI161" i="1"/>
  <c r="AH186" i="1"/>
  <c r="AB20" i="3" s="1"/>
  <c r="AH191" i="1"/>
  <c r="AI193" i="1"/>
  <c r="AC159" i="3" s="1"/>
  <c r="AH144" i="1"/>
  <c r="AH172" i="1"/>
  <c r="AD39" i="2"/>
  <c r="AE37" i="2"/>
  <c r="AG176" i="1"/>
  <c r="AF183" i="1"/>
  <c r="AE170" i="1"/>
  <c r="AE181" i="1"/>
  <c r="AE198" i="1"/>
  <c r="AB60" i="2"/>
  <c r="AA62" i="2"/>
  <c r="AA70" i="2" s="1"/>
  <c r="AA71" i="2" s="1"/>
  <c r="AG199" i="1"/>
  <c r="AA128" i="3" s="1"/>
  <c r="AF179" i="1"/>
  <c r="Z130" i="3" s="1"/>
  <c r="AF174" i="1"/>
  <c r="AV26" i="8"/>
  <c r="AH27" i="8"/>
  <c r="AA53" i="2"/>
  <c r="AH197" i="1"/>
  <c r="AB162" i="3" s="1"/>
  <c r="AG190" i="1"/>
  <c r="AA25" i="3" s="1"/>
  <c r="AA163" i="3" s="1"/>
  <c r="AF167" i="1"/>
  <c r="AG154" i="1"/>
  <c r="M51" i="9"/>
  <c r="Q50" i="9"/>
  <c r="AC47" i="2"/>
  <c r="AB49" i="2"/>
  <c r="Y88" i="8"/>
  <c r="S49" i="9"/>
  <c r="W48" i="9"/>
  <c r="AG156" i="1"/>
  <c r="AA77" i="2" l="1"/>
  <c r="AA79" i="2" s="1"/>
  <c r="AA80" i="2" s="1"/>
  <c r="AA81" i="2" s="1"/>
  <c r="Z99" i="3"/>
  <c r="Z184" i="3" s="1"/>
  <c r="DR257" i="1"/>
  <c r="EG256" i="1"/>
  <c r="AB156" i="3"/>
  <c r="AB26" i="3"/>
  <c r="AB160" i="3" s="1"/>
  <c r="AB68" i="2"/>
  <c r="AB69" i="2" s="1"/>
  <c r="AA129" i="3"/>
  <c r="AG14" i="3"/>
  <c r="AF149" i="3"/>
  <c r="AF120" i="3"/>
  <c r="DF795" i="1"/>
  <c r="GW22" i="2"/>
  <c r="FI21" i="2"/>
  <c r="IA62" i="2"/>
  <c r="AB13" i="2"/>
  <c r="AA142" i="3" s="1"/>
  <c r="AA135" i="3"/>
  <c r="AB28" i="2"/>
  <c r="AA131" i="3"/>
  <c r="FI20" i="2"/>
  <c r="IA61" i="2"/>
  <c r="Z165" i="3"/>
  <c r="Z166" i="3"/>
  <c r="EH21" i="2"/>
  <c r="GV18" i="2" s="1"/>
  <c r="ET62" i="2"/>
  <c r="DO430" i="1"/>
  <c r="DV153" i="2"/>
  <c r="EL19" i="2"/>
  <c r="EQ19" i="2" s="1"/>
  <c r="EU60" i="2"/>
  <c r="EH20" i="2"/>
  <c r="GV17" i="2" s="1"/>
  <c r="ET61" i="2"/>
  <c r="CY246" i="1"/>
  <c r="CW246" i="1" s="1"/>
  <c r="DM338" i="1"/>
  <c r="DQ338" i="1" s="1"/>
  <c r="EI20" i="2"/>
  <c r="FJ20" i="2" s="1"/>
  <c r="EK20" i="2"/>
  <c r="EP20" i="2" s="1"/>
  <c r="CX153" i="1"/>
  <c r="DR201" i="1"/>
  <c r="CV69" i="1"/>
  <c r="EH26" i="1"/>
  <c r="HX151" i="2"/>
  <c r="CW109" i="1"/>
  <c r="FE110" i="1" s="1"/>
  <c r="AA34" i="2"/>
  <c r="Z136" i="3" s="1"/>
  <c r="AI164" i="1"/>
  <c r="GD26" i="2"/>
  <c r="CZ154" i="2"/>
  <c r="CY155" i="2"/>
  <c r="DR154" i="2"/>
  <c r="FI245" i="1" s="1"/>
  <c r="AA92" i="2"/>
  <c r="AA90" i="2" s="1"/>
  <c r="AA87" i="2" s="1"/>
  <c r="AH152" i="1"/>
  <c r="AA93" i="2"/>
  <c r="Y89" i="2"/>
  <c r="Z88" i="2"/>
  <c r="AZ38" i="5"/>
  <c r="AX37" i="5"/>
  <c r="AW36" i="5"/>
  <c r="BD36" i="5"/>
  <c r="AF178" i="1"/>
  <c r="AF92" i="1"/>
  <c r="BX242" i="2"/>
  <c r="CV126" i="2"/>
  <c r="CW126" i="2"/>
  <c r="AF146" i="1"/>
  <c r="AC48" i="5"/>
  <c r="AB47" i="5"/>
  <c r="DZ76" i="7"/>
  <c r="DY76" i="7"/>
  <c r="DW77" i="7"/>
  <c r="AB48" i="2"/>
  <c r="AD38" i="2"/>
  <c r="CL30" i="8"/>
  <c r="BV31" i="8"/>
  <c r="AG175" i="1"/>
  <c r="AH162" i="1"/>
  <c r="AG187" i="1"/>
  <c r="AL37" i="5"/>
  <c r="Z44" i="5"/>
  <c r="I52" i="9"/>
  <c r="E53" i="9"/>
  <c r="AH194" i="1"/>
  <c r="AB119" i="3" s="1"/>
  <c r="AB183" i="3" s="1"/>
  <c r="AG188" i="1"/>
  <c r="AA27" i="3" s="1"/>
  <c r="AC14" i="2"/>
  <c r="AD12" i="2"/>
  <c r="AG195" i="1"/>
  <c r="AF189" i="1"/>
  <c r="Z24" i="3" s="1"/>
  <c r="BO29" i="8"/>
  <c r="BB30" i="8"/>
  <c r="AD27" i="2"/>
  <c r="AC29" i="2"/>
  <c r="AE17" i="2"/>
  <c r="AD19" i="2"/>
  <c r="EK21" i="2"/>
  <c r="EP21" i="2" s="1"/>
  <c r="EG22" i="2"/>
  <c r="EI21" i="2"/>
  <c r="FJ21" i="2" s="1"/>
  <c r="BF240" i="2"/>
  <c r="BW240" i="2" s="1"/>
  <c r="AJ161" i="1"/>
  <c r="AI186" i="1"/>
  <c r="AC20" i="3" s="1"/>
  <c r="AF35" i="8"/>
  <c r="AU34" i="8"/>
  <c r="AG180" i="1"/>
  <c r="AA141" i="3" s="1"/>
  <c r="AG145" i="1"/>
  <c r="Z98" i="2"/>
  <c r="Z101" i="2" s="1"/>
  <c r="Z31" i="2"/>
  <c r="Z32" i="2" s="1"/>
  <c r="Z33" i="2"/>
  <c r="Y137" i="3" s="1"/>
  <c r="K26" i="5"/>
  <c r="M52" i="9"/>
  <c r="Q51" i="9"/>
  <c r="AG174" i="1"/>
  <c r="AG179" i="1"/>
  <c r="AA130" i="3" s="1"/>
  <c r="AH199" i="1"/>
  <c r="AB128" i="3" s="1"/>
  <c r="AI157" i="1"/>
  <c r="AC49" i="2"/>
  <c r="AD47" i="2"/>
  <c r="AG167" i="1"/>
  <c r="AH154" i="1"/>
  <c r="AH190" i="1"/>
  <c r="AB25" i="3" s="1"/>
  <c r="AB163" i="3" s="1"/>
  <c r="AI197" i="1"/>
  <c r="AC162" i="3" s="1"/>
  <c r="AH176" i="1"/>
  <c r="AG183" i="1"/>
  <c r="AF37" i="2"/>
  <c r="AE39" i="2"/>
  <c r="AI159" i="1"/>
  <c r="AH184" i="1"/>
  <c r="AB18" i="3" s="1"/>
  <c r="AH109" i="1"/>
  <c r="AI151" i="1"/>
  <c r="AB53" i="2"/>
  <c r="AF170" i="1"/>
  <c r="AF181" i="1"/>
  <c r="AF198" i="1"/>
  <c r="AV27" i="8"/>
  <c r="AH28" i="8"/>
  <c r="AB62" i="2"/>
  <c r="AB70" i="2" s="1"/>
  <c r="AB71" i="2" s="1"/>
  <c r="AC60" i="2"/>
  <c r="AJ193" i="1"/>
  <c r="AD159" i="3" s="1"/>
  <c r="AI191" i="1"/>
  <c r="AI144" i="1"/>
  <c r="AI172" i="1"/>
  <c r="AI153" i="1"/>
  <c r="AC132" i="3" s="1"/>
  <c r="AH149" i="1"/>
  <c r="AD52" i="2"/>
  <c r="AC54" i="2"/>
  <c r="AB107" i="3" s="1"/>
  <c r="AB187" i="3" s="1"/>
  <c r="AF84" i="1"/>
  <c r="AF85" i="1" s="1"/>
  <c r="AF155" i="1"/>
  <c r="AF171" i="1"/>
  <c r="AA97" i="2" s="1"/>
  <c r="AF192" i="1"/>
  <c r="Y89" i="8"/>
  <c r="AH156" i="1"/>
  <c r="S50" i="9"/>
  <c r="W49" i="9"/>
  <c r="AB77" i="2" l="1"/>
  <c r="AB79" i="2" s="1"/>
  <c r="AB80" i="2" s="1"/>
  <c r="AB81" i="2" s="1"/>
  <c r="AA99" i="3"/>
  <c r="AA184" i="3" s="1"/>
  <c r="DR258" i="1"/>
  <c r="EG257" i="1"/>
  <c r="AC156" i="3"/>
  <c r="AC26" i="3"/>
  <c r="AC160" i="3" s="1"/>
  <c r="AC68" i="2"/>
  <c r="AC69" i="2" s="1"/>
  <c r="AB129" i="3"/>
  <c r="AH14" i="3"/>
  <c r="AG149" i="3"/>
  <c r="AG120" i="3"/>
  <c r="AC13" i="2"/>
  <c r="AB142" i="3" s="1"/>
  <c r="AB135" i="3"/>
  <c r="FI22" i="2"/>
  <c r="IA63" i="2"/>
  <c r="AC28" i="2"/>
  <c r="AB131" i="3"/>
  <c r="DF796" i="1"/>
  <c r="GW23" i="2"/>
  <c r="GX23" i="2" s="1"/>
  <c r="AA165" i="3"/>
  <c r="AA166" i="3"/>
  <c r="EH22" i="2"/>
  <c r="GV19" i="2" s="1"/>
  <c r="ET63" i="2"/>
  <c r="DO431" i="1"/>
  <c r="DV154" i="2"/>
  <c r="EL21" i="2"/>
  <c r="EQ21" i="2" s="1"/>
  <c r="EU62" i="2"/>
  <c r="EL20" i="2"/>
  <c r="EQ20" i="2" s="1"/>
  <c r="EU61" i="2"/>
  <c r="CY247" i="1"/>
  <c r="CW247" i="1" s="1"/>
  <c r="DM339" i="1"/>
  <c r="DQ339" i="1" s="1"/>
  <c r="CX154" i="1"/>
  <c r="DR202" i="1"/>
  <c r="CV70" i="1"/>
  <c r="EH27" i="1"/>
  <c r="HX152" i="2"/>
  <c r="CW110" i="1"/>
  <c r="FE111" i="1" s="1"/>
  <c r="AB34" i="2"/>
  <c r="AA136" i="3" s="1"/>
  <c r="AJ164" i="1"/>
  <c r="GD27" i="2"/>
  <c r="CY156" i="2"/>
  <c r="DR155" i="2"/>
  <c r="FI246" i="1" s="1"/>
  <c r="Z203" i="3"/>
  <c r="Z204" i="3"/>
  <c r="AB92" i="2"/>
  <c r="AB93" i="2" s="1"/>
  <c r="AI152" i="1"/>
  <c r="Z89" i="2"/>
  <c r="AA88" i="2"/>
  <c r="AW37" i="5"/>
  <c r="BD37" i="5"/>
  <c r="AZ39" i="5"/>
  <c r="AX38" i="5"/>
  <c r="CW127" i="2"/>
  <c r="CV127" i="2"/>
  <c r="BX243" i="2"/>
  <c r="AG178" i="1"/>
  <c r="AG92" i="1"/>
  <c r="AG146" i="1"/>
  <c r="AC49" i="5"/>
  <c r="AB48" i="5"/>
  <c r="DZ77" i="7"/>
  <c r="DY77" i="7"/>
  <c r="AE105" i="7"/>
  <c r="DW78" i="7"/>
  <c r="AC48" i="2"/>
  <c r="AE38" i="2"/>
  <c r="CL31" i="8"/>
  <c r="BV32" i="8"/>
  <c r="AD18" i="2"/>
  <c r="AD29" i="2"/>
  <c r="AE27" i="2"/>
  <c r="AG189" i="1"/>
  <c r="AA24" i="3" s="1"/>
  <c r="AH195" i="1"/>
  <c r="AI194" i="1"/>
  <c r="AC119" i="3" s="1"/>
  <c r="AC183" i="3" s="1"/>
  <c r="AH188" i="1"/>
  <c r="AB27" i="3" s="1"/>
  <c r="AH175" i="1"/>
  <c r="AI162" i="1"/>
  <c r="AH187" i="1"/>
  <c r="AE19" i="2"/>
  <c r="AF17" i="2"/>
  <c r="BO30" i="8"/>
  <c r="BB31" i="8"/>
  <c r="AE12" i="2"/>
  <c r="AD14" i="2"/>
  <c r="I53" i="9"/>
  <c r="E54" i="9"/>
  <c r="E55" i="9" s="1"/>
  <c r="Z45" i="5"/>
  <c r="AL38" i="5"/>
  <c r="EK22" i="2"/>
  <c r="EP22" i="2" s="1"/>
  <c r="EG23" i="2"/>
  <c r="EI22" i="2"/>
  <c r="FJ22" i="2" s="1"/>
  <c r="BF241" i="2"/>
  <c r="BW241" i="2" s="1"/>
  <c r="AD54" i="2"/>
  <c r="AC107" i="3" s="1"/>
  <c r="AC187" i="3" s="1"/>
  <c r="AE52" i="2"/>
  <c r="AV28" i="8"/>
  <c r="AH29" i="8"/>
  <c r="AH145" i="1"/>
  <c r="AH180" i="1"/>
  <c r="AB141" i="3" s="1"/>
  <c r="AI176" i="1"/>
  <c r="AH183" i="1"/>
  <c r="AI154" i="1"/>
  <c r="AH167" i="1"/>
  <c r="K27" i="5"/>
  <c r="AG84" i="1"/>
  <c r="AG85" i="1" s="1"/>
  <c r="AG192" i="1"/>
  <c r="AG155" i="1"/>
  <c r="AG171" i="1"/>
  <c r="AB97" i="2" s="1"/>
  <c r="AF36" i="8"/>
  <c r="AU35" i="8"/>
  <c r="AI149" i="1"/>
  <c r="AJ153" i="1"/>
  <c r="AD132" i="3" s="1"/>
  <c r="AD60" i="2"/>
  <c r="AC62" i="2"/>
  <c r="AJ159" i="1"/>
  <c r="AI184" i="1"/>
  <c r="AC18" i="3" s="1"/>
  <c r="AF39" i="2"/>
  <c r="AG37" i="2"/>
  <c r="AG181" i="1"/>
  <c r="AG170" i="1"/>
  <c r="AG198" i="1"/>
  <c r="AJ157" i="1"/>
  <c r="AI199" i="1"/>
  <c r="AC128" i="3" s="1"/>
  <c r="AH179" i="1"/>
  <c r="AB130" i="3" s="1"/>
  <c r="AH174" i="1"/>
  <c r="M53" i="9"/>
  <c r="Q52" i="9"/>
  <c r="AA31" i="2"/>
  <c r="AA32" i="2" s="1"/>
  <c r="AA33" i="2"/>
  <c r="Z137" i="3" s="1"/>
  <c r="AA98" i="2"/>
  <c r="AA101" i="2" s="1"/>
  <c r="AC53" i="2"/>
  <c r="AJ191" i="1"/>
  <c r="AK193" i="1"/>
  <c r="AE159" i="3" s="1"/>
  <c r="AJ144" i="1"/>
  <c r="AJ172" i="1"/>
  <c r="AI109" i="1"/>
  <c r="S16" i="8" s="1" a="1"/>
  <c r="AJ151" i="1"/>
  <c r="AJ197" i="1"/>
  <c r="AD162" i="3" s="1"/>
  <c r="AI190" i="1"/>
  <c r="AC25" i="3" s="1"/>
  <c r="AC163" i="3" s="1"/>
  <c r="AE47" i="2"/>
  <c r="AD49" i="2"/>
  <c r="AK161" i="1"/>
  <c r="AJ186" i="1"/>
  <c r="AD20" i="3" s="1"/>
  <c r="Y90" i="8"/>
  <c r="S51" i="9"/>
  <c r="W50" i="9"/>
  <c r="AI156" i="1"/>
  <c r="AD156" i="3" l="1"/>
  <c r="AD26" i="3"/>
  <c r="AD160" i="3" s="1"/>
  <c r="DR259" i="1"/>
  <c r="EG258" i="1"/>
  <c r="AD68" i="2"/>
  <c r="AD69" i="2" s="1"/>
  <c r="AC129" i="3"/>
  <c r="AC77" i="2"/>
  <c r="AC79" i="2" s="1"/>
  <c r="AC80" i="2" s="1"/>
  <c r="AC81" i="2" s="1"/>
  <c r="AB99" i="3"/>
  <c r="AB184" i="3" s="1"/>
  <c r="AI14" i="3"/>
  <c r="AH149" i="3"/>
  <c r="AH120" i="3"/>
  <c r="DF797" i="1"/>
  <c r="GW24" i="2"/>
  <c r="GX24" i="2" s="1"/>
  <c r="FI23" i="2"/>
  <c r="IA64" i="2"/>
  <c r="AD13" i="2"/>
  <c r="AC142" i="3" s="1"/>
  <c r="AC135" i="3"/>
  <c r="AD28" i="2"/>
  <c r="AC131" i="3"/>
  <c r="AB165" i="3"/>
  <c r="AB166" i="3"/>
  <c r="EH23" i="2"/>
  <c r="GV20" i="2" s="1"/>
  <c r="ET64" i="2"/>
  <c r="EL22" i="2"/>
  <c r="EQ22" i="2" s="1"/>
  <c r="EU63" i="2"/>
  <c r="DO432" i="1"/>
  <c r="DN432" i="1" s="1"/>
  <c r="DV155" i="2"/>
  <c r="CY248" i="1"/>
  <c r="CW248" i="1" s="1"/>
  <c r="DM340" i="1"/>
  <c r="DQ340" i="1" s="1"/>
  <c r="CX155" i="1"/>
  <c r="DR203" i="1"/>
  <c r="CV71" i="1"/>
  <c r="EH28" i="1"/>
  <c r="HX153" i="2"/>
  <c r="CW111" i="1"/>
  <c r="FE112" i="1" s="1"/>
  <c r="AC34" i="2"/>
  <c r="AB136" i="3" s="1"/>
  <c r="AK164" i="1"/>
  <c r="GD28" i="2"/>
  <c r="CY157" i="2"/>
  <c r="DR156" i="2"/>
  <c r="FI247" i="1" s="1"/>
  <c r="BX246" i="2"/>
  <c r="AB90" i="2"/>
  <c r="AB87" i="2" s="1"/>
  <c r="AB88" i="2" s="1"/>
  <c r="AC70" i="2"/>
  <c r="AC71" i="2" s="1"/>
  <c r="AA203" i="3"/>
  <c r="AA204" i="3"/>
  <c r="AC92" i="2"/>
  <c r="AC93" i="2" s="1"/>
  <c r="AJ152" i="1"/>
  <c r="AC90" i="2"/>
  <c r="AA89" i="2"/>
  <c r="AZ40" i="5"/>
  <c r="AX39" i="5"/>
  <c r="BD38" i="5"/>
  <c r="AW38" i="5"/>
  <c r="AH178" i="1"/>
  <c r="AH92" i="1"/>
  <c r="BX244" i="2"/>
  <c r="CV128" i="2"/>
  <c r="CW128" i="2"/>
  <c r="AB49" i="5"/>
  <c r="DZ78" i="7"/>
  <c r="DY78" i="7"/>
  <c r="AE106" i="7"/>
  <c r="DW79" i="7"/>
  <c r="AF38" i="2"/>
  <c r="AD48" i="2"/>
  <c r="CL32" i="8"/>
  <c r="BV33" i="8"/>
  <c r="Z46" i="5"/>
  <c r="AL39" i="5"/>
  <c r="AF12" i="2"/>
  <c r="AE14" i="2"/>
  <c r="AE18" i="2"/>
  <c r="AI175" i="1"/>
  <c r="AJ162" i="1"/>
  <c r="AI187" i="1"/>
  <c r="BB32" i="8"/>
  <c r="BO31" i="8"/>
  <c r="AG17" i="2"/>
  <c r="AF19" i="2"/>
  <c r="AI188" i="1"/>
  <c r="AC27" i="3" s="1"/>
  <c r="AJ194" i="1"/>
  <c r="AD119" i="3" s="1"/>
  <c r="AD183" i="3" s="1"/>
  <c r="AH189" i="1"/>
  <c r="AB24" i="3" s="1"/>
  <c r="AI195" i="1"/>
  <c r="AE29" i="2"/>
  <c r="AF27" i="2"/>
  <c r="EK23" i="2"/>
  <c r="EP23" i="2" s="1"/>
  <c r="EG24" i="2"/>
  <c r="EI23" i="2"/>
  <c r="FJ23" i="2" s="1"/>
  <c r="BF242" i="2"/>
  <c r="BW242" i="2" s="1"/>
  <c r="AJ190" i="1"/>
  <c r="AD25" i="3" s="1"/>
  <c r="AD163" i="3" s="1"/>
  <c r="AK197" i="1"/>
  <c r="AE162" i="3" s="1"/>
  <c r="S19" i="8"/>
  <c r="S23" i="8"/>
  <c r="S27" i="8"/>
  <c r="S16" i="8"/>
  <c r="S20" i="8"/>
  <c r="S24" i="8"/>
  <c r="S28" i="8"/>
  <c r="S17" i="8"/>
  <c r="S21" i="8"/>
  <c r="S25" i="8"/>
  <c r="S29" i="8"/>
  <c r="S18" i="8"/>
  <c r="S22" i="8"/>
  <c r="S26" i="8"/>
  <c r="S30" i="8"/>
  <c r="Q53" i="9"/>
  <c r="M54" i="9"/>
  <c r="Q54" i="9" s="1"/>
  <c r="AK157" i="1"/>
  <c r="AK159" i="1"/>
  <c r="AJ184" i="1"/>
  <c r="AD18" i="3" s="1"/>
  <c r="AD62" i="2"/>
  <c r="AD70" i="2" s="1"/>
  <c r="AD71" i="2" s="1"/>
  <c r="AE60" i="2"/>
  <c r="AI180" i="1"/>
  <c r="AC141" i="3" s="1"/>
  <c r="AI145" i="1"/>
  <c r="AH170" i="1"/>
  <c r="AH181" i="1"/>
  <c r="AH198" i="1"/>
  <c r="AV29" i="8"/>
  <c r="AH30" i="8"/>
  <c r="AE54" i="2"/>
  <c r="AD107" i="3" s="1"/>
  <c r="AD187" i="3" s="1"/>
  <c r="AF52" i="2"/>
  <c r="AL161" i="1"/>
  <c r="AK186" i="1"/>
  <c r="AE20" i="3" s="1"/>
  <c r="AE49" i="2"/>
  <c r="AF47" i="2"/>
  <c r="AG39" i="2"/>
  <c r="AH37" i="2"/>
  <c r="AJ154" i="1"/>
  <c r="AI167" i="1"/>
  <c r="AJ176" i="1"/>
  <c r="AI183" i="1"/>
  <c r="AD53" i="2"/>
  <c r="AU36" i="8"/>
  <c r="AF37" i="8"/>
  <c r="AB31" i="2"/>
  <c r="AB32" i="2" s="1"/>
  <c r="AB33" i="2"/>
  <c r="AA137" i="3" s="1"/>
  <c r="AB98" i="2"/>
  <c r="AB101" i="2" s="1"/>
  <c r="K28" i="5"/>
  <c r="AH84" i="1"/>
  <c r="AH85" i="1" s="1"/>
  <c r="AH155" i="1"/>
  <c r="AH171" i="1"/>
  <c r="AC97" i="2" s="1"/>
  <c r="AH192" i="1"/>
  <c r="AJ109" i="1"/>
  <c r="AK151" i="1"/>
  <c r="AL193" i="1"/>
  <c r="AF159" i="3" s="1"/>
  <c r="AK191" i="1"/>
  <c r="AK144" i="1"/>
  <c r="AK172" i="1"/>
  <c r="AI174" i="1"/>
  <c r="AJ199" i="1"/>
  <c r="AD128" i="3" s="1"/>
  <c r="AI179" i="1"/>
  <c r="AC130" i="3" s="1"/>
  <c r="AC61" i="2"/>
  <c r="AK153" i="1"/>
  <c r="AE132" i="3" s="1"/>
  <c r="AJ149" i="1"/>
  <c r="Y91" i="8"/>
  <c r="AJ156" i="1"/>
  <c r="S52" i="9"/>
  <c r="R166" i="9" s="1"/>
  <c r="W51" i="9"/>
  <c r="AE156" i="3" l="1"/>
  <c r="AE26" i="3"/>
  <c r="AE160" i="3" s="1"/>
  <c r="AD77" i="2"/>
  <c r="AD79" i="2" s="1"/>
  <c r="AD80" i="2" s="1"/>
  <c r="AD81" i="2" s="1"/>
  <c r="AC99" i="3"/>
  <c r="AC184" i="3" s="1"/>
  <c r="AE68" i="2"/>
  <c r="AE69" i="2" s="1"/>
  <c r="AD129" i="3"/>
  <c r="DR260" i="1"/>
  <c r="EG259" i="1"/>
  <c r="AJ14" i="3"/>
  <c r="AI149" i="3"/>
  <c r="AI120" i="3"/>
  <c r="FI24" i="2"/>
  <c r="IA65" i="2"/>
  <c r="AE13" i="2"/>
  <c r="AD142" i="3" s="1"/>
  <c r="AD135" i="3"/>
  <c r="DF798" i="1"/>
  <c r="GW25" i="2"/>
  <c r="GX25" i="2" s="1"/>
  <c r="AE28" i="2"/>
  <c r="AD131" i="3"/>
  <c r="AC165" i="3"/>
  <c r="AC166" i="3"/>
  <c r="EH24" i="2"/>
  <c r="GV21" i="2" s="1"/>
  <c r="ET65" i="2"/>
  <c r="EL23" i="2"/>
  <c r="EQ23" i="2" s="1"/>
  <c r="EU64" i="2"/>
  <c r="DO433" i="1"/>
  <c r="DN433" i="1" s="1"/>
  <c r="DV156" i="2"/>
  <c r="CY249" i="1"/>
  <c r="CW249" i="1" s="1"/>
  <c r="DM341" i="1"/>
  <c r="DQ341" i="1" s="1"/>
  <c r="CX156" i="1"/>
  <c r="DR204" i="1"/>
  <c r="CV72" i="1"/>
  <c r="EH29" i="1"/>
  <c r="HX154" i="2"/>
  <c r="CW112" i="1"/>
  <c r="FE113" i="1" s="1"/>
  <c r="AD34" i="2"/>
  <c r="AC136" i="3" s="1"/>
  <c r="AL164" i="1"/>
  <c r="GD29" i="2"/>
  <c r="CY158" i="2"/>
  <c r="DR157" i="2"/>
  <c r="FI248" i="1" s="1"/>
  <c r="BX247" i="2"/>
  <c r="AC87" i="2"/>
  <c r="AC88" i="2" s="1"/>
  <c r="AB203" i="3"/>
  <c r="AB204" i="3"/>
  <c r="AD92" i="2"/>
  <c r="AD90" i="2" s="1"/>
  <c r="AD87" i="2" s="1"/>
  <c r="AK154" i="1"/>
  <c r="AK152" i="1"/>
  <c r="AB89" i="2"/>
  <c r="AD93" i="2"/>
  <c r="BD39" i="5"/>
  <c r="AW39" i="5"/>
  <c r="AX40" i="5"/>
  <c r="AZ41" i="5"/>
  <c r="AI178" i="1"/>
  <c r="AI92" i="1"/>
  <c r="CW129" i="2"/>
  <c r="BX245" i="2"/>
  <c r="AI146" i="1"/>
  <c r="CV129" i="2"/>
  <c r="AH146" i="1"/>
  <c r="AR69" i="12"/>
  <c r="AR133" i="12" s="1"/>
  <c r="AT69" i="12"/>
  <c r="AT133" i="12" s="1"/>
  <c r="AU69" i="12"/>
  <c r="AU133" i="12" s="1"/>
  <c r="AV69" i="12"/>
  <c r="AV133" i="12" s="1"/>
  <c r="AS69" i="12"/>
  <c r="AS133" i="12" s="1"/>
  <c r="DZ79" i="7"/>
  <c r="DY79" i="7"/>
  <c r="AE107" i="7"/>
  <c r="DW80" i="7"/>
  <c r="R169" i="9"/>
  <c r="R171" i="9"/>
  <c r="R167" i="9"/>
  <c r="AG38" i="2"/>
  <c r="AE48" i="2"/>
  <c r="R172" i="9"/>
  <c r="R170" i="9"/>
  <c r="R168" i="9"/>
  <c r="CL33" i="8"/>
  <c r="BV34" i="8"/>
  <c r="AK194" i="1"/>
  <c r="AE119" i="3" s="1"/>
  <c r="AE183" i="3" s="1"/>
  <c r="AJ188" i="1"/>
  <c r="AD27" i="3" s="1"/>
  <c r="AH17" i="2"/>
  <c r="AG19" i="2"/>
  <c r="BB33" i="8"/>
  <c r="BO32" i="8"/>
  <c r="AJ175" i="1"/>
  <c r="AJ187" i="1"/>
  <c r="AK162" i="1"/>
  <c r="AG27" i="2"/>
  <c r="AF29" i="2"/>
  <c r="AI189" i="1"/>
  <c r="AC24" i="3" s="1"/>
  <c r="AJ195" i="1"/>
  <c r="AF18" i="2"/>
  <c r="AG12" i="2"/>
  <c r="AF14" i="2"/>
  <c r="Z47" i="5"/>
  <c r="AL40" i="5"/>
  <c r="EK24" i="2"/>
  <c r="EP24" i="2" s="1"/>
  <c r="EG25" i="2"/>
  <c r="EI24" i="2"/>
  <c r="FJ24" i="2" s="1"/>
  <c r="BF243" i="2"/>
  <c r="BW243" i="2" s="1"/>
  <c r="AK199" i="1"/>
  <c r="AE128" i="3" s="1"/>
  <c r="AJ179" i="1"/>
  <c r="AD130" i="3" s="1"/>
  <c r="AJ174" i="1"/>
  <c r="AI170" i="1"/>
  <c r="AI181" i="1"/>
  <c r="AI198" i="1"/>
  <c r="AE53" i="2"/>
  <c r="AI84" i="1"/>
  <c r="AI85" i="1" s="1"/>
  <c r="AI192" i="1"/>
  <c r="AI155" i="1"/>
  <c r="AI171" i="1"/>
  <c r="AD97" i="2" s="1"/>
  <c r="AD61" i="2"/>
  <c r="AL157" i="1"/>
  <c r="AK190" i="1"/>
  <c r="AE25" i="3" s="1"/>
  <c r="AE163" i="3" s="1"/>
  <c r="AL197" i="1"/>
  <c r="AF162" i="3" s="1"/>
  <c r="AJ145" i="1"/>
  <c r="AJ180" i="1"/>
  <c r="AD141" i="3" s="1"/>
  <c r="AM193" i="1"/>
  <c r="AG159" i="3" s="1"/>
  <c r="AL191" i="1"/>
  <c r="AL144" i="1"/>
  <c r="AL172" i="1"/>
  <c r="AC31" i="2"/>
  <c r="AC32" i="2" s="1"/>
  <c r="AC33" i="2"/>
  <c r="AB137" i="3" s="1"/>
  <c r="AC98" i="2"/>
  <c r="AC101" i="2" s="1"/>
  <c r="AJ167" i="1"/>
  <c r="AM161" i="1"/>
  <c r="AL186" i="1"/>
  <c r="AF20" i="3" s="1"/>
  <c r="AH31" i="8"/>
  <c r="AV30" i="8"/>
  <c r="AK149" i="1"/>
  <c r="AL153" i="1"/>
  <c r="AF132" i="3" s="1"/>
  <c r="AK109" i="1"/>
  <c r="AL151" i="1"/>
  <c r="AJ183" i="1"/>
  <c r="AK176" i="1"/>
  <c r="AI37" i="2"/>
  <c r="AJ37" i="2" s="1"/>
  <c r="AH39" i="2"/>
  <c r="AG47" i="2"/>
  <c r="AF49" i="2"/>
  <c r="AL159" i="1"/>
  <c r="K29" i="5"/>
  <c r="AF38" i="8"/>
  <c r="AU37" i="8"/>
  <c r="AG52" i="2"/>
  <c r="AF54" i="2"/>
  <c r="AE107" i="3" s="1"/>
  <c r="AE187" i="3" s="1"/>
  <c r="AE62" i="2"/>
  <c r="AE70" i="2" s="1"/>
  <c r="AE71" i="2" s="1"/>
  <c r="AF60" i="2"/>
  <c r="Y92" i="8"/>
  <c r="S53" i="9"/>
  <c r="W52" i="9"/>
  <c r="AK156" i="1"/>
  <c r="AF156" i="3" l="1"/>
  <c r="AF26" i="3"/>
  <c r="AF160" i="3" s="1"/>
  <c r="AE77" i="2"/>
  <c r="AE79" i="2" s="1"/>
  <c r="AE80" i="2" s="1"/>
  <c r="AE81" i="2" s="1"/>
  <c r="AD99" i="3"/>
  <c r="AD184" i="3" s="1"/>
  <c r="AF68" i="2"/>
  <c r="AF69" i="2" s="1"/>
  <c r="AE129" i="3"/>
  <c r="DR261" i="1"/>
  <c r="EG260" i="1"/>
  <c r="AK14" i="3"/>
  <c r="AJ149" i="3"/>
  <c r="AJ120" i="3"/>
  <c r="FI25" i="2"/>
  <c r="IA66" i="2"/>
  <c r="AF13" i="2"/>
  <c r="AE142" i="3" s="1"/>
  <c r="AE135" i="3"/>
  <c r="DF799" i="1"/>
  <c r="GW26" i="2"/>
  <c r="GX26" i="2" s="1"/>
  <c r="AF28" i="2"/>
  <c r="AE131" i="3"/>
  <c r="AD165" i="3"/>
  <c r="AD166" i="3"/>
  <c r="EL24" i="2"/>
  <c r="EQ24" i="2" s="1"/>
  <c r="EU65" i="2"/>
  <c r="EH25" i="2"/>
  <c r="GV22" i="2" s="1"/>
  <c r="ET66" i="2"/>
  <c r="DO434" i="1"/>
  <c r="DN434" i="1" s="1"/>
  <c r="DV157" i="2"/>
  <c r="CY250" i="1"/>
  <c r="CW250" i="1" s="1"/>
  <c r="DM342" i="1"/>
  <c r="DQ342" i="1" s="1"/>
  <c r="CX157" i="1"/>
  <c r="DR205" i="1"/>
  <c r="CV73" i="1"/>
  <c r="EH30" i="1"/>
  <c r="HX155" i="2"/>
  <c r="CW113" i="1"/>
  <c r="AM164" i="1"/>
  <c r="GD30" i="2"/>
  <c r="CY159" i="2"/>
  <c r="DR158" i="2"/>
  <c r="BX248" i="2"/>
  <c r="AC203" i="3"/>
  <c r="AC204" i="3"/>
  <c r="AL154" i="1"/>
  <c r="AE92" i="2"/>
  <c r="AE90" i="2" s="1"/>
  <c r="AE87" i="2" s="1"/>
  <c r="AL152" i="1"/>
  <c r="AD88" i="2"/>
  <c r="AC89" i="2"/>
  <c r="AJ178" i="1"/>
  <c r="AZ42" i="5"/>
  <c r="AX41" i="5"/>
  <c r="AW40" i="5"/>
  <c r="BD40" i="5"/>
  <c r="AM197" i="1"/>
  <c r="AG162" i="3" s="1"/>
  <c r="AL199" i="1"/>
  <c r="AF128" i="3" s="1"/>
  <c r="CW130" i="2"/>
  <c r="CW131" i="2"/>
  <c r="AJ146" i="1"/>
  <c r="AJ92" i="1"/>
  <c r="CV130" i="2"/>
  <c r="CV131" i="2"/>
  <c r="AC69" i="12"/>
  <c r="AC133" i="12" s="1"/>
  <c r="AD68" i="6"/>
  <c r="AD127" i="6" s="1"/>
  <c r="U69" i="12"/>
  <c r="U133" i="12" s="1"/>
  <c r="V68" i="6"/>
  <c r="V127" i="6" s="1"/>
  <c r="AP69" i="12"/>
  <c r="AP133" i="12" s="1"/>
  <c r="AQ68" i="6"/>
  <c r="AQ127" i="6" s="1"/>
  <c r="Z69" i="12"/>
  <c r="Z133" i="12" s="1"/>
  <c r="AA68" i="6"/>
  <c r="AA127" i="6" s="1"/>
  <c r="AF68" i="6"/>
  <c r="AF127" i="6" s="1"/>
  <c r="AE69" i="12"/>
  <c r="AE133" i="12" s="1"/>
  <c r="P68" i="6"/>
  <c r="P127" i="6" s="1"/>
  <c r="O69" i="12"/>
  <c r="O133" i="12" s="1"/>
  <c r="AN69" i="12"/>
  <c r="AN133" i="12" s="1"/>
  <c r="AO68" i="6"/>
  <c r="AO127" i="6" s="1"/>
  <c r="Y68" i="6"/>
  <c r="Y127" i="6" s="1"/>
  <c r="X69" i="12"/>
  <c r="X133" i="12" s="1"/>
  <c r="AK69" i="12"/>
  <c r="AK133" i="12" s="1"/>
  <c r="AL68" i="6"/>
  <c r="AL127" i="6" s="1"/>
  <c r="AE68" i="6"/>
  <c r="AE127" i="6" s="1"/>
  <c r="AD69" i="12"/>
  <c r="AD133" i="12" s="1"/>
  <c r="O68" i="6"/>
  <c r="O127" i="6" s="1"/>
  <c r="N69" i="12"/>
  <c r="N133" i="12" s="1"/>
  <c r="AJ68" i="6"/>
  <c r="AJ127" i="6" s="1"/>
  <c r="AI69" i="12"/>
  <c r="AI133" i="12" s="1"/>
  <c r="T68" i="6"/>
  <c r="T127" i="6" s="1"/>
  <c r="S69" i="12"/>
  <c r="S133" i="12" s="1"/>
  <c r="AB69" i="12"/>
  <c r="AB133" i="12" s="1"/>
  <c r="AC68" i="6"/>
  <c r="AC127" i="6" s="1"/>
  <c r="R68" i="6"/>
  <c r="R127" i="6" s="1"/>
  <c r="Q69" i="12"/>
  <c r="Q133" i="12" s="1"/>
  <c r="Z68" i="6"/>
  <c r="Z127" i="6" s="1"/>
  <c r="Y69" i="12"/>
  <c r="Y133" i="12" s="1"/>
  <c r="AI68" i="6"/>
  <c r="AI127" i="6" s="1"/>
  <c r="AH69" i="12"/>
  <c r="AH133" i="12" s="1"/>
  <c r="S68" i="6"/>
  <c r="S127" i="6" s="1"/>
  <c r="R69" i="12"/>
  <c r="R133" i="12" s="1"/>
  <c r="AN68" i="6"/>
  <c r="AN127" i="6" s="1"/>
  <c r="AM69" i="12"/>
  <c r="AM133" i="12" s="1"/>
  <c r="X68" i="6"/>
  <c r="X127" i="6" s="1"/>
  <c r="W69" i="12"/>
  <c r="W133" i="12" s="1"/>
  <c r="AF69" i="12"/>
  <c r="AF133" i="12" s="1"/>
  <c r="AG68" i="6"/>
  <c r="AG127" i="6" s="1"/>
  <c r="P69" i="12"/>
  <c r="P133" i="12" s="1"/>
  <c r="Q68" i="6"/>
  <c r="Q127" i="6" s="1"/>
  <c r="AH68" i="6"/>
  <c r="AH127" i="6" s="1"/>
  <c r="AG69" i="12"/>
  <c r="AG133" i="12" s="1"/>
  <c r="AP68" i="6"/>
  <c r="AP127" i="6" s="1"/>
  <c r="AO69" i="12"/>
  <c r="AO133" i="12" s="1"/>
  <c r="AM68" i="6"/>
  <c r="AM127" i="6" s="1"/>
  <c r="AL69" i="12"/>
  <c r="AL133" i="12" s="1"/>
  <c r="W68" i="6"/>
  <c r="W127" i="6" s="1"/>
  <c r="V69" i="12"/>
  <c r="V133" i="12" s="1"/>
  <c r="AR68" i="6"/>
  <c r="AR127" i="6" s="1"/>
  <c r="AQ69" i="12"/>
  <c r="AQ133" i="12" s="1"/>
  <c r="AB68" i="6"/>
  <c r="AB127" i="6" s="1"/>
  <c r="AA69" i="12"/>
  <c r="AA133" i="12" s="1"/>
  <c r="AK68" i="6"/>
  <c r="AK127" i="6" s="1"/>
  <c r="AJ69" i="12"/>
  <c r="AJ133" i="12" s="1"/>
  <c r="U68" i="6"/>
  <c r="U127" i="6" s="1"/>
  <c r="T69" i="12"/>
  <c r="T133" i="12" s="1"/>
  <c r="DZ80" i="7"/>
  <c r="DY80" i="7"/>
  <c r="DW81" i="7"/>
  <c r="DZ81" i="7" s="1"/>
  <c r="EL90" i="9"/>
  <c r="EH90" i="9" s="1"/>
  <c r="FE90" i="9" s="1"/>
  <c r="AJ39" i="2"/>
  <c r="AJ38" i="2" s="1"/>
  <c r="AK37" i="2"/>
  <c r="AF48" i="2"/>
  <c r="AH38" i="2"/>
  <c r="CL34" i="8"/>
  <c r="BV35" i="8"/>
  <c r="Z48" i="5"/>
  <c r="AL41" i="5"/>
  <c r="AG14" i="2"/>
  <c r="AH12" i="2"/>
  <c r="AG29" i="2"/>
  <c r="AH27" i="2"/>
  <c r="AG18" i="2"/>
  <c r="AK188" i="1"/>
  <c r="AE27" i="3" s="1"/>
  <c r="AL194" i="1"/>
  <c r="AF119" i="3" s="1"/>
  <c r="AF183" i="3" s="1"/>
  <c r="AJ189" i="1"/>
  <c r="AD24" i="3" s="1"/>
  <c r="AK195" i="1"/>
  <c r="AK175" i="1"/>
  <c r="AL162" i="1"/>
  <c r="AL187" i="1" s="1"/>
  <c r="AK187" i="1"/>
  <c r="BB34" i="8"/>
  <c r="BO33" i="8"/>
  <c r="AH19" i="2"/>
  <c r="AI17" i="2"/>
  <c r="EK25" i="2"/>
  <c r="EP25" i="2" s="1"/>
  <c r="EG26" i="2"/>
  <c r="EI25" i="2"/>
  <c r="FJ25" i="2" s="1"/>
  <c r="AI39" i="2"/>
  <c r="BF244" i="2"/>
  <c r="BW244" i="2" s="1"/>
  <c r="AG54" i="2"/>
  <c r="AF107" i="3" s="1"/>
  <c r="AF187" i="3" s="1"/>
  <c r="AH52" i="2"/>
  <c r="AU38" i="8"/>
  <c r="AF39" i="8"/>
  <c r="AG60" i="2"/>
  <c r="AF62" i="2"/>
  <c r="AM159" i="1"/>
  <c r="AL109" i="1"/>
  <c r="AM151" i="1"/>
  <c r="AM153" i="1"/>
  <c r="AG132" i="3" s="1"/>
  <c r="AL149" i="1"/>
  <c r="AK167" i="1"/>
  <c r="AK174" i="1"/>
  <c r="AK179" i="1"/>
  <c r="AE130" i="3" s="1"/>
  <c r="AE61" i="2"/>
  <c r="K30" i="5"/>
  <c r="AL176" i="1"/>
  <c r="AK183" i="1"/>
  <c r="AK178" i="1"/>
  <c r="AK180" i="1"/>
  <c r="AE141" i="3" s="1"/>
  <c r="AK145" i="1"/>
  <c r="AN161" i="1"/>
  <c r="AM186" i="1"/>
  <c r="AG20" i="3" s="1"/>
  <c r="AJ170" i="1"/>
  <c r="AJ181" i="1"/>
  <c r="AJ198" i="1"/>
  <c r="AJ84" i="1"/>
  <c r="AJ85" i="1" s="1"/>
  <c r="AJ155" i="1"/>
  <c r="AJ171" i="1"/>
  <c r="AE97" i="2" s="1"/>
  <c r="AE34" i="2"/>
  <c r="AD136" i="3" s="1"/>
  <c r="AJ192" i="1"/>
  <c r="AD31" i="2"/>
  <c r="AD32" i="2" s="1"/>
  <c r="AD33" i="2"/>
  <c r="AC137" i="3" s="1"/>
  <c r="AD98" i="2"/>
  <c r="AD101" i="2" s="1"/>
  <c r="AG49" i="2"/>
  <c r="AH47" i="2"/>
  <c r="AH32" i="8"/>
  <c r="AV31" i="8"/>
  <c r="AN193" i="1"/>
  <c r="AH159" i="3" s="1"/>
  <c r="AM191" i="1"/>
  <c r="AM172" i="1"/>
  <c r="AM144" i="1"/>
  <c r="AL190" i="1"/>
  <c r="AF25" i="3" s="1"/>
  <c r="AF163" i="3" s="1"/>
  <c r="AM157" i="1"/>
  <c r="Y93" i="8"/>
  <c r="AL156" i="1"/>
  <c r="S54" i="9"/>
  <c r="W53" i="9"/>
  <c r="DR262" i="1" l="1"/>
  <c r="EG261" i="1"/>
  <c r="AG156" i="3"/>
  <c r="AG26" i="3"/>
  <c r="AG160" i="3" s="1"/>
  <c r="AF77" i="2"/>
  <c r="AF79" i="2" s="1"/>
  <c r="AF80" i="2" s="1"/>
  <c r="AE99" i="3"/>
  <c r="AE184" i="3" s="1"/>
  <c r="AG68" i="2"/>
  <c r="AG69" i="2" s="1"/>
  <c r="AF129" i="3"/>
  <c r="CV113" i="1"/>
  <c r="FE114" i="1"/>
  <c r="GW27" i="2"/>
  <c r="GX27" i="2" s="1"/>
  <c r="FI249" i="1"/>
  <c r="AL14" i="3"/>
  <c r="AK149" i="3"/>
  <c r="AK120" i="3"/>
  <c r="CY160" i="2"/>
  <c r="DA160" i="2" s="1"/>
  <c r="DA159" i="2"/>
  <c r="EL91" i="9" s="1"/>
  <c r="EH91" i="9" s="1"/>
  <c r="FE91" i="9" s="1"/>
  <c r="CY161" i="2"/>
  <c r="DA161" i="2" s="1"/>
  <c r="DA162" i="2" s="1"/>
  <c r="FI26" i="2"/>
  <c r="IA67" i="2"/>
  <c r="AG28" i="2"/>
  <c r="AF131" i="3"/>
  <c r="AG13" i="2"/>
  <c r="AF142" i="3" s="1"/>
  <c r="AF135" i="3"/>
  <c r="AE165" i="3"/>
  <c r="AE166" i="3"/>
  <c r="DV158" i="2"/>
  <c r="DF800" i="1"/>
  <c r="EL25" i="2"/>
  <c r="EQ25" i="2" s="1"/>
  <c r="EU66" i="2"/>
  <c r="EH26" i="2"/>
  <c r="GV23" i="2" s="1"/>
  <c r="ET67" i="2"/>
  <c r="DM343" i="1"/>
  <c r="DQ343" i="1" s="1"/>
  <c r="DO435" i="1"/>
  <c r="DN435" i="1" s="1"/>
  <c r="DR206" i="1"/>
  <c r="CY251" i="1"/>
  <c r="CW251" i="1" s="1"/>
  <c r="EH31" i="1"/>
  <c r="EK31" i="1" s="1"/>
  <c r="EJ31" i="1" s="1"/>
  <c r="CX158" i="1"/>
  <c r="CW114" i="1"/>
  <c r="CV74" i="1"/>
  <c r="AN164" i="1"/>
  <c r="HX156" i="2"/>
  <c r="GD31" i="2"/>
  <c r="DR159" i="2"/>
  <c r="BX249" i="2"/>
  <c r="BF245" i="2"/>
  <c r="AF70" i="2"/>
  <c r="AF71" i="2" s="1"/>
  <c r="AK39" i="2"/>
  <c r="AK38" i="2" s="1"/>
  <c r="AL37" i="2"/>
  <c r="AE93" i="2"/>
  <c r="AD203" i="3"/>
  <c r="AD204" i="3"/>
  <c r="AM152" i="1"/>
  <c r="AM154" i="1"/>
  <c r="AF92" i="2"/>
  <c r="AF90" i="2" s="1"/>
  <c r="AF87" i="2" s="1"/>
  <c r="AE88" i="2"/>
  <c r="AD89" i="2"/>
  <c r="AW41" i="5"/>
  <c r="BD41" i="5"/>
  <c r="AZ43" i="5"/>
  <c r="AX43" i="5" s="1"/>
  <c r="AX42" i="5"/>
  <c r="AK92" i="1"/>
  <c r="AM199" i="1"/>
  <c r="AG128" i="3" s="1"/>
  <c r="AN197" i="1"/>
  <c r="AH162" i="3" s="1"/>
  <c r="DW82" i="7"/>
  <c r="DZ82" i="7" s="1"/>
  <c r="ES81" i="7"/>
  <c r="DY81" i="7"/>
  <c r="ET81" i="7"/>
  <c r="AG48" i="2"/>
  <c r="AI38" i="2"/>
  <c r="BV36" i="8"/>
  <c r="CL35" i="8"/>
  <c r="AI19" i="2"/>
  <c r="AJ17" i="2"/>
  <c r="Z49" i="5"/>
  <c r="AL43" i="5" s="1"/>
  <c r="AL42" i="5"/>
  <c r="AO193" i="1"/>
  <c r="AI159" i="3" s="1"/>
  <c r="AN191" i="1"/>
  <c r="AH18" i="2"/>
  <c r="BO34" i="8"/>
  <c r="BB35" i="8"/>
  <c r="AL175" i="1"/>
  <c r="AM162" i="1"/>
  <c r="AM187" i="1" s="1"/>
  <c r="AL195" i="1"/>
  <c r="AK189" i="1"/>
  <c r="AE24" i="3" s="1"/>
  <c r="AM194" i="1"/>
  <c r="AG119" i="3" s="1"/>
  <c r="AG183" i="3" s="1"/>
  <c r="AL188" i="1"/>
  <c r="AF27" i="3" s="1"/>
  <c r="AH29" i="2"/>
  <c r="AI27" i="2"/>
  <c r="AH14" i="2"/>
  <c r="AI12" i="2"/>
  <c r="AJ12" i="2" s="1"/>
  <c r="EK26" i="2"/>
  <c r="EP26" i="2" s="1"/>
  <c r="EG27" i="2"/>
  <c r="EI26" i="2"/>
  <c r="FJ26" i="2" s="1"/>
  <c r="AN186" i="1"/>
  <c r="AH20" i="3" s="1"/>
  <c r="AO161" i="1"/>
  <c r="AK84" i="1"/>
  <c r="AK85" i="1" s="1"/>
  <c r="AF34" i="2"/>
  <c r="AE136" i="3" s="1"/>
  <c r="AK192" i="1"/>
  <c r="AK155" i="1"/>
  <c r="AK171" i="1"/>
  <c r="AF97" i="2" s="1"/>
  <c r="AL179" i="1"/>
  <c r="AF130" i="3" s="1"/>
  <c r="AL174" i="1"/>
  <c r="AN159" i="1"/>
  <c r="AH60" i="2"/>
  <c r="AG62" i="2"/>
  <c r="AN157" i="1"/>
  <c r="AO157" i="1" s="1"/>
  <c r="AP157" i="1" s="1"/>
  <c r="AQ157" i="1" s="1"/>
  <c r="AR157" i="1" s="1"/>
  <c r="AI47" i="2"/>
  <c r="AH49" i="2"/>
  <c r="AM176" i="1"/>
  <c r="AL183" i="1"/>
  <c r="AL167" i="1"/>
  <c r="AM109" i="1"/>
  <c r="AN151" i="1"/>
  <c r="AI52" i="2"/>
  <c r="AH54" i="2"/>
  <c r="AG107" i="3" s="1"/>
  <c r="AG187" i="3" s="1"/>
  <c r="AK181" i="1"/>
  <c r="AK170" i="1"/>
  <c r="AK198" i="1"/>
  <c r="AL145" i="1"/>
  <c r="AL180" i="1"/>
  <c r="AF141" i="3" s="1"/>
  <c r="AM190" i="1"/>
  <c r="AG25" i="3" s="1"/>
  <c r="AG163" i="3" s="1"/>
  <c r="AN172" i="1"/>
  <c r="AN144" i="1"/>
  <c r="AV32" i="8"/>
  <c r="AH33" i="8"/>
  <c r="AE31" i="2"/>
  <c r="AE32" i="2" s="1"/>
  <c r="AE33" i="2"/>
  <c r="AD137" i="3" s="1"/>
  <c r="AE98" i="2"/>
  <c r="AE101" i="2" s="1"/>
  <c r="K31" i="5"/>
  <c r="AN153" i="1"/>
  <c r="AH132" i="3" s="1"/>
  <c r="AM149" i="1"/>
  <c r="AF61" i="2"/>
  <c r="AF40" i="8"/>
  <c r="AU40" i="8" s="1"/>
  <c r="AU39" i="8"/>
  <c r="Y94" i="8"/>
  <c r="S55" i="9"/>
  <c r="W54" i="9"/>
  <c r="AM156" i="1"/>
  <c r="AG77" i="2" l="1"/>
  <c r="AG79" i="2" s="1"/>
  <c r="AG80" i="2" s="1"/>
  <c r="AF99" i="3"/>
  <c r="AF184" i="3" s="1"/>
  <c r="EB49" i="2" a="1"/>
  <c r="EB60" i="2" s="1"/>
  <c r="CU184" i="1" a="1"/>
  <c r="AH156" i="3"/>
  <c r="AH26" i="3"/>
  <c r="AH160" i="3" s="1"/>
  <c r="AH68" i="2"/>
  <c r="AH69" i="2" s="1"/>
  <c r="AG129" i="3"/>
  <c r="DR263" i="1"/>
  <c r="EG262" i="1"/>
  <c r="CV114" i="1"/>
  <c r="FE115" i="1"/>
  <c r="GW28" i="2"/>
  <c r="GX28" i="2" s="1"/>
  <c r="FI250" i="1"/>
  <c r="AM14" i="3"/>
  <c r="AL149" i="3"/>
  <c r="AL120" i="3"/>
  <c r="DA163" i="2"/>
  <c r="DA164" i="2" s="1"/>
  <c r="DA165" i="2" s="1"/>
  <c r="DA166" i="2" s="1"/>
  <c r="DA167" i="2" s="1"/>
  <c r="DA168" i="2" s="1"/>
  <c r="DA169" i="2" s="1"/>
  <c r="DA170" i="2" s="1"/>
  <c r="DA171" i="2" s="1"/>
  <c r="DA172" i="2" s="1"/>
  <c r="DA173" i="2" s="1"/>
  <c r="DA174" i="2" s="1"/>
  <c r="DA175" i="2" s="1"/>
  <c r="DA176" i="2" s="1"/>
  <c r="FI27" i="2"/>
  <c r="IA68" i="2"/>
  <c r="AH13" i="2"/>
  <c r="AG142" i="3" s="1"/>
  <c r="AG135" i="3"/>
  <c r="AH28" i="2"/>
  <c r="AG131" i="3"/>
  <c r="AF165" i="3"/>
  <c r="AF166" i="3"/>
  <c r="AF93" i="2"/>
  <c r="DV159" i="2"/>
  <c r="DF801" i="1"/>
  <c r="EH27" i="2"/>
  <c r="GV24" i="2" s="1"/>
  <c r="ET68" i="2"/>
  <c r="EL26" i="2"/>
  <c r="EQ26" i="2" s="1"/>
  <c r="EU67" i="2"/>
  <c r="DM344" i="1"/>
  <c r="DQ344" i="1" s="1"/>
  <c r="DO436" i="1"/>
  <c r="DN436" i="1" s="1"/>
  <c r="DR207" i="1"/>
  <c r="CY252" i="1"/>
  <c r="CW252" i="1" s="1"/>
  <c r="EH32" i="1"/>
  <c r="EK32" i="1" s="1"/>
  <c r="EJ32" i="1" s="1"/>
  <c r="CX159" i="1"/>
  <c r="CW115" i="1"/>
  <c r="CV75" i="1"/>
  <c r="EB49" i="2"/>
  <c r="EB52" i="2"/>
  <c r="EB56" i="2"/>
  <c r="EB64" i="2"/>
  <c r="EB68" i="2"/>
  <c r="EB72" i="2"/>
  <c r="EB54" i="2"/>
  <c r="EB58" i="2"/>
  <c r="EB62" i="2"/>
  <c r="EB70" i="2"/>
  <c r="EB71" i="2"/>
  <c r="EB67" i="2"/>
  <c r="EB59" i="2"/>
  <c r="EB55" i="2"/>
  <c r="EB51" i="2"/>
  <c r="EB65" i="2"/>
  <c r="EB61" i="2"/>
  <c r="EB57" i="2"/>
  <c r="AO164" i="1"/>
  <c r="HX157" i="2"/>
  <c r="BF246" i="2"/>
  <c r="BW246" i="2" s="1"/>
  <c r="BW245" i="2"/>
  <c r="DR160" i="2"/>
  <c r="FI251" i="1" s="1"/>
  <c r="FF251" i="1" s="1"/>
  <c r="FG251" i="1" s="1"/>
  <c r="EY117" i="1" s="1"/>
  <c r="EL92" i="9"/>
  <c r="EH92" i="9" s="1"/>
  <c r="FE92" i="9" s="1"/>
  <c r="BX251" i="2"/>
  <c r="BX250" i="2"/>
  <c r="AM37" i="2"/>
  <c r="AM39" i="2" s="1"/>
  <c r="AM38" i="2" s="1"/>
  <c r="AL39" i="2"/>
  <c r="AL38" i="2" s="1"/>
  <c r="AG70" i="2"/>
  <c r="AG71" i="2" s="1"/>
  <c r="AE203" i="3"/>
  <c r="AE204" i="3"/>
  <c r="AM145" i="1"/>
  <c r="AL84" i="1"/>
  <c r="AG92" i="2"/>
  <c r="AG93" i="2" s="1"/>
  <c r="AP193" i="1"/>
  <c r="AJ159" i="3" s="1"/>
  <c r="AN154" i="1"/>
  <c r="AN167" i="1" s="1"/>
  <c r="AN152" i="1"/>
  <c r="AK100" i="6"/>
  <c r="AK159" i="6" s="1"/>
  <c r="AG90" i="2"/>
  <c r="AG87" i="2" s="1"/>
  <c r="CV7" i="7" a="1"/>
  <c r="CV16" i="7" s="1"/>
  <c r="AF88" i="2"/>
  <c r="AE89" i="2"/>
  <c r="AS102" i="12"/>
  <c r="AS166" i="12" s="1"/>
  <c r="Y102" i="12"/>
  <c r="Y166" i="12" s="1"/>
  <c r="AN100" i="6"/>
  <c r="AN159" i="6" s="1"/>
  <c r="S102" i="12"/>
  <c r="S166" i="12" s="1"/>
  <c r="AC100" i="6"/>
  <c r="AC159" i="6" s="1"/>
  <c r="Y100" i="6"/>
  <c r="Y159" i="6" s="1"/>
  <c r="AH102" i="12"/>
  <c r="AH166" i="12" s="1"/>
  <c r="N102" i="12"/>
  <c r="N166" i="12" s="1"/>
  <c r="AC102" i="12"/>
  <c r="AC166" i="12" s="1"/>
  <c r="AQ100" i="6"/>
  <c r="AQ159" i="6" s="1"/>
  <c r="X100" i="6"/>
  <c r="X159" i="6" s="1"/>
  <c r="W100" i="6"/>
  <c r="W159" i="6" s="1"/>
  <c r="AP100" i="6"/>
  <c r="AP159" i="6" s="1"/>
  <c r="AV102" i="12"/>
  <c r="AV166" i="12" s="1"/>
  <c r="AJ100" i="6"/>
  <c r="AJ159" i="6" s="1"/>
  <c r="AT102" i="12"/>
  <c r="AT166" i="12" s="1"/>
  <c r="V100" i="6"/>
  <c r="V159" i="6" s="1"/>
  <c r="AK102" i="12"/>
  <c r="AK166" i="12" s="1"/>
  <c r="Z102" i="12"/>
  <c r="Z166" i="12" s="1"/>
  <c r="AF102" i="12"/>
  <c r="AF166" i="12" s="1"/>
  <c r="P100" i="6"/>
  <c r="P159" i="6" s="1"/>
  <c r="AE102" i="12"/>
  <c r="AE166" i="12" s="1"/>
  <c r="AU102" i="12"/>
  <c r="AU166" i="12" s="1"/>
  <c r="AL102" i="12"/>
  <c r="AL166" i="12" s="1"/>
  <c r="U100" i="6"/>
  <c r="U159" i="6" s="1"/>
  <c r="Q102" i="12"/>
  <c r="Q166" i="12" s="1"/>
  <c r="AG102" i="12"/>
  <c r="AG166" i="12" s="1"/>
  <c r="R102" i="12"/>
  <c r="R166" i="12" s="1"/>
  <c r="Q100" i="6"/>
  <c r="Q159" i="6" s="1"/>
  <c r="AR102" i="12"/>
  <c r="AR166" i="12" s="1"/>
  <c r="AB100" i="6"/>
  <c r="AB159" i="6" s="1"/>
  <c r="AQ102" i="12"/>
  <c r="AQ166" i="12" s="1"/>
  <c r="AE100" i="6"/>
  <c r="AE159" i="6" s="1"/>
  <c r="BD42" i="5"/>
  <c r="AW42" i="5"/>
  <c r="AW43" i="5"/>
  <c r="BD43" i="5"/>
  <c r="AL178" i="1"/>
  <c r="AL92" i="1"/>
  <c r="AD69" i="7"/>
  <c r="DK27" i="9" a="1"/>
  <c r="AO159" i="1"/>
  <c r="AO186" i="1"/>
  <c r="AI20" i="3" s="1"/>
  <c r="AP161" i="1"/>
  <c r="AQ161" i="1" s="1"/>
  <c r="AP191" i="1"/>
  <c r="AP172" i="1"/>
  <c r="AO197" i="1"/>
  <c r="AI162" i="3" s="1"/>
  <c r="AN199" i="1"/>
  <c r="AH128" i="3" s="1"/>
  <c r="AK146" i="1"/>
  <c r="AM195" i="1"/>
  <c r="AU101" i="12"/>
  <c r="AU165" i="12" s="1"/>
  <c r="AT101" i="12"/>
  <c r="AT165" i="12" s="1"/>
  <c r="AS101" i="12"/>
  <c r="AS165" i="12" s="1"/>
  <c r="AR101" i="12"/>
  <c r="AR165" i="12" s="1"/>
  <c r="AV101" i="12"/>
  <c r="AV165" i="12" s="1"/>
  <c r="AO100" i="6"/>
  <c r="AO159" i="6" s="1"/>
  <c r="AN102" i="12"/>
  <c r="AN166" i="12" s="1"/>
  <c r="AL146" i="1"/>
  <c r="DW83" i="7"/>
  <c r="DZ83" i="7" s="1"/>
  <c r="ET82" i="7"/>
  <c r="ES82" i="7"/>
  <c r="DY82" i="7"/>
  <c r="AK12" i="2"/>
  <c r="AJ14" i="2"/>
  <c r="AJ19" i="2"/>
  <c r="AK17" i="2"/>
  <c r="AH48" i="2"/>
  <c r="BV37" i="8"/>
  <c r="CL36" i="8"/>
  <c r="AN149" i="1"/>
  <c r="AO153" i="1"/>
  <c r="AI132" i="3" s="1"/>
  <c r="AN194" i="1"/>
  <c r="AH119" i="3" s="1"/>
  <c r="AH183" i="3" s="1"/>
  <c r="AM188" i="1"/>
  <c r="AL189" i="1"/>
  <c r="AF24" i="3" s="1"/>
  <c r="AM175" i="1"/>
  <c r="AN162" i="1"/>
  <c r="AN187" i="1" s="1"/>
  <c r="BB36" i="8"/>
  <c r="BO35" i="8"/>
  <c r="AO144" i="1"/>
  <c r="AO191" i="1"/>
  <c r="AO172" i="1"/>
  <c r="AI14" i="2"/>
  <c r="AJ27" i="2"/>
  <c r="AI29" i="2"/>
  <c r="AI18" i="2"/>
  <c r="AI54" i="2"/>
  <c r="AH107" i="3" s="1"/>
  <c r="AH187" i="3" s="1"/>
  <c r="AJ52" i="2"/>
  <c r="EK27" i="2"/>
  <c r="EP27" i="2" s="1"/>
  <c r="EG28" i="2"/>
  <c r="EI27" i="2"/>
  <c r="FJ27" i="2" s="1"/>
  <c r="FK27" i="2" s="1"/>
  <c r="V68" i="9"/>
  <c r="AF39" i="9" s="1"/>
  <c r="V69" i="9"/>
  <c r="AF40" i="9" s="1"/>
  <c r="V70" i="9"/>
  <c r="AF41" i="9" s="1"/>
  <c r="V71" i="9"/>
  <c r="AF42" i="9" s="1"/>
  <c r="V72" i="9"/>
  <c r="AF43" i="9" s="1"/>
  <c r="V73" i="9"/>
  <c r="AF44" i="9" s="1"/>
  <c r="V74" i="9"/>
  <c r="AF45" i="9" s="1"/>
  <c r="V75" i="9"/>
  <c r="AF46" i="9" s="1"/>
  <c r="V76" i="9"/>
  <c r="AF47" i="9" s="1"/>
  <c r="V77" i="9"/>
  <c r="AF48" i="9" s="1"/>
  <c r="V78" i="9"/>
  <c r="AF49" i="9" s="1"/>
  <c r="V79" i="9"/>
  <c r="AF50" i="9" s="1"/>
  <c r="V80" i="9"/>
  <c r="AF51" i="9" s="1"/>
  <c r="V81" i="9"/>
  <c r="AF52" i="9" s="1"/>
  <c r="V82" i="9"/>
  <c r="AF53" i="9" s="1"/>
  <c r="V83" i="9"/>
  <c r="AF54" i="9" s="1"/>
  <c r="V84" i="9"/>
  <c r="AF55" i="9" s="1"/>
  <c r="V85" i="9"/>
  <c r="V86" i="9"/>
  <c r="AF57" i="9" s="1"/>
  <c r="AN109" i="1"/>
  <c r="AO151" i="1"/>
  <c r="AZ61" i="8" a="1"/>
  <c r="AI49" i="2"/>
  <c r="AJ47" i="2"/>
  <c r="AN180" i="1"/>
  <c r="AH141" i="3" s="1"/>
  <c r="AL170" i="1"/>
  <c r="AL181" i="1"/>
  <c r="AL198" i="1"/>
  <c r="K32" i="5"/>
  <c r="AV33" i="8"/>
  <c r="AH34" i="8"/>
  <c r="AN190" i="1"/>
  <c r="AH25" i="3" s="1"/>
  <c r="AH163" i="3" s="1"/>
  <c r="AL85" i="1"/>
  <c r="AL155" i="1"/>
  <c r="AL171" i="1"/>
  <c r="AG97" i="2" s="1"/>
  <c r="AG34" i="2"/>
  <c r="AF136" i="3" s="1"/>
  <c r="AL192" i="1"/>
  <c r="R16" i="8" a="1"/>
  <c r="AD61" i="8" a="1"/>
  <c r="AM167" i="1"/>
  <c r="AN176" i="1"/>
  <c r="AM183" i="1"/>
  <c r="AG61" i="2"/>
  <c r="AM180" i="1"/>
  <c r="AG141" i="3" s="1"/>
  <c r="AI60" i="2"/>
  <c r="AJ60" i="2" s="1"/>
  <c r="AH62" i="2"/>
  <c r="AH70" i="2" s="1"/>
  <c r="AH71" i="2" s="1"/>
  <c r="AM174" i="1"/>
  <c r="AM179" i="1"/>
  <c r="AG130" i="3" s="1"/>
  <c r="AF31" i="2"/>
  <c r="AF32" i="2" s="1"/>
  <c r="AF33" i="2"/>
  <c r="AE137" i="3" s="1"/>
  <c r="AF98" i="2"/>
  <c r="AF101" i="2" s="1"/>
  <c r="AN156" i="1"/>
  <c r="Y96" i="8"/>
  <c r="Y95" i="8"/>
  <c r="S56" i="9"/>
  <c r="W55" i="9"/>
  <c r="AI68" i="2" l="1"/>
  <c r="AI69" i="2" s="1"/>
  <c r="AH129" i="3"/>
  <c r="CU184" i="1"/>
  <c r="CU188" i="1"/>
  <c r="FH188" i="1" s="1"/>
  <c r="CU192" i="1"/>
  <c r="FH192" i="1" s="1"/>
  <c r="CU196" i="1"/>
  <c r="FH196" i="1" s="1"/>
  <c r="CU200" i="1"/>
  <c r="FH200" i="1" s="1"/>
  <c r="CU204" i="1"/>
  <c r="FH204" i="1" s="1"/>
  <c r="CU186" i="1"/>
  <c r="FH186" i="1" s="1"/>
  <c r="CU190" i="1"/>
  <c r="FH190" i="1" s="1"/>
  <c r="CU194" i="1"/>
  <c r="FH194" i="1" s="1"/>
  <c r="CU198" i="1"/>
  <c r="FH198" i="1" s="1"/>
  <c r="CU202" i="1"/>
  <c r="FH202" i="1" s="1"/>
  <c r="CU206" i="1"/>
  <c r="CU187" i="1"/>
  <c r="FH187" i="1" s="1"/>
  <c r="CU191" i="1"/>
  <c r="FH191" i="1" s="1"/>
  <c r="CU195" i="1"/>
  <c r="FH195" i="1" s="1"/>
  <c r="CU199" i="1"/>
  <c r="FH199" i="1" s="1"/>
  <c r="CU203" i="1"/>
  <c r="FH203" i="1" s="1"/>
  <c r="CU207" i="1"/>
  <c r="CU185" i="1"/>
  <c r="FH185" i="1" s="1"/>
  <c r="CU189" i="1"/>
  <c r="FH189" i="1" s="1"/>
  <c r="CU193" i="1"/>
  <c r="FH193" i="1" s="1"/>
  <c r="CU197" i="1"/>
  <c r="FH197" i="1" s="1"/>
  <c r="CU201" i="1"/>
  <c r="FH201" i="1" s="1"/>
  <c r="CU205" i="1"/>
  <c r="FH205" i="1" s="1"/>
  <c r="AH77" i="2"/>
  <c r="AH79" i="2" s="1"/>
  <c r="AH80" i="2" s="1"/>
  <c r="AG99" i="3"/>
  <c r="AG184" i="3" s="1"/>
  <c r="CT7" i="7" a="1"/>
  <c r="AG27" i="3"/>
  <c r="AJ156" i="3"/>
  <c r="AJ26" i="3"/>
  <c r="AJ160" i="3" s="1"/>
  <c r="AI156" i="3"/>
  <c r="AI26" i="3"/>
  <c r="AI160" i="3" s="1"/>
  <c r="EB53" i="2"/>
  <c r="EB69" i="2"/>
  <c r="EB63" i="2"/>
  <c r="EB66" i="2"/>
  <c r="EB50" i="2"/>
  <c r="DR264" i="1"/>
  <c r="EG263" i="1"/>
  <c r="CV115" i="1"/>
  <c r="FE116" i="1"/>
  <c r="AM24" i="3"/>
  <c r="AN14" i="3"/>
  <c r="GW29" i="2"/>
  <c r="GX29" i="2" s="1"/>
  <c r="CX160" i="1"/>
  <c r="CW160" i="1" s="1"/>
  <c r="DL160" i="1" s="1"/>
  <c r="EX117" i="1" s="1"/>
  <c r="ET69" i="2"/>
  <c r="FI28" i="2"/>
  <c r="IA69" i="2"/>
  <c r="AI28" i="2"/>
  <c r="AH131" i="3"/>
  <c r="AI13" i="2"/>
  <c r="AH142" i="3" s="1"/>
  <c r="AH135" i="3"/>
  <c r="AJ13" i="2"/>
  <c r="AI142" i="3" s="1"/>
  <c r="AI135" i="3"/>
  <c r="AG165" i="3"/>
  <c r="AG166" i="3"/>
  <c r="DO437" i="1"/>
  <c r="DF802" i="1"/>
  <c r="EL27" i="2"/>
  <c r="EQ27" i="2" s="1"/>
  <c r="EU68" i="2"/>
  <c r="CY253" i="1"/>
  <c r="CW253" i="1" s="1"/>
  <c r="DM345" i="1"/>
  <c r="DQ345" i="1" s="1"/>
  <c r="DR208" i="1"/>
  <c r="EH33" i="1"/>
  <c r="CW116" i="1"/>
  <c r="BF247" i="2"/>
  <c r="BW247" i="2" s="1"/>
  <c r="CV76" i="1"/>
  <c r="AQ186" i="1"/>
  <c r="AK20" i="3" s="1"/>
  <c r="AR161" i="1"/>
  <c r="AQ193" i="1"/>
  <c r="AK159" i="3" s="1"/>
  <c r="AP164" i="1"/>
  <c r="EG29" i="2"/>
  <c r="EH28" i="2"/>
  <c r="GV25" i="2" s="1"/>
  <c r="AK19" i="2"/>
  <c r="AL17" i="2"/>
  <c r="AK14" i="2"/>
  <c r="AL12" i="2"/>
  <c r="AF203" i="3"/>
  <c r="AF204" i="3"/>
  <c r="CV8" i="7"/>
  <c r="AN145" i="1"/>
  <c r="AP186" i="1"/>
  <c r="AO152" i="1"/>
  <c r="AH92" i="2"/>
  <c r="AH90" i="2" s="1"/>
  <c r="AO154" i="1"/>
  <c r="AO167" i="1" s="1"/>
  <c r="AM84" i="1"/>
  <c r="CV14" i="7"/>
  <c r="CV7" i="7"/>
  <c r="CV9" i="7"/>
  <c r="CV21" i="7"/>
  <c r="CV15" i="7"/>
  <c r="CV25" i="7"/>
  <c r="CV12" i="7"/>
  <c r="CV10" i="7"/>
  <c r="CV24" i="7"/>
  <c r="CV22" i="7"/>
  <c r="CV19" i="7"/>
  <c r="CV17" i="7"/>
  <c r="CV20" i="7"/>
  <c r="CV23" i="7"/>
  <c r="CV18" i="7"/>
  <c r="CV11" i="7"/>
  <c r="CV13" i="7"/>
  <c r="AJ102" i="12"/>
  <c r="AJ166" i="12" s="1"/>
  <c r="X102" i="12"/>
  <c r="X166" i="12" s="1"/>
  <c r="AH100" i="6"/>
  <c r="AH159" i="6" s="1"/>
  <c r="O100" i="6"/>
  <c r="O159" i="6" s="1"/>
  <c r="AL100" i="6"/>
  <c r="AL159" i="6" s="1"/>
  <c r="AI100" i="6"/>
  <c r="AI159" i="6" s="1"/>
  <c r="AM102" i="12"/>
  <c r="AM166" i="12" s="1"/>
  <c r="AR100" i="6"/>
  <c r="AR159" i="6" s="1"/>
  <c r="AF100" i="6"/>
  <c r="AF159" i="6" s="1"/>
  <c r="AB102" i="12"/>
  <c r="AB166" i="12" s="1"/>
  <c r="AG100" i="6"/>
  <c r="AG159" i="6" s="1"/>
  <c r="W102" i="12"/>
  <c r="W166" i="12" s="1"/>
  <c r="AD100" i="6"/>
  <c r="AD159" i="6" s="1"/>
  <c r="AG88" i="2"/>
  <c r="AF89" i="2"/>
  <c r="AD102" i="12"/>
  <c r="AD166" i="12" s="1"/>
  <c r="AA102" i="12"/>
  <c r="AA166" i="12" s="1"/>
  <c r="T100" i="6"/>
  <c r="T159" i="6" s="1"/>
  <c r="Z100" i="6"/>
  <c r="Z159" i="6" s="1"/>
  <c r="P102" i="12"/>
  <c r="P166" i="12" s="1"/>
  <c r="T102" i="12"/>
  <c r="T166" i="12" s="1"/>
  <c r="O102" i="12"/>
  <c r="O166" i="12" s="1"/>
  <c r="AA100" i="6"/>
  <c r="AA159" i="6" s="1"/>
  <c r="U102" i="12"/>
  <c r="U166" i="12" s="1"/>
  <c r="AI102" i="12"/>
  <c r="AI166" i="12" s="1"/>
  <c r="AO102" i="12"/>
  <c r="AO166" i="12" s="1"/>
  <c r="V102" i="12"/>
  <c r="V166" i="12" s="1"/>
  <c r="AP102" i="12"/>
  <c r="AP166" i="12" s="1"/>
  <c r="S100" i="6"/>
  <c r="S159" i="6" s="1"/>
  <c r="R100" i="6"/>
  <c r="R159" i="6" s="1"/>
  <c r="AM100" i="6"/>
  <c r="AM159" i="6" s="1"/>
  <c r="AM178" i="1"/>
  <c r="AM92" i="1"/>
  <c r="AP99" i="6"/>
  <c r="AP158" i="6" s="1"/>
  <c r="AO101" i="12"/>
  <c r="AO165" i="12" s="1"/>
  <c r="AM99" i="6"/>
  <c r="AM158" i="6" s="1"/>
  <c r="AL101" i="12"/>
  <c r="AL165" i="12" s="1"/>
  <c r="Z99" i="6"/>
  <c r="Z158" i="6" s="1"/>
  <c r="Y101" i="12"/>
  <c r="Y165" i="12" s="1"/>
  <c r="S101" i="12"/>
  <c r="S165" i="12" s="1"/>
  <c r="T99" i="6"/>
  <c r="T158" i="6" s="1"/>
  <c r="AI101" i="12"/>
  <c r="AI165" i="12" s="1"/>
  <c r="AJ99" i="6"/>
  <c r="AJ158" i="6" s="1"/>
  <c r="R101" i="12"/>
  <c r="R165" i="12" s="1"/>
  <c r="S99" i="6"/>
  <c r="S158" i="6" s="1"/>
  <c r="X101" i="12"/>
  <c r="X165" i="12" s="1"/>
  <c r="Y99" i="6"/>
  <c r="Y158" i="6" s="1"/>
  <c r="AK101" i="12"/>
  <c r="AK165" i="12" s="1"/>
  <c r="AL99" i="6"/>
  <c r="AL158" i="6" s="1"/>
  <c r="AD101" i="12"/>
  <c r="AD165" i="12" s="1"/>
  <c r="AE99" i="6"/>
  <c r="AE158" i="6" s="1"/>
  <c r="AF101" i="12"/>
  <c r="AF165" i="12" s="1"/>
  <c r="AG99" i="6"/>
  <c r="AG158" i="6" s="1"/>
  <c r="Q101" i="12"/>
  <c r="Q165" i="12" s="1"/>
  <c r="R99" i="6"/>
  <c r="R158" i="6" s="1"/>
  <c r="O101" i="12"/>
  <c r="O165" i="12" s="1"/>
  <c r="P99" i="6"/>
  <c r="P158" i="6" s="1"/>
  <c r="AE101" i="12"/>
  <c r="AE165" i="12" s="1"/>
  <c r="AF99" i="6"/>
  <c r="AF158" i="6" s="1"/>
  <c r="AP101" i="12"/>
  <c r="AP165" i="12" s="1"/>
  <c r="AQ99" i="6"/>
  <c r="AQ158" i="6" s="1"/>
  <c r="AB101" i="12"/>
  <c r="AB165" i="12" s="1"/>
  <c r="AC99" i="6"/>
  <c r="AC158" i="6" s="1"/>
  <c r="F87" i="7" a="1"/>
  <c r="AP159" i="1"/>
  <c r="AO156" i="1"/>
  <c r="AO176" i="1"/>
  <c r="AD99" i="6"/>
  <c r="AD158" i="6" s="1"/>
  <c r="AC101" i="12"/>
  <c r="AC165" i="12" s="1"/>
  <c r="W99" i="6"/>
  <c r="W158" i="6" s="1"/>
  <c r="V101" i="12"/>
  <c r="V165" i="12" s="1"/>
  <c r="Q99" i="6"/>
  <c r="Q158" i="6" s="1"/>
  <c r="P101" i="12"/>
  <c r="P165" i="12" s="1"/>
  <c r="O99" i="6"/>
  <c r="O158" i="6" s="1"/>
  <c r="N101" i="12"/>
  <c r="N165" i="12" s="1"/>
  <c r="AA101" i="12"/>
  <c r="AA165" i="12" s="1"/>
  <c r="AB99" i="6"/>
  <c r="AB158" i="6" s="1"/>
  <c r="AQ101" i="12"/>
  <c r="AQ165" i="12" s="1"/>
  <c r="AR99" i="6"/>
  <c r="AR158" i="6" s="1"/>
  <c r="AH101" i="12"/>
  <c r="AH165" i="12" s="1"/>
  <c r="AI99" i="6"/>
  <c r="AI158" i="6" s="1"/>
  <c r="T101" i="12"/>
  <c r="T165" i="12" s="1"/>
  <c r="U99" i="6"/>
  <c r="U158" i="6" s="1"/>
  <c r="U101" i="12"/>
  <c r="U165" i="12" s="1"/>
  <c r="V99" i="6"/>
  <c r="V158" i="6" s="1"/>
  <c r="AJ101" i="12"/>
  <c r="AJ165" i="12" s="1"/>
  <c r="AK99" i="6"/>
  <c r="AK158" i="6" s="1"/>
  <c r="AG101" i="12"/>
  <c r="AG165" i="12" s="1"/>
  <c r="AH99" i="6"/>
  <c r="AH158" i="6" s="1"/>
  <c r="W101" i="12"/>
  <c r="W165" i="12" s="1"/>
  <c r="X99" i="6"/>
  <c r="X158" i="6" s="1"/>
  <c r="AM101" i="12"/>
  <c r="AM165" i="12" s="1"/>
  <c r="AN99" i="6"/>
  <c r="AN158" i="6" s="1"/>
  <c r="Z101" i="12"/>
  <c r="Z165" i="12" s="1"/>
  <c r="AA99" i="6"/>
  <c r="AA158" i="6" s="1"/>
  <c r="AN101" i="12"/>
  <c r="AN165" i="12" s="1"/>
  <c r="AO99" i="6"/>
  <c r="AO158" i="6" s="1"/>
  <c r="AN195" i="1"/>
  <c r="AM146" i="1"/>
  <c r="AO199" i="1"/>
  <c r="AI128" i="3" s="1"/>
  <c r="AP197" i="1"/>
  <c r="AJ162" i="3" s="1"/>
  <c r="AO190" i="1"/>
  <c r="AI25" i="3" s="1"/>
  <c r="AI163" i="3" s="1"/>
  <c r="AP144" i="1"/>
  <c r="DK27" i="9"/>
  <c r="DK34" i="9"/>
  <c r="DK42" i="9"/>
  <c r="DK38" i="9"/>
  <c r="DK48" i="9"/>
  <c r="DK40" i="9"/>
  <c r="DK32" i="9"/>
  <c r="DK45" i="9"/>
  <c r="DK41" i="9"/>
  <c r="DK37" i="9"/>
  <c r="DK33" i="9"/>
  <c r="DK29" i="9"/>
  <c r="DK31" i="9"/>
  <c r="DK46" i="9"/>
  <c r="DK30" i="9"/>
  <c r="DK44" i="9"/>
  <c r="DK36" i="9"/>
  <c r="DK28" i="9"/>
  <c r="DK47" i="9"/>
  <c r="DK43" i="9"/>
  <c r="DK39" i="9"/>
  <c r="DK35" i="9"/>
  <c r="ET83" i="7"/>
  <c r="DY83" i="7"/>
  <c r="ES83" i="7"/>
  <c r="AK60" i="2"/>
  <c r="AJ62" i="2"/>
  <c r="AJ49" i="2"/>
  <c r="AK47" i="2"/>
  <c r="AJ29" i="2"/>
  <c r="AK27" i="2"/>
  <c r="AJ54" i="2"/>
  <c r="AI107" i="3" s="1"/>
  <c r="AI187" i="3" s="1"/>
  <c r="AK52" i="2"/>
  <c r="AO149" i="1"/>
  <c r="AP153" i="1"/>
  <c r="AJ132" i="3" s="1"/>
  <c r="FK68" i="9" a="1"/>
  <c r="FK69" i="9" s="1"/>
  <c r="AP151" i="1"/>
  <c r="AI48" i="2"/>
  <c r="BV38" i="8"/>
  <c r="CL37" i="8"/>
  <c r="BO36" i="8"/>
  <c r="BB37" i="8"/>
  <c r="CR7" i="7" a="1"/>
  <c r="AM189" i="1"/>
  <c r="AG24" i="3" s="1"/>
  <c r="AO194" i="1"/>
  <c r="AI119" i="3" s="1"/>
  <c r="AI183" i="3" s="1"/>
  <c r="AN188" i="1"/>
  <c r="AH27" i="3" s="1"/>
  <c r="AO180" i="1"/>
  <c r="AI141" i="3" s="1"/>
  <c r="AO183" i="1"/>
  <c r="AO162" i="1"/>
  <c r="AN175" i="1"/>
  <c r="CT10" i="7"/>
  <c r="CT18" i="7"/>
  <c r="CT7" i="7"/>
  <c r="CT15" i="7"/>
  <c r="CT23" i="7"/>
  <c r="CT17" i="7"/>
  <c r="CT8" i="7"/>
  <c r="CT16" i="7"/>
  <c r="CT24" i="7"/>
  <c r="CT21" i="7"/>
  <c r="CT14" i="7"/>
  <c r="CT22" i="7"/>
  <c r="CT11" i="7"/>
  <c r="CT19" i="7"/>
  <c r="CT13" i="7"/>
  <c r="CT25" i="7"/>
  <c r="CT12" i="7"/>
  <c r="CT20" i="7"/>
  <c r="CT9" i="7"/>
  <c r="AN84" i="1"/>
  <c r="AI34" i="2"/>
  <c r="AH136" i="3" s="1"/>
  <c r="EK28" i="2"/>
  <c r="EP28" i="2" s="1"/>
  <c r="EI28" i="2"/>
  <c r="FJ28" i="2" s="1"/>
  <c r="FK28" i="2" s="1"/>
  <c r="AZ61" i="8"/>
  <c r="AZ62" i="8"/>
  <c r="AZ63" i="8"/>
  <c r="AZ64" i="8"/>
  <c r="AZ65" i="8"/>
  <c r="AZ66" i="8"/>
  <c r="AZ67" i="8"/>
  <c r="AZ68" i="8"/>
  <c r="AZ69" i="8"/>
  <c r="AZ70" i="8"/>
  <c r="AZ71" i="8"/>
  <c r="AZ72" i="8"/>
  <c r="AZ73" i="8"/>
  <c r="AZ74" i="8"/>
  <c r="AZ75" i="8"/>
  <c r="AZ76" i="8"/>
  <c r="AZ77" i="8"/>
  <c r="AZ78" i="8"/>
  <c r="AZ79" i="8"/>
  <c r="AZ80" i="8"/>
  <c r="AZ81" i="8" s="1"/>
  <c r="AO109" i="1"/>
  <c r="S174" i="7" a="1"/>
  <c r="AI62" i="2"/>
  <c r="AN179" i="1"/>
  <c r="AH130" i="3" s="1"/>
  <c r="AN174" i="1"/>
  <c r="P169" i="9" a="1"/>
  <c r="AG31" i="2"/>
  <c r="AG32" i="2" s="1"/>
  <c r="AG33" i="2"/>
  <c r="AF137" i="3" s="1"/>
  <c r="AG98" i="2"/>
  <c r="AG101" i="2" s="1"/>
  <c r="AM85" i="1"/>
  <c r="AH34" i="2"/>
  <c r="AG136" i="3" s="1"/>
  <c r="AM155" i="1"/>
  <c r="AM171" i="1"/>
  <c r="AH97" i="2" s="1"/>
  <c r="AM192" i="1"/>
  <c r="AN183" i="1"/>
  <c r="AD64" i="8"/>
  <c r="AD68" i="8"/>
  <c r="AD72" i="8"/>
  <c r="AD76" i="8"/>
  <c r="AD80" i="8"/>
  <c r="AD81" i="8" s="1"/>
  <c r="AD82" i="8" s="1"/>
  <c r="AD83" i="8" s="1"/>
  <c r="AD84" i="8" s="1"/>
  <c r="AD85" i="8" s="1"/>
  <c r="AD86" i="8" s="1"/>
  <c r="AD87" i="8" s="1"/>
  <c r="AD88" i="8" s="1"/>
  <c r="AD89" i="8" s="1"/>
  <c r="AD90" i="8" s="1"/>
  <c r="AD91" i="8" s="1"/>
  <c r="AD92" i="8" s="1"/>
  <c r="AD93" i="8" s="1"/>
  <c r="AD94" i="8" s="1"/>
  <c r="AD95" i="8" s="1"/>
  <c r="AD96" i="8" s="1"/>
  <c r="AD61" i="8"/>
  <c r="AD65" i="8"/>
  <c r="AD69" i="8"/>
  <c r="AD73" i="8"/>
  <c r="AD77" i="8"/>
  <c r="AD62" i="8"/>
  <c r="AD66" i="8"/>
  <c r="AD70" i="8"/>
  <c r="AD74" i="8"/>
  <c r="AD78" i="8"/>
  <c r="AD63" i="8"/>
  <c r="AD67" i="8"/>
  <c r="AD71" i="8"/>
  <c r="AD75" i="8"/>
  <c r="AD79" i="8"/>
  <c r="AH35" i="8"/>
  <c r="AV34" i="8"/>
  <c r="K33" i="5"/>
  <c r="AM170" i="1"/>
  <c r="AM181" i="1"/>
  <c r="AM198" i="1"/>
  <c r="R17" i="8"/>
  <c r="R21" i="8"/>
  <c r="R25" i="8"/>
  <c r="R29" i="8"/>
  <c r="R33" i="8"/>
  <c r="R18" i="8"/>
  <c r="R22" i="8"/>
  <c r="R26" i="8"/>
  <c r="R30" i="8"/>
  <c r="R34" i="8"/>
  <c r="R19" i="8"/>
  <c r="R23" i="8"/>
  <c r="R27" i="8"/>
  <c r="R31" i="8"/>
  <c r="R35" i="8"/>
  <c r="R16" i="8"/>
  <c r="R20" i="8"/>
  <c r="R24" i="8"/>
  <c r="R28" i="8"/>
  <c r="R32" i="8"/>
  <c r="R36" i="8"/>
  <c r="AH61" i="2"/>
  <c r="AR107" i="12"/>
  <c r="AR171" i="12" s="1"/>
  <c r="AS107" i="12"/>
  <c r="AS171" i="12" s="1"/>
  <c r="AT107" i="12"/>
  <c r="AT171" i="12" s="1"/>
  <c r="AU107" i="12"/>
  <c r="AU171" i="12" s="1"/>
  <c r="AV107" i="12"/>
  <c r="AV171" i="12" s="1"/>
  <c r="S57" i="9"/>
  <c r="W56" i="9"/>
  <c r="HB134" i="2" l="1" a="1"/>
  <c r="HB134" i="2" s="1"/>
  <c r="HT134" i="2" s="1"/>
  <c r="AJ20" i="3"/>
  <c r="DR265" i="1"/>
  <c r="EG264" i="1"/>
  <c r="FH207" i="1"/>
  <c r="CT207" i="1"/>
  <c r="AI77" i="2"/>
  <c r="AI79" i="2" s="1"/>
  <c r="AI80" i="2" s="1"/>
  <c r="AH99" i="3"/>
  <c r="AH184" i="3" s="1"/>
  <c r="AR186" i="1"/>
  <c r="AL20" i="3" s="1"/>
  <c r="CS136" i="1" a="1"/>
  <c r="CK6" i="3" a="1"/>
  <c r="EG136" i="1" a="1"/>
  <c r="FH206" i="1"/>
  <c r="CT206" i="1"/>
  <c r="AJ68" i="2"/>
  <c r="AJ69" i="2" s="1"/>
  <c r="AI129" i="3"/>
  <c r="AN18" i="3"/>
  <c r="AN24" i="3"/>
  <c r="CV116" i="1"/>
  <c r="DI116" i="1" s="1"/>
  <c r="EW117" i="1" s="1"/>
  <c r="FE117" i="1"/>
  <c r="DN437" i="1"/>
  <c r="EB437" i="1" s="1"/>
  <c r="EZ117" i="1" s="1"/>
  <c r="AO14" i="3"/>
  <c r="AO156" i="3" s="1"/>
  <c r="BF248" i="2"/>
  <c r="BW248" i="2" s="1"/>
  <c r="AM156" i="3"/>
  <c r="AN120" i="3"/>
  <c r="AN90" i="3"/>
  <c r="AN25" i="3"/>
  <c r="AN163" i="3" s="1"/>
  <c r="AK13" i="2"/>
  <c r="AJ142" i="3" s="1"/>
  <c r="AJ135" i="3"/>
  <c r="FI29" i="2"/>
  <c r="IA70" i="2"/>
  <c r="AI165" i="3"/>
  <c r="AI166" i="3"/>
  <c r="AH165" i="3"/>
  <c r="AH166" i="3"/>
  <c r="AJ28" i="2"/>
  <c r="AI131" i="3"/>
  <c r="AH93" i="2"/>
  <c r="AJ48" i="2"/>
  <c r="EL28" i="2"/>
  <c r="EQ28" i="2" s="1"/>
  <c r="EU69" i="2"/>
  <c r="EI29" i="2"/>
  <c r="FJ29" i="2" s="1"/>
  <c r="FK29" i="2" s="1"/>
  <c r="ET70" i="2"/>
  <c r="EK29" i="2"/>
  <c r="EP29" i="2" s="1"/>
  <c r="AQ151" i="1"/>
  <c r="AR151" i="1" s="1"/>
  <c r="AS151" i="1" s="1"/>
  <c r="AP149" i="1"/>
  <c r="AQ153" i="1"/>
  <c r="AK132" i="3" s="1"/>
  <c r="AQ144" i="1"/>
  <c r="AQ191" i="1"/>
  <c r="AR193" i="1"/>
  <c r="AL159" i="3" s="1"/>
  <c r="AQ172" i="1"/>
  <c r="DC899" i="1" a="1"/>
  <c r="DC902" i="1" s="1"/>
  <c r="DF902" i="1" s="1"/>
  <c r="AQ197" i="1"/>
  <c r="AK162" i="3" s="1"/>
  <c r="AQ159" i="1"/>
  <c r="AQ164" i="1"/>
  <c r="AR164" i="1" s="1"/>
  <c r="DR161" i="2"/>
  <c r="FI252" i="1" s="1"/>
  <c r="FF252" i="1" s="1"/>
  <c r="FG252" i="1" s="1"/>
  <c r="EY118" i="1" s="1"/>
  <c r="EH29" i="2"/>
  <c r="GV26" i="2" s="1"/>
  <c r="EG30" i="2"/>
  <c r="BF249" i="2"/>
  <c r="BW249" i="2" s="1"/>
  <c r="AK18" i="2"/>
  <c r="AJ70" i="2"/>
  <c r="AJ71" i="2" s="1"/>
  <c r="AK54" i="2"/>
  <c r="AL52" i="2"/>
  <c r="AK29" i="2"/>
  <c r="AL27" i="2"/>
  <c r="AK49" i="2"/>
  <c r="AL47" i="2"/>
  <c r="AM12" i="2"/>
  <c r="AM14" i="2" s="1"/>
  <c r="AL14" i="2"/>
  <c r="AM17" i="2"/>
  <c r="AM19" i="2" s="1"/>
  <c r="AL19" i="2"/>
  <c r="AI61" i="2"/>
  <c r="AI70" i="2"/>
  <c r="AI71" i="2" s="1"/>
  <c r="AK62" i="2"/>
  <c r="AL60" i="2"/>
  <c r="DC900" i="1"/>
  <c r="DF900" i="1" s="1"/>
  <c r="DC904" i="1"/>
  <c r="DF904" i="1" s="1"/>
  <c r="DC908" i="1"/>
  <c r="DF908" i="1" s="1"/>
  <c r="DC916" i="1"/>
  <c r="DF916" i="1" s="1"/>
  <c r="DC920" i="1"/>
  <c r="DF920" i="1" s="1"/>
  <c r="DC901" i="1"/>
  <c r="DF901" i="1" s="1"/>
  <c r="DC909" i="1"/>
  <c r="DF909" i="1" s="1"/>
  <c r="DC913" i="1"/>
  <c r="DF913" i="1" s="1"/>
  <c r="DC917" i="1"/>
  <c r="DF917" i="1" s="1"/>
  <c r="AG203" i="3"/>
  <c r="AG204" i="3"/>
  <c r="AI92" i="2"/>
  <c r="AI93" i="2" s="1"/>
  <c r="AP152" i="1"/>
  <c r="AJ129" i="3" s="1"/>
  <c r="EL694" i="1" a="1"/>
  <c r="EL694" i="1" s="1"/>
  <c r="EM694" i="1" s="1"/>
  <c r="EZ694" i="1" s="1"/>
  <c r="AO145" i="1"/>
  <c r="AP154" i="1"/>
  <c r="HB142" i="2"/>
  <c r="HT142" i="2" s="1"/>
  <c r="HB137" i="2"/>
  <c r="HT137" i="2" s="1"/>
  <c r="HB144" i="2"/>
  <c r="HT144" i="2" s="1"/>
  <c r="HB153" i="2"/>
  <c r="HT153" i="2" s="1"/>
  <c r="HB143" i="2"/>
  <c r="HT143" i="2" s="1"/>
  <c r="HB136" i="2"/>
  <c r="HT136" i="2" s="1"/>
  <c r="HB152" i="2"/>
  <c r="HT152" i="2" s="1"/>
  <c r="HB150" i="2"/>
  <c r="HT150" i="2" s="1"/>
  <c r="HB145" i="2"/>
  <c r="HT145" i="2" s="1"/>
  <c r="HB151" i="2"/>
  <c r="HT151" i="2" s="1"/>
  <c r="HB135" i="2"/>
  <c r="HT135" i="2" s="1"/>
  <c r="AH87" i="2"/>
  <c r="AH88" i="2" s="1"/>
  <c r="EL713" i="1"/>
  <c r="EM713" i="1" s="1"/>
  <c r="EL697" i="1"/>
  <c r="EM697" i="1" s="1"/>
  <c r="EL702" i="1"/>
  <c r="EM702" i="1" s="1"/>
  <c r="EL707" i="1"/>
  <c r="EM707" i="1" s="1"/>
  <c r="EL712" i="1"/>
  <c r="EM712" i="1" s="1"/>
  <c r="EL696" i="1"/>
  <c r="EM696" i="1" s="1"/>
  <c r="AG89" i="2"/>
  <c r="AI33" i="2"/>
  <c r="AH137" i="3" s="1"/>
  <c r="AI98" i="2"/>
  <c r="AI101" i="2" s="1"/>
  <c r="FK82" i="9"/>
  <c r="FK87" i="9"/>
  <c r="HB140" i="2"/>
  <c r="HT140" i="2" s="1"/>
  <c r="HB148" i="2"/>
  <c r="HT148" i="2" s="1"/>
  <c r="HB138" i="2"/>
  <c r="HT138" i="2" s="1"/>
  <c r="HB146" i="2"/>
  <c r="HT146" i="2" s="1"/>
  <c r="HB154" i="2"/>
  <c r="HT154" i="2" s="1"/>
  <c r="HB149" i="2"/>
  <c r="HT149" i="2" s="1"/>
  <c r="HB141" i="2"/>
  <c r="HT141" i="2" s="1"/>
  <c r="HB155" i="2"/>
  <c r="HT155" i="2" s="1"/>
  <c r="HB147" i="2"/>
  <c r="HT147" i="2" s="1"/>
  <c r="HB139" i="2"/>
  <c r="HT139" i="2" s="1"/>
  <c r="FK74" i="9"/>
  <c r="FK79" i="9"/>
  <c r="FK86" i="9"/>
  <c r="FK78" i="9"/>
  <c r="FK70" i="9"/>
  <c r="FK83" i="9"/>
  <c r="FK75" i="9"/>
  <c r="AO188" i="1"/>
  <c r="AI27" i="3" s="1"/>
  <c r="AP194" i="1"/>
  <c r="AP176" i="1"/>
  <c r="AQ176" i="1" s="1"/>
  <c r="AP156" i="1"/>
  <c r="AN170" i="1"/>
  <c r="AN92" i="1"/>
  <c r="AN198" i="1"/>
  <c r="AO187" i="1"/>
  <c r="AP162" i="1"/>
  <c r="AQ162" i="1" s="1"/>
  <c r="AO192" i="1"/>
  <c r="AP180" i="1"/>
  <c r="AJ141" i="3" s="1"/>
  <c r="AP190" i="1"/>
  <c r="AP199" i="1"/>
  <c r="AJ128" i="3" s="1"/>
  <c r="AO195" i="1"/>
  <c r="AP184" i="1"/>
  <c r="AJ18" i="3" s="1"/>
  <c r="F88" i="7"/>
  <c r="AC88" i="7" s="1"/>
  <c r="AU88" i="7" s="1"/>
  <c r="F107" i="7"/>
  <c r="AC107" i="7" s="1"/>
  <c r="F103" i="7"/>
  <c r="AC103" i="7" s="1"/>
  <c r="AU103" i="7" s="1"/>
  <c r="F99" i="7"/>
  <c r="AC99" i="7" s="1"/>
  <c r="AU99" i="7" s="1"/>
  <c r="F95" i="7"/>
  <c r="AC95" i="7" s="1"/>
  <c r="AU95" i="7" s="1"/>
  <c r="F91" i="7"/>
  <c r="AC91" i="7" s="1"/>
  <c r="AU91" i="7" s="1"/>
  <c r="F87" i="7"/>
  <c r="AC87" i="7" s="1"/>
  <c r="AU87" i="7" s="1"/>
  <c r="F108" i="7"/>
  <c r="AC108" i="7" s="1"/>
  <c r="F104" i="7"/>
  <c r="AC104" i="7" s="1"/>
  <c r="AU104" i="7" s="1"/>
  <c r="F100" i="7"/>
  <c r="AC100" i="7" s="1"/>
  <c r="AU100" i="7" s="1"/>
  <c r="F96" i="7"/>
  <c r="AC96" i="7" s="1"/>
  <c r="AU96" i="7" s="1"/>
  <c r="F92" i="7"/>
  <c r="AC92" i="7" s="1"/>
  <c r="AU92" i="7" s="1"/>
  <c r="F105" i="7"/>
  <c r="AC105" i="7" s="1"/>
  <c r="AU105" i="7" s="1"/>
  <c r="F101" i="7"/>
  <c r="AC101" i="7" s="1"/>
  <c r="AU101" i="7" s="1"/>
  <c r="F97" i="7"/>
  <c r="AC97" i="7" s="1"/>
  <c r="AU97" i="7" s="1"/>
  <c r="F93" i="7"/>
  <c r="AC93" i="7" s="1"/>
  <c r="AU93" i="7" s="1"/>
  <c r="F89" i="7"/>
  <c r="AC89" i="7" s="1"/>
  <c r="AU89" i="7" s="1"/>
  <c r="F106" i="7"/>
  <c r="AC106" i="7" s="1"/>
  <c r="AU106" i="7" s="1"/>
  <c r="F102" i="7"/>
  <c r="AC102" i="7" s="1"/>
  <c r="AU102" i="7" s="1"/>
  <c r="F98" i="7"/>
  <c r="AC98" i="7" s="1"/>
  <c r="AU98" i="7" s="1"/>
  <c r="F94" i="7"/>
  <c r="AC94" i="7" s="1"/>
  <c r="AU94" i="7" s="1"/>
  <c r="F90" i="7"/>
  <c r="AC90" i="7" s="1"/>
  <c r="AU90" i="7" s="1"/>
  <c r="AN146" i="1"/>
  <c r="FK71" i="9"/>
  <c r="FK88" i="9"/>
  <c r="FK84" i="9"/>
  <c r="FK80" i="9"/>
  <c r="FK76" i="9"/>
  <c r="FK72" i="9"/>
  <c r="FK68" i="9"/>
  <c r="FK85" i="9"/>
  <c r="FK81" i="9"/>
  <c r="FK77" i="9"/>
  <c r="FK73" i="9"/>
  <c r="AP109" i="1"/>
  <c r="G87" i="7" a="1"/>
  <c r="GX134" i="2" a="1"/>
  <c r="EK68" i="9" a="1"/>
  <c r="AI31" i="2"/>
  <c r="N120" i="12"/>
  <c r="N184" i="12" s="1"/>
  <c r="AR114" i="12"/>
  <c r="AR178" i="12" s="1"/>
  <c r="FJ68" i="9" a="1"/>
  <c r="FJ69" i="9" s="1"/>
  <c r="AT120" i="12"/>
  <c r="AT184" i="12" s="1"/>
  <c r="AD120" i="12"/>
  <c r="AD184" i="12" s="1"/>
  <c r="AL120" i="12"/>
  <c r="AL184" i="12" s="1"/>
  <c r="V120" i="12"/>
  <c r="V184" i="12" s="1"/>
  <c r="AP120" i="12"/>
  <c r="AP184" i="12" s="1"/>
  <c r="AH120" i="12"/>
  <c r="AH184" i="12" s="1"/>
  <c r="Z120" i="12"/>
  <c r="Z184" i="12" s="1"/>
  <c r="R120" i="12"/>
  <c r="R184" i="12" s="1"/>
  <c r="AV120" i="12"/>
  <c r="AV184" i="12" s="1"/>
  <c r="AR120" i="12"/>
  <c r="AR184" i="12" s="1"/>
  <c r="AN120" i="12"/>
  <c r="AN184" i="12" s="1"/>
  <c r="AJ120" i="12"/>
  <c r="AJ184" i="12" s="1"/>
  <c r="AF120" i="12"/>
  <c r="AF184" i="12" s="1"/>
  <c r="AB120" i="12"/>
  <c r="AB184" i="12" s="1"/>
  <c r="X120" i="12"/>
  <c r="X184" i="12" s="1"/>
  <c r="T120" i="12"/>
  <c r="T184" i="12" s="1"/>
  <c r="P120" i="12"/>
  <c r="P184" i="12" s="1"/>
  <c r="AO113" i="6"/>
  <c r="AO172" i="6" s="1"/>
  <c r="AS108" i="12"/>
  <c r="AS172" i="12" s="1"/>
  <c r="AC108" i="12"/>
  <c r="AC172" i="12" s="1"/>
  <c r="AL106" i="6"/>
  <c r="AL165" i="6" s="1"/>
  <c r="U108" i="12"/>
  <c r="U172" i="12" s="1"/>
  <c r="AP106" i="6"/>
  <c r="AP165" i="6" s="1"/>
  <c r="AH106" i="6"/>
  <c r="AH165" i="6" s="1"/>
  <c r="Z106" i="6"/>
  <c r="Z165" i="6" s="1"/>
  <c r="R106" i="6"/>
  <c r="R165" i="6" s="1"/>
  <c r="AU108" i="12"/>
  <c r="AU172" i="12" s="1"/>
  <c r="AQ108" i="12"/>
  <c r="AQ172" i="12" s="1"/>
  <c r="AM108" i="12"/>
  <c r="AM172" i="12" s="1"/>
  <c r="AI108" i="12"/>
  <c r="AI172" i="12" s="1"/>
  <c r="AE108" i="12"/>
  <c r="AE172" i="12" s="1"/>
  <c r="AA108" i="12"/>
  <c r="AA172" i="12" s="1"/>
  <c r="W108" i="12"/>
  <c r="W172" i="12" s="1"/>
  <c r="S108" i="12"/>
  <c r="S172" i="12" s="1"/>
  <c r="P106" i="6"/>
  <c r="P165" i="6" s="1"/>
  <c r="AV108" i="12"/>
  <c r="AV172" i="12" s="1"/>
  <c r="AT108" i="12"/>
  <c r="AT172" i="12" s="1"/>
  <c r="AR108" i="12"/>
  <c r="AR172" i="12" s="1"/>
  <c r="AQ106" i="6"/>
  <c r="AQ165" i="6" s="1"/>
  <c r="AO106" i="6"/>
  <c r="AO165" i="6" s="1"/>
  <c r="AM106" i="6"/>
  <c r="AM165" i="6" s="1"/>
  <c r="AJ108" i="12"/>
  <c r="AJ172" i="12" s="1"/>
  <c r="AI106" i="6"/>
  <c r="AI165" i="6" s="1"/>
  <c r="AG106" i="6"/>
  <c r="AG165" i="6" s="1"/>
  <c r="AE106" i="6"/>
  <c r="AE165" i="6" s="1"/>
  <c r="AB108" i="12"/>
  <c r="AB172" i="12" s="1"/>
  <c r="AA106" i="6"/>
  <c r="AA165" i="6" s="1"/>
  <c r="Y106" i="6"/>
  <c r="Y165" i="6" s="1"/>
  <c r="W106" i="6"/>
  <c r="W165" i="6" s="1"/>
  <c r="T108" i="12"/>
  <c r="T172" i="12" s="1"/>
  <c r="S106" i="6"/>
  <c r="S165" i="6" s="1"/>
  <c r="Q106" i="6"/>
  <c r="Q165" i="6" s="1"/>
  <c r="X115" i="12"/>
  <c r="X179" i="12" s="1"/>
  <c r="AB114" i="12"/>
  <c r="AB178" i="12" s="1"/>
  <c r="AV115" i="12"/>
  <c r="AV179" i="12" s="1"/>
  <c r="AF115" i="12"/>
  <c r="AF179" i="12" s="1"/>
  <c r="P115" i="12"/>
  <c r="P179" i="12" s="1"/>
  <c r="AK112" i="6"/>
  <c r="AK171" i="6" s="1"/>
  <c r="T114" i="12"/>
  <c r="T178" i="12" s="1"/>
  <c r="AR115" i="12"/>
  <c r="AR179" i="12" s="1"/>
  <c r="AJ115" i="12"/>
  <c r="AJ179" i="12" s="1"/>
  <c r="AC113" i="6"/>
  <c r="AC172" i="6" s="1"/>
  <c r="T115" i="12"/>
  <c r="T179" i="12" s="1"/>
  <c r="AV114" i="12"/>
  <c r="AV178" i="12" s="1"/>
  <c r="AN114" i="12"/>
  <c r="AN178" i="12" s="1"/>
  <c r="AG112" i="6"/>
  <c r="AG171" i="6" s="1"/>
  <c r="X114" i="12"/>
  <c r="X178" i="12" s="1"/>
  <c r="P114" i="12"/>
  <c r="P178" i="12" s="1"/>
  <c r="AT115" i="12"/>
  <c r="AT179" i="12" s="1"/>
  <c r="AP115" i="12"/>
  <c r="AP179" i="12" s="1"/>
  <c r="AL115" i="12"/>
  <c r="AL179" i="12" s="1"/>
  <c r="AH115" i="12"/>
  <c r="AH179" i="12" s="1"/>
  <c r="AD115" i="12"/>
  <c r="AD179" i="12" s="1"/>
  <c r="Z115" i="12"/>
  <c r="Z179" i="12" s="1"/>
  <c r="V115" i="12"/>
  <c r="V179" i="12" s="1"/>
  <c r="R115" i="12"/>
  <c r="R179" i="12" s="1"/>
  <c r="N115" i="12"/>
  <c r="N179" i="12" s="1"/>
  <c r="AT114" i="12"/>
  <c r="AT178" i="12" s="1"/>
  <c r="AP114" i="12"/>
  <c r="AP178" i="12" s="1"/>
  <c r="AM112" i="6"/>
  <c r="AM171" i="6" s="1"/>
  <c r="AH114" i="12"/>
  <c r="AH178" i="12" s="1"/>
  <c r="AE112" i="6"/>
  <c r="AE171" i="6" s="1"/>
  <c r="Z114" i="12"/>
  <c r="Z178" i="12" s="1"/>
  <c r="W112" i="6"/>
  <c r="W171" i="6" s="1"/>
  <c r="R114" i="12"/>
  <c r="R178" i="12" s="1"/>
  <c r="O112" i="6"/>
  <c r="O171" i="6" s="1"/>
  <c r="BV39" i="8"/>
  <c r="CL38" i="8"/>
  <c r="AU120" i="12"/>
  <c r="AU184" i="12" s="1"/>
  <c r="AS120" i="12"/>
  <c r="AS184" i="12" s="1"/>
  <c r="AQ120" i="12"/>
  <c r="AQ184" i="12" s="1"/>
  <c r="AO120" i="12"/>
  <c r="AO184" i="12" s="1"/>
  <c r="AM120" i="12"/>
  <c r="AM184" i="12" s="1"/>
  <c r="AK120" i="12"/>
  <c r="AK184" i="12" s="1"/>
  <c r="AI120" i="12"/>
  <c r="AI184" i="12" s="1"/>
  <c r="AG120" i="12"/>
  <c r="AG184" i="12" s="1"/>
  <c r="AE120" i="12"/>
  <c r="AE184" i="12" s="1"/>
  <c r="AC120" i="12"/>
  <c r="AC184" i="12" s="1"/>
  <c r="AA120" i="12"/>
  <c r="AA184" i="12" s="1"/>
  <c r="Y120" i="12"/>
  <c r="Y184" i="12" s="1"/>
  <c r="W120" i="12"/>
  <c r="W184" i="12" s="1"/>
  <c r="U120" i="12"/>
  <c r="U184" i="12" s="1"/>
  <c r="S120" i="12"/>
  <c r="S184" i="12" s="1"/>
  <c r="Q120" i="12"/>
  <c r="Q184" i="12" s="1"/>
  <c r="O120" i="12"/>
  <c r="O184" i="12" s="1"/>
  <c r="AU115" i="12"/>
  <c r="AU179" i="12" s="1"/>
  <c r="AS115" i="12"/>
  <c r="AS179" i="12" s="1"/>
  <c r="AR113" i="6"/>
  <c r="AR172" i="6" s="1"/>
  <c r="AP113" i="6"/>
  <c r="AP172" i="6" s="1"/>
  <c r="AN113" i="6"/>
  <c r="AN172" i="6" s="1"/>
  <c r="AK115" i="12"/>
  <c r="AK179" i="12" s="1"/>
  <c r="AJ113" i="6"/>
  <c r="AJ172" i="6" s="1"/>
  <c r="AH113" i="6"/>
  <c r="AH172" i="6" s="1"/>
  <c r="AF113" i="6"/>
  <c r="AF172" i="6" s="1"/>
  <c r="AC115" i="12"/>
  <c r="AC179" i="12" s="1"/>
  <c r="AB113" i="6"/>
  <c r="AB172" i="6" s="1"/>
  <c r="Z113" i="6"/>
  <c r="Z172" i="6" s="1"/>
  <c r="X113" i="6"/>
  <c r="X172" i="6" s="1"/>
  <c r="U115" i="12"/>
  <c r="U179" i="12" s="1"/>
  <c r="T113" i="6"/>
  <c r="T172" i="6" s="1"/>
  <c r="R113" i="6"/>
  <c r="R172" i="6" s="1"/>
  <c r="P113" i="6"/>
  <c r="P172" i="6" s="1"/>
  <c r="AU114" i="12"/>
  <c r="AU178" i="12" s="1"/>
  <c r="AS114" i="12"/>
  <c r="AS178" i="12" s="1"/>
  <c r="AR112" i="6"/>
  <c r="AR171" i="6" s="1"/>
  <c r="AO114" i="12"/>
  <c r="AO178" i="12" s="1"/>
  <c r="AN112" i="6"/>
  <c r="AN171" i="6" s="1"/>
  <c r="AK114" i="12"/>
  <c r="AK178" i="12" s="1"/>
  <c r="AJ112" i="6"/>
  <c r="AJ171" i="6" s="1"/>
  <c r="AG114" i="12"/>
  <c r="AG178" i="12" s="1"/>
  <c r="AF112" i="6"/>
  <c r="AF171" i="6" s="1"/>
  <c r="AC114" i="12"/>
  <c r="AC178" i="12" s="1"/>
  <c r="AB112" i="6"/>
  <c r="AB171" i="6" s="1"/>
  <c r="Y114" i="12"/>
  <c r="Y178" i="12" s="1"/>
  <c r="X112" i="6"/>
  <c r="X171" i="6" s="1"/>
  <c r="U114" i="12"/>
  <c r="U178" i="12" s="1"/>
  <c r="T112" i="6"/>
  <c r="T171" i="6" s="1"/>
  <c r="Q114" i="12"/>
  <c r="Q178" i="12" s="1"/>
  <c r="P112" i="6"/>
  <c r="P171" i="6" s="1"/>
  <c r="AO175" i="1"/>
  <c r="AO84" i="1"/>
  <c r="AO171" i="1"/>
  <c r="AJ97" i="2" s="1"/>
  <c r="BB38" i="8"/>
  <c r="BO37" i="8"/>
  <c r="AN189" i="1"/>
  <c r="AH24" i="3" s="1"/>
  <c r="N169" i="9" a="1"/>
  <c r="CR13" i="7"/>
  <c r="CR21" i="7"/>
  <c r="CR10" i="7"/>
  <c r="CR18" i="7"/>
  <c r="CR8" i="7"/>
  <c r="CR20" i="7"/>
  <c r="CR7" i="7"/>
  <c r="CR15" i="7"/>
  <c r="CR23" i="7"/>
  <c r="CR9" i="7"/>
  <c r="CR17" i="7"/>
  <c r="CR25" i="7"/>
  <c r="CR14" i="7"/>
  <c r="CR22" i="7"/>
  <c r="CR12" i="7"/>
  <c r="CR24" i="7"/>
  <c r="CR11" i="7"/>
  <c r="CR19" i="7"/>
  <c r="CR16" i="7"/>
  <c r="AO179" i="1"/>
  <c r="BB61" i="8" s="1" a="1"/>
  <c r="AO174" i="1"/>
  <c r="S174" i="7"/>
  <c r="S175" i="7"/>
  <c r="S176" i="7"/>
  <c r="S177" i="7"/>
  <c r="S178" i="7"/>
  <c r="S179" i="7"/>
  <c r="S180" i="7"/>
  <c r="S181" i="7"/>
  <c r="S182" i="7"/>
  <c r="S183" i="7"/>
  <c r="S184" i="7"/>
  <c r="S185" i="7"/>
  <c r="S186" i="7"/>
  <c r="S187" i="7"/>
  <c r="S188" i="7"/>
  <c r="S189" i="7"/>
  <c r="S190" i="7"/>
  <c r="S191" i="7"/>
  <c r="S192" i="7"/>
  <c r="S193" i="7"/>
  <c r="S194" i="7"/>
  <c r="AR96" i="12"/>
  <c r="AR160" i="12" s="1"/>
  <c r="AS96" i="12"/>
  <c r="AS160" i="12" s="1"/>
  <c r="AT96" i="12"/>
  <c r="AT160" i="12" s="1"/>
  <c r="AU96" i="12"/>
  <c r="AU160" i="12" s="1"/>
  <c r="AV96" i="12"/>
  <c r="AV160" i="12" s="1"/>
  <c r="P171" i="9"/>
  <c r="P175" i="9"/>
  <c r="P179" i="9"/>
  <c r="P183" i="9"/>
  <c r="AT171" i="9" s="1"/>
  <c r="P187" i="9"/>
  <c r="P172" i="9"/>
  <c r="P176" i="9"/>
  <c r="P180" i="9"/>
  <c r="AT168" i="9" s="1"/>
  <c r="P184" i="9"/>
  <c r="AT172" i="9" s="1"/>
  <c r="P188" i="9"/>
  <c r="P169" i="9"/>
  <c r="P173" i="9"/>
  <c r="P177" i="9"/>
  <c r="P181" i="9"/>
  <c r="AT169" i="9" s="1"/>
  <c r="P185" i="9"/>
  <c r="AT173" i="9" s="1"/>
  <c r="P170" i="9"/>
  <c r="P174" i="9"/>
  <c r="P178" i="9"/>
  <c r="P182" i="9"/>
  <c r="AT170" i="9" s="1"/>
  <c r="P186" i="9"/>
  <c r="AT174" i="9" s="1"/>
  <c r="AN181" i="1"/>
  <c r="K34" i="5"/>
  <c r="AN192" i="1"/>
  <c r="AN155" i="1"/>
  <c r="AN171" i="1"/>
  <c r="AI97" i="2" s="1"/>
  <c r="AN178" i="1"/>
  <c r="AV35" i="8"/>
  <c r="AH36" i="8"/>
  <c r="AH31" i="2"/>
  <c r="AH32" i="2" s="1"/>
  <c r="AH98" i="2"/>
  <c r="AH101" i="2" s="1"/>
  <c r="AH33" i="2"/>
  <c r="AG137" i="3" s="1"/>
  <c r="DE60" i="7" a="1"/>
  <c r="AR106" i="6"/>
  <c r="AR165" i="6" s="1"/>
  <c r="AD106" i="6"/>
  <c r="AD165" i="6" s="1"/>
  <c r="Q108" i="12"/>
  <c r="Q172" i="12" s="1"/>
  <c r="O106" i="6"/>
  <c r="O165" i="6" s="1"/>
  <c r="N108" i="12"/>
  <c r="N172" i="12" s="1"/>
  <c r="AD114" i="12"/>
  <c r="AD178" i="12" s="1"/>
  <c r="AR105" i="6"/>
  <c r="AR164" i="6" s="1"/>
  <c r="AQ107" i="12"/>
  <c r="AQ171" i="12" s="1"/>
  <c r="AQ105" i="6"/>
  <c r="AQ164" i="6" s="1"/>
  <c r="AP107" i="12"/>
  <c r="AP171" i="12" s="1"/>
  <c r="AP105" i="6"/>
  <c r="AP164" i="6" s="1"/>
  <c r="AO107" i="12"/>
  <c r="AO171" i="12" s="1"/>
  <c r="AO105" i="6"/>
  <c r="AO164" i="6" s="1"/>
  <c r="AN107" i="12"/>
  <c r="AN171" i="12" s="1"/>
  <c r="AN105" i="6"/>
  <c r="AN164" i="6" s="1"/>
  <c r="AM107" i="12"/>
  <c r="AM171" i="12" s="1"/>
  <c r="AM105" i="6"/>
  <c r="AM164" i="6" s="1"/>
  <c r="AL107" i="12"/>
  <c r="AL171" i="12" s="1"/>
  <c r="AL105" i="6"/>
  <c r="AL164" i="6" s="1"/>
  <c r="AK107" i="12"/>
  <c r="AK171" i="12" s="1"/>
  <c r="AK105" i="6"/>
  <c r="AK164" i="6" s="1"/>
  <c r="AJ107" i="12"/>
  <c r="AJ171" i="12" s="1"/>
  <c r="AJ105" i="6"/>
  <c r="AJ164" i="6" s="1"/>
  <c r="AI107" i="12"/>
  <c r="AI171" i="12" s="1"/>
  <c r="AI105" i="6"/>
  <c r="AI164" i="6" s="1"/>
  <c r="AH107" i="12"/>
  <c r="AH171" i="12" s="1"/>
  <c r="AH105" i="6"/>
  <c r="AH164" i="6" s="1"/>
  <c r="AG107" i="12"/>
  <c r="AG171" i="12" s="1"/>
  <c r="AG105" i="6"/>
  <c r="AG164" i="6" s="1"/>
  <c r="AF107" i="12"/>
  <c r="AF171" i="12" s="1"/>
  <c r="AF105" i="6"/>
  <c r="AF164" i="6" s="1"/>
  <c r="AE107" i="12"/>
  <c r="AE171" i="12" s="1"/>
  <c r="AE105" i="6"/>
  <c r="AE164" i="6" s="1"/>
  <c r="AD107" i="12"/>
  <c r="AD171" i="12" s="1"/>
  <c r="AD105" i="6"/>
  <c r="AD164" i="6" s="1"/>
  <c r="AC107" i="12"/>
  <c r="AC171" i="12" s="1"/>
  <c r="AC105" i="6"/>
  <c r="AC164" i="6" s="1"/>
  <c r="AB107" i="12"/>
  <c r="AB171" i="12" s="1"/>
  <c r="AB105" i="6"/>
  <c r="AB164" i="6" s="1"/>
  <c r="AA107" i="12"/>
  <c r="AA171" i="12" s="1"/>
  <c r="AA105" i="6"/>
  <c r="AA164" i="6" s="1"/>
  <c r="Z107" i="12"/>
  <c r="Z171" i="12" s="1"/>
  <c r="Z105" i="6"/>
  <c r="Z164" i="6" s="1"/>
  <c r="Y107" i="12"/>
  <c r="Y171" i="12" s="1"/>
  <c r="Y105" i="6"/>
  <c r="Y164" i="6" s="1"/>
  <c r="X107" i="12"/>
  <c r="X171" i="12" s="1"/>
  <c r="X105" i="6"/>
  <c r="X164" i="6" s="1"/>
  <c r="W107" i="12"/>
  <c r="W171" i="12" s="1"/>
  <c r="W105" i="6"/>
  <c r="W164" i="6" s="1"/>
  <c r="V107" i="12"/>
  <c r="V171" i="12" s="1"/>
  <c r="V105" i="6"/>
  <c r="V164" i="6" s="1"/>
  <c r="U107" i="12"/>
  <c r="U171" i="12" s="1"/>
  <c r="U105" i="6"/>
  <c r="U164" i="6" s="1"/>
  <c r="T107" i="12"/>
  <c r="T171" i="12" s="1"/>
  <c r="T105" i="6"/>
  <c r="T164" i="6" s="1"/>
  <c r="S107" i="12"/>
  <c r="S171" i="12" s="1"/>
  <c r="S105" i="6"/>
  <c r="S164" i="6" s="1"/>
  <c r="R107" i="12"/>
  <c r="R171" i="12" s="1"/>
  <c r="R105" i="6"/>
  <c r="R164" i="6" s="1"/>
  <c r="Q107" i="12"/>
  <c r="Q171" i="12" s="1"/>
  <c r="Q105" i="6"/>
  <c r="Q164" i="6" s="1"/>
  <c r="P107" i="12"/>
  <c r="P171" i="12" s="1"/>
  <c r="P105" i="6"/>
  <c r="P164" i="6" s="1"/>
  <c r="O107" i="12"/>
  <c r="O171" i="12" s="1"/>
  <c r="O105" i="6"/>
  <c r="O164" i="6" s="1"/>
  <c r="N107" i="12"/>
  <c r="N171" i="12" s="1"/>
  <c r="W57" i="9"/>
  <c r="AJ77" i="2" l="1"/>
  <c r="AJ79" i="2" s="1"/>
  <c r="AJ80" i="2" s="1"/>
  <c r="AI99" i="3"/>
  <c r="AI184" i="3" s="1"/>
  <c r="AQ194" i="1"/>
  <c r="AK119" i="3" s="1"/>
  <c r="AK183" i="3" s="1"/>
  <c r="AJ119" i="3"/>
  <c r="AJ183" i="3" s="1"/>
  <c r="DC905" i="1"/>
  <c r="DF905" i="1" s="1"/>
  <c r="DC912" i="1"/>
  <c r="DF912" i="1" s="1"/>
  <c r="AO120" i="3"/>
  <c r="EG137" i="1"/>
  <c r="EX137" i="1" s="1"/>
  <c r="EG141" i="1"/>
  <c r="EX141" i="1" s="1"/>
  <c r="EG145" i="1"/>
  <c r="EX145" i="1" s="1"/>
  <c r="EG149" i="1"/>
  <c r="EX149" i="1" s="1"/>
  <c r="EG153" i="1"/>
  <c r="EX153" i="1" s="1"/>
  <c r="EG157" i="1"/>
  <c r="EX157" i="1" s="1"/>
  <c r="EG138" i="1"/>
  <c r="EX138" i="1" s="1"/>
  <c r="EG142" i="1"/>
  <c r="EX142" i="1" s="1"/>
  <c r="EG146" i="1"/>
  <c r="EX146" i="1" s="1"/>
  <c r="EG150" i="1"/>
  <c r="EX150" i="1" s="1"/>
  <c r="EG154" i="1"/>
  <c r="EX154" i="1" s="1"/>
  <c r="EG158" i="1"/>
  <c r="EH158" i="1" s="1"/>
  <c r="EG139" i="1"/>
  <c r="EX139" i="1" s="1"/>
  <c r="EG143" i="1"/>
  <c r="EX143" i="1" s="1"/>
  <c r="EG147" i="1"/>
  <c r="EX147" i="1" s="1"/>
  <c r="EG151" i="1"/>
  <c r="EX151" i="1" s="1"/>
  <c r="EG155" i="1"/>
  <c r="EX155" i="1" s="1"/>
  <c r="EG159" i="1"/>
  <c r="EH159" i="1" s="1"/>
  <c r="EG136" i="1"/>
  <c r="EG140" i="1"/>
  <c r="EX140" i="1" s="1"/>
  <c r="EG144" i="1"/>
  <c r="EX144" i="1" s="1"/>
  <c r="EG148" i="1"/>
  <c r="EX148" i="1" s="1"/>
  <c r="EG152" i="1"/>
  <c r="EX152" i="1" s="1"/>
  <c r="EG156" i="1"/>
  <c r="EX156" i="1" s="1"/>
  <c r="CK6" i="3"/>
  <c r="CK21" i="3"/>
  <c r="UX28" i="4" s="1"/>
  <c r="CK17" i="3"/>
  <c r="UX24" i="4" s="1"/>
  <c r="CK19" i="3"/>
  <c r="UX26" i="4" s="1"/>
  <c r="CK28" i="3"/>
  <c r="UX35" i="4" s="1"/>
  <c r="CK20" i="3"/>
  <c r="UX27" i="4" s="1"/>
  <c r="CK12" i="3"/>
  <c r="UX19" i="4" s="1"/>
  <c r="CK29" i="3"/>
  <c r="UX36" i="4" s="1"/>
  <c r="CK9" i="3"/>
  <c r="UX16" i="4" s="1"/>
  <c r="CK15" i="3"/>
  <c r="UX22" i="4" s="1"/>
  <c r="CK26" i="3"/>
  <c r="UX33" i="4" s="1"/>
  <c r="CK18" i="3"/>
  <c r="UX25" i="4" s="1"/>
  <c r="CK10" i="3"/>
  <c r="UX17" i="4" s="1"/>
  <c r="UA17" i="4" s="1"/>
  <c r="CK13" i="3"/>
  <c r="UX20" i="4" s="1"/>
  <c r="CK27" i="3"/>
  <c r="UX34" i="4" s="1"/>
  <c r="UA34" i="4" s="1"/>
  <c r="UB34" i="4" s="1"/>
  <c r="CK11" i="3"/>
  <c r="UX18" i="4" s="1"/>
  <c r="CK24" i="3"/>
  <c r="UX31" i="4" s="1"/>
  <c r="CK16" i="3"/>
  <c r="UX23" i="4" s="1"/>
  <c r="UA23" i="4" s="1"/>
  <c r="UB23" i="4" s="1"/>
  <c r="CK8" i="3"/>
  <c r="UX15" i="4" s="1"/>
  <c r="CK25" i="3"/>
  <c r="UX32" i="4" s="1"/>
  <c r="CK23" i="3"/>
  <c r="UX30" i="4" s="1"/>
  <c r="CK7" i="3"/>
  <c r="UX14" i="4" s="1"/>
  <c r="UA14" i="4" s="1"/>
  <c r="CK22" i="3"/>
  <c r="UX29" i="4" s="1"/>
  <c r="CK14" i="3"/>
  <c r="UX21" i="4" s="1"/>
  <c r="DR266" i="1"/>
  <c r="EG265" i="1"/>
  <c r="AX87" i="7" a="1"/>
  <c r="AJ25" i="3"/>
  <c r="AJ163" i="3" s="1"/>
  <c r="AQ154" i="1"/>
  <c r="AQ167" i="1" s="1"/>
  <c r="AP167" i="1"/>
  <c r="AK156" i="3"/>
  <c r="AK26" i="3"/>
  <c r="AK160" i="3" s="1"/>
  <c r="CW206" i="1"/>
  <c r="EK204" i="1"/>
  <c r="FE204" i="1" s="1"/>
  <c r="CS137" i="1"/>
  <c r="CS141" i="1"/>
  <c r="CS145" i="1"/>
  <c r="CS149" i="1"/>
  <c r="CS153" i="1"/>
  <c r="CS157" i="1"/>
  <c r="CR157" i="1" s="1"/>
  <c r="CU157" i="1" s="1"/>
  <c r="CS138" i="1"/>
  <c r="CS142" i="1"/>
  <c r="CS146" i="1"/>
  <c r="CS150" i="1"/>
  <c r="CS154" i="1"/>
  <c r="CS158" i="1"/>
  <c r="CR158" i="1" s="1"/>
  <c r="CU158" i="1" s="1"/>
  <c r="CS143" i="1"/>
  <c r="CS136" i="1"/>
  <c r="CS140" i="1"/>
  <c r="CS144" i="1"/>
  <c r="CS148" i="1"/>
  <c r="CS152" i="1"/>
  <c r="CS156" i="1"/>
  <c r="CR156" i="1" s="1"/>
  <c r="CU156" i="1" s="1"/>
  <c r="CS139" i="1"/>
  <c r="CS147" i="1"/>
  <c r="CS151" i="1"/>
  <c r="CS155" i="1"/>
  <c r="CS159" i="1"/>
  <c r="CR159" i="1" s="1"/>
  <c r="CU159" i="1" s="1"/>
  <c r="CW207" i="1"/>
  <c r="EK205" i="1"/>
  <c r="U174" i="7" a="1"/>
  <c r="AI130" i="3"/>
  <c r="EV117" i="1"/>
  <c r="FA117" i="1"/>
  <c r="AO24" i="3"/>
  <c r="AP14" i="3"/>
  <c r="AO28" i="3"/>
  <c r="AO27" i="3" s="1"/>
  <c r="AN28" i="3"/>
  <c r="AN27" i="3" s="1"/>
  <c r="AN156" i="3"/>
  <c r="AN26" i="3"/>
  <c r="AN160" i="3" s="1"/>
  <c r="AM18" i="3"/>
  <c r="AM26" i="3"/>
  <c r="AM160" i="3" s="1"/>
  <c r="AM120" i="3"/>
  <c r="AO25" i="3"/>
  <c r="AO163" i="3" s="1"/>
  <c r="AO90" i="3"/>
  <c r="AM25" i="3"/>
  <c r="AM163" i="3" s="1"/>
  <c r="AM28" i="3"/>
  <c r="AM27" i="3" s="1"/>
  <c r="AM90" i="3"/>
  <c r="AO18" i="3"/>
  <c r="AO26" i="3"/>
  <c r="AO160" i="3" s="1"/>
  <c r="GW30" i="2"/>
  <c r="GX30" i="2" s="1"/>
  <c r="CW117" i="1"/>
  <c r="AM13" i="2"/>
  <c r="AL142" i="3" s="1"/>
  <c r="AL135" i="3"/>
  <c r="AK28" i="2"/>
  <c r="AJ131" i="3"/>
  <c r="AK53" i="2"/>
  <c r="AJ107" i="3"/>
  <c r="AJ187" i="3" s="1"/>
  <c r="ET71" i="2"/>
  <c r="FI30" i="2"/>
  <c r="IA71" i="2"/>
  <c r="AL13" i="2"/>
  <c r="AK142" i="3" s="1"/>
  <c r="AK135" i="3"/>
  <c r="AJ165" i="3"/>
  <c r="AJ166" i="3"/>
  <c r="AK48" i="2"/>
  <c r="DO438" i="1"/>
  <c r="DF803" i="1"/>
  <c r="EL29" i="2"/>
  <c r="EQ29" i="2" s="1"/>
  <c r="EU70" i="2"/>
  <c r="CY254" i="1"/>
  <c r="CW254" i="1" s="1"/>
  <c r="DM346" i="1"/>
  <c r="CX161" i="1"/>
  <c r="DR209" i="1"/>
  <c r="EH34" i="1"/>
  <c r="CV77" i="1"/>
  <c r="DA737" i="1" a="1"/>
  <c r="AQ156" i="1"/>
  <c r="AR156" i="1" s="1"/>
  <c r="EA49" i="2" s="1" a="1"/>
  <c r="DB899" i="1" a="1"/>
  <c r="DB902" i="1" s="1"/>
  <c r="DE902" i="1" s="1"/>
  <c r="AQ199" i="1"/>
  <c r="AK128" i="3" s="1"/>
  <c r="AQ187" i="1"/>
  <c r="AQ175" i="1"/>
  <c r="AR162" i="1"/>
  <c r="AQ178" i="1"/>
  <c r="AQ183" i="1"/>
  <c r="AR176" i="1"/>
  <c r="AQ188" i="1"/>
  <c r="AK27" i="3" s="1"/>
  <c r="AR194" i="1"/>
  <c r="AL119" i="3" s="1"/>
  <c r="AL183" i="3" s="1"/>
  <c r="AK68" i="2"/>
  <c r="AK69" i="2" s="1"/>
  <c r="AQ152" i="1"/>
  <c r="AK129" i="3" s="1"/>
  <c r="AR153" i="1"/>
  <c r="AQ149" i="1"/>
  <c r="EL704" i="1"/>
  <c r="EM704" i="1" s="1"/>
  <c r="EL699" i="1"/>
  <c r="EM699" i="1" s="1"/>
  <c r="EL715" i="1"/>
  <c r="EM715" i="1" s="1"/>
  <c r="EL710" i="1"/>
  <c r="EM710" i="1" s="1"/>
  <c r="EL705" i="1"/>
  <c r="EM705" i="1" s="1"/>
  <c r="AR154" i="1"/>
  <c r="AR167" i="1" s="1"/>
  <c r="DC919" i="1"/>
  <c r="DF919" i="1" s="1"/>
  <c r="DC915" i="1"/>
  <c r="DF915" i="1" s="1"/>
  <c r="DC911" i="1"/>
  <c r="DF911" i="1" s="1"/>
  <c r="DC907" i="1"/>
  <c r="DF907" i="1" s="1"/>
  <c r="DC903" i="1"/>
  <c r="DF903" i="1" s="1"/>
  <c r="DC899" i="1"/>
  <c r="DF899" i="1" s="1"/>
  <c r="DC918" i="1"/>
  <c r="DF918" i="1" s="1"/>
  <c r="DC914" i="1"/>
  <c r="DF914" i="1" s="1"/>
  <c r="DC910" i="1"/>
  <c r="DF910" i="1" s="1"/>
  <c r="DC906" i="1"/>
  <c r="DF906" i="1" s="1"/>
  <c r="AQ184" i="1"/>
  <c r="AK18" i="3" s="1"/>
  <c r="AR159" i="1"/>
  <c r="EF9" i="1" s="1" a="1"/>
  <c r="AQ190" i="1"/>
  <c r="AK25" i="3" s="1"/>
  <c r="AK163" i="3" s="1"/>
  <c r="AR197" i="1"/>
  <c r="AL162" i="3" s="1"/>
  <c r="AR144" i="1"/>
  <c r="AR191" i="1"/>
  <c r="AR172" i="1"/>
  <c r="GI49" i="2" a="1"/>
  <c r="EH30" i="2"/>
  <c r="GV27" i="2" s="1"/>
  <c r="EG31" i="2"/>
  <c r="EK30" i="2"/>
  <c r="EP30" i="2" s="1"/>
  <c r="EI30" i="2"/>
  <c r="FJ30" i="2" s="1"/>
  <c r="FK30" i="2" s="1"/>
  <c r="DR162" i="2"/>
  <c r="FI253" i="1" s="1"/>
  <c r="FF253" i="1" s="1"/>
  <c r="FG253" i="1" s="1"/>
  <c r="EY119" i="1" s="1"/>
  <c r="BF250" i="2"/>
  <c r="BW250" i="2" s="1"/>
  <c r="AM18" i="2"/>
  <c r="AL18" i="2"/>
  <c r="AM60" i="2"/>
  <c r="AL62" i="2"/>
  <c r="AM47" i="2"/>
  <c r="AM49" i="2" s="1"/>
  <c r="AL49" i="2"/>
  <c r="AM27" i="2"/>
  <c r="AM29" i="2" s="1"/>
  <c r="AL131" i="3" s="1"/>
  <c r="AL29" i="2"/>
  <c r="AK131" i="3" s="1"/>
  <c r="AM52" i="2"/>
  <c r="AM54" i="2" s="1"/>
  <c r="AL107" i="3" s="1"/>
  <c r="AL187" i="3" s="1"/>
  <c r="AL54" i="2"/>
  <c r="AK107" i="3" s="1"/>
  <c r="AK187" i="3" s="1"/>
  <c r="AK61" i="2"/>
  <c r="AK70" i="2"/>
  <c r="AK71" i="2" s="1"/>
  <c r="EI28" i="1"/>
  <c r="EK28" i="1"/>
  <c r="EJ28" i="1" s="1"/>
  <c r="EI24" i="1"/>
  <c r="EK24" i="1"/>
  <c r="EJ24" i="1" s="1"/>
  <c r="EI20" i="1"/>
  <c r="EK20" i="1"/>
  <c r="EJ20" i="1" s="1"/>
  <c r="EI16" i="1"/>
  <c r="EK16" i="1"/>
  <c r="EJ16" i="1" s="1"/>
  <c r="EI12" i="1"/>
  <c r="EK12" i="1"/>
  <c r="EJ12" i="1" s="1"/>
  <c r="EI29" i="1"/>
  <c r="EK29" i="1"/>
  <c r="EJ29" i="1" s="1"/>
  <c r="EI25" i="1"/>
  <c r="EK25" i="1"/>
  <c r="EJ25" i="1" s="1"/>
  <c r="EI21" i="1"/>
  <c r="EK21" i="1"/>
  <c r="EJ21" i="1" s="1"/>
  <c r="EI17" i="1"/>
  <c r="EK17" i="1"/>
  <c r="EJ17" i="1" s="1"/>
  <c r="EI13" i="1"/>
  <c r="EK13" i="1"/>
  <c r="EJ13" i="1" s="1"/>
  <c r="EL700" i="1"/>
  <c r="EM700" i="1" s="1"/>
  <c r="EL708" i="1"/>
  <c r="EM708" i="1" s="1"/>
  <c r="EL695" i="1"/>
  <c r="EM695" i="1" s="1"/>
  <c r="EL703" i="1"/>
  <c r="EM703" i="1" s="1"/>
  <c r="EL711" i="1"/>
  <c r="EM711" i="1" s="1"/>
  <c r="EL698" i="1"/>
  <c r="EM698" i="1" s="1"/>
  <c r="EL706" i="1"/>
  <c r="EM706" i="1" s="1"/>
  <c r="EL714" i="1"/>
  <c r="EM714" i="1" s="1"/>
  <c r="EL701" i="1"/>
  <c r="EM701" i="1" s="1"/>
  <c r="EL709" i="1"/>
  <c r="EM709" i="1" s="1"/>
  <c r="EI30" i="1"/>
  <c r="EK30" i="1"/>
  <c r="EJ30" i="1" s="1"/>
  <c r="EI26" i="1"/>
  <c r="EK26" i="1"/>
  <c r="EJ26" i="1" s="1"/>
  <c r="EI22" i="1"/>
  <c r="EK22" i="1"/>
  <c r="EJ22" i="1" s="1"/>
  <c r="EI18" i="1"/>
  <c r="EK18" i="1"/>
  <c r="EJ18" i="1" s="1"/>
  <c r="EI14" i="1"/>
  <c r="EK14" i="1"/>
  <c r="EJ14" i="1" s="1"/>
  <c r="EI10" i="1"/>
  <c r="EK10" i="1"/>
  <c r="EJ10" i="1" s="1"/>
  <c r="EI27" i="1"/>
  <c r="EK27" i="1"/>
  <c r="EJ27" i="1" s="1"/>
  <c r="EI23" i="1"/>
  <c r="EK23" i="1"/>
  <c r="EJ23" i="1" s="1"/>
  <c r="EI19" i="1"/>
  <c r="EK19" i="1"/>
  <c r="EJ19" i="1" s="1"/>
  <c r="EI15" i="1"/>
  <c r="EK15" i="1"/>
  <c r="EJ15" i="1" s="1"/>
  <c r="EI11" i="1"/>
  <c r="EK11" i="1"/>
  <c r="EJ11" i="1" s="1"/>
  <c r="DB900" i="1"/>
  <c r="DE900" i="1" s="1"/>
  <c r="DB904" i="1"/>
  <c r="DE904" i="1" s="1"/>
  <c r="DB908" i="1"/>
  <c r="DE908" i="1" s="1"/>
  <c r="DB912" i="1"/>
  <c r="DE912" i="1" s="1"/>
  <c r="DB916" i="1"/>
  <c r="DE916" i="1" s="1"/>
  <c r="DB920" i="1"/>
  <c r="DE920" i="1" s="1"/>
  <c r="DB901" i="1"/>
  <c r="DE901" i="1" s="1"/>
  <c r="DB905" i="1"/>
  <c r="DE905" i="1" s="1"/>
  <c r="DB909" i="1"/>
  <c r="DE909" i="1" s="1"/>
  <c r="DB913" i="1"/>
  <c r="DE913" i="1" s="1"/>
  <c r="DB917" i="1"/>
  <c r="DE917" i="1" s="1"/>
  <c r="AJ34" i="2"/>
  <c r="AO155" i="1"/>
  <c r="AH203" i="3"/>
  <c r="AH204" i="3"/>
  <c r="EM716" i="1"/>
  <c r="EM717" i="1" s="1"/>
  <c r="EM718" i="1" s="1"/>
  <c r="EM719" i="1" s="1"/>
  <c r="EM720" i="1" s="1"/>
  <c r="EM721" i="1" s="1"/>
  <c r="EM722" i="1" s="1"/>
  <c r="EM723" i="1" s="1"/>
  <c r="EM724" i="1" s="1"/>
  <c r="EM725" i="1" s="1"/>
  <c r="EM726" i="1" s="1"/>
  <c r="EM727" i="1" s="1"/>
  <c r="EM728" i="1" s="1"/>
  <c r="EM729" i="1" s="1"/>
  <c r="AI90" i="2"/>
  <c r="AI87" i="2" s="1"/>
  <c r="AI88" i="2" s="1"/>
  <c r="CR153" i="1"/>
  <c r="CR149" i="1"/>
  <c r="CR145" i="1"/>
  <c r="CR141" i="1"/>
  <c r="CR137" i="1"/>
  <c r="CR154" i="1"/>
  <c r="CR150" i="1"/>
  <c r="CR146" i="1"/>
  <c r="CR142" i="1"/>
  <c r="CR138" i="1"/>
  <c r="EB818" i="1" a="1"/>
  <c r="DX858" i="1" a="1"/>
  <c r="AP145" i="1"/>
  <c r="AP192" i="1" s="1"/>
  <c r="CR155" i="1"/>
  <c r="CR151" i="1"/>
  <c r="CR147" i="1"/>
  <c r="CR143" i="1"/>
  <c r="CR139" i="1"/>
  <c r="CR152" i="1"/>
  <c r="CR148" i="1"/>
  <c r="CR144" i="1"/>
  <c r="CR140" i="1"/>
  <c r="AJ92" i="2"/>
  <c r="AO92" i="1"/>
  <c r="AO181" i="1"/>
  <c r="AO170" i="1"/>
  <c r="AO198" i="1"/>
  <c r="AO178" i="1"/>
  <c r="DY858" i="1" a="1"/>
  <c r="BU27" i="9" a="1"/>
  <c r="FJ82" i="9"/>
  <c r="DR696" i="1"/>
  <c r="EZ696" i="1"/>
  <c r="DR704" i="1"/>
  <c r="EZ704" i="1"/>
  <c r="DR712" i="1"/>
  <c r="EZ712" i="1"/>
  <c r="DR699" i="1"/>
  <c r="EZ699" i="1"/>
  <c r="DR707" i="1"/>
  <c r="EZ707" i="1"/>
  <c r="DR715" i="1"/>
  <c r="EZ715" i="1"/>
  <c r="DR702" i="1"/>
  <c r="EZ702" i="1"/>
  <c r="DR710" i="1"/>
  <c r="EZ710" i="1"/>
  <c r="DR697" i="1"/>
  <c r="EZ697" i="1"/>
  <c r="DR705" i="1"/>
  <c r="EZ705" i="1"/>
  <c r="DR713" i="1"/>
  <c r="EZ713" i="1"/>
  <c r="DR700" i="1"/>
  <c r="EZ700" i="1"/>
  <c r="DR708" i="1"/>
  <c r="EZ708" i="1"/>
  <c r="DR695" i="1"/>
  <c r="EZ695" i="1"/>
  <c r="DR703" i="1"/>
  <c r="EZ703" i="1"/>
  <c r="DR711" i="1"/>
  <c r="EZ711" i="1"/>
  <c r="DR698" i="1"/>
  <c r="EZ698" i="1"/>
  <c r="DR706" i="1"/>
  <c r="EZ706" i="1"/>
  <c r="DR714" i="1"/>
  <c r="EZ714" i="1"/>
  <c r="DR701" i="1"/>
  <c r="EZ701" i="1"/>
  <c r="DR709" i="1"/>
  <c r="EZ709" i="1"/>
  <c r="AH89" i="2"/>
  <c r="DA737" i="1"/>
  <c r="DA758" i="1"/>
  <c r="DA754" i="1"/>
  <c r="DA750" i="1"/>
  <c r="DA746" i="1"/>
  <c r="DA742" i="1"/>
  <c r="DA738" i="1"/>
  <c r="DA755" i="1"/>
  <c r="DA751" i="1"/>
  <c r="DA747" i="1"/>
  <c r="DA743" i="1"/>
  <c r="DA739" i="1"/>
  <c r="DA756" i="1"/>
  <c r="DA752" i="1"/>
  <c r="DA748" i="1"/>
  <c r="DA744" i="1"/>
  <c r="DA740" i="1"/>
  <c r="DA757" i="1"/>
  <c r="DA753" i="1"/>
  <c r="DA749" i="1"/>
  <c r="DA745" i="1"/>
  <c r="DA741" i="1"/>
  <c r="AI32" i="2"/>
  <c r="AD108" i="7"/>
  <c r="AU108" i="7"/>
  <c r="AD107" i="7"/>
  <c r="AU107" i="7"/>
  <c r="AP195" i="1"/>
  <c r="AJ99" i="3" s="1"/>
  <c r="AJ184" i="3" s="1"/>
  <c r="AP179" i="1"/>
  <c r="AJ130" i="3" s="1"/>
  <c r="AP174" i="1"/>
  <c r="BB26" i="9" s="1" a="1"/>
  <c r="Z69" i="9" a="1"/>
  <c r="AP187" i="1"/>
  <c r="EB59" i="7" s="1" a="1"/>
  <c r="AP175" i="1"/>
  <c r="AO146" i="1"/>
  <c r="AX87" i="7"/>
  <c r="BP87" i="7" s="1"/>
  <c r="AX108" i="7"/>
  <c r="AX104" i="7"/>
  <c r="BP104" i="7" s="1"/>
  <c r="AX100" i="7"/>
  <c r="BP100" i="7" s="1"/>
  <c r="AX96" i="7"/>
  <c r="BP96" i="7" s="1"/>
  <c r="AX92" i="7"/>
  <c r="BP92" i="7" s="1"/>
  <c r="AX88" i="7"/>
  <c r="BP88" i="7" s="1"/>
  <c r="AX105" i="7"/>
  <c r="BP105" i="7" s="1"/>
  <c r="AX101" i="7"/>
  <c r="BP101" i="7" s="1"/>
  <c r="AX97" i="7"/>
  <c r="BP97" i="7" s="1"/>
  <c r="AX93" i="7"/>
  <c r="BP93" i="7" s="1"/>
  <c r="AX89" i="7"/>
  <c r="BP89" i="7" s="1"/>
  <c r="AX106" i="7"/>
  <c r="BP106" i="7" s="1"/>
  <c r="AX102" i="7"/>
  <c r="BP102" i="7" s="1"/>
  <c r="AX98" i="7"/>
  <c r="BP98" i="7" s="1"/>
  <c r="AX94" i="7"/>
  <c r="BP94" i="7" s="1"/>
  <c r="AX90" i="7"/>
  <c r="BP90" i="7" s="1"/>
  <c r="AX107" i="7"/>
  <c r="AX103" i="7"/>
  <c r="BP103" i="7" s="1"/>
  <c r="AX99" i="7"/>
  <c r="BP99" i="7" s="1"/>
  <c r="AX95" i="7"/>
  <c r="BP95" i="7" s="1"/>
  <c r="AX91" i="7"/>
  <c r="BP91" i="7" s="1"/>
  <c r="AP183" i="1"/>
  <c r="HY134" i="2" s="1" a="1"/>
  <c r="AP188" i="1"/>
  <c r="AE87" i="7"/>
  <c r="AE102" i="7"/>
  <c r="AE100" i="7"/>
  <c r="AE98" i="7"/>
  <c r="AE96" i="7"/>
  <c r="AE94" i="7"/>
  <c r="AE92" i="7"/>
  <c r="AE90" i="7"/>
  <c r="AE88" i="7"/>
  <c r="AE103" i="7"/>
  <c r="AE101" i="7"/>
  <c r="AE99" i="7"/>
  <c r="AE97" i="7"/>
  <c r="AE95" i="7"/>
  <c r="AE93" i="7"/>
  <c r="AE91" i="7"/>
  <c r="AE89" i="7"/>
  <c r="EK68" i="9"/>
  <c r="EK70" i="9"/>
  <c r="EK72" i="9"/>
  <c r="EK74" i="9"/>
  <c r="EK76" i="9"/>
  <c r="EK78" i="9"/>
  <c r="EK80" i="9"/>
  <c r="EK82" i="9"/>
  <c r="EK84" i="9"/>
  <c r="EK86" i="9"/>
  <c r="EK88" i="9"/>
  <c r="EL88" i="9" s="1"/>
  <c r="EK69" i="9"/>
  <c r="EK71" i="9"/>
  <c r="EK73" i="9"/>
  <c r="EK75" i="9"/>
  <c r="EK77" i="9"/>
  <c r="EK79" i="9"/>
  <c r="EK81" i="9"/>
  <c r="EK83" i="9"/>
  <c r="EK85" i="9"/>
  <c r="EK87" i="9"/>
  <c r="EK89" i="9"/>
  <c r="EL89" i="9" s="1"/>
  <c r="G87" i="7"/>
  <c r="H87" i="7" s="1"/>
  <c r="G88" i="7"/>
  <c r="H88" i="7" s="1"/>
  <c r="G92" i="7"/>
  <c r="H92" i="7" s="1"/>
  <c r="G96" i="7"/>
  <c r="H96" i="7" s="1"/>
  <c r="G100" i="7"/>
  <c r="H100" i="7" s="1"/>
  <c r="G104" i="7"/>
  <c r="H104" i="7" s="1"/>
  <c r="G108" i="7"/>
  <c r="G90" i="7"/>
  <c r="H90" i="7" s="1"/>
  <c r="G94" i="7"/>
  <c r="H94" i="7" s="1"/>
  <c r="G98" i="7"/>
  <c r="H98" i="7" s="1"/>
  <c r="G102" i="7"/>
  <c r="H102" i="7" s="1"/>
  <c r="G106" i="7"/>
  <c r="G105" i="7"/>
  <c r="H105" i="7" s="1"/>
  <c r="G101" i="7"/>
  <c r="H101" i="7" s="1"/>
  <c r="G97" i="7"/>
  <c r="H97" i="7" s="1"/>
  <c r="G93" i="7"/>
  <c r="H93" i="7" s="1"/>
  <c r="G89" i="7"/>
  <c r="H89" i="7" s="1"/>
  <c r="G107" i="7"/>
  <c r="G103" i="7"/>
  <c r="H103" i="7" s="1"/>
  <c r="G99" i="7"/>
  <c r="H99" i="7" s="1"/>
  <c r="G95" i="7"/>
  <c r="H95" i="7" s="1"/>
  <c r="G91" i="7"/>
  <c r="H91" i="7" s="1"/>
  <c r="GX135" i="2"/>
  <c r="GX137" i="2"/>
  <c r="GX139" i="2"/>
  <c r="GX141" i="2"/>
  <c r="GX143" i="2"/>
  <c r="GX145" i="2"/>
  <c r="GX147" i="2"/>
  <c r="GX149" i="2"/>
  <c r="GX151" i="2"/>
  <c r="GX153" i="2"/>
  <c r="GX155" i="2"/>
  <c r="GX134" i="2"/>
  <c r="GX136" i="2"/>
  <c r="GX138" i="2"/>
  <c r="GX140" i="2"/>
  <c r="GX142" i="2"/>
  <c r="GX144" i="2"/>
  <c r="GX146" i="2"/>
  <c r="GX148" i="2"/>
  <c r="GX150" i="2"/>
  <c r="GX152" i="2"/>
  <c r="GX154" i="2"/>
  <c r="AG115" i="12"/>
  <c r="AG179" i="12" s="1"/>
  <c r="Z108" i="12"/>
  <c r="Z172" i="12" s="1"/>
  <c r="AP108" i="12"/>
  <c r="AP172" i="12" s="1"/>
  <c r="FJ74" i="9"/>
  <c r="FJ86" i="9"/>
  <c r="FJ78" i="9"/>
  <c r="FJ70" i="9"/>
  <c r="FJ88" i="9"/>
  <c r="FJ84" i="9"/>
  <c r="FJ80" i="9"/>
  <c r="FJ76" i="9"/>
  <c r="FJ72" i="9"/>
  <c r="FJ68" i="9"/>
  <c r="FJ87" i="9"/>
  <c r="FJ85" i="9"/>
  <c r="FJ83" i="9"/>
  <c r="FJ81" i="9"/>
  <c r="FJ79" i="9"/>
  <c r="FJ77" i="9"/>
  <c r="FJ75" i="9"/>
  <c r="FJ73" i="9"/>
  <c r="FJ71" i="9"/>
  <c r="V106" i="6"/>
  <c r="V165" i="6" s="1"/>
  <c r="AB106" i="6"/>
  <c r="AB165" i="6" s="1"/>
  <c r="O108" i="12"/>
  <c r="O172" i="12" s="1"/>
  <c r="AK108" i="12"/>
  <c r="AK172" i="12" s="1"/>
  <c r="S112" i="6"/>
  <c r="S171" i="6" s="1"/>
  <c r="U113" i="6"/>
  <c r="U172" i="6" s="1"/>
  <c r="AN115" i="12"/>
  <c r="AN179" i="12" s="1"/>
  <c r="X106" i="6"/>
  <c r="X165" i="6" s="1"/>
  <c r="AF106" i="6"/>
  <c r="AF165" i="6" s="1"/>
  <c r="AN106" i="6"/>
  <c r="AN165" i="6" s="1"/>
  <c r="Y112" i="6"/>
  <c r="Y171" i="6" s="1"/>
  <c r="O113" i="6"/>
  <c r="O172" i="6" s="1"/>
  <c r="Y113" i="6"/>
  <c r="Y172" i="6" s="1"/>
  <c r="AM113" i="6"/>
  <c r="AM172" i="6" s="1"/>
  <c r="V108" i="12"/>
  <c r="V172" i="12" s="1"/>
  <c r="Y108" i="12"/>
  <c r="Y172" i="12" s="1"/>
  <c r="AD108" i="12"/>
  <c r="AD172" i="12" s="1"/>
  <c r="AH108" i="12"/>
  <c r="AH172" i="12" s="1"/>
  <c r="AL108" i="12"/>
  <c r="AL172" i="12" s="1"/>
  <c r="AO108" i="12"/>
  <c r="AO172" i="12" s="1"/>
  <c r="AC112" i="6"/>
  <c r="AC171" i="6" s="1"/>
  <c r="AJ114" i="12"/>
  <c r="AJ178" i="12" s="1"/>
  <c r="U106" i="6"/>
  <c r="U165" i="6" s="1"/>
  <c r="X108" i="12"/>
  <c r="X172" i="12" s="1"/>
  <c r="AG108" i="12"/>
  <c r="AG172" i="12" s="1"/>
  <c r="AK106" i="6"/>
  <c r="AK165" i="6" s="1"/>
  <c r="AN108" i="12"/>
  <c r="AN172" i="12" s="1"/>
  <c r="U112" i="6"/>
  <c r="U171" i="6" s="1"/>
  <c r="AA112" i="6"/>
  <c r="AA171" i="6" s="1"/>
  <c r="AD112" i="6"/>
  <c r="AD171" i="6" s="1"/>
  <c r="AH112" i="6"/>
  <c r="AH171" i="6" s="1"/>
  <c r="AP112" i="6"/>
  <c r="AP171" i="6" s="1"/>
  <c r="Q113" i="6"/>
  <c r="Q172" i="6" s="1"/>
  <c r="W113" i="6"/>
  <c r="W172" i="6" s="1"/>
  <c r="AE113" i="6"/>
  <c r="AE172" i="6" s="1"/>
  <c r="AK113" i="6"/>
  <c r="AK172" i="6" s="1"/>
  <c r="AO115" i="12"/>
  <c r="AO179" i="12" s="1"/>
  <c r="R108" i="12"/>
  <c r="R172" i="12" s="1"/>
  <c r="AB115" i="12"/>
  <c r="AB179" i="12" s="1"/>
  <c r="AG113" i="6"/>
  <c r="AG172" i="6" s="1"/>
  <c r="AI113" i="6"/>
  <c r="AI172" i="6" s="1"/>
  <c r="P108" i="12"/>
  <c r="P172" i="12" s="1"/>
  <c r="T106" i="6"/>
  <c r="T165" i="6" s="1"/>
  <c r="AC106" i="6"/>
  <c r="AC165" i="6" s="1"/>
  <c r="AF108" i="12"/>
  <c r="AF172" i="12" s="1"/>
  <c r="AJ106" i="6"/>
  <c r="AJ165" i="6" s="1"/>
  <c r="O114" i="12"/>
  <c r="O178" i="12" s="1"/>
  <c r="AM114" i="12"/>
  <c r="AM178" i="12" s="1"/>
  <c r="AM115" i="12"/>
  <c r="AM179" i="12" s="1"/>
  <c r="AQ113" i="6"/>
  <c r="AQ172" i="6" s="1"/>
  <c r="R112" i="6"/>
  <c r="R171" i="6" s="1"/>
  <c r="V112" i="6"/>
  <c r="V171" i="6" s="1"/>
  <c r="Z112" i="6"/>
  <c r="Z171" i="6" s="1"/>
  <c r="AI112" i="6"/>
  <c r="AI171" i="6" s="1"/>
  <c r="AL112" i="6"/>
  <c r="AL171" i="6" s="1"/>
  <c r="AO112" i="6"/>
  <c r="AO171" i="6" s="1"/>
  <c r="AQ112" i="6"/>
  <c r="AQ171" i="6" s="1"/>
  <c r="Q115" i="12"/>
  <c r="Q179" i="12" s="1"/>
  <c r="V113" i="6"/>
  <c r="V172" i="6" s="1"/>
  <c r="Y115" i="12"/>
  <c r="Y179" i="12" s="1"/>
  <c r="AD113" i="6"/>
  <c r="AD172" i="6" s="1"/>
  <c r="AL113" i="6"/>
  <c r="AL172" i="6" s="1"/>
  <c r="Q112" i="6"/>
  <c r="Q171" i="6" s="1"/>
  <c r="V114" i="12"/>
  <c r="V178" i="12" s="1"/>
  <c r="AF114" i="12"/>
  <c r="AF178" i="12" s="1"/>
  <c r="AE115" i="12"/>
  <c r="AE179" i="12" s="1"/>
  <c r="N114" i="12"/>
  <c r="N178" i="12" s="1"/>
  <c r="W114" i="12"/>
  <c r="W178" i="12" s="1"/>
  <c r="AE114" i="12"/>
  <c r="AE178" i="12" s="1"/>
  <c r="AL114" i="12"/>
  <c r="AL178" i="12" s="1"/>
  <c r="O115" i="12"/>
  <c r="O179" i="12" s="1"/>
  <c r="S113" i="6"/>
  <c r="S172" i="6" s="1"/>
  <c r="W115" i="12"/>
  <c r="W179" i="12" s="1"/>
  <c r="AA113" i="6"/>
  <c r="AA172" i="6" s="1"/>
  <c r="S114" i="12"/>
  <c r="S178" i="12" s="1"/>
  <c r="AA114" i="12"/>
  <c r="AA178" i="12" s="1"/>
  <c r="AI114" i="12"/>
  <c r="AI178" i="12" s="1"/>
  <c r="AQ114" i="12"/>
  <c r="AQ178" i="12" s="1"/>
  <c r="S115" i="12"/>
  <c r="S179" i="12" s="1"/>
  <c r="AA115" i="12"/>
  <c r="AA179" i="12" s="1"/>
  <c r="AI115" i="12"/>
  <c r="AI179" i="12" s="1"/>
  <c r="AQ115" i="12"/>
  <c r="AQ179" i="12" s="1"/>
  <c r="U175" i="7"/>
  <c r="U177" i="7"/>
  <c r="U179" i="7"/>
  <c r="U181" i="7"/>
  <c r="U183" i="7"/>
  <c r="U185" i="7"/>
  <c r="U187" i="7"/>
  <c r="U189" i="7"/>
  <c r="U191" i="7"/>
  <c r="U193" i="7"/>
  <c r="U174" i="7"/>
  <c r="U176" i="7"/>
  <c r="U178" i="7"/>
  <c r="U180" i="7"/>
  <c r="U182" i="7"/>
  <c r="U184" i="7"/>
  <c r="U186" i="7"/>
  <c r="U188" i="7"/>
  <c r="U190" i="7"/>
  <c r="U192" i="7"/>
  <c r="U194" i="7"/>
  <c r="CL39" i="8"/>
  <c r="BV40" i="8"/>
  <c r="CL40" i="8" s="1"/>
  <c r="AO85" i="1"/>
  <c r="N174" i="9"/>
  <c r="N182" i="9"/>
  <c r="AS170" i="9" s="1"/>
  <c r="N173" i="9"/>
  <c r="N171" i="9"/>
  <c r="N179" i="9"/>
  <c r="N187" i="9"/>
  <c r="N177" i="9"/>
  <c r="N172" i="9"/>
  <c r="N180" i="9"/>
  <c r="AS168" i="9" s="1"/>
  <c r="N188" i="9"/>
  <c r="N170" i="9"/>
  <c r="N178" i="9"/>
  <c r="N186" i="9"/>
  <c r="AS174" i="9" s="1"/>
  <c r="N181" i="9"/>
  <c r="AS169" i="9" s="1"/>
  <c r="N175" i="9"/>
  <c r="N183" i="9"/>
  <c r="AS171" i="9" s="1"/>
  <c r="N169" i="9"/>
  <c r="N185" i="9"/>
  <c r="AS173" i="9" s="1"/>
  <c r="N176" i="9"/>
  <c r="N184" i="9"/>
  <c r="AS172" i="9" s="1"/>
  <c r="AO189" i="1"/>
  <c r="AI24" i="3" s="1"/>
  <c r="BO38" i="8"/>
  <c r="BB39" i="8"/>
  <c r="BB61" i="8"/>
  <c r="BB62" i="8"/>
  <c r="BB63" i="8"/>
  <c r="BB64" i="8"/>
  <c r="BB65" i="8"/>
  <c r="BB66" i="8"/>
  <c r="BB67" i="8"/>
  <c r="BB68" i="8"/>
  <c r="BB69" i="8"/>
  <c r="BB70" i="8"/>
  <c r="BB71" i="8"/>
  <c r="BB72" i="8"/>
  <c r="BB73" i="8"/>
  <c r="BB74" i="8"/>
  <c r="BB75" i="8"/>
  <c r="BB76" i="8"/>
  <c r="BB77" i="8"/>
  <c r="BB78" i="8"/>
  <c r="BB79" i="8"/>
  <c r="BB80" i="8"/>
  <c r="BB81" i="8"/>
  <c r="T195" i="7"/>
  <c r="Q195" i="7" s="1"/>
  <c r="BW32" i="9"/>
  <c r="BW33" i="9"/>
  <c r="BW34" i="9"/>
  <c r="BW35" i="9"/>
  <c r="BW36" i="9"/>
  <c r="BW37" i="9"/>
  <c r="BW38" i="9"/>
  <c r="BW39" i="9"/>
  <c r="BW40" i="9"/>
  <c r="CN103" i="8"/>
  <c r="CN104" i="8"/>
  <c r="CN105" i="8"/>
  <c r="CN106" i="8"/>
  <c r="CN107" i="8"/>
  <c r="CN108" i="8"/>
  <c r="CN109" i="8"/>
  <c r="CN110" i="8"/>
  <c r="CN111" i="8"/>
  <c r="CN112" i="8"/>
  <c r="CN113" i="8"/>
  <c r="CN114" i="8"/>
  <c r="CN115" i="8"/>
  <c r="CN116" i="8"/>
  <c r="CN117" i="8"/>
  <c r="CN118" i="8"/>
  <c r="CN119" i="8"/>
  <c r="CN120" i="8"/>
  <c r="CN121" i="8"/>
  <c r="CN122" i="8"/>
  <c r="CN123" i="8"/>
  <c r="AR94" i="6"/>
  <c r="AR153" i="6" s="1"/>
  <c r="AQ96" i="12"/>
  <c r="AQ160" i="12" s="1"/>
  <c r="AQ94" i="6"/>
  <c r="AQ153" i="6" s="1"/>
  <c r="AP96" i="12"/>
  <c r="AP160" i="12" s="1"/>
  <c r="AP94" i="6"/>
  <c r="AP153" i="6" s="1"/>
  <c r="AO96" i="12"/>
  <c r="AO160" i="12" s="1"/>
  <c r="AO94" i="6"/>
  <c r="AO153" i="6" s="1"/>
  <c r="AN96" i="12"/>
  <c r="AN160" i="12" s="1"/>
  <c r="AN94" i="6"/>
  <c r="AN153" i="6" s="1"/>
  <c r="AM96" i="12"/>
  <c r="AM160" i="12" s="1"/>
  <c r="AM94" i="6"/>
  <c r="AM153" i="6" s="1"/>
  <c r="AL96" i="12"/>
  <c r="AL160" i="12" s="1"/>
  <c r="AL94" i="6"/>
  <c r="AL153" i="6" s="1"/>
  <c r="AK96" i="12"/>
  <c r="AK160" i="12" s="1"/>
  <c r="AK94" i="6"/>
  <c r="AK153" i="6" s="1"/>
  <c r="AJ96" i="12"/>
  <c r="AJ160" i="12" s="1"/>
  <c r="AJ94" i="6"/>
  <c r="AJ153" i="6" s="1"/>
  <c r="AI96" i="12"/>
  <c r="AI160" i="12" s="1"/>
  <c r="AI94" i="6"/>
  <c r="AI153" i="6" s="1"/>
  <c r="AH96" i="12"/>
  <c r="AH160" i="12" s="1"/>
  <c r="AH94" i="6"/>
  <c r="AH153" i="6" s="1"/>
  <c r="AG96" i="12"/>
  <c r="AG160" i="12" s="1"/>
  <c r="AG94" i="6"/>
  <c r="AG153" i="6" s="1"/>
  <c r="AF96" i="12"/>
  <c r="AF160" i="12" s="1"/>
  <c r="AF94" i="6"/>
  <c r="AF153" i="6" s="1"/>
  <c r="AE96" i="12"/>
  <c r="AE160" i="12" s="1"/>
  <c r="AE94" i="6"/>
  <c r="AE153" i="6" s="1"/>
  <c r="AD96" i="12"/>
  <c r="AD160" i="12" s="1"/>
  <c r="AD94" i="6"/>
  <c r="AD153" i="6" s="1"/>
  <c r="AC96" i="12"/>
  <c r="AC160" i="12" s="1"/>
  <c r="AC94" i="6"/>
  <c r="AC153" i="6" s="1"/>
  <c r="AB96" i="12"/>
  <c r="AB160" i="12" s="1"/>
  <c r="AB94" i="6"/>
  <c r="AB153" i="6" s="1"/>
  <c r="AA96" i="12"/>
  <c r="AA160" i="12" s="1"/>
  <c r="AA94" i="6"/>
  <c r="AA153" i="6" s="1"/>
  <c r="Z96" i="12"/>
  <c r="Z160" i="12" s="1"/>
  <c r="Z94" i="6"/>
  <c r="Z153" i="6" s="1"/>
  <c r="Y96" i="12"/>
  <c r="Y160" i="12" s="1"/>
  <c r="Y94" i="6"/>
  <c r="Y153" i="6" s="1"/>
  <c r="X96" i="12"/>
  <c r="X160" i="12" s="1"/>
  <c r="X94" i="6"/>
  <c r="X153" i="6" s="1"/>
  <c r="W96" i="12"/>
  <c r="W160" i="12" s="1"/>
  <c r="W94" i="6"/>
  <c r="W153" i="6" s="1"/>
  <c r="V96" i="12"/>
  <c r="V160" i="12" s="1"/>
  <c r="V94" i="6"/>
  <c r="V153" i="6" s="1"/>
  <c r="U96" i="12"/>
  <c r="U160" i="12" s="1"/>
  <c r="U94" i="6"/>
  <c r="U153" i="6" s="1"/>
  <c r="T96" i="12"/>
  <c r="T160" i="12" s="1"/>
  <c r="T94" i="6"/>
  <c r="T153" i="6" s="1"/>
  <c r="S96" i="12"/>
  <c r="S160" i="12" s="1"/>
  <c r="S94" i="6"/>
  <c r="S153" i="6" s="1"/>
  <c r="R96" i="12"/>
  <c r="R160" i="12" s="1"/>
  <c r="R94" i="6"/>
  <c r="R153" i="6" s="1"/>
  <c r="Q96" i="12"/>
  <c r="Q160" i="12" s="1"/>
  <c r="Q94" i="6"/>
  <c r="Q153" i="6" s="1"/>
  <c r="P96" i="12"/>
  <c r="P160" i="12" s="1"/>
  <c r="P94" i="6"/>
  <c r="P153" i="6" s="1"/>
  <c r="O96" i="12"/>
  <c r="O160" i="12" s="1"/>
  <c r="O94" i="6"/>
  <c r="O153" i="6" s="1"/>
  <c r="N96" i="12"/>
  <c r="N160" i="12" s="1"/>
  <c r="K35" i="5"/>
  <c r="AN85" i="1"/>
  <c r="T16" i="8" a="1"/>
  <c r="DE60" i="7"/>
  <c r="DE64" i="7"/>
  <c r="DE68" i="7"/>
  <c r="DE72" i="7"/>
  <c r="DE76" i="7"/>
  <c r="DE67" i="7"/>
  <c r="DE75" i="7"/>
  <c r="DE61" i="7"/>
  <c r="DI61" i="7" s="1"/>
  <c r="DE65" i="7"/>
  <c r="DE69" i="7"/>
  <c r="DE73" i="7"/>
  <c r="DE77" i="7"/>
  <c r="DE63" i="7"/>
  <c r="DE71" i="7"/>
  <c r="DE62" i="7"/>
  <c r="DE66" i="7"/>
  <c r="DE70" i="7"/>
  <c r="DE74" i="7"/>
  <c r="DE78" i="7"/>
  <c r="AV36" i="8"/>
  <c r="AH37" i="8"/>
  <c r="UA21" i="4" l="1"/>
  <c r="UA29" i="4"/>
  <c r="UB29" i="4" s="1"/>
  <c r="UA15" i="4"/>
  <c r="UA33" i="4"/>
  <c r="UB33" i="4" s="1"/>
  <c r="UA19" i="4"/>
  <c r="UA24" i="4"/>
  <c r="UB24" i="4" s="1"/>
  <c r="UA27" i="4"/>
  <c r="UB27" i="4" s="1"/>
  <c r="CW157" i="1"/>
  <c r="DL157" i="1"/>
  <c r="EX114" i="1" s="1"/>
  <c r="DR267" i="1"/>
  <c r="EG267" i="1" s="1"/>
  <c r="EG266" i="1"/>
  <c r="UA30" i="4"/>
  <c r="UB30" i="4" s="1"/>
  <c r="UA31" i="4"/>
  <c r="UB31" i="4" s="1"/>
  <c r="UA16" i="4"/>
  <c r="UA35" i="4"/>
  <c r="UB35" i="4" s="1"/>
  <c r="O21" i="3" a="1"/>
  <c r="CU137" i="1"/>
  <c r="O114" i="3" a="1"/>
  <c r="UA32" i="4"/>
  <c r="UB32" i="4" s="1"/>
  <c r="UA18" i="4"/>
  <c r="UA25" i="4"/>
  <c r="UB25" i="4" s="1"/>
  <c r="UA36" i="4"/>
  <c r="UY36" i="4"/>
  <c r="UC37" i="4" s="1"/>
  <c r="UA26" i="4"/>
  <c r="UB26" i="4" s="1"/>
  <c r="EC59" i="7" a="1"/>
  <c r="AJ27" i="3"/>
  <c r="AR149" i="1"/>
  <c r="AL132" i="3"/>
  <c r="CW159" i="1"/>
  <c r="DL159" i="1"/>
  <c r="EX116" i="1" s="1"/>
  <c r="CW158" i="1"/>
  <c r="DL158" i="1"/>
  <c r="EX115" i="1" s="1"/>
  <c r="O31" i="3" a="1"/>
  <c r="AL156" i="3"/>
  <c r="AL26" i="3"/>
  <c r="AL160" i="3" s="1"/>
  <c r="EF9" i="1"/>
  <c r="EF13" i="1"/>
  <c r="EA53" i="1" s="1"/>
  <c r="EF17" i="1"/>
  <c r="EA57" i="1" s="1"/>
  <c r="EF21" i="1"/>
  <c r="EA61" i="1" s="1"/>
  <c r="EF25" i="1"/>
  <c r="EA65" i="1" s="1"/>
  <c r="EF29" i="1"/>
  <c r="EA69" i="1" s="1"/>
  <c r="EF16" i="1"/>
  <c r="EA56" i="1" s="1"/>
  <c r="EF28" i="1"/>
  <c r="EA68" i="1" s="1"/>
  <c r="EF10" i="1"/>
  <c r="EA50" i="1" s="1"/>
  <c r="EF14" i="1"/>
  <c r="EA54" i="1" s="1"/>
  <c r="EF18" i="1"/>
  <c r="EA58" i="1" s="1"/>
  <c r="EF22" i="1"/>
  <c r="EA62" i="1" s="1"/>
  <c r="EF26" i="1"/>
  <c r="EA66" i="1" s="1"/>
  <c r="EF30" i="1"/>
  <c r="EA70" i="1" s="1"/>
  <c r="EF12" i="1"/>
  <c r="EA52" i="1" s="1"/>
  <c r="EF24" i="1"/>
  <c r="EA64" i="1" s="1"/>
  <c r="EF11" i="1"/>
  <c r="EA51" i="1" s="1"/>
  <c r="EF15" i="1"/>
  <c r="EA55" i="1" s="1"/>
  <c r="EF19" i="1"/>
  <c r="EA59" i="1" s="1"/>
  <c r="EF23" i="1"/>
  <c r="EA63" i="1" s="1"/>
  <c r="EF27" i="1"/>
  <c r="EA67" i="1" s="1"/>
  <c r="EF31" i="1"/>
  <c r="EA71" i="1" s="1"/>
  <c r="EF20" i="1"/>
  <c r="EA60" i="1" s="1"/>
  <c r="EF32" i="1"/>
  <c r="EA72" i="1" s="1"/>
  <c r="CZ184" i="1" a="1"/>
  <c r="CW413" i="1" a="1"/>
  <c r="FE205" i="1"/>
  <c r="EL205" i="1"/>
  <c r="CV156" i="1"/>
  <c r="DL156" i="1"/>
  <c r="EX113" i="1" s="1"/>
  <c r="UA20" i="4"/>
  <c r="UA22" i="4"/>
  <c r="UA28" i="4"/>
  <c r="UB28" i="4" s="1"/>
  <c r="EH160" i="1"/>
  <c r="CV117" i="1"/>
  <c r="DI117" i="1" s="1"/>
  <c r="EW118" i="1" s="1"/>
  <c r="FE118" i="1"/>
  <c r="CW161" i="1"/>
  <c r="DL161" i="1" s="1"/>
  <c r="EX118" i="1" s="1"/>
  <c r="DN438" i="1"/>
  <c r="EB438" i="1" s="1"/>
  <c r="EZ118" i="1" s="1"/>
  <c r="AP24" i="3"/>
  <c r="AQ14" i="3"/>
  <c r="AP120" i="3"/>
  <c r="AP28" i="3"/>
  <c r="AP27" i="3" s="1"/>
  <c r="AP25" i="3"/>
  <c r="AP163" i="3" s="1"/>
  <c r="AP156" i="3"/>
  <c r="AP90" i="3"/>
  <c r="AP26" i="3"/>
  <c r="AP160" i="3" s="1"/>
  <c r="AP18" i="3"/>
  <c r="AP84" i="1"/>
  <c r="AP85" i="1" s="1"/>
  <c r="DB919" i="1"/>
  <c r="DE919" i="1" s="1"/>
  <c r="DB915" i="1"/>
  <c r="DE915" i="1" s="1"/>
  <c r="DB911" i="1"/>
  <c r="DE911" i="1" s="1"/>
  <c r="DB907" i="1"/>
  <c r="DE907" i="1" s="1"/>
  <c r="DB903" i="1"/>
  <c r="DE903" i="1" s="1"/>
  <c r="DB899" i="1"/>
  <c r="DE899" i="1" s="1"/>
  <c r="DB918" i="1"/>
  <c r="DE918" i="1" s="1"/>
  <c r="DB914" i="1"/>
  <c r="DE914" i="1" s="1"/>
  <c r="DB910" i="1"/>
  <c r="DE910" i="1" s="1"/>
  <c r="DB906" i="1"/>
  <c r="DE906" i="1" s="1"/>
  <c r="GW31" i="2"/>
  <c r="GX31" i="2" s="1"/>
  <c r="CW118" i="1"/>
  <c r="ET72" i="2"/>
  <c r="FI31" i="2"/>
  <c r="IA72" i="2"/>
  <c r="AK165" i="3"/>
  <c r="AK166" i="3"/>
  <c r="AJ33" i="2"/>
  <c r="AI137" i="3" s="1"/>
  <c r="AI136" i="3"/>
  <c r="AL165" i="3"/>
  <c r="AL166" i="3"/>
  <c r="AM48" i="2"/>
  <c r="AL48" i="2"/>
  <c r="DO439" i="1"/>
  <c r="DF804" i="1"/>
  <c r="EL30" i="2"/>
  <c r="EQ30" i="2" s="1"/>
  <c r="EU71" i="2"/>
  <c r="CY255" i="1"/>
  <c r="CW255" i="1" s="1"/>
  <c r="DM347" i="1"/>
  <c r="CX162" i="1"/>
  <c r="DR210" i="1"/>
  <c r="DL137" i="1"/>
  <c r="EX94" i="1" s="1"/>
  <c r="CU140" i="1"/>
  <c r="DL140" i="1" s="1"/>
  <c r="EX97" i="1" s="1"/>
  <c r="CU144" i="1"/>
  <c r="DL144" i="1" s="1"/>
  <c r="EX101" i="1" s="1"/>
  <c r="CU148" i="1"/>
  <c r="DL148" i="1" s="1"/>
  <c r="EX105" i="1" s="1"/>
  <c r="CU152" i="1"/>
  <c r="CU139" i="1"/>
  <c r="DL139" i="1" s="1"/>
  <c r="EX96" i="1" s="1"/>
  <c r="CU143" i="1"/>
  <c r="DL143" i="1" s="1"/>
  <c r="EX100" i="1" s="1"/>
  <c r="CU147" i="1"/>
  <c r="DL147" i="1" s="1"/>
  <c r="EX104" i="1" s="1"/>
  <c r="CU151" i="1"/>
  <c r="CU155" i="1"/>
  <c r="CU138" i="1"/>
  <c r="DL138" i="1" s="1"/>
  <c r="EX95" i="1" s="1"/>
  <c r="CU142" i="1"/>
  <c r="DL142" i="1" s="1"/>
  <c r="EX99" i="1" s="1"/>
  <c r="CU146" i="1"/>
  <c r="DL146" i="1" s="1"/>
  <c r="EX103" i="1" s="1"/>
  <c r="CU150" i="1"/>
  <c r="DL150" i="1" s="1"/>
  <c r="EX107" i="1" s="1"/>
  <c r="CU154" i="1"/>
  <c r="CU141" i="1"/>
  <c r="DL141" i="1" s="1"/>
  <c r="EX98" i="1" s="1"/>
  <c r="CU145" i="1"/>
  <c r="DL145" i="1" s="1"/>
  <c r="EX102" i="1" s="1"/>
  <c r="CU149" i="1"/>
  <c r="DL149" i="1" s="1"/>
  <c r="EX106" i="1" s="1"/>
  <c r="CU153" i="1"/>
  <c r="EH35" i="1"/>
  <c r="CV78" i="1"/>
  <c r="AK77" i="2"/>
  <c r="AK79" i="2" s="1"/>
  <c r="AK80" i="2" s="1"/>
  <c r="AK81" i="2" s="1"/>
  <c r="AQ195" i="1"/>
  <c r="AK99" i="3" s="1"/>
  <c r="AK184" i="3" s="1"/>
  <c r="GI49" i="2"/>
  <c r="GI64" i="2"/>
  <c r="GI56" i="2"/>
  <c r="GI60" i="2"/>
  <c r="GI70" i="2"/>
  <c r="GI62" i="2"/>
  <c r="GI54" i="2"/>
  <c r="GI71" i="2"/>
  <c r="GI67" i="2"/>
  <c r="GI63" i="2"/>
  <c r="GI59" i="2"/>
  <c r="GI55" i="2"/>
  <c r="GI51" i="2"/>
  <c r="GI72" i="2"/>
  <c r="GI68" i="2"/>
  <c r="GI52" i="2"/>
  <c r="GI66" i="2"/>
  <c r="GI58" i="2"/>
  <c r="GI50" i="2"/>
  <c r="GI69" i="2"/>
  <c r="GI65" i="2"/>
  <c r="GI61" i="2"/>
  <c r="GI57" i="2"/>
  <c r="GI53" i="2"/>
  <c r="AR190" i="1"/>
  <c r="AL25" i="3" s="1"/>
  <c r="AL163" i="3" s="1"/>
  <c r="DF11" i="2" a="1"/>
  <c r="CL60" i="2" a="1"/>
  <c r="AR184" i="1"/>
  <c r="FG95" i="2" a="1"/>
  <c r="AR92" i="1"/>
  <c r="AR170" i="1"/>
  <c r="AM92" i="2"/>
  <c r="AR181" i="1"/>
  <c r="AR198" i="1"/>
  <c r="AQ145" i="1"/>
  <c r="AQ180" i="1"/>
  <c r="AK141" i="3" s="1"/>
  <c r="CT201" i="1"/>
  <c r="CT190" i="1"/>
  <c r="CT200" i="1"/>
  <c r="CT198" i="1"/>
  <c r="CT187" i="1"/>
  <c r="CT196" i="1"/>
  <c r="CT186" i="1"/>
  <c r="CT197" i="1"/>
  <c r="CT204" i="1"/>
  <c r="CT194" i="1"/>
  <c r="CT205" i="1"/>
  <c r="AL68" i="2"/>
  <c r="AL69" i="2" s="1"/>
  <c r="AR152" i="1"/>
  <c r="AR178" i="1"/>
  <c r="AR183" i="1"/>
  <c r="AQ179" i="1"/>
  <c r="AK130" i="3" s="1"/>
  <c r="AR199" i="1"/>
  <c r="AL128" i="3" s="1"/>
  <c r="EA49" i="2"/>
  <c r="EA64" i="2"/>
  <c r="EA72" i="2"/>
  <c r="EA68" i="2"/>
  <c r="EA52" i="2"/>
  <c r="EA66" i="2"/>
  <c r="EA58" i="2"/>
  <c r="EA50" i="2"/>
  <c r="EA69" i="2"/>
  <c r="EA65" i="2"/>
  <c r="EA61" i="2"/>
  <c r="EA57" i="2"/>
  <c r="EA53" i="2"/>
  <c r="EA56" i="2"/>
  <c r="EA60" i="2"/>
  <c r="EA70" i="2"/>
  <c r="EA62" i="2"/>
  <c r="EA54" i="2"/>
  <c r="EA71" i="2"/>
  <c r="EA67" i="2"/>
  <c r="EA63" i="2"/>
  <c r="EA59" i="2"/>
  <c r="EA55" i="2"/>
  <c r="EA51" i="2"/>
  <c r="AQ92" i="1"/>
  <c r="AQ170" i="1"/>
  <c r="AL92" i="2"/>
  <c r="AQ181" i="1"/>
  <c r="AQ198" i="1"/>
  <c r="AR180" i="1"/>
  <c r="AL141" i="3" s="1"/>
  <c r="CT185" i="1"/>
  <c r="CT195" i="1"/>
  <c r="CT193" i="1"/>
  <c r="CT203" i="1"/>
  <c r="CT192" i="1"/>
  <c r="CT191" i="1"/>
  <c r="CT202" i="1"/>
  <c r="CT188" i="1"/>
  <c r="CT199" i="1"/>
  <c r="CT189" i="1"/>
  <c r="AR188" i="1"/>
  <c r="AL27" i="3" s="1"/>
  <c r="AR187" i="1"/>
  <c r="AR175" i="1"/>
  <c r="DR163" i="2"/>
  <c r="FI254" i="1" s="1"/>
  <c r="FF254" i="1" s="1"/>
  <c r="FG254" i="1" s="1"/>
  <c r="EY120" i="1" s="1"/>
  <c r="EH31" i="2"/>
  <c r="GV28" i="2" s="1"/>
  <c r="EK31" i="2"/>
  <c r="EP31" i="2" s="1"/>
  <c r="EI31" i="2"/>
  <c r="FJ31" i="2" s="1"/>
  <c r="FK31" i="2" s="1"/>
  <c r="BF251" i="2"/>
  <c r="AL28" i="2"/>
  <c r="AM28" i="2"/>
  <c r="AM62" i="2"/>
  <c r="AM61" i="2" s="1"/>
  <c r="BE43" i="2" a="1"/>
  <c r="AL53" i="2"/>
  <c r="AL70" i="2"/>
  <c r="AL71" i="2" s="1"/>
  <c r="AL61" i="2"/>
  <c r="AJ31" i="2"/>
  <c r="AJ32" i="2" s="1"/>
  <c r="AJ98" i="2"/>
  <c r="AJ101" i="2" s="1"/>
  <c r="AM53" i="2"/>
  <c r="AM70" i="2"/>
  <c r="AM71" i="2" s="1"/>
  <c r="AI203" i="3"/>
  <c r="AI204" i="3"/>
  <c r="AK34" i="2"/>
  <c r="AJ136" i="3" s="1"/>
  <c r="EB819" i="1"/>
  <c r="EC819" i="1" s="1"/>
  <c r="ED819" i="1" s="1"/>
  <c r="EB821" i="1"/>
  <c r="EC821" i="1" s="1"/>
  <c r="ED821" i="1" s="1"/>
  <c r="EB823" i="1"/>
  <c r="EC823" i="1" s="1"/>
  <c r="ED823" i="1" s="1"/>
  <c r="EB825" i="1"/>
  <c r="EC825" i="1" s="1"/>
  <c r="ED825" i="1" s="1"/>
  <c r="EB827" i="1"/>
  <c r="EC827" i="1" s="1"/>
  <c r="ED827" i="1" s="1"/>
  <c r="EB829" i="1"/>
  <c r="EC829" i="1" s="1"/>
  <c r="ED829" i="1" s="1"/>
  <c r="EB831" i="1"/>
  <c r="EC831" i="1" s="1"/>
  <c r="ED831" i="1" s="1"/>
  <c r="EB833" i="1"/>
  <c r="EC833" i="1" s="1"/>
  <c r="ED833" i="1" s="1"/>
  <c r="EB835" i="1"/>
  <c r="EC835" i="1" s="1"/>
  <c r="ED835" i="1" s="1"/>
  <c r="EB837" i="1"/>
  <c r="EC837" i="1" s="1"/>
  <c r="ED837" i="1" s="1"/>
  <c r="EB839" i="1"/>
  <c r="EC839" i="1" s="1"/>
  <c r="ED839" i="1" s="1"/>
  <c r="EB818" i="1"/>
  <c r="EB820" i="1"/>
  <c r="EC820" i="1" s="1"/>
  <c r="ED820" i="1" s="1"/>
  <c r="EB822" i="1"/>
  <c r="EC822" i="1" s="1"/>
  <c r="ED822" i="1" s="1"/>
  <c r="EB824" i="1"/>
  <c r="EC824" i="1" s="1"/>
  <c r="ED824" i="1" s="1"/>
  <c r="EB826" i="1"/>
  <c r="EC826" i="1" s="1"/>
  <c r="ED826" i="1" s="1"/>
  <c r="EB828" i="1"/>
  <c r="EC828" i="1" s="1"/>
  <c r="ED828" i="1" s="1"/>
  <c r="EB830" i="1"/>
  <c r="EC830" i="1" s="1"/>
  <c r="ED830" i="1" s="1"/>
  <c r="EB832" i="1"/>
  <c r="EC832" i="1" s="1"/>
  <c r="ED832" i="1" s="1"/>
  <c r="EB834" i="1"/>
  <c r="EC834" i="1" s="1"/>
  <c r="ED834" i="1" s="1"/>
  <c r="EB836" i="1"/>
  <c r="EC836" i="1" s="1"/>
  <c r="ED836" i="1" s="1"/>
  <c r="EB838" i="1"/>
  <c r="EC838" i="1" s="1"/>
  <c r="ED838" i="1" s="1"/>
  <c r="AP181" i="1"/>
  <c r="DB858" i="1" s="1" a="1"/>
  <c r="AK92" i="2"/>
  <c r="AP92" i="1"/>
  <c r="AP170" i="1"/>
  <c r="AP198" i="1"/>
  <c r="DA694" i="1" a="1"/>
  <c r="AP178" i="1"/>
  <c r="AP171" i="1"/>
  <c r="AK97" i="2" s="1"/>
  <c r="AP155" i="1"/>
  <c r="EC608" i="1" a="1"/>
  <c r="BU28" i="9"/>
  <c r="BU32" i="9"/>
  <c r="BU36" i="9"/>
  <c r="BU40" i="9"/>
  <c r="BU44" i="9"/>
  <c r="BU48" i="9"/>
  <c r="BU31" i="9"/>
  <c r="BU35" i="9"/>
  <c r="BU39" i="9"/>
  <c r="BU43" i="9"/>
  <c r="BU47" i="9"/>
  <c r="BU27" i="9"/>
  <c r="BU30" i="9"/>
  <c r="BU34" i="9"/>
  <c r="BU38" i="9"/>
  <c r="BU42" i="9"/>
  <c r="BU46" i="9"/>
  <c r="BU29" i="9"/>
  <c r="BU33" i="9"/>
  <c r="BU37" i="9"/>
  <c r="BU41" i="9"/>
  <c r="BU45" i="9"/>
  <c r="DY858" i="1"/>
  <c r="EB858" i="1" s="1"/>
  <c r="DY877" i="1"/>
  <c r="EB877" i="1" s="1"/>
  <c r="DY873" i="1"/>
  <c r="EB873" i="1" s="1"/>
  <c r="DY869" i="1"/>
  <c r="EB869" i="1" s="1"/>
  <c r="DY865" i="1"/>
  <c r="EB865" i="1" s="1"/>
  <c r="DY861" i="1"/>
  <c r="EB861" i="1" s="1"/>
  <c r="DY878" i="1"/>
  <c r="EB878" i="1" s="1"/>
  <c r="DY874" i="1"/>
  <c r="EB874" i="1" s="1"/>
  <c r="DY870" i="1"/>
  <c r="EB870" i="1" s="1"/>
  <c r="DY866" i="1"/>
  <c r="EB866" i="1" s="1"/>
  <c r="DY862" i="1"/>
  <c r="EB862" i="1" s="1"/>
  <c r="DY879" i="1"/>
  <c r="EB879" i="1" s="1"/>
  <c r="DY875" i="1"/>
  <c r="EB875" i="1" s="1"/>
  <c r="DY871" i="1"/>
  <c r="EB871" i="1" s="1"/>
  <c r="DY867" i="1"/>
  <c r="EB867" i="1" s="1"/>
  <c r="DY863" i="1"/>
  <c r="EB863" i="1" s="1"/>
  <c r="DY859" i="1"/>
  <c r="EB859" i="1" s="1"/>
  <c r="DY876" i="1"/>
  <c r="EB876" i="1" s="1"/>
  <c r="DY872" i="1"/>
  <c r="EB872" i="1" s="1"/>
  <c r="DY868" i="1"/>
  <c r="EB868" i="1" s="1"/>
  <c r="DY864" i="1"/>
  <c r="EB864" i="1" s="1"/>
  <c r="DY860" i="1"/>
  <c r="EB860" i="1" s="1"/>
  <c r="AJ93" i="2"/>
  <c r="AJ90" i="2"/>
  <c r="AJ87" i="2" s="1"/>
  <c r="AJ88" i="2" s="1"/>
  <c r="DX859" i="1"/>
  <c r="DZ859" i="1" s="1"/>
  <c r="DX861" i="1"/>
  <c r="DZ861" i="1" s="1"/>
  <c r="DX863" i="1"/>
  <c r="DZ863" i="1" s="1"/>
  <c r="DX865" i="1"/>
  <c r="DZ865" i="1" s="1"/>
  <c r="DX867" i="1"/>
  <c r="DZ867" i="1" s="1"/>
  <c r="DX869" i="1"/>
  <c r="DZ869" i="1" s="1"/>
  <c r="DX871" i="1"/>
  <c r="DZ871" i="1" s="1"/>
  <c r="DX873" i="1"/>
  <c r="DX875" i="1"/>
  <c r="EA875" i="1" s="1"/>
  <c r="DX877" i="1"/>
  <c r="EA877" i="1" s="1"/>
  <c r="DX879" i="1"/>
  <c r="EA879" i="1" s="1"/>
  <c r="DX858" i="1"/>
  <c r="DX860" i="1"/>
  <c r="DZ860" i="1" s="1"/>
  <c r="DX862" i="1"/>
  <c r="DZ862" i="1" s="1"/>
  <c r="DX864" i="1"/>
  <c r="DZ864" i="1" s="1"/>
  <c r="DX866" i="1"/>
  <c r="DZ866" i="1" s="1"/>
  <c r="DX868" i="1"/>
  <c r="DZ868" i="1" s="1"/>
  <c r="DX870" i="1"/>
  <c r="DZ870" i="1" s="1"/>
  <c r="DX872" i="1"/>
  <c r="DZ872" i="1" s="1"/>
  <c r="DX874" i="1"/>
  <c r="EA874" i="1" s="1"/>
  <c r="DX876" i="1"/>
  <c r="EA876" i="1" s="1"/>
  <c r="DX878" i="1"/>
  <c r="EA878" i="1" s="1"/>
  <c r="EZ716" i="1"/>
  <c r="ER741" i="1"/>
  <c r="ES741" i="1" s="1"/>
  <c r="DB741" i="1"/>
  <c r="ER749" i="1"/>
  <c r="ES749" i="1" s="1"/>
  <c r="DB749" i="1"/>
  <c r="ER757" i="1"/>
  <c r="ES757" i="1" s="1"/>
  <c r="DB757" i="1"/>
  <c r="ER744" i="1"/>
  <c r="ES744" i="1" s="1"/>
  <c r="DB744" i="1"/>
  <c r="ER752" i="1"/>
  <c r="ES752" i="1" s="1"/>
  <c r="DB752" i="1"/>
  <c r="ER739" i="1"/>
  <c r="ES739" i="1" s="1"/>
  <c r="DB739" i="1"/>
  <c r="ER747" i="1"/>
  <c r="ES747" i="1" s="1"/>
  <c r="DB747" i="1"/>
  <c r="ER755" i="1"/>
  <c r="ES755" i="1" s="1"/>
  <c r="DB755" i="1"/>
  <c r="ER742" i="1"/>
  <c r="ES742" i="1" s="1"/>
  <c r="DB742" i="1"/>
  <c r="ER750" i="1"/>
  <c r="ES750" i="1" s="1"/>
  <c r="DB750" i="1"/>
  <c r="ER758" i="1"/>
  <c r="ES758" i="1" s="1"/>
  <c r="DB758" i="1"/>
  <c r="ER745" i="1"/>
  <c r="ES745" i="1" s="1"/>
  <c r="DB745" i="1"/>
  <c r="ER753" i="1"/>
  <c r="ES753" i="1" s="1"/>
  <c r="DB753" i="1"/>
  <c r="ER740" i="1"/>
  <c r="ES740" i="1" s="1"/>
  <c r="DB740" i="1"/>
  <c r="ER748" i="1"/>
  <c r="ES748" i="1" s="1"/>
  <c r="DB748" i="1"/>
  <c r="ER756" i="1"/>
  <c r="ES756" i="1" s="1"/>
  <c r="DB756" i="1"/>
  <c r="ER743" i="1"/>
  <c r="ES743" i="1" s="1"/>
  <c r="DB743" i="1"/>
  <c r="ER751" i="1"/>
  <c r="ES751" i="1" s="1"/>
  <c r="DB751" i="1"/>
  <c r="ER738" i="1"/>
  <c r="ES738" i="1" s="1"/>
  <c r="DB738" i="1"/>
  <c r="ER746" i="1"/>
  <c r="ES746" i="1" s="1"/>
  <c r="DB746" i="1"/>
  <c r="ER754" i="1"/>
  <c r="ES754" i="1" s="1"/>
  <c r="DB754" i="1"/>
  <c r="AI89" i="2"/>
  <c r="EC59" i="7"/>
  <c r="DS60" i="7" s="1"/>
  <c r="EC78" i="7"/>
  <c r="ET78" i="7" s="1"/>
  <c r="EC70" i="7"/>
  <c r="EC62" i="7"/>
  <c r="EC80" i="7"/>
  <c r="ET80" i="7" s="1"/>
  <c r="EC72" i="7"/>
  <c r="EC64" i="7"/>
  <c r="EC79" i="7"/>
  <c r="ET79" i="7" s="1"/>
  <c r="EC75" i="7"/>
  <c r="EC71" i="7"/>
  <c r="EC67" i="7"/>
  <c r="EC63" i="7"/>
  <c r="EC74" i="7"/>
  <c r="EC66" i="7"/>
  <c r="EC76" i="7"/>
  <c r="EC68" i="7"/>
  <c r="EC60" i="7"/>
  <c r="EC77" i="7"/>
  <c r="EC73" i="7"/>
  <c r="EC69" i="7"/>
  <c r="EC65" i="7"/>
  <c r="EC61" i="7"/>
  <c r="HY134" i="2"/>
  <c r="HY153" i="2"/>
  <c r="IP153" i="2" s="1"/>
  <c r="HY149" i="2"/>
  <c r="IP149" i="2" s="1"/>
  <c r="HY145" i="2"/>
  <c r="IP145" i="2" s="1"/>
  <c r="HY141" i="2"/>
  <c r="IP141" i="2" s="1"/>
  <c r="HY137" i="2"/>
  <c r="IP137" i="2" s="1"/>
  <c r="HY154" i="2"/>
  <c r="IP154" i="2" s="1"/>
  <c r="HY150" i="2"/>
  <c r="IP150" i="2" s="1"/>
  <c r="HY146" i="2"/>
  <c r="IP146" i="2" s="1"/>
  <c r="HY142" i="2"/>
  <c r="IP142" i="2" s="1"/>
  <c r="HY138" i="2"/>
  <c r="IP138" i="2" s="1"/>
  <c r="HY155" i="2"/>
  <c r="IP155" i="2" s="1"/>
  <c r="HY151" i="2"/>
  <c r="IP151" i="2" s="1"/>
  <c r="HY147" i="2"/>
  <c r="IP147" i="2" s="1"/>
  <c r="HY143" i="2"/>
  <c r="IP143" i="2" s="1"/>
  <c r="HY139" i="2"/>
  <c r="IP139" i="2" s="1"/>
  <c r="HY135" i="2"/>
  <c r="IP135" i="2" s="1"/>
  <c r="HY152" i="2"/>
  <c r="IP152" i="2" s="1"/>
  <c r="HY148" i="2"/>
  <c r="IP148" i="2" s="1"/>
  <c r="HY144" i="2"/>
  <c r="IP144" i="2" s="1"/>
  <c r="HY140" i="2"/>
  <c r="IP140" i="2" s="1"/>
  <c r="HY136" i="2"/>
  <c r="IP136" i="2" s="1"/>
  <c r="EB59" i="7"/>
  <c r="EB70" i="7"/>
  <c r="ES70" i="7" s="1"/>
  <c r="EB66" i="7"/>
  <c r="ES66" i="7" s="1"/>
  <c r="EB80" i="7"/>
  <c r="ES80" i="7" s="1"/>
  <c r="EB72" i="7"/>
  <c r="ES72" i="7" s="1"/>
  <c r="EB64" i="7"/>
  <c r="ES64" i="7" s="1"/>
  <c r="EB79" i="7"/>
  <c r="ES79" i="7" s="1"/>
  <c r="EB75" i="7"/>
  <c r="ES75" i="7" s="1"/>
  <c r="EB71" i="7"/>
  <c r="ES71" i="7" s="1"/>
  <c r="EB67" i="7"/>
  <c r="ES67" i="7" s="1"/>
  <c r="EB63" i="7"/>
  <c r="ES63" i="7" s="1"/>
  <c r="EB78" i="7"/>
  <c r="ES78" i="7" s="1"/>
  <c r="EB62" i="7"/>
  <c r="ES62" i="7" s="1"/>
  <c r="EB74" i="7"/>
  <c r="ES74" i="7" s="1"/>
  <c r="EB76" i="7"/>
  <c r="ES76" i="7" s="1"/>
  <c r="EB68" i="7"/>
  <c r="ES68" i="7" s="1"/>
  <c r="EB60" i="7"/>
  <c r="ES60" i="7" s="1"/>
  <c r="EB77" i="7"/>
  <c r="ES77" i="7" s="1"/>
  <c r="EB73" i="7"/>
  <c r="ES73" i="7" s="1"/>
  <c r="EB69" i="7"/>
  <c r="ES69" i="7" s="1"/>
  <c r="EB65" i="7"/>
  <c r="ES65" i="7" s="1"/>
  <c r="EB61" i="7"/>
  <c r="ES61" i="7" s="1"/>
  <c r="AY107" i="7"/>
  <c r="BP107" i="7"/>
  <c r="BP108" i="7"/>
  <c r="AY108" i="7"/>
  <c r="Z69" i="9"/>
  <c r="Z88" i="9"/>
  <c r="Z80" i="9"/>
  <c r="Z72" i="9"/>
  <c r="Z90" i="9"/>
  <c r="Z82" i="9"/>
  <c r="Z74" i="9"/>
  <c r="Z89" i="9"/>
  <c r="Z85" i="9"/>
  <c r="Z81" i="9"/>
  <c r="Z77" i="9"/>
  <c r="Z73" i="9"/>
  <c r="Z84" i="9"/>
  <c r="Z76" i="9"/>
  <c r="Z86" i="9"/>
  <c r="Z78" i="9"/>
  <c r="Z70" i="9"/>
  <c r="Z87" i="9"/>
  <c r="Z83" i="9"/>
  <c r="Z79" i="9"/>
  <c r="Z75" i="9"/>
  <c r="Z71" i="9"/>
  <c r="BB26" i="9"/>
  <c r="BB27" i="9"/>
  <c r="BB31" i="9"/>
  <c r="BB35" i="9"/>
  <c r="BB39" i="9"/>
  <c r="BB43" i="9"/>
  <c r="AZ43" i="9" s="1"/>
  <c r="BB47" i="9"/>
  <c r="BB29" i="9"/>
  <c r="BB33" i="9"/>
  <c r="AY33" i="9" s="1"/>
  <c r="AY34" i="9" s="1"/>
  <c r="AY35" i="9" s="1"/>
  <c r="AY36" i="9" s="1"/>
  <c r="AY37" i="9" s="1"/>
  <c r="AY38" i="9" s="1"/>
  <c r="AY39" i="9" s="1"/>
  <c r="AY40" i="9" s="1"/>
  <c r="AY41" i="9" s="1"/>
  <c r="AY42" i="9" s="1"/>
  <c r="AY43" i="9" s="1"/>
  <c r="AY44" i="9" s="1"/>
  <c r="AY45" i="9" s="1"/>
  <c r="AY46" i="9" s="1"/>
  <c r="AY47" i="9" s="1"/>
  <c r="AY48" i="9" s="1"/>
  <c r="BB37" i="9"/>
  <c r="BB41" i="9"/>
  <c r="BB45" i="9"/>
  <c r="AZ45" i="9" s="1"/>
  <c r="BB46" i="9"/>
  <c r="BC46" i="9" s="1"/>
  <c r="BB42" i="9"/>
  <c r="BB38" i="9"/>
  <c r="BB34" i="9"/>
  <c r="BB30" i="9"/>
  <c r="BB44" i="9"/>
  <c r="AZ44" i="9" s="1"/>
  <c r="BB40" i="9"/>
  <c r="BB36" i="9"/>
  <c r="BB32" i="9"/>
  <c r="BB28" i="9"/>
  <c r="AP189" i="1"/>
  <c r="AJ24" i="3" s="1"/>
  <c r="AD109" i="7"/>
  <c r="S176" i="9"/>
  <c r="S177" i="9" s="1"/>
  <c r="AE104" i="7"/>
  <c r="AQ113" i="12"/>
  <c r="AQ177" i="12" s="1"/>
  <c r="AI113" i="12"/>
  <c r="AI177" i="12" s="1"/>
  <c r="T111" i="6"/>
  <c r="T170" i="6" s="1"/>
  <c r="S163" i="9"/>
  <c r="S164" i="9" s="1"/>
  <c r="AU113" i="12"/>
  <c r="AU177" i="12" s="1"/>
  <c r="AM113" i="12"/>
  <c r="AM177" i="12" s="1"/>
  <c r="AE113" i="12"/>
  <c r="AE177" i="12" s="1"/>
  <c r="W113" i="12"/>
  <c r="W177" i="12" s="1"/>
  <c r="P111" i="6"/>
  <c r="P170" i="6" s="1"/>
  <c r="AS113" i="12"/>
  <c r="AS177" i="12" s="1"/>
  <c r="AP111" i="6"/>
  <c r="AP170" i="6" s="1"/>
  <c r="AL111" i="6"/>
  <c r="AL170" i="6" s="1"/>
  <c r="AH111" i="6"/>
  <c r="AH170" i="6" s="1"/>
  <c r="AD111" i="6"/>
  <c r="AD170" i="6" s="1"/>
  <c r="Z111" i="6"/>
  <c r="Z170" i="6" s="1"/>
  <c r="V111" i="6"/>
  <c r="V170" i="6" s="1"/>
  <c r="R111" i="6"/>
  <c r="R170" i="6" s="1"/>
  <c r="AV113" i="12"/>
  <c r="AV177" i="12" s="1"/>
  <c r="AT113" i="12"/>
  <c r="AT177" i="12" s="1"/>
  <c r="AR113" i="12"/>
  <c r="AR177" i="12" s="1"/>
  <c r="AQ111" i="6"/>
  <c r="AQ170" i="6" s="1"/>
  <c r="AO111" i="6"/>
  <c r="AO170" i="6" s="1"/>
  <c r="AM111" i="6"/>
  <c r="AM170" i="6" s="1"/>
  <c r="AJ113" i="12"/>
  <c r="AJ177" i="12" s="1"/>
  <c r="AI111" i="6"/>
  <c r="AI170" i="6" s="1"/>
  <c r="AG111" i="6"/>
  <c r="AG170" i="6" s="1"/>
  <c r="AE111" i="6"/>
  <c r="AE170" i="6" s="1"/>
  <c r="AB113" i="12"/>
  <c r="AB177" i="12" s="1"/>
  <c r="AA111" i="6"/>
  <c r="AA170" i="6" s="1"/>
  <c r="Y111" i="6"/>
  <c r="Y170" i="6" s="1"/>
  <c r="W111" i="6"/>
  <c r="W170" i="6" s="1"/>
  <c r="T113" i="12"/>
  <c r="T177" i="12" s="1"/>
  <c r="S111" i="6"/>
  <c r="S170" i="6" s="1"/>
  <c r="Q111" i="6"/>
  <c r="Q170" i="6" s="1"/>
  <c r="BB40" i="8"/>
  <c r="BO40" i="8" s="1"/>
  <c r="BO39" i="8"/>
  <c r="T196" i="7"/>
  <c r="Q196" i="7" s="1"/>
  <c r="BX123" i="8"/>
  <c r="BX125" i="8" s="1"/>
  <c r="BX126" i="8" s="1"/>
  <c r="BX127" i="8" s="1"/>
  <c r="BX128" i="8" s="1"/>
  <c r="BX129" i="8" s="1"/>
  <c r="BX130" i="8" s="1"/>
  <c r="BX131" i="8" s="1"/>
  <c r="BX132" i="8" s="1"/>
  <c r="BX133" i="8" s="1"/>
  <c r="BX134" i="8" s="1"/>
  <c r="BX135" i="8" s="1"/>
  <c r="BX136" i="8" s="1"/>
  <c r="BX137" i="8" s="1"/>
  <c r="BX138" i="8" s="1"/>
  <c r="BX46" i="9"/>
  <c r="BX45" i="9"/>
  <c r="BX44" i="9"/>
  <c r="BX43" i="9"/>
  <c r="BX42" i="9"/>
  <c r="BX41" i="9"/>
  <c r="DI62" i="7"/>
  <c r="DI63" i="7" s="1"/>
  <c r="DI64" i="7" s="1"/>
  <c r="DI65" i="7" s="1"/>
  <c r="DI66" i="7" s="1"/>
  <c r="DI67" i="7" s="1"/>
  <c r="DI68" i="7" s="1"/>
  <c r="DI69" i="7" s="1"/>
  <c r="DI70" i="7" s="1"/>
  <c r="DI71" i="7" s="1"/>
  <c r="DI72" i="7" s="1"/>
  <c r="DI73" i="7" s="1"/>
  <c r="DI74" i="7" s="1"/>
  <c r="DI75" i="7" s="1"/>
  <c r="DI76" i="7" s="1"/>
  <c r="DI77" i="7" s="1"/>
  <c r="DI78" i="7" s="1"/>
  <c r="AV37" i="8"/>
  <c r="AH38" i="8"/>
  <c r="T16" i="8"/>
  <c r="T20" i="8"/>
  <c r="T24" i="8"/>
  <c r="T28" i="8"/>
  <c r="T32" i="8"/>
  <c r="T36" i="8"/>
  <c r="T23" i="8"/>
  <c r="T35" i="8"/>
  <c r="T17" i="8"/>
  <c r="T21" i="8"/>
  <c r="T25" i="8"/>
  <c r="T29" i="8"/>
  <c r="T33" i="8"/>
  <c r="T19" i="8"/>
  <c r="T27" i="8"/>
  <c r="T31" i="8"/>
  <c r="T18" i="8"/>
  <c r="T22" i="8"/>
  <c r="T26" i="8"/>
  <c r="T30" i="8"/>
  <c r="T34" i="8"/>
  <c r="K36" i="5"/>
  <c r="AB111" i="6"/>
  <c r="AB170" i="6" s="1"/>
  <c r="AA113" i="12"/>
  <c r="AA177" i="12" s="1"/>
  <c r="O111" i="6"/>
  <c r="O170" i="6" s="1"/>
  <c r="N113" i="12"/>
  <c r="N177" i="12" s="1"/>
  <c r="CW204" i="1" l="1"/>
  <c r="UB36" i="4"/>
  <c r="UC36" i="4"/>
  <c r="O114" i="3"/>
  <c r="Z114" i="3"/>
  <c r="AF114" i="3"/>
  <c r="P114" i="3"/>
  <c r="AK114" i="3"/>
  <c r="AC114" i="3"/>
  <c r="U114" i="3"/>
  <c r="R114" i="3"/>
  <c r="AB114" i="3"/>
  <c r="AI114" i="3"/>
  <c r="AA114" i="3"/>
  <c r="S114" i="3"/>
  <c r="AL114" i="3"/>
  <c r="X114" i="3"/>
  <c r="AG114" i="3"/>
  <c r="Y114" i="3"/>
  <c r="Q114" i="3"/>
  <c r="AD114" i="3"/>
  <c r="V114" i="3"/>
  <c r="AH114" i="3"/>
  <c r="AJ114" i="3"/>
  <c r="T114" i="3"/>
  <c r="AE114" i="3"/>
  <c r="W114" i="3"/>
  <c r="AL18" i="3"/>
  <c r="CW413" i="1"/>
  <c r="CU413" i="1" s="1"/>
  <c r="DJ413" i="1" s="1"/>
  <c r="CW414" i="1"/>
  <c r="CU414" i="1" s="1"/>
  <c r="CW422" i="1"/>
  <c r="CU422" i="1" s="1"/>
  <c r="CW430" i="1"/>
  <c r="CU430" i="1" s="1"/>
  <c r="CW416" i="1"/>
  <c r="CU416" i="1" s="1"/>
  <c r="CW424" i="1"/>
  <c r="CU424" i="1" s="1"/>
  <c r="CW432" i="1"/>
  <c r="CU432" i="1" s="1"/>
  <c r="CW418" i="1"/>
  <c r="CU418" i="1" s="1"/>
  <c r="CW426" i="1"/>
  <c r="CU426" i="1" s="1"/>
  <c r="CW434" i="1"/>
  <c r="CU434" i="1" s="1"/>
  <c r="CW420" i="1"/>
  <c r="CU420" i="1" s="1"/>
  <c r="CW428" i="1"/>
  <c r="CU428" i="1" s="1"/>
  <c r="CW436" i="1"/>
  <c r="CU436" i="1" s="1"/>
  <c r="CW431" i="1"/>
  <c r="CU431" i="1" s="1"/>
  <c r="CW423" i="1"/>
  <c r="CU423" i="1" s="1"/>
  <c r="CW415" i="1"/>
  <c r="CU415" i="1" s="1"/>
  <c r="CW429" i="1"/>
  <c r="CU429" i="1" s="1"/>
  <c r="CW421" i="1"/>
  <c r="CU421" i="1" s="1"/>
  <c r="CW435" i="1"/>
  <c r="CU435" i="1" s="1"/>
  <c r="CW427" i="1"/>
  <c r="CU427" i="1" s="1"/>
  <c r="CW419" i="1"/>
  <c r="CU419" i="1" s="1"/>
  <c r="CW433" i="1"/>
  <c r="CU433" i="1" s="1"/>
  <c r="CW425" i="1"/>
  <c r="CU425" i="1" s="1"/>
  <c r="CW417" i="1"/>
  <c r="CU417" i="1" s="1"/>
  <c r="O31" i="3"/>
  <c r="AD31" i="3"/>
  <c r="AL31" i="3"/>
  <c r="AB31" i="3"/>
  <c r="AG31" i="3"/>
  <c r="Y31" i="3"/>
  <c r="Q31" i="3"/>
  <c r="V31" i="3"/>
  <c r="AH31" i="3"/>
  <c r="X31" i="3"/>
  <c r="AE31" i="3"/>
  <c r="W31" i="3"/>
  <c r="Z31" i="3"/>
  <c r="AJ31" i="3"/>
  <c r="T31" i="3"/>
  <c r="AK31" i="3"/>
  <c r="AC31" i="3"/>
  <c r="U31" i="3"/>
  <c r="R31" i="3"/>
  <c r="AF31" i="3"/>
  <c r="P31" i="3"/>
  <c r="AI31" i="3"/>
  <c r="AA31" i="3"/>
  <c r="S31" i="3"/>
  <c r="CW205" i="1"/>
  <c r="CX186" i="1"/>
  <c r="CY186" i="1" s="1"/>
  <c r="CZ184" i="1"/>
  <c r="CX184" i="1" s="1"/>
  <c r="CY184" i="1" s="1"/>
  <c r="CZ187" i="1"/>
  <c r="CX187" i="1" s="1"/>
  <c r="CY187" i="1" s="1"/>
  <c r="CZ195" i="1"/>
  <c r="CX195" i="1" s="1"/>
  <c r="CY195" i="1" s="1"/>
  <c r="CZ203" i="1"/>
  <c r="CX203" i="1" s="1"/>
  <c r="CY203" i="1" s="1"/>
  <c r="CZ189" i="1"/>
  <c r="CX189" i="1" s="1"/>
  <c r="CY189" i="1" s="1"/>
  <c r="CZ197" i="1"/>
  <c r="CX197" i="1" s="1"/>
  <c r="CY197" i="1" s="1"/>
  <c r="CZ205" i="1"/>
  <c r="CX205" i="1" s="1"/>
  <c r="CY205" i="1" s="1"/>
  <c r="CZ191" i="1"/>
  <c r="CX191" i="1" s="1"/>
  <c r="CY191" i="1" s="1"/>
  <c r="CZ199" i="1"/>
  <c r="CX199" i="1" s="1"/>
  <c r="CY199" i="1" s="1"/>
  <c r="CZ207" i="1"/>
  <c r="CX207" i="1" s="1"/>
  <c r="CZ185" i="1"/>
  <c r="CX185" i="1" s="1"/>
  <c r="CY185" i="1" s="1"/>
  <c r="CZ193" i="1"/>
  <c r="CX193" i="1" s="1"/>
  <c r="CY193" i="1" s="1"/>
  <c r="CZ201" i="1"/>
  <c r="CX201" i="1" s="1"/>
  <c r="CY201" i="1" s="1"/>
  <c r="CZ206" i="1"/>
  <c r="CX206" i="1" s="1"/>
  <c r="CY206" i="1" s="1"/>
  <c r="CZ198" i="1"/>
  <c r="CX198" i="1" s="1"/>
  <c r="CY198" i="1" s="1"/>
  <c r="CZ190" i="1"/>
  <c r="CX190" i="1" s="1"/>
  <c r="CY190" i="1" s="1"/>
  <c r="CZ204" i="1"/>
  <c r="CX204" i="1" s="1"/>
  <c r="CY204" i="1" s="1"/>
  <c r="CZ196" i="1"/>
  <c r="CX196" i="1" s="1"/>
  <c r="CY196" i="1" s="1"/>
  <c r="CZ188" i="1"/>
  <c r="CX188" i="1" s="1"/>
  <c r="CY188" i="1" s="1"/>
  <c r="CZ202" i="1"/>
  <c r="CX202" i="1" s="1"/>
  <c r="CY202" i="1" s="1"/>
  <c r="CZ194" i="1"/>
  <c r="CX194" i="1" s="1"/>
  <c r="CY194" i="1" s="1"/>
  <c r="CZ186" i="1"/>
  <c r="CZ200" i="1"/>
  <c r="CX200" i="1" s="1"/>
  <c r="CY200" i="1" s="1"/>
  <c r="CZ192" i="1"/>
  <c r="CX192" i="1" s="1"/>
  <c r="CY192" i="1" s="1"/>
  <c r="O21" i="3"/>
  <c r="AL21" i="3"/>
  <c r="V21" i="3"/>
  <c r="X21" i="3"/>
  <c r="AI21" i="3"/>
  <c r="AA21" i="3"/>
  <c r="S21" i="3"/>
  <c r="AH21" i="3"/>
  <c r="R21" i="3"/>
  <c r="AJ21" i="3"/>
  <c r="T21" i="3"/>
  <c r="AG21" i="3"/>
  <c r="Y21" i="3"/>
  <c r="Q21" i="3"/>
  <c r="AD21" i="3"/>
  <c r="AF21" i="3"/>
  <c r="P21" i="3"/>
  <c r="AE21" i="3"/>
  <c r="W21" i="3"/>
  <c r="Z21" i="3"/>
  <c r="AB21" i="3"/>
  <c r="AK21" i="3"/>
  <c r="AC21" i="3"/>
  <c r="U21" i="3"/>
  <c r="EV118" i="1"/>
  <c r="FA118" i="1"/>
  <c r="CV118" i="1"/>
  <c r="DI118" i="1" s="1"/>
  <c r="EW119" i="1" s="1"/>
  <c r="FE119" i="1"/>
  <c r="CW162" i="1"/>
  <c r="DL162" i="1" s="1"/>
  <c r="EX119" i="1" s="1"/>
  <c r="AQ24" i="3"/>
  <c r="AR14" i="3"/>
  <c r="AQ156" i="3"/>
  <c r="AQ90" i="3"/>
  <c r="AQ26" i="3"/>
  <c r="AQ160" i="3" s="1"/>
  <c r="AQ18" i="3"/>
  <c r="AQ120" i="3"/>
  <c r="AQ28" i="3"/>
  <c r="AQ27" i="3" s="1"/>
  <c r="AQ25" i="3"/>
  <c r="DN439" i="1"/>
  <c r="EB439" i="1" s="1"/>
  <c r="EZ119" i="1" s="1"/>
  <c r="AM68" i="2"/>
  <c r="BU12" i="2" s="1" a="1"/>
  <c r="AL129" i="3"/>
  <c r="GW32" i="2"/>
  <c r="GX32" i="2" s="1"/>
  <c r="CW119" i="1"/>
  <c r="DO440" i="1"/>
  <c r="DF805" i="1"/>
  <c r="EL31" i="2"/>
  <c r="EQ31" i="2" s="1"/>
  <c r="EU72" i="2"/>
  <c r="CY256" i="1"/>
  <c r="CW256" i="1" s="1"/>
  <c r="DM348" i="1"/>
  <c r="EG232" i="1"/>
  <c r="EK187" i="1"/>
  <c r="FE187" i="1" s="1"/>
  <c r="EG231" i="1"/>
  <c r="EK186" i="1"/>
  <c r="FE186" i="1" s="1"/>
  <c r="EG234" i="1"/>
  <c r="EK189" i="1"/>
  <c r="FE189" i="1" s="1"/>
  <c r="EG246" i="1"/>
  <c r="EK201" i="1"/>
  <c r="FE201" i="1" s="1"/>
  <c r="EG238" i="1"/>
  <c r="EK193" i="1"/>
  <c r="FE193" i="1" s="1"/>
  <c r="EG248" i="1"/>
  <c r="EK203" i="1"/>
  <c r="FE203" i="1" s="1"/>
  <c r="EG247" i="1"/>
  <c r="EK202" i="1"/>
  <c r="FE202" i="1" s="1"/>
  <c r="EG229" i="1"/>
  <c r="EK184" i="1"/>
  <c r="FE184" i="1" s="1"/>
  <c r="EG230" i="1"/>
  <c r="EK185" i="1"/>
  <c r="FE185" i="1" s="1"/>
  <c r="EG243" i="1"/>
  <c r="EK198" i="1"/>
  <c r="EG244" i="1"/>
  <c r="EK199" i="1"/>
  <c r="FE199" i="1" s="1"/>
  <c r="EG242" i="1"/>
  <c r="EK197" i="1"/>
  <c r="FE197" i="1" s="1"/>
  <c r="EG245" i="1"/>
  <c r="EK200" i="1"/>
  <c r="FE200" i="1" s="1"/>
  <c r="EG235" i="1"/>
  <c r="EK190" i="1"/>
  <c r="FE190" i="1" s="1"/>
  <c r="EG236" i="1"/>
  <c r="EK191" i="1"/>
  <c r="FE191" i="1" s="1"/>
  <c r="EG228" i="1"/>
  <c r="EK183" i="1"/>
  <c r="FE183" i="1" s="1"/>
  <c r="EG237" i="1"/>
  <c r="EK192" i="1"/>
  <c r="FE192" i="1" s="1"/>
  <c r="EG240" i="1"/>
  <c r="EK195" i="1"/>
  <c r="FE195" i="1" s="1"/>
  <c r="EG239" i="1"/>
  <c r="EK194" i="1"/>
  <c r="FE194" i="1" s="1"/>
  <c r="EG241" i="1"/>
  <c r="EK196" i="1"/>
  <c r="FE196" i="1" s="1"/>
  <c r="EG233" i="1"/>
  <c r="EK188" i="1"/>
  <c r="FE188" i="1" s="1"/>
  <c r="CX163" i="1"/>
  <c r="DR211" i="1"/>
  <c r="CV153" i="1"/>
  <c r="DL153" i="1"/>
  <c r="EX110" i="1" s="1"/>
  <c r="CV154" i="1"/>
  <c r="DL154" i="1"/>
  <c r="EX111" i="1" s="1"/>
  <c r="CV155" i="1"/>
  <c r="DL155" i="1"/>
  <c r="EX112" i="1" s="1"/>
  <c r="CV151" i="1"/>
  <c r="DL151" i="1"/>
  <c r="EX108" i="1" s="1"/>
  <c r="CV152" i="1"/>
  <c r="DL152" i="1"/>
  <c r="EX109" i="1" s="1"/>
  <c r="EH36" i="1"/>
  <c r="CV79" i="1"/>
  <c r="AL93" i="2"/>
  <c r="AL90" i="2"/>
  <c r="AR179" i="1"/>
  <c r="DG11" i="2" a="1"/>
  <c r="CK60" i="2" a="1"/>
  <c r="AM69" i="2"/>
  <c r="DG53" i="2" a="1"/>
  <c r="AM93" i="2"/>
  <c r="AM90" i="2"/>
  <c r="CL61" i="2"/>
  <c r="CO61" i="2" s="1"/>
  <c r="CL63" i="2"/>
  <c r="CO63" i="2" s="1"/>
  <c r="CL65" i="2"/>
  <c r="CO65" i="2" s="1"/>
  <c r="CL67" i="2"/>
  <c r="CO67" i="2" s="1"/>
  <c r="CL69" i="2"/>
  <c r="CO69" i="2" s="1"/>
  <c r="CL71" i="2"/>
  <c r="CO71" i="2" s="1"/>
  <c r="CL73" i="2"/>
  <c r="CO73" i="2" s="1"/>
  <c r="CL75" i="2"/>
  <c r="CO75" i="2" s="1"/>
  <c r="CL77" i="2"/>
  <c r="CO77" i="2" s="1"/>
  <c r="CL79" i="2"/>
  <c r="CO79" i="2" s="1"/>
  <c r="CL81" i="2"/>
  <c r="CO81" i="2" s="1"/>
  <c r="CL83" i="2"/>
  <c r="CO83" i="2" s="1"/>
  <c r="CL60" i="2"/>
  <c r="CL62" i="2"/>
  <c r="CO62" i="2" s="1"/>
  <c r="CL64" i="2"/>
  <c r="CO64" i="2" s="1"/>
  <c r="CL66" i="2"/>
  <c r="CO66" i="2" s="1"/>
  <c r="CL68" i="2"/>
  <c r="CO68" i="2" s="1"/>
  <c r="CL70" i="2"/>
  <c r="CO70" i="2" s="1"/>
  <c r="CL72" i="2"/>
  <c r="CO72" i="2" s="1"/>
  <c r="CL74" i="2"/>
  <c r="CO74" i="2" s="1"/>
  <c r="CL76" i="2"/>
  <c r="CO76" i="2" s="1"/>
  <c r="CL78" i="2"/>
  <c r="CO78" i="2" s="1"/>
  <c r="CL80" i="2"/>
  <c r="CO80" i="2" s="1"/>
  <c r="CL82" i="2"/>
  <c r="CO82" i="2" s="1"/>
  <c r="AL77" i="2"/>
  <c r="AL79" i="2" s="1"/>
  <c r="AL80" i="2" s="1"/>
  <c r="AQ189" i="1"/>
  <c r="AK24" i="3" s="1"/>
  <c r="AR195" i="1"/>
  <c r="AL99" i="3" s="1"/>
  <c r="AL184" i="3" s="1"/>
  <c r="AQ146" i="1"/>
  <c r="AR145" i="1"/>
  <c r="CK9" i="2" a="1"/>
  <c r="AQ84" i="1"/>
  <c r="AQ85" i="1" s="1"/>
  <c r="AL34" i="2"/>
  <c r="AK136" i="3" s="1"/>
  <c r="AQ192" i="1"/>
  <c r="AQ171" i="1"/>
  <c r="AL97" i="2" s="1"/>
  <c r="AQ155" i="1"/>
  <c r="FG95" i="2"/>
  <c r="FG102" i="2"/>
  <c r="FG118" i="2"/>
  <c r="FG110" i="2"/>
  <c r="FG114" i="2"/>
  <c r="FG98" i="2"/>
  <c r="FG112" i="2"/>
  <c r="FG104" i="2"/>
  <c r="FG96" i="2"/>
  <c r="FG117" i="2"/>
  <c r="FG113" i="2"/>
  <c r="FG109" i="2"/>
  <c r="FG105" i="2"/>
  <c r="FG101" i="2"/>
  <c r="FG97" i="2"/>
  <c r="FG106" i="2"/>
  <c r="FG116" i="2"/>
  <c r="FG108" i="2"/>
  <c r="FG100" i="2"/>
  <c r="FG115" i="2"/>
  <c r="FG111" i="2"/>
  <c r="FG107" i="2"/>
  <c r="FG103" i="2"/>
  <c r="FG99" i="2"/>
  <c r="DF11" i="2"/>
  <c r="DF26" i="2"/>
  <c r="DF18" i="2"/>
  <c r="DF34" i="2"/>
  <c r="DF30" i="2"/>
  <c r="DF14" i="2"/>
  <c r="DF28" i="2"/>
  <c r="DF20" i="2"/>
  <c r="DF12" i="2"/>
  <c r="DF31" i="2"/>
  <c r="DF27" i="2"/>
  <c r="DF23" i="2"/>
  <c r="DF19" i="2"/>
  <c r="DF15" i="2"/>
  <c r="DF22" i="2"/>
  <c r="DF32" i="2"/>
  <c r="DF24" i="2"/>
  <c r="DF16" i="2"/>
  <c r="DF33" i="2"/>
  <c r="DF29" i="2"/>
  <c r="DF25" i="2"/>
  <c r="DF21" i="2"/>
  <c r="DF17" i="2"/>
  <c r="DF13" i="2"/>
  <c r="BW251" i="2"/>
  <c r="DR164" i="2"/>
  <c r="FI255" i="1" s="1"/>
  <c r="FF255" i="1" s="1"/>
  <c r="FG255" i="1" s="1"/>
  <c r="EY121" i="1" s="1"/>
  <c r="BE44" i="2"/>
  <c r="BE46" i="2"/>
  <c r="BE48" i="2"/>
  <c r="BE50" i="2"/>
  <c r="BE52" i="2"/>
  <c r="BE54" i="2"/>
  <c r="BE56" i="2"/>
  <c r="BE58" i="2"/>
  <c r="BE60" i="2"/>
  <c r="BE62" i="2"/>
  <c r="BE64" i="2"/>
  <c r="BE66" i="2"/>
  <c r="BE43" i="2"/>
  <c r="BE45" i="2"/>
  <c r="BE47" i="2"/>
  <c r="BE49" i="2"/>
  <c r="BE51" i="2"/>
  <c r="BE53" i="2"/>
  <c r="BE55" i="2"/>
  <c r="BE57" i="2"/>
  <c r="BE59" i="2"/>
  <c r="BE61" i="2"/>
  <c r="BE63" i="2"/>
  <c r="BE65" i="2"/>
  <c r="BV12" i="2" a="1"/>
  <c r="BV15" i="2" s="1"/>
  <c r="AJ203" i="3"/>
  <c r="AJ204" i="3"/>
  <c r="DF754" i="1"/>
  <c r="DT754" i="1"/>
  <c r="DE746" i="1"/>
  <c r="DT746" i="1"/>
  <c r="DE738" i="1"/>
  <c r="DT738" i="1"/>
  <c r="DE751" i="1"/>
  <c r="DT751" i="1"/>
  <c r="DE743" i="1"/>
  <c r="DT743" i="1"/>
  <c r="DF756" i="1"/>
  <c r="DT756" i="1"/>
  <c r="DE748" i="1"/>
  <c r="DT748" i="1"/>
  <c r="DE740" i="1"/>
  <c r="DT740" i="1"/>
  <c r="DF753" i="1"/>
  <c r="DT753" i="1"/>
  <c r="DE745" i="1"/>
  <c r="DT745" i="1"/>
  <c r="DF758" i="1"/>
  <c r="DT758" i="1"/>
  <c r="DE750" i="1"/>
  <c r="DT750" i="1"/>
  <c r="DE742" i="1"/>
  <c r="DT742" i="1"/>
  <c r="DF755" i="1"/>
  <c r="DT755" i="1"/>
  <c r="DE747" i="1"/>
  <c r="DT747" i="1"/>
  <c r="DE739" i="1"/>
  <c r="DT739" i="1"/>
  <c r="DF752" i="1"/>
  <c r="DT752" i="1"/>
  <c r="DE744" i="1"/>
  <c r="DT744" i="1"/>
  <c r="DF757" i="1"/>
  <c r="DT757" i="1"/>
  <c r="DE749" i="1"/>
  <c r="DT749" i="1"/>
  <c r="DE741" i="1"/>
  <c r="DT741" i="1"/>
  <c r="EA873" i="1"/>
  <c r="DZ873" i="1"/>
  <c r="DA694" i="1"/>
  <c r="DA698" i="1"/>
  <c r="DA702" i="1"/>
  <c r="DA706" i="1"/>
  <c r="DA710" i="1"/>
  <c r="DA714" i="1"/>
  <c r="DA697" i="1"/>
  <c r="DA701" i="1"/>
  <c r="DA705" i="1"/>
  <c r="DA709" i="1"/>
  <c r="DA713" i="1"/>
  <c r="DA696" i="1"/>
  <c r="DA700" i="1"/>
  <c r="DA704" i="1"/>
  <c r="DA708" i="1"/>
  <c r="DA712" i="1"/>
  <c r="DA695" i="1"/>
  <c r="DA699" i="1"/>
  <c r="DA703" i="1"/>
  <c r="DA707" i="1"/>
  <c r="DA711" i="1"/>
  <c r="DA715" i="1"/>
  <c r="AK93" i="2"/>
  <c r="AK90" i="2"/>
  <c r="AK33" i="2"/>
  <c r="AJ137" i="3" s="1"/>
  <c r="AK98" i="2"/>
  <c r="AK101" i="2" s="1"/>
  <c r="AK31" i="2"/>
  <c r="AK32" i="2" s="1"/>
  <c r="EE68" i="9" a="1"/>
  <c r="EE68" i="9" s="1"/>
  <c r="EC608" i="1"/>
  <c r="EC629" i="1"/>
  <c r="EC625" i="1"/>
  <c r="EC621" i="1"/>
  <c r="EC617" i="1"/>
  <c r="EC613" i="1"/>
  <c r="EC609" i="1"/>
  <c r="EC626" i="1"/>
  <c r="EC622" i="1"/>
  <c r="EC618" i="1"/>
  <c r="EC614" i="1"/>
  <c r="EC610" i="1"/>
  <c r="EC627" i="1"/>
  <c r="EC623" i="1"/>
  <c r="EC619" i="1"/>
  <c r="EC615" i="1"/>
  <c r="EC611" i="1"/>
  <c r="EC628" i="1"/>
  <c r="EC624" i="1"/>
  <c r="EC620" i="1"/>
  <c r="EC616" i="1"/>
  <c r="EC612" i="1"/>
  <c r="DB858" i="1"/>
  <c r="DD858" i="1" s="1"/>
  <c r="DB879" i="1"/>
  <c r="DE879" i="1" s="1"/>
  <c r="DB875" i="1"/>
  <c r="DE875" i="1" s="1"/>
  <c r="DB871" i="1"/>
  <c r="DD871" i="1" s="1"/>
  <c r="DB867" i="1"/>
  <c r="DD867" i="1" s="1"/>
  <c r="DB863" i="1"/>
  <c r="DD863" i="1" s="1"/>
  <c r="DB859" i="1"/>
  <c r="DD859" i="1" s="1"/>
  <c r="DB876" i="1"/>
  <c r="DE876" i="1" s="1"/>
  <c r="DB872" i="1"/>
  <c r="DD872" i="1" s="1"/>
  <c r="DB868" i="1"/>
  <c r="DD868" i="1" s="1"/>
  <c r="DB864" i="1"/>
  <c r="DD864" i="1" s="1"/>
  <c r="DB860" i="1"/>
  <c r="DD860" i="1" s="1"/>
  <c r="DB877" i="1"/>
  <c r="DE877" i="1" s="1"/>
  <c r="DB873" i="1"/>
  <c r="DD873" i="1" s="1"/>
  <c r="DE873" i="1" s="1"/>
  <c r="DB869" i="1"/>
  <c r="DD869" i="1" s="1"/>
  <c r="DB865" i="1"/>
  <c r="DD865" i="1" s="1"/>
  <c r="DB861" i="1"/>
  <c r="DD861" i="1" s="1"/>
  <c r="DB878" i="1"/>
  <c r="DE878" i="1" s="1"/>
  <c r="DB874" i="1"/>
  <c r="DE874" i="1" s="1"/>
  <c r="DB870" i="1"/>
  <c r="DD870" i="1" s="1"/>
  <c r="DB866" i="1"/>
  <c r="DD866" i="1" s="1"/>
  <c r="DB862" i="1"/>
  <c r="DD862" i="1" s="1"/>
  <c r="EZ717" i="1"/>
  <c r="AJ89" i="2"/>
  <c r="AY109" i="7"/>
  <c r="AD110" i="7"/>
  <c r="AU109" i="7"/>
  <c r="AP146" i="1"/>
  <c r="DM27" i="9" a="1"/>
  <c r="ET65" i="7"/>
  <c r="DS66" i="7"/>
  <c r="ET73" i="7"/>
  <c r="DS74" i="7"/>
  <c r="ET60" i="7"/>
  <c r="DS61" i="7"/>
  <c r="ET76" i="7"/>
  <c r="DS77" i="7"/>
  <c r="ET74" i="7"/>
  <c r="DS75" i="7"/>
  <c r="ET67" i="7"/>
  <c r="DS68" i="7"/>
  <c r="ET75" i="7"/>
  <c r="DS76" i="7"/>
  <c r="ET64" i="7"/>
  <c r="DS65" i="7"/>
  <c r="ET70" i="7"/>
  <c r="DS71" i="7"/>
  <c r="ET61" i="7"/>
  <c r="DS62" i="7"/>
  <c r="ET69" i="7"/>
  <c r="DS70" i="7"/>
  <c r="ET77" i="7"/>
  <c r="DS78" i="7"/>
  <c r="ET68" i="7"/>
  <c r="DS69" i="7"/>
  <c r="ET66" i="7"/>
  <c r="DS67" i="7"/>
  <c r="ET63" i="7"/>
  <c r="DS64" i="7"/>
  <c r="ET71" i="7"/>
  <c r="DS72" i="7"/>
  <c r="ET72" i="7"/>
  <c r="DS73" i="7"/>
  <c r="ET62" i="7"/>
  <c r="DS63" i="7"/>
  <c r="AZ46" i="9"/>
  <c r="AZ47" i="9" s="1"/>
  <c r="AZ48" i="9" s="1"/>
  <c r="AZ49" i="9" s="1"/>
  <c r="AZ50" i="9" s="1"/>
  <c r="AZ51" i="9" s="1"/>
  <c r="AZ52" i="9" s="1"/>
  <c r="AZ53" i="9" s="1"/>
  <c r="AZ54" i="9" s="1"/>
  <c r="AZ55" i="9" s="1"/>
  <c r="AZ56" i="9" s="1"/>
  <c r="AZ57" i="9" s="1"/>
  <c r="AZ58" i="9" s="1"/>
  <c r="AZ59" i="9" s="1"/>
  <c r="AZ60" i="9" s="1"/>
  <c r="AZ61" i="9" s="1"/>
  <c r="AJ111" i="6"/>
  <c r="AJ170" i="6" s="1"/>
  <c r="O113" i="12"/>
  <c r="O177" i="12" s="1"/>
  <c r="AR111" i="6"/>
  <c r="AR170" i="6" s="1"/>
  <c r="AF111" i="6"/>
  <c r="AF170" i="6" s="1"/>
  <c r="X111" i="6"/>
  <c r="X170" i="6" s="1"/>
  <c r="S113" i="12"/>
  <c r="S177" i="12" s="1"/>
  <c r="U113" i="12"/>
  <c r="U177" i="12" s="1"/>
  <c r="AD113" i="12"/>
  <c r="AD177" i="12" s="1"/>
  <c r="AL113" i="12"/>
  <c r="AL177" i="12" s="1"/>
  <c r="V113" i="12"/>
  <c r="V177" i="12" s="1"/>
  <c r="AC113" i="12"/>
  <c r="AC177" i="12" s="1"/>
  <c r="AK113" i="12"/>
  <c r="AK177" i="12" s="1"/>
  <c r="AN111" i="6"/>
  <c r="AN170" i="6" s="1"/>
  <c r="R113" i="12"/>
  <c r="R177" i="12" s="1"/>
  <c r="Z113" i="12"/>
  <c r="Z177" i="12" s="1"/>
  <c r="AH113" i="12"/>
  <c r="AH177" i="12" s="1"/>
  <c r="AP113" i="12"/>
  <c r="AP177" i="12" s="1"/>
  <c r="Q113" i="12"/>
  <c r="Q177" i="12" s="1"/>
  <c r="U111" i="6"/>
  <c r="U170" i="6" s="1"/>
  <c r="X113" i="12"/>
  <c r="X177" i="12" s="1"/>
  <c r="AG113" i="12"/>
  <c r="AG177" i="12" s="1"/>
  <c r="AK111" i="6"/>
  <c r="AK170" i="6" s="1"/>
  <c r="AN113" i="12"/>
  <c r="AN177" i="12" s="1"/>
  <c r="P113" i="12"/>
  <c r="P177" i="12" s="1"/>
  <c r="Y113" i="12"/>
  <c r="Y177" i="12" s="1"/>
  <c r="AC111" i="6"/>
  <c r="AC170" i="6" s="1"/>
  <c r="AF113" i="12"/>
  <c r="AF177" i="12" s="1"/>
  <c r="AO113" i="12"/>
  <c r="AO177" i="12" s="1"/>
  <c r="T197" i="7"/>
  <c r="Q197" i="7" s="1"/>
  <c r="K37" i="5"/>
  <c r="AH39" i="8"/>
  <c r="AV38" i="8"/>
  <c r="EE384" i="1" l="1"/>
  <c r="DJ425" i="1"/>
  <c r="EE394" i="1"/>
  <c r="DJ435" i="1"/>
  <c r="CX435" i="1"/>
  <c r="EE382" i="1"/>
  <c r="DJ423" i="1"/>
  <c r="EE379" i="1"/>
  <c r="DJ420" i="1"/>
  <c r="EE391" i="1"/>
  <c r="DJ432" i="1"/>
  <c r="EE381" i="1"/>
  <c r="DJ422" i="1"/>
  <c r="O13" i="3" a="1"/>
  <c r="EE392" i="1"/>
  <c r="DJ433" i="1"/>
  <c r="EE380" i="1"/>
  <c r="DJ421" i="1"/>
  <c r="EE390" i="1"/>
  <c r="DJ431" i="1"/>
  <c r="EE393" i="1"/>
  <c r="DJ434" i="1"/>
  <c r="EE383" i="1"/>
  <c r="DJ424" i="1"/>
  <c r="EE373" i="1"/>
  <c r="DJ414" i="1"/>
  <c r="EE378" i="1"/>
  <c r="DJ419" i="1"/>
  <c r="EE388" i="1"/>
  <c r="DJ429" i="1"/>
  <c r="EE395" i="1"/>
  <c r="DJ436" i="1"/>
  <c r="CX436" i="1"/>
  <c r="CX437" i="1" s="1"/>
  <c r="EE385" i="1"/>
  <c r="DJ426" i="1"/>
  <c r="EE375" i="1"/>
  <c r="DJ416" i="1"/>
  <c r="CX208" i="1"/>
  <c r="CY207" i="1"/>
  <c r="EE376" i="1"/>
  <c r="DJ417" i="1"/>
  <c r="EE386" i="1"/>
  <c r="DJ427" i="1"/>
  <c r="EE374" i="1"/>
  <c r="DJ415" i="1"/>
  <c r="EE387" i="1"/>
  <c r="DJ428" i="1"/>
  <c r="EE377" i="1"/>
  <c r="DJ418" i="1"/>
  <c r="EE389" i="1"/>
  <c r="DJ430" i="1"/>
  <c r="EV119" i="1"/>
  <c r="FA119" i="1"/>
  <c r="CV119" i="1"/>
  <c r="DI119" i="1" s="1"/>
  <c r="EW120" i="1" s="1"/>
  <c r="FE120" i="1"/>
  <c r="AR24" i="3"/>
  <c r="AS14" i="3"/>
  <c r="AR120" i="3"/>
  <c r="AR156" i="3"/>
  <c r="AR28" i="3"/>
  <c r="AR27" i="3" s="1"/>
  <c r="AR25" i="3"/>
  <c r="AR163" i="3" s="1"/>
  <c r="AR18" i="3"/>
  <c r="AR90" i="3"/>
  <c r="AR26" i="3"/>
  <c r="AR160" i="3" s="1"/>
  <c r="CW163" i="1"/>
  <c r="DL163" i="1" s="1"/>
  <c r="EX120" i="1" s="1"/>
  <c r="AQ163" i="3"/>
  <c r="AM87" i="2"/>
  <c r="DN440" i="1"/>
  <c r="EB440" i="1" s="1"/>
  <c r="EZ120" i="1" s="1"/>
  <c r="FN49" i="2" a="1"/>
  <c r="AL130" i="3"/>
  <c r="FI185" i="1"/>
  <c r="FI189" i="1"/>
  <c r="FI193" i="1"/>
  <c r="FI197" i="1"/>
  <c r="FI201" i="1"/>
  <c r="FI205" i="1"/>
  <c r="FI187" i="1"/>
  <c r="FI191" i="1"/>
  <c r="FI195" i="1"/>
  <c r="FI199" i="1"/>
  <c r="FI203" i="1"/>
  <c r="FI207" i="1"/>
  <c r="FI204" i="1"/>
  <c r="FI200" i="1"/>
  <c r="FI196" i="1"/>
  <c r="FI192" i="1"/>
  <c r="FI188" i="1"/>
  <c r="FI206" i="1"/>
  <c r="FI202" i="1"/>
  <c r="FI198" i="1"/>
  <c r="FI194" i="1"/>
  <c r="FI190" i="1"/>
  <c r="FI186" i="1"/>
  <c r="FK186" i="1" s="1"/>
  <c r="AF18" i="4"/>
  <c r="AF22" i="4"/>
  <c r="AF26" i="4"/>
  <c r="AF20" i="4"/>
  <c r="AF24" i="4"/>
  <c r="AG36" i="4"/>
  <c r="AF25" i="4"/>
  <c r="AF21" i="4"/>
  <c r="AF23" i="4"/>
  <c r="AF19" i="4"/>
  <c r="GW33" i="2"/>
  <c r="GX33" i="2" s="1"/>
  <c r="CW120" i="1"/>
  <c r="DO441" i="1"/>
  <c r="DF806" i="1"/>
  <c r="CY257" i="1"/>
  <c r="CW257" i="1" s="1"/>
  <c r="DM349" i="1"/>
  <c r="FE198" i="1"/>
  <c r="CX164" i="1"/>
  <c r="DR212" i="1"/>
  <c r="EH37" i="1"/>
  <c r="CV80" i="1"/>
  <c r="AL81" i="2"/>
  <c r="FH103" i="2"/>
  <c r="FI111" i="2"/>
  <c r="FH100" i="2"/>
  <c r="FJ116" i="2"/>
  <c r="FH105" i="2"/>
  <c r="FI113" i="2"/>
  <c r="FI112" i="2"/>
  <c r="FJ118" i="2"/>
  <c r="AL33" i="2"/>
  <c r="AK137" i="3" s="1"/>
  <c r="AL98" i="2"/>
  <c r="AL101" i="2" s="1"/>
  <c r="CK9" i="2"/>
  <c r="DA9" i="2" s="1"/>
  <c r="CK32" i="2"/>
  <c r="CL32" i="2" s="1"/>
  <c r="DA32" i="2" s="1"/>
  <c r="CK28" i="2"/>
  <c r="DA28" i="2" s="1"/>
  <c r="CK24" i="2"/>
  <c r="DA24" i="2" s="1"/>
  <c r="CK20" i="2"/>
  <c r="DA20" i="2" s="1"/>
  <c r="CK16" i="2"/>
  <c r="DA16" i="2" s="1"/>
  <c r="CK12" i="2"/>
  <c r="DA12" i="2" s="1"/>
  <c r="CK31" i="2"/>
  <c r="CL31" i="2" s="1"/>
  <c r="DA31" i="2" s="1"/>
  <c r="CK27" i="2"/>
  <c r="DA27" i="2" s="1"/>
  <c r="CK23" i="2"/>
  <c r="DA23" i="2" s="1"/>
  <c r="CK19" i="2"/>
  <c r="DA19" i="2" s="1"/>
  <c r="CK15" i="2"/>
  <c r="DA15" i="2" s="1"/>
  <c r="CK11" i="2"/>
  <c r="DA11" i="2" s="1"/>
  <c r="CK30" i="2"/>
  <c r="CL30" i="2" s="1"/>
  <c r="DA30" i="2" s="1"/>
  <c r="CK26" i="2"/>
  <c r="DA26" i="2" s="1"/>
  <c r="CK22" i="2"/>
  <c r="DA22" i="2" s="1"/>
  <c r="CK18" i="2"/>
  <c r="DA18" i="2" s="1"/>
  <c r="CK14" i="2"/>
  <c r="DA14" i="2" s="1"/>
  <c r="CK10" i="2"/>
  <c r="DA10" i="2" s="1"/>
  <c r="CK29" i="2"/>
  <c r="DA29" i="2" s="1"/>
  <c r="CK25" i="2"/>
  <c r="DA25" i="2" s="1"/>
  <c r="CK21" i="2"/>
  <c r="DA21" i="2" s="1"/>
  <c r="CK17" i="2"/>
  <c r="DA17" i="2" s="1"/>
  <c r="CK13" i="2"/>
  <c r="DA13" i="2" s="1"/>
  <c r="AM77" i="2"/>
  <c r="AM79" i="2" s="1"/>
  <c r="AM80" i="2" s="1"/>
  <c r="AM81" i="2" s="1"/>
  <c r="AR189" i="1"/>
  <c r="BE165" i="2" a="1"/>
  <c r="GJ49" i="2" a="1"/>
  <c r="AR146" i="1"/>
  <c r="BU12" i="2"/>
  <c r="BU17" i="2"/>
  <c r="BU25" i="2"/>
  <c r="BU33" i="2"/>
  <c r="BU19" i="2"/>
  <c r="BU27" i="2"/>
  <c r="BU35" i="2"/>
  <c r="BU30" i="2"/>
  <c r="BU22" i="2"/>
  <c r="BU14" i="2"/>
  <c r="BU28" i="2"/>
  <c r="BU20" i="2"/>
  <c r="BU13" i="2"/>
  <c r="BU21" i="2"/>
  <c r="BU29" i="2"/>
  <c r="BU15" i="2"/>
  <c r="BU23" i="2"/>
  <c r="BU31" i="2"/>
  <c r="BU34" i="2"/>
  <c r="BU26" i="2"/>
  <c r="BU18" i="2"/>
  <c r="BU32" i="2"/>
  <c r="BU24" i="2"/>
  <c r="BU16" i="2"/>
  <c r="CK60" i="2"/>
  <c r="CK75" i="2"/>
  <c r="CN75" i="2" s="1"/>
  <c r="CK67" i="2"/>
  <c r="CN67" i="2" s="1"/>
  <c r="CK71" i="2"/>
  <c r="CN71" i="2" s="1"/>
  <c r="CK81" i="2"/>
  <c r="CN81" i="2" s="1"/>
  <c r="CK73" i="2"/>
  <c r="CN73" i="2" s="1"/>
  <c r="CK65" i="2"/>
  <c r="CN65" i="2" s="1"/>
  <c r="CK82" i="2"/>
  <c r="CN82" i="2" s="1"/>
  <c r="CK78" i="2"/>
  <c r="CN78" i="2" s="1"/>
  <c r="CK74" i="2"/>
  <c r="CN74" i="2" s="1"/>
  <c r="CK70" i="2"/>
  <c r="CN70" i="2" s="1"/>
  <c r="CK66" i="2"/>
  <c r="CN66" i="2" s="1"/>
  <c r="CK62" i="2"/>
  <c r="CN62" i="2" s="1"/>
  <c r="CK83" i="2"/>
  <c r="CN83" i="2" s="1"/>
  <c r="CK79" i="2"/>
  <c r="CN79" i="2" s="1"/>
  <c r="CK63" i="2"/>
  <c r="CN63" i="2" s="1"/>
  <c r="CK77" i="2"/>
  <c r="CN77" i="2" s="1"/>
  <c r="CK69" i="2"/>
  <c r="CN69" i="2" s="1"/>
  <c r="CK61" i="2"/>
  <c r="CN61" i="2" s="1"/>
  <c r="CK80" i="2"/>
  <c r="CN80" i="2" s="1"/>
  <c r="CK76" i="2"/>
  <c r="CN76" i="2" s="1"/>
  <c r="CK72" i="2"/>
  <c r="CN72" i="2" s="1"/>
  <c r="CK68" i="2"/>
  <c r="CN68" i="2" s="1"/>
  <c r="CK64" i="2"/>
  <c r="CN64" i="2" s="1"/>
  <c r="FH99" i="2"/>
  <c r="FH107" i="2"/>
  <c r="FH108" i="2"/>
  <c r="FH106" i="2"/>
  <c r="FH101" i="2"/>
  <c r="FJ117" i="2"/>
  <c r="FH104" i="2"/>
  <c r="FI110" i="2"/>
  <c r="FH102" i="2"/>
  <c r="AR84" i="1"/>
  <c r="AR85" i="1" s="1"/>
  <c r="AM34" i="2"/>
  <c r="AL136" i="3" s="1"/>
  <c r="AR192" i="1"/>
  <c r="FM49" i="2" s="1" a="1"/>
  <c r="AR171" i="1"/>
  <c r="AM97" i="2" s="1"/>
  <c r="BG73" i="2" s="1" a="1"/>
  <c r="AR155" i="1"/>
  <c r="DB372" i="1" s="1" a="1"/>
  <c r="DG53" i="2"/>
  <c r="DW53" i="2" s="1"/>
  <c r="DG56" i="2"/>
  <c r="DW56" i="2" s="1"/>
  <c r="DG60" i="2"/>
  <c r="DW60" i="2" s="1"/>
  <c r="DG64" i="2"/>
  <c r="DW64" i="2" s="1"/>
  <c r="DG68" i="2"/>
  <c r="DW68" i="2" s="1"/>
  <c r="DG72" i="2"/>
  <c r="DW72" i="2" s="1"/>
  <c r="DG76" i="2"/>
  <c r="DG54" i="2"/>
  <c r="DW54" i="2" s="1"/>
  <c r="DG58" i="2"/>
  <c r="DW58" i="2" s="1"/>
  <c r="DG62" i="2"/>
  <c r="DW62" i="2" s="1"/>
  <c r="DG66" i="2"/>
  <c r="DW66" i="2" s="1"/>
  <c r="DG70" i="2"/>
  <c r="DW70" i="2" s="1"/>
  <c r="DG74" i="2"/>
  <c r="DG75" i="2"/>
  <c r="DG71" i="2"/>
  <c r="DW71" i="2" s="1"/>
  <c r="DG67" i="2"/>
  <c r="DW67" i="2" s="1"/>
  <c r="DG63" i="2"/>
  <c r="DW63" i="2" s="1"/>
  <c r="DG59" i="2"/>
  <c r="DW59" i="2" s="1"/>
  <c r="DG55" i="2"/>
  <c r="DW55" i="2" s="1"/>
  <c r="DG73" i="2"/>
  <c r="DW73" i="2" s="1"/>
  <c r="DG69" i="2"/>
  <c r="DW69" i="2" s="1"/>
  <c r="DG65" i="2"/>
  <c r="DW65" i="2" s="1"/>
  <c r="DG61" i="2"/>
  <c r="DW61" i="2" s="1"/>
  <c r="DG57" i="2"/>
  <c r="DW57" i="2" s="1"/>
  <c r="DG11" i="2"/>
  <c r="DG14" i="2"/>
  <c r="DB98" i="2" s="1"/>
  <c r="DG22" i="2"/>
  <c r="DB106" i="2" s="1"/>
  <c r="DG30" i="2"/>
  <c r="DB114" i="2" s="1"/>
  <c r="DG18" i="2"/>
  <c r="DB102" i="2" s="1"/>
  <c r="DG26" i="2"/>
  <c r="DB110" i="2" s="1"/>
  <c r="DG34" i="2"/>
  <c r="DB118" i="2" s="1"/>
  <c r="DG32" i="2"/>
  <c r="DB116" i="2" s="1"/>
  <c r="DG24" i="2"/>
  <c r="DB108" i="2" s="1"/>
  <c r="DG16" i="2"/>
  <c r="DB100" i="2" s="1"/>
  <c r="DG33" i="2"/>
  <c r="DB117" i="2" s="1"/>
  <c r="DG29" i="2"/>
  <c r="DB113" i="2" s="1"/>
  <c r="DG25" i="2"/>
  <c r="DB109" i="2" s="1"/>
  <c r="DG21" i="2"/>
  <c r="DB105" i="2" s="1"/>
  <c r="DG17" i="2"/>
  <c r="DB101" i="2" s="1"/>
  <c r="DG13" i="2"/>
  <c r="DB97" i="2" s="1"/>
  <c r="DG28" i="2"/>
  <c r="DB112" i="2" s="1"/>
  <c r="DG20" i="2"/>
  <c r="DB104" i="2" s="1"/>
  <c r="DG12" i="2"/>
  <c r="DB96" i="2" s="1"/>
  <c r="DG31" i="2"/>
  <c r="DB115" i="2" s="1"/>
  <c r="DG27" i="2"/>
  <c r="DB111" i="2" s="1"/>
  <c r="DG23" i="2"/>
  <c r="DB107" i="2" s="1"/>
  <c r="DG19" i="2"/>
  <c r="DB103" i="2" s="1"/>
  <c r="DG15" i="2"/>
  <c r="DB99" i="2" s="1"/>
  <c r="AL31" i="2"/>
  <c r="AL32" i="2" s="1"/>
  <c r="BV14" i="2"/>
  <c r="BF15" i="2" s="1"/>
  <c r="AD93" i="6"/>
  <c r="AD152" i="6" s="1"/>
  <c r="AP95" i="12"/>
  <c r="AP159" i="12" s="1"/>
  <c r="AQ95" i="12"/>
  <c r="AQ159" i="12" s="1"/>
  <c r="AN95" i="12"/>
  <c r="AN159" i="12" s="1"/>
  <c r="AT95" i="12"/>
  <c r="AT159" i="12" s="1"/>
  <c r="X93" i="6"/>
  <c r="X152" i="6" s="1"/>
  <c r="BV24" i="2"/>
  <c r="BV25" i="2"/>
  <c r="AI93" i="6"/>
  <c r="AI152" i="6" s="1"/>
  <c r="AB93" i="6"/>
  <c r="AB152" i="6" s="1"/>
  <c r="AR95" i="12"/>
  <c r="AR159" i="12" s="1"/>
  <c r="V93" i="6"/>
  <c r="V152" i="6" s="1"/>
  <c r="AO95" i="12"/>
  <c r="AO159" i="12" s="1"/>
  <c r="AM95" i="12"/>
  <c r="AM159" i="12" s="1"/>
  <c r="AV95" i="12"/>
  <c r="AV159" i="12" s="1"/>
  <c r="BV32" i="2"/>
  <c r="BV18" i="2"/>
  <c r="BV33" i="2"/>
  <c r="BF33" i="2" s="1"/>
  <c r="BV17" i="2"/>
  <c r="S93" i="6"/>
  <c r="S152" i="6" s="1"/>
  <c r="AS95" i="12"/>
  <c r="AS159" i="12" s="1"/>
  <c r="AK93" i="6"/>
  <c r="AK152" i="6" s="1"/>
  <c r="AI95" i="12"/>
  <c r="AI159" i="12" s="1"/>
  <c r="U93" i="6"/>
  <c r="U152" i="6" s="1"/>
  <c r="AL93" i="6"/>
  <c r="AL152" i="6" s="1"/>
  <c r="Y93" i="6"/>
  <c r="Y152" i="6" s="1"/>
  <c r="AL95" i="12"/>
  <c r="AL159" i="12" s="1"/>
  <c r="AU95" i="12"/>
  <c r="AU159" i="12" s="1"/>
  <c r="AF93" i="6"/>
  <c r="AF152" i="6" s="1"/>
  <c r="P93" i="6"/>
  <c r="P152" i="6" s="1"/>
  <c r="DR165" i="2"/>
  <c r="FI256" i="1" s="1"/>
  <c r="FF256" i="1" s="1"/>
  <c r="FG256" i="1" s="1"/>
  <c r="EY122" i="1" s="1"/>
  <c r="AC93" i="6"/>
  <c r="AC152" i="6" s="1"/>
  <c r="AB95" i="12"/>
  <c r="AB159" i="12" s="1"/>
  <c r="BV28" i="2"/>
  <c r="BV20" i="2"/>
  <c r="BV16" i="2"/>
  <c r="BF16" i="2" s="1"/>
  <c r="BV12" i="2"/>
  <c r="BV29" i="2"/>
  <c r="BF29" i="2" s="1"/>
  <c r="BV21" i="2"/>
  <c r="BF21" i="2" s="1"/>
  <c r="BV13" i="2"/>
  <c r="BV34" i="2"/>
  <c r="BV30" i="2"/>
  <c r="BF30" i="2" s="1"/>
  <c r="BV26" i="2"/>
  <c r="BV22" i="2"/>
  <c r="BV35" i="2"/>
  <c r="BF35" i="2" s="1"/>
  <c r="BV31" i="2"/>
  <c r="BF31" i="2" s="1"/>
  <c r="BV27" i="2"/>
  <c r="BF27" i="2" s="1"/>
  <c r="BV23" i="2"/>
  <c r="BF23" i="2" s="1"/>
  <c r="BV19" i="2"/>
  <c r="AK87" i="2"/>
  <c r="AK88" i="2" s="1"/>
  <c r="AK89" i="2" s="1"/>
  <c r="AL87" i="2"/>
  <c r="EE75" i="9"/>
  <c r="FC75" i="9" s="1"/>
  <c r="EE88" i="9"/>
  <c r="FC88" i="9" s="1"/>
  <c r="EE86" i="9"/>
  <c r="FC86" i="9" s="1"/>
  <c r="EE72" i="9"/>
  <c r="FC72" i="9" s="1"/>
  <c r="EE70" i="9"/>
  <c r="FC70" i="9" s="1"/>
  <c r="EE87" i="9"/>
  <c r="FC87" i="9" s="1"/>
  <c r="EE80" i="9"/>
  <c r="FC80" i="9" s="1"/>
  <c r="EE81" i="9"/>
  <c r="FC81" i="9" s="1"/>
  <c r="EE78" i="9"/>
  <c r="FC78" i="9" s="1"/>
  <c r="EE77" i="9"/>
  <c r="FC77" i="9" s="1"/>
  <c r="EE71" i="9"/>
  <c r="FC71" i="9" s="1"/>
  <c r="EE76" i="9"/>
  <c r="FC76" i="9" s="1"/>
  <c r="EE84" i="9"/>
  <c r="FC84" i="9" s="1"/>
  <c r="EE73" i="9"/>
  <c r="FC73" i="9" s="1"/>
  <c r="EE89" i="9"/>
  <c r="FC89" i="9" s="1"/>
  <c r="EE74" i="9"/>
  <c r="FC74" i="9" s="1"/>
  <c r="EE82" i="9"/>
  <c r="FC82" i="9" s="1"/>
  <c r="EE69" i="9"/>
  <c r="FC69" i="9" s="1"/>
  <c r="EE85" i="9"/>
  <c r="FC85" i="9" s="1"/>
  <c r="EE79" i="9"/>
  <c r="FC79" i="9" s="1"/>
  <c r="EE83" i="9"/>
  <c r="FC83" i="9" s="1"/>
  <c r="EZ718" i="1"/>
  <c r="AY110" i="7"/>
  <c r="BP109" i="7"/>
  <c r="DM27" i="9"/>
  <c r="DM46" i="9"/>
  <c r="DM38" i="9"/>
  <c r="DM30" i="9"/>
  <c r="DM44" i="9"/>
  <c r="DM36" i="9"/>
  <c r="DM28" i="9"/>
  <c r="DM47" i="9"/>
  <c r="DM43" i="9"/>
  <c r="DM39" i="9"/>
  <c r="DM35" i="9"/>
  <c r="DM31" i="9"/>
  <c r="DM42" i="9"/>
  <c r="DM34" i="9"/>
  <c r="DM48" i="9"/>
  <c r="DM40" i="9"/>
  <c r="DM32" i="9"/>
  <c r="DM45" i="9"/>
  <c r="DM41" i="9"/>
  <c r="DM37" i="9"/>
  <c r="DM33" i="9"/>
  <c r="DM29" i="9"/>
  <c r="AD111" i="7"/>
  <c r="AU110" i="7"/>
  <c r="CN124" i="8"/>
  <c r="T198" i="7"/>
  <c r="K38" i="5"/>
  <c r="AV39" i="8"/>
  <c r="AH40" i="8"/>
  <c r="AV40" i="8" s="1"/>
  <c r="CY208" i="1" l="1"/>
  <c r="CX209" i="1"/>
  <c r="AL24" i="3"/>
  <c r="DQ184" i="1" a="1"/>
  <c r="P13" i="3"/>
  <c r="BA13" i="3"/>
  <c r="BA92" i="3" s="1"/>
  <c r="AC13" i="3"/>
  <c r="AG13" i="3"/>
  <c r="BB13" i="3"/>
  <c r="BB92" i="3" s="1"/>
  <c r="AL13" i="3"/>
  <c r="BC13" i="3"/>
  <c r="BC92" i="3" s="1"/>
  <c r="AM13" i="3"/>
  <c r="AM92" i="3" s="1"/>
  <c r="W13" i="3"/>
  <c r="AV13" i="3"/>
  <c r="AV92" i="3" s="1"/>
  <c r="AF13" i="3"/>
  <c r="AK13" i="3"/>
  <c r="V13" i="3"/>
  <c r="Y13" i="3"/>
  <c r="AX13" i="3"/>
  <c r="AX92" i="3" s="1"/>
  <c r="AH13" i="3"/>
  <c r="AY13" i="3"/>
  <c r="AY92" i="3" s="1"/>
  <c r="AI13" i="3"/>
  <c r="S13" i="3"/>
  <c r="AR13" i="3"/>
  <c r="AR92" i="3" s="1"/>
  <c r="AB13" i="3"/>
  <c r="U13" i="3"/>
  <c r="AW13" i="3"/>
  <c r="AW92" i="3" s="1"/>
  <c r="Q13" i="3"/>
  <c r="AT13" i="3"/>
  <c r="AT92" i="3" s="1"/>
  <c r="AU13" i="3"/>
  <c r="AU92" i="3" s="1"/>
  <c r="O13" i="3"/>
  <c r="X13" i="3"/>
  <c r="AS13" i="3"/>
  <c r="AS92" i="3" s="1"/>
  <c r="AO13" i="3"/>
  <c r="AO92" i="3" s="1"/>
  <c r="R13" i="3"/>
  <c r="AP13" i="3"/>
  <c r="AP92" i="3" s="1"/>
  <c r="Z13" i="3"/>
  <c r="AQ13" i="3"/>
  <c r="AQ92" i="3" s="1"/>
  <c r="AA13" i="3"/>
  <c r="AZ13" i="3"/>
  <c r="AZ92" i="3" s="1"/>
  <c r="AJ13" i="3"/>
  <c r="T13" i="3"/>
  <c r="AD13" i="3"/>
  <c r="AE13" i="3"/>
  <c r="AN13" i="3"/>
  <c r="AN92" i="3" s="1"/>
  <c r="CX438" i="1"/>
  <c r="DJ437" i="1"/>
  <c r="EV120" i="1"/>
  <c r="FA120" i="1"/>
  <c r="CV120" i="1"/>
  <c r="DI120" i="1" s="1"/>
  <c r="EW121" i="1" s="1"/>
  <c r="FE121" i="1"/>
  <c r="CW164" i="1"/>
  <c r="DL164" i="1" s="1"/>
  <c r="EX121" i="1" s="1"/>
  <c r="AS24" i="3"/>
  <c r="AT14" i="3"/>
  <c r="AS156" i="3"/>
  <c r="AS120" i="3"/>
  <c r="AS28" i="3"/>
  <c r="AS27" i="3" s="1"/>
  <c r="AS25" i="3"/>
  <c r="AS18" i="3"/>
  <c r="AS90" i="3"/>
  <c r="AS26" i="3"/>
  <c r="AS160" i="3" s="1"/>
  <c r="DN441" i="1"/>
  <c r="EB441" i="1" s="1"/>
  <c r="EZ121" i="1" s="1"/>
  <c r="FK206" i="1"/>
  <c r="FK194" i="1"/>
  <c r="FK202" i="1"/>
  <c r="FK201" i="1"/>
  <c r="FK193" i="1"/>
  <c r="DB373" i="1"/>
  <c r="DD373" i="1" s="1"/>
  <c r="DB375" i="1"/>
  <c r="DD375" i="1" s="1"/>
  <c r="DB377" i="1"/>
  <c r="DD377" i="1" s="1"/>
  <c r="DB379" i="1"/>
  <c r="DD379" i="1" s="1"/>
  <c r="DB381" i="1"/>
  <c r="DD381" i="1" s="1"/>
  <c r="DB383" i="1"/>
  <c r="DD383" i="1" s="1"/>
  <c r="DB385" i="1"/>
  <c r="DD385" i="1" s="1"/>
  <c r="DB387" i="1"/>
  <c r="DD387" i="1" s="1"/>
  <c r="DB389" i="1"/>
  <c r="DD389" i="1" s="1"/>
  <c r="DB391" i="1"/>
  <c r="DD391" i="1" s="1"/>
  <c r="DB393" i="1"/>
  <c r="DD393" i="1" s="1"/>
  <c r="DB395" i="1"/>
  <c r="DD395" i="1" s="1"/>
  <c r="DB372" i="1"/>
  <c r="DB374" i="1"/>
  <c r="DD374" i="1" s="1"/>
  <c r="DB376" i="1"/>
  <c r="DD376" i="1" s="1"/>
  <c r="DB378" i="1"/>
  <c r="DD378" i="1" s="1"/>
  <c r="DB380" i="1"/>
  <c r="DD380" i="1" s="1"/>
  <c r="DB382" i="1"/>
  <c r="DD382" i="1" s="1"/>
  <c r="DB384" i="1"/>
  <c r="DD384" i="1" s="1"/>
  <c r="DB386" i="1"/>
  <c r="DD386" i="1" s="1"/>
  <c r="DB388" i="1"/>
  <c r="DD388" i="1" s="1"/>
  <c r="DB390" i="1"/>
  <c r="DD390" i="1" s="1"/>
  <c r="DB392" i="1"/>
  <c r="DD392" i="1" s="1"/>
  <c r="DB394" i="1"/>
  <c r="DD394" i="1" s="1"/>
  <c r="FN49" i="2"/>
  <c r="FN70" i="2"/>
  <c r="FN66" i="2"/>
  <c r="FN62" i="2"/>
  <c r="FN58" i="2"/>
  <c r="FN54" i="2"/>
  <c r="FN50" i="2"/>
  <c r="FN69" i="2"/>
  <c r="FN65" i="2"/>
  <c r="FN61" i="2"/>
  <c r="FN57" i="2"/>
  <c r="FN53" i="2"/>
  <c r="FN72" i="2"/>
  <c r="FN68" i="2"/>
  <c r="FN64" i="2"/>
  <c r="FN60" i="2"/>
  <c r="FN56" i="2"/>
  <c r="FN52" i="2"/>
  <c r="FN71" i="2"/>
  <c r="FN67" i="2"/>
  <c r="FN63" i="2"/>
  <c r="FN59" i="2"/>
  <c r="FN55" i="2"/>
  <c r="FN51" i="2"/>
  <c r="FK188" i="1"/>
  <c r="FK196" i="1"/>
  <c r="FK204" i="1"/>
  <c r="FK203" i="1"/>
  <c r="FK195" i="1"/>
  <c r="FK187" i="1"/>
  <c r="FK190" i="1"/>
  <c r="FK198" i="1"/>
  <c r="FK192" i="1"/>
  <c r="FK200" i="1"/>
  <c r="FK199" i="1"/>
  <c r="FK191" i="1"/>
  <c r="FK205" i="1"/>
  <c r="FK197" i="1"/>
  <c r="FK189" i="1"/>
  <c r="GW34" i="2"/>
  <c r="GX34" i="2" s="1"/>
  <c r="CW121" i="1"/>
  <c r="DO442" i="1"/>
  <c r="DF807" i="1"/>
  <c r="CY258" i="1"/>
  <c r="CW258" i="1" s="1"/>
  <c r="DM350" i="1"/>
  <c r="CX165" i="1"/>
  <c r="CW165" i="1" s="1"/>
  <c r="DR213" i="1"/>
  <c r="AO93" i="6"/>
  <c r="AO152" i="6" s="1"/>
  <c r="AJ93" i="6"/>
  <c r="AJ152" i="6" s="1"/>
  <c r="U95" i="12"/>
  <c r="U159" i="12" s="1"/>
  <c r="BF24" i="2"/>
  <c r="DL165" i="1"/>
  <c r="EX122" i="1" s="1"/>
  <c r="BF14" i="2"/>
  <c r="X95" i="12"/>
  <c r="X159" i="12" s="1"/>
  <c r="Q93" i="6"/>
  <c r="Q152" i="6" s="1"/>
  <c r="AP93" i="6"/>
  <c r="AP152" i="6" s="1"/>
  <c r="AA95" i="12"/>
  <c r="AA159" i="12" s="1"/>
  <c r="EH38" i="1"/>
  <c r="CV81" i="1"/>
  <c r="BF18" i="2"/>
  <c r="BF19" i="2"/>
  <c r="BF25" i="2"/>
  <c r="BF17" i="2"/>
  <c r="T95" i="12"/>
  <c r="T159" i="12" s="1"/>
  <c r="R95" i="12"/>
  <c r="R159" i="12" s="1"/>
  <c r="Y179" i="3"/>
  <c r="AQ93" i="6"/>
  <c r="AQ152" i="6" s="1"/>
  <c r="O93" i="6"/>
  <c r="O152" i="6" s="1"/>
  <c r="BG75" i="2"/>
  <c r="BZ75" i="2" s="1"/>
  <c r="BG79" i="2"/>
  <c r="BZ79" i="2" s="1"/>
  <c r="BG83" i="2"/>
  <c r="BZ83" i="2" s="1"/>
  <c r="BG87" i="2"/>
  <c r="BZ87" i="2" s="1"/>
  <c r="BG91" i="2"/>
  <c r="BZ91" i="2" s="1"/>
  <c r="BG95" i="2"/>
  <c r="BG78" i="2"/>
  <c r="BZ78" i="2" s="1"/>
  <c r="BG86" i="2"/>
  <c r="BZ86" i="2" s="1"/>
  <c r="BG94" i="2"/>
  <c r="BZ94" i="2" s="1"/>
  <c r="BG80" i="2"/>
  <c r="BZ80" i="2" s="1"/>
  <c r="BG88" i="2"/>
  <c r="BZ88" i="2" s="1"/>
  <c r="BG96" i="2"/>
  <c r="BG73" i="2"/>
  <c r="BZ73" i="2" s="1"/>
  <c r="BG77" i="2"/>
  <c r="BZ77" i="2" s="1"/>
  <c r="BG81" i="2"/>
  <c r="BZ81" i="2" s="1"/>
  <c r="BG85" i="2"/>
  <c r="BZ85" i="2" s="1"/>
  <c r="BG89" i="2"/>
  <c r="BZ89" i="2" s="1"/>
  <c r="BG93" i="2"/>
  <c r="BZ93" i="2" s="1"/>
  <c r="BG74" i="2"/>
  <c r="BZ74" i="2" s="1"/>
  <c r="BG82" i="2"/>
  <c r="BZ82" i="2" s="1"/>
  <c r="BG90" i="2"/>
  <c r="BZ90" i="2" s="1"/>
  <c r="BG76" i="2"/>
  <c r="BZ76" i="2" s="1"/>
  <c r="BG84" i="2"/>
  <c r="BZ84" i="2" s="1"/>
  <c r="BG92" i="2"/>
  <c r="BZ92" i="2" s="1"/>
  <c r="BF20" i="2"/>
  <c r="BF32" i="2"/>
  <c r="DW75" i="2"/>
  <c r="DH75" i="2"/>
  <c r="FM50" i="2"/>
  <c r="FO50" i="2" s="1"/>
  <c r="FM52" i="2"/>
  <c r="FO52" i="2" s="1"/>
  <c r="FM54" i="2"/>
  <c r="FO54" i="2" s="1"/>
  <c r="FM56" i="2"/>
  <c r="FO56" i="2" s="1"/>
  <c r="FM58" i="2"/>
  <c r="FO58" i="2" s="1"/>
  <c r="FM60" i="2"/>
  <c r="FO60" i="2" s="1"/>
  <c r="FM62" i="2"/>
  <c r="FO62" i="2" s="1"/>
  <c r="FM64" i="2"/>
  <c r="FO64" i="2" s="1"/>
  <c r="FM66" i="2"/>
  <c r="FP66" i="2" s="1"/>
  <c r="FM68" i="2"/>
  <c r="FP68" i="2" s="1"/>
  <c r="FM70" i="2"/>
  <c r="FP70" i="2" s="1"/>
  <c r="FM72" i="2"/>
  <c r="FP72" i="2" s="1"/>
  <c r="FM49" i="2"/>
  <c r="FM51" i="2"/>
  <c r="FO51" i="2" s="1"/>
  <c r="FM53" i="2"/>
  <c r="FO53" i="2" s="1"/>
  <c r="FM55" i="2"/>
  <c r="FO55" i="2" s="1"/>
  <c r="FM57" i="2"/>
  <c r="FO57" i="2" s="1"/>
  <c r="FM59" i="2"/>
  <c r="FO59" i="2" s="1"/>
  <c r="FM61" i="2"/>
  <c r="FO61" i="2" s="1"/>
  <c r="FM63" i="2"/>
  <c r="FO63" i="2" s="1"/>
  <c r="FM65" i="2"/>
  <c r="FP65" i="2" s="1"/>
  <c r="FM67" i="2"/>
  <c r="FP67" i="2" s="1"/>
  <c r="FM69" i="2"/>
  <c r="FP69" i="2" s="1"/>
  <c r="FM71" i="2"/>
  <c r="FP71" i="2" s="1"/>
  <c r="GJ49" i="2"/>
  <c r="GJ52" i="2"/>
  <c r="GJ56" i="2"/>
  <c r="GJ60" i="2"/>
  <c r="GJ64" i="2"/>
  <c r="GJ68" i="2"/>
  <c r="GJ72" i="2"/>
  <c r="GJ50" i="2"/>
  <c r="GJ54" i="2"/>
  <c r="GJ58" i="2"/>
  <c r="GJ62" i="2"/>
  <c r="GJ66" i="2"/>
  <c r="GJ70" i="2"/>
  <c r="GJ69" i="2"/>
  <c r="GJ65" i="2"/>
  <c r="GJ61" i="2"/>
  <c r="GJ57" i="2"/>
  <c r="GJ53" i="2"/>
  <c r="GJ71" i="2"/>
  <c r="GJ67" i="2"/>
  <c r="GJ63" i="2"/>
  <c r="GJ59" i="2"/>
  <c r="GJ55" i="2"/>
  <c r="GJ51" i="2"/>
  <c r="DW74" i="2"/>
  <c r="DH74" i="2"/>
  <c r="DW76" i="2"/>
  <c r="DH76" i="2"/>
  <c r="DH77" i="2" s="1"/>
  <c r="AM31" i="2"/>
  <c r="AM32" i="2" s="1"/>
  <c r="AM33" i="2"/>
  <c r="AL137" i="3" s="1"/>
  <c r="AM98" i="2"/>
  <c r="AM101" i="2" s="1"/>
  <c r="BI73" i="2" s="1" a="1"/>
  <c r="BE166" i="2"/>
  <c r="BY166" i="2" s="1"/>
  <c r="BE185" i="2"/>
  <c r="BE181" i="2"/>
  <c r="BY181" i="2" s="1"/>
  <c r="BE177" i="2"/>
  <c r="BY177" i="2" s="1"/>
  <c r="BE173" i="2"/>
  <c r="BY173" i="2" s="1"/>
  <c r="BE169" i="2"/>
  <c r="BY169" i="2" s="1"/>
  <c r="BE165" i="2"/>
  <c r="BY165" i="2" s="1"/>
  <c r="BE186" i="2"/>
  <c r="BE182" i="2"/>
  <c r="BY182" i="2" s="1"/>
  <c r="BE178" i="2"/>
  <c r="BY178" i="2" s="1"/>
  <c r="BE174" i="2"/>
  <c r="BY174" i="2" s="1"/>
  <c r="BE170" i="2"/>
  <c r="BY170" i="2" s="1"/>
  <c r="BE187" i="2"/>
  <c r="BE183" i="2"/>
  <c r="BY183" i="2" s="1"/>
  <c r="BE179" i="2"/>
  <c r="BY179" i="2" s="1"/>
  <c r="BE175" i="2"/>
  <c r="BY175" i="2" s="1"/>
  <c r="BE171" i="2"/>
  <c r="BY171" i="2" s="1"/>
  <c r="BE167" i="2"/>
  <c r="BY167" i="2" s="1"/>
  <c r="BE188" i="2"/>
  <c r="BE184" i="2"/>
  <c r="BE180" i="2"/>
  <c r="BY180" i="2" s="1"/>
  <c r="BE176" i="2"/>
  <c r="BY176" i="2" s="1"/>
  <c r="BE172" i="2"/>
  <c r="BY172" i="2" s="1"/>
  <c r="BE168" i="2"/>
  <c r="BY168" i="2" s="1"/>
  <c r="BF43" i="2" a="1"/>
  <c r="BF28" i="2"/>
  <c r="O95" i="12"/>
  <c r="O159" i="12" s="1"/>
  <c r="AM93" i="6"/>
  <c r="AM152" i="6" s="1"/>
  <c r="AK95" i="12"/>
  <c r="AK159" i="12" s="1"/>
  <c r="V179" i="3"/>
  <c r="AH93" i="6"/>
  <c r="AH152" i="6" s="1"/>
  <c r="T179" i="3"/>
  <c r="W95" i="12"/>
  <c r="W159" i="12" s="1"/>
  <c r="AN93" i="6"/>
  <c r="AN152" i="6" s="1"/>
  <c r="W179" i="3"/>
  <c r="AG93" i="6"/>
  <c r="AG152" i="6" s="1"/>
  <c r="AC95" i="12"/>
  <c r="AC159" i="12" s="1"/>
  <c r="BF26" i="2"/>
  <c r="BF34" i="2"/>
  <c r="AG95" i="12"/>
  <c r="AG159" i="12" s="1"/>
  <c r="AF95" i="12"/>
  <c r="AF159" i="12" s="1"/>
  <c r="N95" i="12"/>
  <c r="N159" i="12" s="1"/>
  <c r="AA93" i="6"/>
  <c r="AA152" i="6" s="1"/>
  <c r="T93" i="6"/>
  <c r="T152" i="6" s="1"/>
  <c r="W93" i="6"/>
  <c r="W152" i="6" s="1"/>
  <c r="AR93" i="6"/>
  <c r="AR152" i="6" s="1"/>
  <c r="R93" i="6"/>
  <c r="R152" i="6" s="1"/>
  <c r="AH95" i="12"/>
  <c r="AH159" i="12" s="1"/>
  <c r="AE95" i="12"/>
  <c r="AE159" i="12" s="1"/>
  <c r="Z93" i="6"/>
  <c r="Z152" i="6" s="1"/>
  <c r="Z179" i="3"/>
  <c r="AJ95" i="12"/>
  <c r="AJ159" i="12" s="1"/>
  <c r="AE93" i="6"/>
  <c r="AE152" i="6" s="1"/>
  <c r="P95" i="12"/>
  <c r="P159" i="12" s="1"/>
  <c r="V95" i="12"/>
  <c r="V159" i="12" s="1"/>
  <c r="Q95" i="12"/>
  <c r="Q159" i="12" s="1"/>
  <c r="BF13" i="2"/>
  <c r="DR166" i="2"/>
  <c r="FI257" i="1" s="1"/>
  <c r="FF257" i="1" s="1"/>
  <c r="FG257" i="1" s="1"/>
  <c r="EY123" i="1" s="1"/>
  <c r="BF22" i="2"/>
  <c r="Y95" i="12"/>
  <c r="Y159" i="12" s="1"/>
  <c r="Z95" i="12"/>
  <c r="Z159" i="12" s="1"/>
  <c r="S95" i="12"/>
  <c r="S159" i="12" s="1"/>
  <c r="AD95" i="12"/>
  <c r="AD159" i="12" s="1"/>
  <c r="AD179" i="3"/>
  <c r="AI179" i="3"/>
  <c r="P179" i="3"/>
  <c r="AJ179" i="3"/>
  <c r="AA179" i="3"/>
  <c r="AB179" i="3"/>
  <c r="U179" i="3"/>
  <c r="AF179" i="3"/>
  <c r="R179" i="3"/>
  <c r="X179" i="3"/>
  <c r="AH179" i="3"/>
  <c r="S179" i="3"/>
  <c r="AE179" i="3"/>
  <c r="AL88" i="2"/>
  <c r="FK207" i="1"/>
  <c r="DD755" i="1"/>
  <c r="DC755" i="1" s="1"/>
  <c r="DD626" i="1"/>
  <c r="DC626" i="1" s="1"/>
  <c r="DD668" i="1"/>
  <c r="DC668" i="1" s="1"/>
  <c r="DD751" i="1"/>
  <c r="DC751" i="1" s="1"/>
  <c r="DD622" i="1"/>
  <c r="DC622" i="1" s="1"/>
  <c r="DD664" i="1"/>
  <c r="DC664" i="1" s="1"/>
  <c r="DD747" i="1"/>
  <c r="DC747" i="1" s="1"/>
  <c r="DD618" i="1"/>
  <c r="DC618" i="1" s="1"/>
  <c r="DD660" i="1"/>
  <c r="DC660" i="1" s="1"/>
  <c r="DD743" i="1"/>
  <c r="DC743" i="1" s="1"/>
  <c r="DD614" i="1"/>
  <c r="DC614" i="1" s="1"/>
  <c r="DD656" i="1"/>
  <c r="DC656" i="1" s="1"/>
  <c r="DD739" i="1"/>
  <c r="DC739" i="1" s="1"/>
  <c r="DD610" i="1"/>
  <c r="DC610" i="1" s="1"/>
  <c r="DD652" i="1"/>
  <c r="DC652" i="1" s="1"/>
  <c r="DD667" i="1"/>
  <c r="DC667" i="1" s="1"/>
  <c r="DD754" i="1"/>
  <c r="DC754" i="1" s="1"/>
  <c r="DD625" i="1"/>
  <c r="DC625" i="1" s="1"/>
  <c r="DD663" i="1"/>
  <c r="DC663" i="1" s="1"/>
  <c r="DD750" i="1"/>
  <c r="DC750" i="1" s="1"/>
  <c r="DD621" i="1"/>
  <c r="DC621" i="1" s="1"/>
  <c r="DD659" i="1"/>
  <c r="DC659" i="1" s="1"/>
  <c r="DD746" i="1"/>
  <c r="DC746" i="1" s="1"/>
  <c r="DD617" i="1"/>
  <c r="DC617" i="1" s="1"/>
  <c r="DD655" i="1"/>
  <c r="DC655" i="1" s="1"/>
  <c r="DD742" i="1"/>
  <c r="DC742" i="1" s="1"/>
  <c r="DD613" i="1"/>
  <c r="DC613" i="1" s="1"/>
  <c r="DD738" i="1"/>
  <c r="DC738" i="1" s="1"/>
  <c r="DD609" i="1"/>
  <c r="DC609" i="1" s="1"/>
  <c r="DD651" i="1"/>
  <c r="DC651" i="1" s="1"/>
  <c r="DD753" i="1"/>
  <c r="DC753" i="1" s="1"/>
  <c r="DD624" i="1"/>
  <c r="DC624" i="1" s="1"/>
  <c r="DD666" i="1"/>
  <c r="DC666" i="1" s="1"/>
  <c r="DD749" i="1"/>
  <c r="DC749" i="1" s="1"/>
  <c r="DD620" i="1"/>
  <c r="DC620" i="1" s="1"/>
  <c r="DD662" i="1"/>
  <c r="DC662" i="1" s="1"/>
  <c r="DD745" i="1"/>
  <c r="DC745" i="1" s="1"/>
  <c r="DD616" i="1"/>
  <c r="DC616" i="1" s="1"/>
  <c r="DD658" i="1"/>
  <c r="DC658" i="1" s="1"/>
  <c r="DD741" i="1"/>
  <c r="DC741" i="1" s="1"/>
  <c r="DD612" i="1"/>
  <c r="DC612" i="1" s="1"/>
  <c r="DD654" i="1"/>
  <c r="DC654" i="1" s="1"/>
  <c r="DD669" i="1"/>
  <c r="DC669" i="1" s="1"/>
  <c r="DD756" i="1"/>
  <c r="DC756" i="1" s="1"/>
  <c r="DD627" i="1"/>
  <c r="DC627" i="1" s="1"/>
  <c r="DD665" i="1"/>
  <c r="DC665" i="1" s="1"/>
  <c r="DD752" i="1"/>
  <c r="DC752" i="1" s="1"/>
  <c r="DD623" i="1"/>
  <c r="DC623" i="1" s="1"/>
  <c r="DD661" i="1"/>
  <c r="DC661" i="1" s="1"/>
  <c r="DD748" i="1"/>
  <c r="DC748" i="1" s="1"/>
  <c r="DD619" i="1"/>
  <c r="DC619" i="1" s="1"/>
  <c r="DD657" i="1"/>
  <c r="DC657" i="1" s="1"/>
  <c r="DD744" i="1"/>
  <c r="DC744" i="1" s="1"/>
  <c r="DD615" i="1"/>
  <c r="DC615" i="1" s="1"/>
  <c r="DD653" i="1"/>
  <c r="DC653" i="1" s="1"/>
  <c r="DD740" i="1"/>
  <c r="DC740" i="1" s="1"/>
  <c r="DD611" i="1"/>
  <c r="DC611" i="1" s="1"/>
  <c r="EF89" i="9"/>
  <c r="EF90" i="9" s="1"/>
  <c r="FC90" i="9" s="1"/>
  <c r="EZ719" i="1"/>
  <c r="BP110" i="7"/>
  <c r="AY111" i="7"/>
  <c r="BP111" i="7" s="1"/>
  <c r="AD112" i="7"/>
  <c r="AU111" i="7"/>
  <c r="AE108" i="7"/>
  <c r="AR78" i="12"/>
  <c r="AR142" i="12" s="1"/>
  <c r="AN78" i="12"/>
  <c r="AN142" i="12" s="1"/>
  <c r="AJ78" i="12"/>
  <c r="AJ142" i="12" s="1"/>
  <c r="AF78" i="12"/>
  <c r="AF142" i="12" s="1"/>
  <c r="W77" i="6"/>
  <c r="W136" i="6" s="1"/>
  <c r="AU78" i="12"/>
  <c r="AU142" i="12" s="1"/>
  <c r="AQ78" i="12"/>
  <c r="AQ142" i="12" s="1"/>
  <c r="AM78" i="12"/>
  <c r="AM142" i="12" s="1"/>
  <c r="AI78" i="12"/>
  <c r="AI142" i="12" s="1"/>
  <c r="AE78" i="12"/>
  <c r="AE142" i="12" s="1"/>
  <c r="Y78" i="12"/>
  <c r="Y142" i="12" s="1"/>
  <c r="Q78" i="12"/>
  <c r="Q142" i="12" s="1"/>
  <c r="CN125" i="8"/>
  <c r="T199" i="7"/>
  <c r="X198" i="7"/>
  <c r="Q198" i="7"/>
  <c r="AT78" i="12"/>
  <c r="AT142" i="12" s="1"/>
  <c r="AL78" i="12"/>
  <c r="AL142" i="12" s="1"/>
  <c r="T78" i="12"/>
  <c r="T142" i="12" s="1"/>
  <c r="AP78" i="12"/>
  <c r="AP142" i="12" s="1"/>
  <c r="AH78" i="12"/>
  <c r="AH142" i="12" s="1"/>
  <c r="X78" i="12"/>
  <c r="X142" i="12" s="1"/>
  <c r="Q77" i="6"/>
  <c r="Q136" i="6" s="1"/>
  <c r="AS78" i="12"/>
  <c r="AS142" i="12" s="1"/>
  <c r="AO78" i="12"/>
  <c r="AO142" i="12" s="1"/>
  <c r="AK78" i="12"/>
  <c r="AK142" i="12" s="1"/>
  <c r="AH77" i="6"/>
  <c r="AH136" i="6" s="1"/>
  <c r="AA78" i="12"/>
  <c r="AA142" i="12" s="1"/>
  <c r="W78" i="12"/>
  <c r="W142" i="12" s="1"/>
  <c r="S78" i="12"/>
  <c r="S142" i="12" s="1"/>
  <c r="K39" i="5"/>
  <c r="AV78" i="12"/>
  <c r="AV142" i="12" s="1"/>
  <c r="AC78" i="12"/>
  <c r="AC142" i="12" s="1"/>
  <c r="Z78" i="12"/>
  <c r="Z142" i="12" s="1"/>
  <c r="U78" i="12"/>
  <c r="U142" i="12" s="1"/>
  <c r="R78" i="12"/>
  <c r="R142" i="12" s="1"/>
  <c r="O78" i="12"/>
  <c r="O142" i="12" s="1"/>
  <c r="AR77" i="6"/>
  <c r="AR136" i="6" s="1"/>
  <c r="AO77" i="6"/>
  <c r="AO136" i="6" s="1"/>
  <c r="AJ77" i="6"/>
  <c r="AJ136" i="6" s="1"/>
  <c r="AG77" i="6"/>
  <c r="AG136" i="6" s="1"/>
  <c r="AD77" i="6"/>
  <c r="AD136" i="6" s="1"/>
  <c r="AA77" i="6"/>
  <c r="AA136" i="6" s="1"/>
  <c r="V77" i="6"/>
  <c r="V136" i="6" s="1"/>
  <c r="S77" i="6"/>
  <c r="S136" i="6" s="1"/>
  <c r="P77" i="6"/>
  <c r="P136" i="6" s="1"/>
  <c r="HS13" i="4" l="1" a="1"/>
  <c r="CX439" i="1"/>
  <c r="DJ438" i="1"/>
  <c r="CX210" i="1"/>
  <c r="CY209" i="1"/>
  <c r="DQ184" i="1"/>
  <c r="DQ187" i="1"/>
  <c r="FA96" i="1" s="1"/>
  <c r="DQ195" i="1"/>
  <c r="FA104" i="1" s="1"/>
  <c r="DQ203" i="1"/>
  <c r="FA112" i="1" s="1"/>
  <c r="DQ191" i="1"/>
  <c r="FA100" i="1" s="1"/>
  <c r="DQ201" i="1"/>
  <c r="DQ193" i="1"/>
  <c r="FA102" i="1" s="1"/>
  <c r="DQ205" i="1"/>
  <c r="DQ185" i="1"/>
  <c r="FA94" i="1" s="1"/>
  <c r="DQ197" i="1"/>
  <c r="FA106" i="1" s="1"/>
  <c r="DQ207" i="1"/>
  <c r="DQ189" i="1"/>
  <c r="FA98" i="1" s="1"/>
  <c r="DQ199" i="1"/>
  <c r="DQ200" i="1"/>
  <c r="DQ192" i="1"/>
  <c r="FA101" i="1" s="1"/>
  <c r="DQ206" i="1"/>
  <c r="DQ198" i="1"/>
  <c r="DQ190" i="1"/>
  <c r="FA99" i="1" s="1"/>
  <c r="DQ204" i="1"/>
  <c r="DQ196" i="1"/>
  <c r="FA105" i="1" s="1"/>
  <c r="DQ188" i="1"/>
  <c r="FA97" i="1" s="1"/>
  <c r="DQ202" i="1"/>
  <c r="DQ194" i="1"/>
  <c r="FA103" i="1" s="1"/>
  <c r="DQ186" i="1"/>
  <c r="FA95" i="1" s="1"/>
  <c r="EV121" i="1"/>
  <c r="FA121" i="1"/>
  <c r="CV121" i="1"/>
  <c r="DI121" i="1" s="1"/>
  <c r="EW122" i="1" s="1"/>
  <c r="FE122" i="1"/>
  <c r="AS163" i="3"/>
  <c r="AT24" i="3"/>
  <c r="AU14" i="3"/>
  <c r="AT156" i="3"/>
  <c r="AT26" i="3"/>
  <c r="AT160" i="3" s="1"/>
  <c r="AT25" i="3"/>
  <c r="AT163" i="3" s="1"/>
  <c r="AT90" i="3"/>
  <c r="AT18" i="3"/>
  <c r="AT120" i="3"/>
  <c r="AT28" i="3"/>
  <c r="AT27" i="3" s="1"/>
  <c r="DN442" i="1"/>
  <c r="EB442" i="1" s="1"/>
  <c r="EZ122" i="1" s="1"/>
  <c r="GW35" i="2"/>
  <c r="GX35" i="2" s="1"/>
  <c r="CW122" i="1"/>
  <c r="DO443" i="1"/>
  <c r="DF808" i="1"/>
  <c r="CY259" i="1"/>
  <c r="CW259" i="1" s="1"/>
  <c r="DM351" i="1"/>
  <c r="AN114" i="6"/>
  <c r="AN173" i="6" s="1"/>
  <c r="CX166" i="1"/>
  <c r="CW166" i="1" s="1"/>
  <c r="DL166" i="1" s="1"/>
  <c r="EX123" i="1" s="1"/>
  <c r="DR214" i="1"/>
  <c r="AS116" i="12"/>
  <c r="AS180" i="12" s="1"/>
  <c r="AH114" i="6"/>
  <c r="AH173" i="6" s="1"/>
  <c r="AC114" i="6"/>
  <c r="AC173" i="6" s="1"/>
  <c r="O116" i="12"/>
  <c r="O180" i="12" s="1"/>
  <c r="X114" i="6"/>
  <c r="X173" i="6" s="1"/>
  <c r="AN116" i="12"/>
  <c r="AN180" i="12" s="1"/>
  <c r="AV116" i="12"/>
  <c r="AV180" i="12" s="1"/>
  <c r="AU116" i="12"/>
  <c r="AU180" i="12" s="1"/>
  <c r="AF116" i="12"/>
  <c r="AF180" i="12" s="1"/>
  <c r="AA116" i="12"/>
  <c r="AA180" i="12" s="1"/>
  <c r="U114" i="6"/>
  <c r="U173" i="6" s="1"/>
  <c r="AK114" i="6"/>
  <c r="AK173" i="6" s="1"/>
  <c r="R114" i="6"/>
  <c r="R173" i="6" s="1"/>
  <c r="AL114" i="6"/>
  <c r="AL173" i="6" s="1"/>
  <c r="AR114" i="6"/>
  <c r="AR173" i="6" s="1"/>
  <c r="EH39" i="1"/>
  <c r="CV82" i="1"/>
  <c r="Z114" i="6"/>
  <c r="Z173" i="6" s="1"/>
  <c r="AD116" i="12"/>
  <c r="AD180" i="12" s="1"/>
  <c r="AO116" i="12"/>
  <c r="AO180" i="12" s="1"/>
  <c r="AP116" i="12"/>
  <c r="AP180" i="12" s="1"/>
  <c r="AT116" i="12"/>
  <c r="AT180" i="12" s="1"/>
  <c r="AI114" i="6"/>
  <c r="AI173" i="6" s="1"/>
  <c r="AC116" i="12"/>
  <c r="AC180" i="12" s="1"/>
  <c r="AL116" i="12"/>
  <c r="AL180" i="12" s="1"/>
  <c r="AJ114" i="6"/>
  <c r="AJ173" i="6" s="1"/>
  <c r="AR116" i="12"/>
  <c r="AR180" i="12" s="1"/>
  <c r="P116" i="12"/>
  <c r="P180" i="12" s="1"/>
  <c r="Y114" i="6"/>
  <c r="Y173" i="6" s="1"/>
  <c r="AF114" i="6"/>
  <c r="AF173" i="6" s="1"/>
  <c r="V114" i="6"/>
  <c r="V173" i="6" s="1"/>
  <c r="W114" i="6"/>
  <c r="W173" i="6" s="1"/>
  <c r="Q179" i="3"/>
  <c r="AC179" i="3"/>
  <c r="AG179" i="3"/>
  <c r="GK55" i="2"/>
  <c r="GK63" i="2"/>
  <c r="GK71" i="2"/>
  <c r="GK70" i="2"/>
  <c r="GK62" i="2"/>
  <c r="GK54" i="2"/>
  <c r="BF45" i="2"/>
  <c r="BF49" i="2"/>
  <c r="BF53" i="2"/>
  <c r="BF57" i="2"/>
  <c r="BF61" i="2"/>
  <c r="BF65" i="2"/>
  <c r="BF46" i="2"/>
  <c r="BF50" i="2"/>
  <c r="BF54" i="2"/>
  <c r="BF58" i="2"/>
  <c r="BF62" i="2"/>
  <c r="BF66" i="2"/>
  <c r="BF43" i="2"/>
  <c r="BF47" i="2"/>
  <c r="BF51" i="2"/>
  <c r="BF55" i="2"/>
  <c r="BF59" i="2"/>
  <c r="BF63" i="2"/>
  <c r="BF44" i="2"/>
  <c r="BF48" i="2"/>
  <c r="BF52" i="2"/>
  <c r="BF56" i="2"/>
  <c r="BF60" i="2"/>
  <c r="BF64" i="2"/>
  <c r="BY188" i="2"/>
  <c r="BH188" i="2"/>
  <c r="BH194" i="2" s="1"/>
  <c r="BY187" i="2"/>
  <c r="BH187" i="2"/>
  <c r="BH193" i="2" s="1"/>
  <c r="DW77" i="2"/>
  <c r="DH78" i="2"/>
  <c r="GK57" i="2"/>
  <c r="GK65" i="2"/>
  <c r="GK72" i="2"/>
  <c r="GK64" i="2"/>
  <c r="GK56" i="2"/>
  <c r="BH184" i="2"/>
  <c r="BY184" i="2"/>
  <c r="BY186" i="2"/>
  <c r="BH186" i="2"/>
  <c r="BH192" i="2" s="1"/>
  <c r="BY185" i="2"/>
  <c r="BH185" i="2"/>
  <c r="BH191" i="2" s="1"/>
  <c r="BI76" i="2"/>
  <c r="BI80" i="2"/>
  <c r="BI84" i="2"/>
  <c r="BI88" i="2"/>
  <c r="BI92" i="2"/>
  <c r="BI96" i="2"/>
  <c r="BI75" i="2"/>
  <c r="BI83" i="2"/>
  <c r="BI91" i="2"/>
  <c r="BI77" i="2"/>
  <c r="BI85" i="2"/>
  <c r="BI93" i="2"/>
  <c r="BI74" i="2"/>
  <c r="BI78" i="2"/>
  <c r="BI82" i="2"/>
  <c r="BI86" i="2"/>
  <c r="BI90" i="2"/>
  <c r="BI94" i="2"/>
  <c r="BI73" i="2"/>
  <c r="BI79" i="2"/>
  <c r="BI87" i="2"/>
  <c r="BI95" i="2"/>
  <c r="BI81" i="2"/>
  <c r="BI89" i="2"/>
  <c r="GK51" i="2"/>
  <c r="GK60" i="2"/>
  <c r="GK59" i="2"/>
  <c r="GK68" i="2"/>
  <c r="GK67" i="2"/>
  <c r="GK53" i="2"/>
  <c r="GK61" i="2"/>
  <c r="GK69" i="2"/>
  <c r="GK66" i="2"/>
  <c r="GK58" i="2"/>
  <c r="GK52" i="2"/>
  <c r="BH96" i="2"/>
  <c r="BH97" i="2" s="1"/>
  <c r="BZ96" i="2"/>
  <c r="BZ95" i="2"/>
  <c r="BH95" i="2"/>
  <c r="DR167" i="2"/>
  <c r="FI258" i="1" s="1"/>
  <c r="FF258" i="1" s="1"/>
  <c r="FG258" i="1" s="1"/>
  <c r="EY124" i="1" s="1"/>
  <c r="EF91" i="9"/>
  <c r="FC91" i="9" s="1"/>
  <c r="AM88" i="2"/>
  <c r="AM89" i="2" s="1"/>
  <c r="AL89" i="2"/>
  <c r="AE114" i="6"/>
  <c r="AE173" i="6" s="1"/>
  <c r="X116" i="12"/>
  <c r="X180" i="12" s="1"/>
  <c r="EZ720" i="1"/>
  <c r="AY112" i="7"/>
  <c r="BP112" i="7" s="1"/>
  <c r="AU112" i="7"/>
  <c r="AD113" i="7"/>
  <c r="AE109" i="7"/>
  <c r="AC77" i="6"/>
  <c r="AC136" i="6" s="1"/>
  <c r="AQ77" i="6"/>
  <c r="AQ136" i="6" s="1"/>
  <c r="AB77" i="6"/>
  <c r="AB136" i="6" s="1"/>
  <c r="AM77" i="6"/>
  <c r="AM136" i="6" s="1"/>
  <c r="AP77" i="6"/>
  <c r="AP136" i="6" s="1"/>
  <c r="P78" i="12"/>
  <c r="P142" i="12" s="1"/>
  <c r="AB78" i="12"/>
  <c r="AB142" i="12" s="1"/>
  <c r="O77" i="6"/>
  <c r="O136" i="6" s="1"/>
  <c r="AF77" i="6"/>
  <c r="AF136" i="6" s="1"/>
  <c r="N78" i="12"/>
  <c r="N142" i="12" s="1"/>
  <c r="Z77" i="6"/>
  <c r="Z136" i="6" s="1"/>
  <c r="AI77" i="6"/>
  <c r="AI136" i="6" s="1"/>
  <c r="U77" i="6"/>
  <c r="U136" i="6" s="1"/>
  <c r="X77" i="6"/>
  <c r="X136" i="6" s="1"/>
  <c r="Y77" i="6"/>
  <c r="Y136" i="6" s="1"/>
  <c r="AE77" i="6"/>
  <c r="AE136" i="6" s="1"/>
  <c r="AN77" i="6"/>
  <c r="AN136" i="6" s="1"/>
  <c r="V78" i="12"/>
  <c r="V142" i="12" s="1"/>
  <c r="AD78" i="12"/>
  <c r="AD142" i="12" s="1"/>
  <c r="R77" i="6"/>
  <c r="R136" i="6" s="1"/>
  <c r="T77" i="6"/>
  <c r="T136" i="6" s="1"/>
  <c r="AK77" i="6"/>
  <c r="AK136" i="6" s="1"/>
  <c r="CN126" i="8"/>
  <c r="T200" i="7"/>
  <c r="X199" i="7"/>
  <c r="Q199" i="7"/>
  <c r="AG78" i="12"/>
  <c r="AG142" i="12" s="1"/>
  <c r="K40" i="5"/>
  <c r="AL77" i="6"/>
  <c r="AL136" i="6" s="1"/>
  <c r="Q117" i="12"/>
  <c r="Q181" i="12" s="1"/>
  <c r="U117" i="12"/>
  <c r="U181" i="12" s="1"/>
  <c r="Y117" i="12"/>
  <c r="Y181" i="12" s="1"/>
  <c r="AC117" i="12"/>
  <c r="AC181" i="12" s="1"/>
  <c r="AG117" i="12"/>
  <c r="AG181" i="12" s="1"/>
  <c r="AK117" i="12"/>
  <c r="AK181" i="12" s="1"/>
  <c r="AS117" i="12"/>
  <c r="AS181" i="12" s="1"/>
  <c r="Q118" i="12"/>
  <c r="Q182" i="12" s="1"/>
  <c r="U118" i="12"/>
  <c r="U182" i="12" s="1"/>
  <c r="Y118" i="12"/>
  <c r="Y182" i="12" s="1"/>
  <c r="AC118" i="12"/>
  <c r="AC182" i="12" s="1"/>
  <c r="AG118" i="12"/>
  <c r="AG182" i="12" s="1"/>
  <c r="AS118" i="12"/>
  <c r="AS182" i="12" s="1"/>
  <c r="N117" i="12"/>
  <c r="N181" i="12" s="1"/>
  <c r="R117" i="12"/>
  <c r="R181" i="12" s="1"/>
  <c r="V117" i="12"/>
  <c r="V181" i="12" s="1"/>
  <c r="Z117" i="12"/>
  <c r="Z181" i="12" s="1"/>
  <c r="AD117" i="12"/>
  <c r="AD181" i="12" s="1"/>
  <c r="AH117" i="12"/>
  <c r="AH181" i="12" s="1"/>
  <c r="AL117" i="12"/>
  <c r="AL181" i="12" s="1"/>
  <c r="AP117" i="12"/>
  <c r="AP181" i="12" s="1"/>
  <c r="AT117" i="12"/>
  <c r="AT181" i="12" s="1"/>
  <c r="N118" i="12"/>
  <c r="N182" i="12" s="1"/>
  <c r="R118" i="12"/>
  <c r="R182" i="12" s="1"/>
  <c r="V118" i="12"/>
  <c r="V182" i="12" s="1"/>
  <c r="Z118" i="12"/>
  <c r="Z182" i="12" s="1"/>
  <c r="AD118" i="12"/>
  <c r="AD182" i="12" s="1"/>
  <c r="AH118" i="12"/>
  <c r="AH182" i="12" s="1"/>
  <c r="AL118" i="12"/>
  <c r="AL182" i="12" s="1"/>
  <c r="AP118" i="12"/>
  <c r="AP182" i="12" s="1"/>
  <c r="AT118" i="12"/>
  <c r="AT182" i="12" s="1"/>
  <c r="O117" i="12"/>
  <c r="O181" i="12" s="1"/>
  <c r="S117" i="12"/>
  <c r="S181" i="12" s="1"/>
  <c r="W117" i="12"/>
  <c r="W181" i="12" s="1"/>
  <c r="AA117" i="12"/>
  <c r="AA181" i="12" s="1"/>
  <c r="AE117" i="12"/>
  <c r="AE181" i="12" s="1"/>
  <c r="AI117" i="12"/>
  <c r="AI181" i="12" s="1"/>
  <c r="AM117" i="12"/>
  <c r="AM181" i="12" s="1"/>
  <c r="AQ117" i="12"/>
  <c r="AQ181" i="12" s="1"/>
  <c r="AU117" i="12"/>
  <c r="AU181" i="12" s="1"/>
  <c r="O118" i="12"/>
  <c r="O182" i="12" s="1"/>
  <c r="S118" i="12"/>
  <c r="S182" i="12" s="1"/>
  <c r="W118" i="12"/>
  <c r="W182" i="12" s="1"/>
  <c r="AA118" i="12"/>
  <c r="AA182" i="12" s="1"/>
  <c r="AE118" i="12"/>
  <c r="AE182" i="12" s="1"/>
  <c r="AI118" i="12"/>
  <c r="AI182" i="12" s="1"/>
  <c r="AM118" i="12"/>
  <c r="AM182" i="12" s="1"/>
  <c r="AQ118" i="12"/>
  <c r="AQ182" i="12" s="1"/>
  <c r="AU118" i="12"/>
  <c r="AU182" i="12" s="1"/>
  <c r="P117" i="12"/>
  <c r="P181" i="12" s="1"/>
  <c r="T117" i="12"/>
  <c r="T181" i="12" s="1"/>
  <c r="X117" i="12"/>
  <c r="X181" i="12" s="1"/>
  <c r="AB117" i="12"/>
  <c r="AB181" i="12" s="1"/>
  <c r="AF117" i="12"/>
  <c r="AF181" i="12" s="1"/>
  <c r="AJ117" i="12"/>
  <c r="AJ181" i="12" s="1"/>
  <c r="AN117" i="12"/>
  <c r="AN181" i="12" s="1"/>
  <c r="AR117" i="12"/>
  <c r="AR181" i="12" s="1"/>
  <c r="AV117" i="12"/>
  <c r="AV181" i="12" s="1"/>
  <c r="P118" i="12"/>
  <c r="P182" i="12" s="1"/>
  <c r="T118" i="12"/>
  <c r="T182" i="12" s="1"/>
  <c r="AB118" i="12"/>
  <c r="AB182" i="12" s="1"/>
  <c r="AF118" i="12"/>
  <c r="AF182" i="12" s="1"/>
  <c r="AJ118" i="12"/>
  <c r="AJ182" i="12" s="1"/>
  <c r="AR118" i="12"/>
  <c r="AR182" i="12" s="1"/>
  <c r="AV118" i="12"/>
  <c r="AV182" i="12" s="1"/>
  <c r="AK118" i="12"/>
  <c r="AK182" i="12" s="1"/>
  <c r="X118" i="12"/>
  <c r="X182" i="12" s="1"/>
  <c r="AN118" i="12"/>
  <c r="AN182" i="12" s="1"/>
  <c r="AO117" i="12"/>
  <c r="AO181" i="12" s="1"/>
  <c r="AO118" i="12"/>
  <c r="AO182" i="12" s="1"/>
  <c r="AF56" i="9"/>
  <c r="FA111" i="1" l="1"/>
  <c r="DS202" i="1"/>
  <c r="FA109" i="1"/>
  <c r="DS200" i="1"/>
  <c r="FA110" i="1"/>
  <c r="DS201" i="1"/>
  <c r="FA107" i="1"/>
  <c r="DS198" i="1"/>
  <c r="FA108" i="1"/>
  <c r="DS199" i="1"/>
  <c r="CX440" i="1"/>
  <c r="DJ439" i="1"/>
  <c r="FA115" i="1"/>
  <c r="DT206" i="1"/>
  <c r="FA114" i="1"/>
  <c r="DT205" i="1"/>
  <c r="HS13" i="4"/>
  <c r="GW13" i="4" s="1"/>
  <c r="HS29" i="4"/>
  <c r="GW29" i="4" s="1"/>
  <c r="HS52" i="4"/>
  <c r="GW52" i="4" s="1"/>
  <c r="HS16" i="4"/>
  <c r="GW16" i="4" s="1"/>
  <c r="HS42" i="4"/>
  <c r="GW42" i="4" s="1"/>
  <c r="HS51" i="4"/>
  <c r="GW51" i="4" s="1"/>
  <c r="HS17" i="4"/>
  <c r="GW17" i="4" s="1"/>
  <c r="HS49" i="4"/>
  <c r="GW49" i="4" s="1"/>
  <c r="HS28" i="4"/>
  <c r="GW28" i="4" s="1"/>
  <c r="HS31" i="4"/>
  <c r="GW31" i="4" s="1"/>
  <c r="HS30" i="4"/>
  <c r="GW30" i="4" s="1"/>
  <c r="HS45" i="4"/>
  <c r="GW45" i="4" s="1"/>
  <c r="HS27" i="4"/>
  <c r="GW27" i="4" s="1"/>
  <c r="HS21" i="4"/>
  <c r="GW21" i="4" s="1"/>
  <c r="HS36" i="4"/>
  <c r="GW36" i="4" s="1"/>
  <c r="HS38" i="4"/>
  <c r="GW38" i="4" s="1"/>
  <c r="HS25" i="4"/>
  <c r="GW25" i="4" s="1"/>
  <c r="HS18" i="4"/>
  <c r="GW18" i="4" s="1"/>
  <c r="HS44" i="4"/>
  <c r="GW44" i="4" s="1"/>
  <c r="HS39" i="4"/>
  <c r="GW39" i="4" s="1"/>
  <c r="HS46" i="4"/>
  <c r="GW46" i="4" s="1"/>
  <c r="HS26" i="4"/>
  <c r="GW26" i="4" s="1"/>
  <c r="HS43" i="4"/>
  <c r="GW43" i="4" s="1"/>
  <c r="HS37" i="4"/>
  <c r="GW37" i="4" s="1"/>
  <c r="HS19" i="4"/>
  <c r="GW19" i="4" s="1"/>
  <c r="HS32" i="4"/>
  <c r="GW32" i="4" s="1"/>
  <c r="HS33" i="4"/>
  <c r="GW33" i="4" s="1"/>
  <c r="HS34" i="4"/>
  <c r="GW34" i="4" s="1"/>
  <c r="HS15" i="4"/>
  <c r="GW15" i="4" s="1"/>
  <c r="HS47" i="4"/>
  <c r="GW47" i="4" s="1"/>
  <c r="HS24" i="4"/>
  <c r="GW24" i="4" s="1"/>
  <c r="HS20" i="4"/>
  <c r="GW20" i="4" s="1"/>
  <c r="HS22" i="4"/>
  <c r="GW22" i="4" s="1"/>
  <c r="HS53" i="4"/>
  <c r="GW53" i="4" s="1"/>
  <c r="HS35" i="4"/>
  <c r="GW35" i="4" s="1"/>
  <c r="HS48" i="4"/>
  <c r="GW48" i="4" s="1"/>
  <c r="HS41" i="4"/>
  <c r="GW41" i="4" s="1"/>
  <c r="HS50" i="4"/>
  <c r="GW50" i="4" s="1"/>
  <c r="HS23" i="4"/>
  <c r="GW23" i="4" s="1"/>
  <c r="HS14" i="4"/>
  <c r="GW14" i="4" s="1"/>
  <c r="HS40" i="4"/>
  <c r="GW40" i="4" s="1"/>
  <c r="FA113" i="1"/>
  <c r="DT204" i="1"/>
  <c r="FA116" i="1"/>
  <c r="DT207" i="1"/>
  <c r="CX211" i="1"/>
  <c r="CY210" i="1"/>
  <c r="EV122" i="1"/>
  <c r="FA122" i="1"/>
  <c r="CV122" i="1"/>
  <c r="DI122" i="1" s="1"/>
  <c r="EW123" i="1" s="1"/>
  <c r="FE123" i="1"/>
  <c r="AU24" i="3"/>
  <c r="AV14" i="3"/>
  <c r="AU156" i="3"/>
  <c r="AU18" i="3"/>
  <c r="AU120" i="3"/>
  <c r="AU25" i="3"/>
  <c r="AU163" i="3" s="1"/>
  <c r="AU90" i="3"/>
  <c r="AU26" i="3"/>
  <c r="AU160" i="3" s="1"/>
  <c r="AU28" i="3"/>
  <c r="AU27" i="3" s="1"/>
  <c r="DN443" i="1"/>
  <c r="EB443" i="1" s="1"/>
  <c r="EZ123" i="1" s="1"/>
  <c r="GW36" i="2"/>
  <c r="GX36" i="2" s="1"/>
  <c r="CW123" i="1"/>
  <c r="DO444" i="1"/>
  <c r="DF809" i="1"/>
  <c r="AP114" i="6"/>
  <c r="AP173" i="6" s="1"/>
  <c r="W116" i="12"/>
  <c r="W180" i="12" s="1"/>
  <c r="V116" i="12"/>
  <c r="V180" i="12" s="1"/>
  <c r="AM116" i="12"/>
  <c r="AM180" i="12" s="1"/>
  <c r="CY260" i="1"/>
  <c r="CW260" i="1" s="1"/>
  <c r="DM352" i="1"/>
  <c r="CX167" i="1"/>
  <c r="DR215" i="1"/>
  <c r="AG116" i="12"/>
  <c r="AG180" i="12" s="1"/>
  <c r="AK116" i="12"/>
  <c r="AK180" i="12" s="1"/>
  <c r="P114" i="6"/>
  <c r="P173" i="6" s="1"/>
  <c r="AD114" i="6"/>
  <c r="AD173" i="6" s="1"/>
  <c r="AJ116" i="12"/>
  <c r="AJ180" i="12" s="1"/>
  <c r="AO114" i="6"/>
  <c r="AO173" i="6" s="1"/>
  <c r="AB114" i="6"/>
  <c r="AB173" i="6" s="1"/>
  <c r="AB116" i="12"/>
  <c r="AB180" i="12" s="1"/>
  <c r="Y116" i="12"/>
  <c r="Y180" i="12" s="1"/>
  <c r="AQ116" i="12"/>
  <c r="AQ180" i="12" s="1"/>
  <c r="AH116" i="12"/>
  <c r="AH180" i="12" s="1"/>
  <c r="AQ114" i="6"/>
  <c r="AQ173" i="6" s="1"/>
  <c r="T116" i="12"/>
  <c r="T180" i="12" s="1"/>
  <c r="U116" i="12"/>
  <c r="U180" i="12" s="1"/>
  <c r="Q116" i="12"/>
  <c r="Q180" i="12" s="1"/>
  <c r="AG114" i="6"/>
  <c r="AG173" i="6" s="1"/>
  <c r="R116" i="12"/>
  <c r="R180" i="12" s="1"/>
  <c r="S114" i="6"/>
  <c r="S173" i="6" s="1"/>
  <c r="EH40" i="1"/>
  <c r="AE116" i="12"/>
  <c r="AE180" i="12" s="1"/>
  <c r="AA114" i="6"/>
  <c r="AA173" i="6" s="1"/>
  <c r="Z116" i="12"/>
  <c r="Z180" i="12" s="1"/>
  <c r="Q114" i="6"/>
  <c r="Q173" i="6" s="1"/>
  <c r="AI116" i="12"/>
  <c r="AI180" i="12" s="1"/>
  <c r="AM114" i="6"/>
  <c r="AM173" i="6" s="1"/>
  <c r="CV83" i="1"/>
  <c r="O114" i="6"/>
  <c r="O173" i="6" s="1"/>
  <c r="N116" i="12"/>
  <c r="N180" i="12" s="1"/>
  <c r="T114" i="6"/>
  <c r="T173" i="6" s="1"/>
  <c r="S116" i="12"/>
  <c r="S180" i="12" s="1"/>
  <c r="BZ97" i="2"/>
  <c r="BH98" i="2"/>
  <c r="BY191" i="2"/>
  <c r="BH197" i="2"/>
  <c r="BY192" i="2"/>
  <c r="BH198" i="2"/>
  <c r="DH79" i="2"/>
  <c r="DW78" i="2"/>
  <c r="BY193" i="2"/>
  <c r="BH199" i="2"/>
  <c r="BY194" i="2"/>
  <c r="BH200" i="2"/>
  <c r="BY200" i="2" s="1"/>
  <c r="EF92" i="9"/>
  <c r="FC92" i="9" s="1"/>
  <c r="AY113" i="7"/>
  <c r="AY114" i="7" s="1"/>
  <c r="DR168" i="2"/>
  <c r="FI259" i="1" s="1"/>
  <c r="FF259" i="1" s="1"/>
  <c r="FG259" i="1" s="1"/>
  <c r="EY125" i="1" s="1"/>
  <c r="EZ721" i="1"/>
  <c r="AD114" i="7"/>
  <c r="AU113" i="7"/>
  <c r="HZ156" i="2"/>
  <c r="IP156" i="2" s="1"/>
  <c r="AE110" i="7"/>
  <c r="CN127" i="8"/>
  <c r="T201" i="7"/>
  <c r="X200" i="7"/>
  <c r="Q200" i="7"/>
  <c r="K41" i="5"/>
  <c r="AR75" i="12"/>
  <c r="AR139" i="12" s="1"/>
  <c r="AS75" i="12"/>
  <c r="AS139" i="12" s="1"/>
  <c r="AT75" i="12"/>
  <c r="AT139" i="12" s="1"/>
  <c r="AU75" i="12"/>
  <c r="AU139" i="12" s="1"/>
  <c r="AV75" i="12"/>
  <c r="AV139" i="12" s="1"/>
  <c r="DD671" i="1" l="1"/>
  <c r="DC671" i="1" s="1"/>
  <c r="DD758" i="1"/>
  <c r="DC758" i="1" s="1"/>
  <c r="DD629" i="1"/>
  <c r="DC629" i="1" s="1"/>
  <c r="DD670" i="1"/>
  <c r="DC670" i="1" s="1"/>
  <c r="DD757" i="1"/>
  <c r="DC757" i="1" s="1"/>
  <c r="DD628" i="1"/>
  <c r="DC628" i="1" s="1"/>
  <c r="CX441" i="1"/>
  <c r="DJ440" i="1"/>
  <c r="CX212" i="1"/>
  <c r="CY211" i="1"/>
  <c r="DD630" i="1"/>
  <c r="DU630" i="1" s="1"/>
  <c r="DD759" i="1"/>
  <c r="DC759" i="1" s="1"/>
  <c r="DF759" i="1" s="1"/>
  <c r="DT759" i="1" s="1"/>
  <c r="DD672" i="1"/>
  <c r="DB672" i="1" s="1"/>
  <c r="DS672" i="1" s="1"/>
  <c r="DD673" i="1"/>
  <c r="DB673" i="1" s="1"/>
  <c r="DS673" i="1" s="1"/>
  <c r="DD631" i="1"/>
  <c r="DU631" i="1" s="1"/>
  <c r="DD760" i="1"/>
  <c r="DC760" i="1" s="1"/>
  <c r="DF760" i="1" s="1"/>
  <c r="DT760" i="1" s="1"/>
  <c r="EV123" i="1"/>
  <c r="FA123" i="1"/>
  <c r="CV123" i="1"/>
  <c r="DI123" i="1" s="1"/>
  <c r="EW124" i="1" s="1"/>
  <c r="FE124" i="1"/>
  <c r="CW167" i="1"/>
  <c r="DL167" i="1" s="1"/>
  <c r="EX124" i="1" s="1"/>
  <c r="AV24" i="3"/>
  <c r="AW14" i="3"/>
  <c r="AV90" i="3"/>
  <c r="AV25" i="3"/>
  <c r="AV120" i="3"/>
  <c r="AV156" i="3"/>
  <c r="AV28" i="3"/>
  <c r="AV27" i="3" s="1"/>
  <c r="AV26" i="3"/>
  <c r="AV160" i="3" s="1"/>
  <c r="AV18" i="3"/>
  <c r="DN444" i="1"/>
  <c r="EB444" i="1" s="1"/>
  <c r="EZ124" i="1" s="1"/>
  <c r="GW37" i="2"/>
  <c r="GX37" i="2" s="1"/>
  <c r="CW124" i="1"/>
  <c r="DO445" i="1"/>
  <c r="DF810" i="1"/>
  <c r="CY261" i="1"/>
  <c r="CW261" i="1" s="1"/>
  <c r="DM353" i="1"/>
  <c r="CX168" i="1"/>
  <c r="DR216" i="1"/>
  <c r="EH41" i="1"/>
  <c r="CV84" i="1"/>
  <c r="BY199" i="2"/>
  <c r="BH205" i="2"/>
  <c r="BY205" i="2" s="1"/>
  <c r="BY198" i="2"/>
  <c r="BH204" i="2"/>
  <c r="BY204" i="2" s="1"/>
  <c r="BY197" i="2"/>
  <c r="BH203" i="2"/>
  <c r="BY203" i="2" s="1"/>
  <c r="BH99" i="2"/>
  <c r="BZ98" i="2"/>
  <c r="BP113" i="7"/>
  <c r="DW79" i="2"/>
  <c r="DH80" i="2"/>
  <c r="DR171" i="2"/>
  <c r="FI262" i="1" s="1"/>
  <c r="FF262" i="1" s="1"/>
  <c r="FG262" i="1" s="1"/>
  <c r="EY128" i="1" s="1"/>
  <c r="DR169" i="2"/>
  <c r="FI260" i="1" s="1"/>
  <c r="FF260" i="1" s="1"/>
  <c r="FG260" i="1" s="1"/>
  <c r="EY126" i="1" s="1"/>
  <c r="EZ722" i="1"/>
  <c r="AY115" i="7"/>
  <c r="BP114" i="7"/>
  <c r="AU114" i="7"/>
  <c r="AD115" i="7"/>
  <c r="HZ157" i="2"/>
  <c r="IP157" i="2" s="1"/>
  <c r="AE111" i="7"/>
  <c r="CN128" i="8"/>
  <c r="T202" i="7"/>
  <c r="X201" i="7"/>
  <c r="Q201" i="7"/>
  <c r="K42" i="5"/>
  <c r="AQ75" i="12"/>
  <c r="AQ139" i="12" s="1"/>
  <c r="AR74" i="6"/>
  <c r="AR133" i="6" s="1"/>
  <c r="AP75" i="12"/>
  <c r="AP139" i="12" s="1"/>
  <c r="AQ74" i="6"/>
  <c r="AQ133" i="6" s="1"/>
  <c r="AO75" i="12"/>
  <c r="AO139" i="12" s="1"/>
  <c r="AP74" i="6"/>
  <c r="AP133" i="6" s="1"/>
  <c r="AN75" i="12"/>
  <c r="AN139" i="12" s="1"/>
  <c r="AO74" i="6"/>
  <c r="AO133" i="6" s="1"/>
  <c r="AM75" i="12"/>
  <c r="AM139" i="12" s="1"/>
  <c r="AN74" i="6"/>
  <c r="AN133" i="6" s="1"/>
  <c r="AL75" i="12"/>
  <c r="AL139" i="12" s="1"/>
  <c r="AM74" i="6"/>
  <c r="AM133" i="6" s="1"/>
  <c r="AK75" i="12"/>
  <c r="AK139" i="12" s="1"/>
  <c r="AL74" i="6"/>
  <c r="AL133" i="6" s="1"/>
  <c r="AJ75" i="12"/>
  <c r="AJ139" i="12" s="1"/>
  <c r="AK74" i="6"/>
  <c r="AK133" i="6" s="1"/>
  <c r="AI75" i="12"/>
  <c r="AI139" i="12" s="1"/>
  <c r="AJ74" i="6"/>
  <c r="AJ133" i="6" s="1"/>
  <c r="AH75" i="12"/>
  <c r="AH139" i="12" s="1"/>
  <c r="AI74" i="6"/>
  <c r="AI133" i="6" s="1"/>
  <c r="AG75" i="12"/>
  <c r="AG139" i="12" s="1"/>
  <c r="AH74" i="6"/>
  <c r="AH133" i="6" s="1"/>
  <c r="AF75" i="12"/>
  <c r="AF139" i="12" s="1"/>
  <c r="AG74" i="6"/>
  <c r="AG133" i="6" s="1"/>
  <c r="AE75" i="12"/>
  <c r="AE139" i="12" s="1"/>
  <c r="AF74" i="6"/>
  <c r="AF133" i="6" s="1"/>
  <c r="AD75" i="12"/>
  <c r="AD139" i="12" s="1"/>
  <c r="AE74" i="6"/>
  <c r="AE133" i="6" s="1"/>
  <c r="AC75" i="12"/>
  <c r="AC139" i="12" s="1"/>
  <c r="AD74" i="6"/>
  <c r="AD133" i="6" s="1"/>
  <c r="AB75" i="12"/>
  <c r="AB139" i="12" s="1"/>
  <c r="AC74" i="6"/>
  <c r="AC133" i="6" s="1"/>
  <c r="AA75" i="12"/>
  <c r="AA139" i="12" s="1"/>
  <c r="AB74" i="6"/>
  <c r="AB133" i="6" s="1"/>
  <c r="Z75" i="12"/>
  <c r="Z139" i="12" s="1"/>
  <c r="AA74" i="6"/>
  <c r="AA133" i="6" s="1"/>
  <c r="Y75" i="12"/>
  <c r="Y139" i="12" s="1"/>
  <c r="Z74" i="6"/>
  <c r="Z133" i="6" s="1"/>
  <c r="X75" i="12"/>
  <c r="X139" i="12" s="1"/>
  <c r="Y74" i="6"/>
  <c r="Y133" i="6" s="1"/>
  <c r="W75" i="12"/>
  <c r="W139" i="12" s="1"/>
  <c r="X74" i="6"/>
  <c r="X133" i="6" s="1"/>
  <c r="V75" i="12"/>
  <c r="V139" i="12" s="1"/>
  <c r="W74" i="6"/>
  <c r="W133" i="6" s="1"/>
  <c r="U75" i="12"/>
  <c r="U139" i="12" s="1"/>
  <c r="V74" i="6"/>
  <c r="V133" i="6" s="1"/>
  <c r="T75" i="12"/>
  <c r="T139" i="12" s="1"/>
  <c r="U74" i="6"/>
  <c r="U133" i="6" s="1"/>
  <c r="S75" i="12"/>
  <c r="S139" i="12" s="1"/>
  <c r="T74" i="6"/>
  <c r="T133" i="6" s="1"/>
  <c r="R75" i="12"/>
  <c r="R139" i="12" s="1"/>
  <c r="S74" i="6"/>
  <c r="S133" i="6" s="1"/>
  <c r="Q75" i="12"/>
  <c r="Q139" i="12" s="1"/>
  <c r="R74" i="6"/>
  <c r="R133" i="6" s="1"/>
  <c r="P75" i="12"/>
  <c r="P139" i="12" s="1"/>
  <c r="Q74" i="6"/>
  <c r="Q133" i="6" s="1"/>
  <c r="O75" i="12"/>
  <c r="O139" i="12" s="1"/>
  <c r="P74" i="6"/>
  <c r="P133" i="6" s="1"/>
  <c r="O74" i="6"/>
  <c r="O133" i="6" s="1"/>
  <c r="N75" i="12"/>
  <c r="N139" i="12" s="1"/>
  <c r="AH73" i="12"/>
  <c r="AH137" i="12" s="1"/>
  <c r="AI72" i="6"/>
  <c r="AI131" i="6" s="1"/>
  <c r="AG73" i="12"/>
  <c r="AG137" i="12" s="1"/>
  <c r="AH72" i="6"/>
  <c r="AH131" i="6" s="1"/>
  <c r="AF73" i="12"/>
  <c r="AF137" i="12" s="1"/>
  <c r="AG72" i="6"/>
  <c r="AG131" i="6" s="1"/>
  <c r="AE73" i="12"/>
  <c r="AE137" i="12" s="1"/>
  <c r="AF72" i="6"/>
  <c r="AF131" i="6" s="1"/>
  <c r="AD73" i="12"/>
  <c r="AD137" i="12" s="1"/>
  <c r="AE72" i="6"/>
  <c r="AE131" i="6" s="1"/>
  <c r="AC73" i="12"/>
  <c r="AC137" i="12" s="1"/>
  <c r="AD72" i="6"/>
  <c r="AD131" i="6" s="1"/>
  <c r="AB73" i="12"/>
  <c r="AB137" i="12" s="1"/>
  <c r="AC72" i="6"/>
  <c r="AC131" i="6" s="1"/>
  <c r="AA73" i="12"/>
  <c r="AA137" i="12" s="1"/>
  <c r="AB72" i="6"/>
  <c r="AB131" i="6" s="1"/>
  <c r="Z73" i="12"/>
  <c r="Z137" i="12" s="1"/>
  <c r="AA72" i="6"/>
  <c r="AA131" i="6" s="1"/>
  <c r="Y73" i="12"/>
  <c r="Y137" i="12" s="1"/>
  <c r="Z72" i="6"/>
  <c r="Z131" i="6" s="1"/>
  <c r="X73" i="12"/>
  <c r="X137" i="12" s="1"/>
  <c r="Y72" i="6"/>
  <c r="Y131" i="6" s="1"/>
  <c r="W73" i="12"/>
  <c r="W137" i="12" s="1"/>
  <c r="X72" i="6"/>
  <c r="X131" i="6" s="1"/>
  <c r="V73" i="12"/>
  <c r="V137" i="12" s="1"/>
  <c r="W72" i="6"/>
  <c r="W131" i="6" s="1"/>
  <c r="U73" i="12"/>
  <c r="U137" i="12" s="1"/>
  <c r="V72" i="6"/>
  <c r="V131" i="6" s="1"/>
  <c r="T73" i="12"/>
  <c r="T137" i="12" s="1"/>
  <c r="U72" i="6"/>
  <c r="U131" i="6" s="1"/>
  <c r="S73" i="12"/>
  <c r="S137" i="12" s="1"/>
  <c r="T72" i="6"/>
  <c r="T131" i="6" s="1"/>
  <c r="R73" i="12"/>
  <c r="R137" i="12" s="1"/>
  <c r="S72" i="6"/>
  <c r="S131" i="6" s="1"/>
  <c r="Q73" i="12"/>
  <c r="Q137" i="12" s="1"/>
  <c r="R72" i="6"/>
  <c r="R131" i="6" s="1"/>
  <c r="P73" i="12"/>
  <c r="P137" i="12" s="1"/>
  <c r="Q72" i="6"/>
  <c r="Q131" i="6" s="1"/>
  <c r="O73" i="12"/>
  <c r="O137" i="12" s="1"/>
  <c r="P72" i="6"/>
  <c r="P131" i="6" s="1"/>
  <c r="N73" i="12"/>
  <c r="N137" i="12" s="1"/>
  <c r="O72" i="6"/>
  <c r="O131" i="6" s="1"/>
  <c r="CX442" i="1" l="1"/>
  <c r="DJ441" i="1"/>
  <c r="CX213" i="1"/>
  <c r="CY212" i="1"/>
  <c r="EV124" i="1"/>
  <c r="FA124" i="1"/>
  <c r="CV124" i="1"/>
  <c r="DI124" i="1" s="1"/>
  <c r="EW125" i="1" s="1"/>
  <c r="FE125" i="1"/>
  <c r="CW168" i="1"/>
  <c r="DL168" i="1" s="1"/>
  <c r="EX125" i="1" s="1"/>
  <c r="AV163" i="3"/>
  <c r="AW24" i="3"/>
  <c r="AX14" i="3"/>
  <c r="AW28" i="3"/>
  <c r="AW27" i="3" s="1"/>
  <c r="AW120" i="3"/>
  <c r="AW156" i="3"/>
  <c r="AW90" i="3"/>
  <c r="AW26" i="3"/>
  <c r="AW160" i="3" s="1"/>
  <c r="AW25" i="3"/>
  <c r="AW163" i="3" s="1"/>
  <c r="AW18" i="3"/>
  <c r="DN445" i="1"/>
  <c r="EB445" i="1" s="1"/>
  <c r="EZ125" i="1" s="1"/>
  <c r="GW40" i="2"/>
  <c r="GX40" i="2" s="1"/>
  <c r="CW127" i="1"/>
  <c r="GW38" i="2"/>
  <c r="GX38" i="2" s="1"/>
  <c r="CW125" i="1"/>
  <c r="DO448" i="1"/>
  <c r="DF813" i="1"/>
  <c r="DO446" i="1"/>
  <c r="DF811" i="1"/>
  <c r="CY262" i="1"/>
  <c r="CW262" i="1" s="1"/>
  <c r="DM354" i="1"/>
  <c r="CY264" i="1"/>
  <c r="CW264" i="1" s="1"/>
  <c r="DM356" i="1"/>
  <c r="CX169" i="1"/>
  <c r="CW169" i="1" s="1"/>
  <c r="DR217" i="1"/>
  <c r="CX171" i="1"/>
  <c r="DR219" i="1"/>
  <c r="DL169" i="1"/>
  <c r="EX126" i="1" s="1"/>
  <c r="EH42" i="1"/>
  <c r="CV87" i="1"/>
  <c r="EH44" i="1"/>
  <c r="CV85" i="1"/>
  <c r="DH81" i="2"/>
  <c r="DW80" i="2"/>
  <c r="BH100" i="2"/>
  <c r="BZ99" i="2"/>
  <c r="DR172" i="2"/>
  <c r="FI263" i="1" s="1"/>
  <c r="FF263" i="1" s="1"/>
  <c r="FG263" i="1" s="1"/>
  <c r="EY129" i="1" s="1"/>
  <c r="DR170" i="2"/>
  <c r="FI261" i="1" s="1"/>
  <c r="FF261" i="1" s="1"/>
  <c r="FG261" i="1" s="1"/>
  <c r="EY127" i="1" s="1"/>
  <c r="AL95" i="6"/>
  <c r="AL154" i="6" s="1"/>
  <c r="AK97" i="12"/>
  <c r="AK161" i="12" s="1"/>
  <c r="AH97" i="12"/>
  <c r="AH161" i="12" s="1"/>
  <c r="AI95" i="6"/>
  <c r="AI154" i="6" s="1"/>
  <c r="AJ97" i="12"/>
  <c r="AJ161" i="12" s="1"/>
  <c r="AK95" i="6"/>
  <c r="AK154" i="6" s="1"/>
  <c r="AL97" i="12"/>
  <c r="AL161" i="12" s="1"/>
  <c r="AM95" i="6"/>
  <c r="AM154" i="6" s="1"/>
  <c r="AJ95" i="6"/>
  <c r="AJ154" i="6" s="1"/>
  <c r="AI97" i="12"/>
  <c r="AI161" i="12" s="1"/>
  <c r="EZ723" i="1"/>
  <c r="AD116" i="7"/>
  <c r="AU115" i="7"/>
  <c r="AY116" i="7"/>
  <c r="BP115" i="7"/>
  <c r="HZ158" i="2"/>
  <c r="IP158" i="2" s="1"/>
  <c r="AE112" i="7"/>
  <c r="CN129" i="8"/>
  <c r="T203" i="7"/>
  <c r="X202" i="7"/>
  <c r="Q202" i="7"/>
  <c r="K43" i="5"/>
  <c r="CX214" i="1" l="1"/>
  <c r="CY213" i="1"/>
  <c r="CX443" i="1"/>
  <c r="DJ442" i="1"/>
  <c r="EV125" i="1"/>
  <c r="FA125" i="1"/>
  <c r="CV125" i="1"/>
  <c r="DI125" i="1" s="1"/>
  <c r="EW126" i="1" s="1"/>
  <c r="FE126" i="1"/>
  <c r="CV127" i="1"/>
  <c r="DI127" i="1" s="1"/>
  <c r="EW128" i="1" s="1"/>
  <c r="FE128" i="1"/>
  <c r="CW171" i="1"/>
  <c r="DL171" i="1" s="1"/>
  <c r="EX128" i="1" s="1"/>
  <c r="AX24" i="3"/>
  <c r="AY14" i="3"/>
  <c r="AX26" i="3"/>
  <c r="AX160" i="3" s="1"/>
  <c r="AX156" i="3"/>
  <c r="AX120" i="3"/>
  <c r="AX18" i="3"/>
  <c r="AX28" i="3"/>
  <c r="AX27" i="3" s="1"/>
  <c r="AX25" i="3"/>
  <c r="AX163" i="3" s="1"/>
  <c r="AX90" i="3"/>
  <c r="DN446" i="1"/>
  <c r="EB446" i="1" s="1"/>
  <c r="EZ126" i="1" s="1"/>
  <c r="DN448" i="1"/>
  <c r="EB448" i="1" s="1"/>
  <c r="EZ128" i="1" s="1"/>
  <c r="GW41" i="2"/>
  <c r="GX41" i="2" s="1"/>
  <c r="CW128" i="1"/>
  <c r="GW39" i="2"/>
  <c r="GX39" i="2" s="1"/>
  <c r="CW126" i="1"/>
  <c r="DO447" i="1"/>
  <c r="DF812" i="1"/>
  <c r="CX172" i="1"/>
  <c r="DO449" i="1"/>
  <c r="CY263" i="1"/>
  <c r="CW263" i="1" s="1"/>
  <c r="DM355" i="1"/>
  <c r="CX170" i="1"/>
  <c r="CW170" i="1" s="1"/>
  <c r="DR218" i="1"/>
  <c r="DL170" i="1"/>
  <c r="EX127" i="1" s="1"/>
  <c r="EH43" i="1"/>
  <c r="CV86" i="1"/>
  <c r="BH101" i="2"/>
  <c r="BZ100" i="2"/>
  <c r="DH82" i="2"/>
  <c r="DW81" i="2"/>
  <c r="DR173" i="2"/>
  <c r="FI264" i="1" s="1"/>
  <c r="FF264" i="1" s="1"/>
  <c r="FG264" i="1" s="1"/>
  <c r="EY130" i="1" s="1"/>
  <c r="EZ724" i="1"/>
  <c r="AY117" i="7"/>
  <c r="BP116" i="7"/>
  <c r="AD117" i="7"/>
  <c r="AU116" i="7"/>
  <c r="HZ159" i="2"/>
  <c r="IP159" i="2" s="1"/>
  <c r="AV103" i="12"/>
  <c r="AV167" i="12" s="1"/>
  <c r="AR103" i="12"/>
  <c r="AR167" i="12" s="1"/>
  <c r="AU103" i="12"/>
  <c r="AU167" i="12" s="1"/>
  <c r="AT103" i="12"/>
  <c r="AT167" i="12" s="1"/>
  <c r="AS103" i="12"/>
  <c r="AS167" i="12" s="1"/>
  <c r="AE113" i="7"/>
  <c r="CN130" i="8"/>
  <c r="T204" i="7"/>
  <c r="X203" i="7"/>
  <c r="Q203" i="7"/>
  <c r="K44" i="5"/>
  <c r="CX444" i="1" l="1"/>
  <c r="DJ443" i="1"/>
  <c r="CX215" i="1"/>
  <c r="CY214" i="1"/>
  <c r="EV128" i="1"/>
  <c r="FA128" i="1"/>
  <c r="EV126" i="1"/>
  <c r="FA126" i="1"/>
  <c r="CV126" i="1"/>
  <c r="DI126" i="1" s="1"/>
  <c r="EW127" i="1" s="1"/>
  <c r="FE127" i="1"/>
  <c r="CV128" i="1"/>
  <c r="DI128" i="1" s="1"/>
  <c r="EW129" i="1" s="1"/>
  <c r="FE129" i="1"/>
  <c r="CW172" i="1"/>
  <c r="DL172" i="1" s="1"/>
  <c r="EX129" i="1" s="1"/>
  <c r="AY24" i="3"/>
  <c r="AZ14" i="3"/>
  <c r="AY120" i="3"/>
  <c r="AY25" i="3"/>
  <c r="AY163" i="3" s="1"/>
  <c r="AY90" i="3"/>
  <c r="AY28" i="3"/>
  <c r="AY27" i="3" s="1"/>
  <c r="AY18" i="3"/>
  <c r="AY156" i="3"/>
  <c r="AY26" i="3"/>
  <c r="AY160" i="3" s="1"/>
  <c r="DN447" i="1"/>
  <c r="EB447" i="1" s="1"/>
  <c r="EZ127" i="1" s="1"/>
  <c r="DN449" i="1"/>
  <c r="EB449" i="1" s="1"/>
  <c r="EZ129" i="1" s="1"/>
  <c r="GW42" i="2"/>
  <c r="GX42" i="2" s="1"/>
  <c r="CW129" i="1"/>
  <c r="CX173" i="1"/>
  <c r="CW173" i="1" s="1"/>
  <c r="DL173" i="1" s="1"/>
  <c r="EX130" i="1" s="1"/>
  <c r="DO450" i="1"/>
  <c r="DW82" i="2"/>
  <c r="DH83" i="2"/>
  <c r="BZ101" i="2"/>
  <c r="BH102" i="2"/>
  <c r="DR174" i="2"/>
  <c r="FI265" i="1" s="1"/>
  <c r="FF265" i="1" s="1"/>
  <c r="FG265" i="1" s="1"/>
  <c r="EY131" i="1" s="1"/>
  <c r="EZ725" i="1"/>
  <c r="AD118" i="7"/>
  <c r="AU117" i="7"/>
  <c r="AY118" i="7"/>
  <c r="BP117" i="7"/>
  <c r="HZ160" i="2"/>
  <c r="IP160" i="2" s="1"/>
  <c r="Q103" i="12"/>
  <c r="Q167" i="12" s="1"/>
  <c r="R101" i="6"/>
  <c r="R160" i="6" s="1"/>
  <c r="Y103" i="12"/>
  <c r="Y167" i="12" s="1"/>
  <c r="Z101" i="6"/>
  <c r="Z160" i="6" s="1"/>
  <c r="AG103" i="12"/>
  <c r="AG167" i="12" s="1"/>
  <c r="AH101" i="6"/>
  <c r="AH160" i="6" s="1"/>
  <c r="AO103" i="12"/>
  <c r="AO167" i="12" s="1"/>
  <c r="AP101" i="6"/>
  <c r="AP160" i="6" s="1"/>
  <c r="N103" i="12"/>
  <c r="N167" i="12" s="1"/>
  <c r="O101" i="6"/>
  <c r="O160" i="6" s="1"/>
  <c r="V103" i="12"/>
  <c r="V167" i="12" s="1"/>
  <c r="W101" i="6"/>
  <c r="W160" i="6" s="1"/>
  <c r="AD103" i="12"/>
  <c r="AD167" i="12" s="1"/>
  <c r="AE101" i="6"/>
  <c r="AE160" i="6" s="1"/>
  <c r="AL103" i="12"/>
  <c r="AL167" i="12" s="1"/>
  <c r="AM101" i="6"/>
  <c r="AM160" i="6" s="1"/>
  <c r="S103" i="12"/>
  <c r="S167" i="12" s="1"/>
  <c r="T101" i="6"/>
  <c r="T160" i="6" s="1"/>
  <c r="AA103" i="12"/>
  <c r="AA167" i="12" s="1"/>
  <c r="AB101" i="6"/>
  <c r="AB160" i="6" s="1"/>
  <c r="AI103" i="12"/>
  <c r="AI167" i="12" s="1"/>
  <c r="AJ101" i="6"/>
  <c r="AJ160" i="6" s="1"/>
  <c r="AQ103" i="12"/>
  <c r="AQ167" i="12" s="1"/>
  <c r="AR101" i="6"/>
  <c r="AR160" i="6" s="1"/>
  <c r="P103" i="12"/>
  <c r="P167" i="12" s="1"/>
  <c r="Q101" i="6"/>
  <c r="Q160" i="6" s="1"/>
  <c r="X103" i="12"/>
  <c r="X167" i="12" s="1"/>
  <c r="Y101" i="6"/>
  <c r="Y160" i="6" s="1"/>
  <c r="AF103" i="12"/>
  <c r="AF167" i="12" s="1"/>
  <c r="AG101" i="6"/>
  <c r="AG160" i="6" s="1"/>
  <c r="AN103" i="12"/>
  <c r="AN167" i="12" s="1"/>
  <c r="AO101" i="6"/>
  <c r="AO160" i="6" s="1"/>
  <c r="U103" i="12"/>
  <c r="U167" i="12" s="1"/>
  <c r="V101" i="6"/>
  <c r="V160" i="6" s="1"/>
  <c r="AC103" i="12"/>
  <c r="AC167" i="12" s="1"/>
  <c r="AD101" i="6"/>
  <c r="AD160" i="6" s="1"/>
  <c r="AK103" i="12"/>
  <c r="AK167" i="12" s="1"/>
  <c r="AL101" i="6"/>
  <c r="AL160" i="6" s="1"/>
  <c r="R103" i="12"/>
  <c r="R167" i="12" s="1"/>
  <c r="S101" i="6"/>
  <c r="S160" i="6" s="1"/>
  <c r="Z103" i="12"/>
  <c r="Z167" i="12" s="1"/>
  <c r="AA101" i="6"/>
  <c r="AA160" i="6" s="1"/>
  <c r="AH103" i="12"/>
  <c r="AH167" i="12" s="1"/>
  <c r="AI101" i="6"/>
  <c r="AI160" i="6" s="1"/>
  <c r="AP103" i="12"/>
  <c r="AP167" i="12" s="1"/>
  <c r="AQ101" i="6"/>
  <c r="AQ160" i="6" s="1"/>
  <c r="O103" i="12"/>
  <c r="O167" i="12" s="1"/>
  <c r="P101" i="6"/>
  <c r="P160" i="6" s="1"/>
  <c r="W103" i="12"/>
  <c r="W167" i="12" s="1"/>
  <c r="X101" i="6"/>
  <c r="X160" i="6" s="1"/>
  <c r="AE103" i="12"/>
  <c r="AE167" i="12" s="1"/>
  <c r="AF101" i="6"/>
  <c r="AF160" i="6" s="1"/>
  <c r="AM103" i="12"/>
  <c r="AM167" i="12" s="1"/>
  <c r="AN101" i="6"/>
  <c r="AN160" i="6" s="1"/>
  <c r="T103" i="12"/>
  <c r="T167" i="12" s="1"/>
  <c r="U101" i="6"/>
  <c r="U160" i="6" s="1"/>
  <c r="AB103" i="12"/>
  <c r="AB167" i="12" s="1"/>
  <c r="AC101" i="6"/>
  <c r="AC160" i="6" s="1"/>
  <c r="AJ103" i="12"/>
  <c r="AJ167" i="12" s="1"/>
  <c r="AK101" i="6"/>
  <c r="AK160" i="6" s="1"/>
  <c r="AE114" i="7"/>
  <c r="CN131" i="8"/>
  <c r="T205" i="7"/>
  <c r="X204" i="7"/>
  <c r="Q204" i="7"/>
  <c r="K45" i="5"/>
  <c r="CX216" i="1" l="1"/>
  <c r="CY215" i="1"/>
  <c r="CX445" i="1"/>
  <c r="DJ444" i="1"/>
  <c r="EV129" i="1"/>
  <c r="FA129" i="1"/>
  <c r="EV127" i="1"/>
  <c r="FA127" i="1"/>
  <c r="CV129" i="1"/>
  <c r="DI129" i="1" s="1"/>
  <c r="EW130" i="1" s="1"/>
  <c r="FE130" i="1"/>
  <c r="AZ24" i="3"/>
  <c r="BA14" i="3"/>
  <c r="AZ120" i="3"/>
  <c r="AZ25" i="3"/>
  <c r="AZ163" i="3" s="1"/>
  <c r="AZ28" i="3"/>
  <c r="AZ27" i="3" s="1"/>
  <c r="AZ18" i="3"/>
  <c r="AZ90" i="3"/>
  <c r="AZ156" i="3"/>
  <c r="AZ26" i="3"/>
  <c r="AZ160" i="3" s="1"/>
  <c r="DN450" i="1"/>
  <c r="EB450" i="1" s="1"/>
  <c r="EZ130" i="1" s="1"/>
  <c r="GW43" i="2"/>
  <c r="GX43" i="2" s="1"/>
  <c r="CW130" i="1"/>
  <c r="CX174" i="1"/>
  <c r="CW174" i="1" s="1"/>
  <c r="DL174" i="1" s="1"/>
  <c r="EX131" i="1" s="1"/>
  <c r="DO451" i="1"/>
  <c r="BH103" i="2"/>
  <c r="BZ102" i="2"/>
  <c r="DH84" i="2"/>
  <c r="DW83" i="2"/>
  <c r="DR176" i="2"/>
  <c r="FI267" i="1" s="1"/>
  <c r="FF267" i="1" s="1"/>
  <c r="FG267" i="1" s="1"/>
  <c r="EY133" i="1" s="1"/>
  <c r="DR175" i="2"/>
  <c r="FI266" i="1" s="1"/>
  <c r="FF266" i="1" s="1"/>
  <c r="FG266" i="1" s="1"/>
  <c r="EY132" i="1" s="1"/>
  <c r="EZ726" i="1"/>
  <c r="AY119" i="7"/>
  <c r="BP118" i="7"/>
  <c r="AD119" i="7"/>
  <c r="AU118" i="7"/>
  <c r="HZ161" i="2"/>
  <c r="IP161" i="2" s="1"/>
  <c r="AE115" i="7"/>
  <c r="CN132" i="8"/>
  <c r="T206" i="7"/>
  <c r="X205" i="7"/>
  <c r="Q205" i="7"/>
  <c r="K46" i="5"/>
  <c r="CX446" i="1" l="1"/>
  <c r="DJ445" i="1"/>
  <c r="CX217" i="1"/>
  <c r="CY216" i="1"/>
  <c r="EV130" i="1"/>
  <c r="FA130" i="1"/>
  <c r="CV130" i="1"/>
  <c r="DI130" i="1" s="1"/>
  <c r="EW131" i="1" s="1"/>
  <c r="FE131" i="1"/>
  <c r="BA24" i="3"/>
  <c r="BB14" i="3"/>
  <c r="BA120" i="3"/>
  <c r="BA90" i="3"/>
  <c r="BA25" i="3"/>
  <c r="BA163" i="3" s="1"/>
  <c r="BA28" i="3"/>
  <c r="BA27" i="3" s="1"/>
  <c r="BA18" i="3"/>
  <c r="BA156" i="3"/>
  <c r="BA26" i="3"/>
  <c r="BA160" i="3" s="1"/>
  <c r="DN451" i="1"/>
  <c r="EB451" i="1" s="1"/>
  <c r="EZ131" i="1" s="1"/>
  <c r="GW44" i="2"/>
  <c r="GX44" i="2" s="1"/>
  <c r="CW131" i="1"/>
  <c r="GW45" i="2"/>
  <c r="GX45" i="2" s="1"/>
  <c r="CW132" i="1"/>
  <c r="CX176" i="1"/>
  <c r="DO453" i="1"/>
  <c r="CX175" i="1"/>
  <c r="CW175" i="1" s="1"/>
  <c r="DL175" i="1" s="1"/>
  <c r="EX132" i="1" s="1"/>
  <c r="DO452" i="1"/>
  <c r="DH85" i="2"/>
  <c r="DW84" i="2"/>
  <c r="BH104" i="2"/>
  <c r="BZ103" i="2"/>
  <c r="EZ727" i="1"/>
  <c r="AY120" i="7"/>
  <c r="BP119" i="7"/>
  <c r="AD120" i="7"/>
  <c r="AU119" i="7"/>
  <c r="HZ162" i="2"/>
  <c r="IP162" i="2" s="1"/>
  <c r="AE116" i="7"/>
  <c r="CN133" i="8"/>
  <c r="T207" i="7"/>
  <c r="X206" i="7"/>
  <c r="Q206" i="7"/>
  <c r="K47" i="5"/>
  <c r="CX218" i="1" l="1"/>
  <c r="CY217" i="1"/>
  <c r="CX447" i="1"/>
  <c r="DJ446" i="1"/>
  <c r="EV131" i="1"/>
  <c r="FA131" i="1"/>
  <c r="CV132" i="1"/>
  <c r="DI132" i="1" s="1"/>
  <c r="FE133" i="1"/>
  <c r="CV131" i="1"/>
  <c r="DI131" i="1" s="1"/>
  <c r="EW132" i="1" s="1"/>
  <c r="FE132" i="1"/>
  <c r="CW176" i="1"/>
  <c r="DL176" i="1" s="1"/>
  <c r="BB24" i="3"/>
  <c r="BC14" i="3"/>
  <c r="BB25" i="3"/>
  <c r="BB163" i="3" s="1"/>
  <c r="BB120" i="3"/>
  <c r="BB90" i="3"/>
  <c r="BB156" i="3"/>
  <c r="BB26" i="3"/>
  <c r="BB160" i="3" s="1"/>
  <c r="BB28" i="3"/>
  <c r="BB27" i="3" s="1"/>
  <c r="BB18" i="3"/>
  <c r="DN452" i="1"/>
  <c r="EB452" i="1" s="1"/>
  <c r="EZ132" i="1" s="1"/>
  <c r="DN453" i="1"/>
  <c r="EB453" i="1" s="1"/>
  <c r="EZ133" i="1" s="1"/>
  <c r="BH105" i="2"/>
  <c r="BZ104" i="2"/>
  <c r="DH86" i="2"/>
  <c r="DW85" i="2"/>
  <c r="AQ95" i="6"/>
  <c r="AQ154" i="6" s="1"/>
  <c r="AP97" i="12"/>
  <c r="AP161" i="12" s="1"/>
  <c r="AN95" i="6"/>
  <c r="AN154" i="6" s="1"/>
  <c r="AM97" i="12"/>
  <c r="AM161" i="12" s="1"/>
  <c r="AO97" i="12"/>
  <c r="AO161" i="12" s="1"/>
  <c r="AP95" i="6"/>
  <c r="AP154" i="6" s="1"/>
  <c r="AQ97" i="12"/>
  <c r="AQ161" i="12" s="1"/>
  <c r="AR95" i="6"/>
  <c r="AR154" i="6" s="1"/>
  <c r="AO95" i="6"/>
  <c r="AO154" i="6" s="1"/>
  <c r="AN97" i="12"/>
  <c r="AN161" i="12" s="1"/>
  <c r="EZ729" i="1"/>
  <c r="EZ728" i="1"/>
  <c r="AY121" i="7"/>
  <c r="BP120" i="7"/>
  <c r="AD121" i="7"/>
  <c r="AU120" i="7"/>
  <c r="HZ163" i="2"/>
  <c r="IP163" i="2" s="1"/>
  <c r="AE117" i="7"/>
  <c r="CN134" i="8"/>
  <c r="T208" i="7"/>
  <c r="X207" i="7"/>
  <c r="Q207" i="7"/>
  <c r="K48" i="5"/>
  <c r="CX448" i="1" l="1"/>
  <c r="DJ447" i="1"/>
  <c r="CX219" i="1"/>
  <c r="CY218" i="1"/>
  <c r="EV132" i="1"/>
  <c r="FA132" i="1"/>
  <c r="EV133" i="1"/>
  <c r="FA133" i="1"/>
  <c r="AM20" i="3" a="1"/>
  <c r="AN20" i="3" s="1"/>
  <c r="EX133" i="1"/>
  <c r="AM19" i="3" a="1"/>
  <c r="EW133" i="1"/>
  <c r="AM20" i="3"/>
  <c r="BC24" i="3"/>
  <c r="BH6" i="3" s="1" a="1"/>
  <c r="BC156" i="3"/>
  <c r="BC26" i="3"/>
  <c r="BC160" i="3" s="1"/>
  <c r="BC18" i="3"/>
  <c r="BC25" i="3"/>
  <c r="BC90" i="3"/>
  <c r="BC120" i="3"/>
  <c r="BC28" i="3"/>
  <c r="BC27" i="3" s="1"/>
  <c r="BN6" i="3" s="1" a="1"/>
  <c r="BO6" i="3" a="1"/>
  <c r="AM22" i="3" a="1"/>
  <c r="AT22" i="3" s="1"/>
  <c r="BQ6" i="3" a="1"/>
  <c r="DH87" i="2"/>
  <c r="DW86" i="2"/>
  <c r="BH106" i="2"/>
  <c r="BZ105" i="2"/>
  <c r="AY122" i="7"/>
  <c r="BP121" i="7"/>
  <c r="AD122" i="7"/>
  <c r="AU121" i="7"/>
  <c r="HZ164" i="2"/>
  <c r="IP164" i="2" s="1"/>
  <c r="AE118" i="7"/>
  <c r="CN135" i="8"/>
  <c r="T209" i="7"/>
  <c r="X208" i="7"/>
  <c r="Q208" i="7"/>
  <c r="K49" i="5"/>
  <c r="CX220" i="1" l="1"/>
  <c r="CY219" i="1"/>
  <c r="AQ20" i="3"/>
  <c r="CX449" i="1"/>
  <c r="DJ448" i="1"/>
  <c r="BB20" i="3"/>
  <c r="AO20" i="3"/>
  <c r="AZ20" i="3"/>
  <c r="AY20" i="3"/>
  <c r="AW20" i="3"/>
  <c r="AT20" i="3"/>
  <c r="AR20" i="3"/>
  <c r="AM19" i="3"/>
  <c r="AT19" i="3"/>
  <c r="BB19" i="3"/>
  <c r="AR19" i="3"/>
  <c r="AZ19" i="3"/>
  <c r="AY19" i="3"/>
  <c r="AQ19" i="3"/>
  <c r="AW19" i="3"/>
  <c r="AO19" i="3"/>
  <c r="AP19" i="3"/>
  <c r="AX19" i="3"/>
  <c r="AN19" i="3"/>
  <c r="AV19" i="3"/>
  <c r="BC19" i="3"/>
  <c r="AU19" i="3"/>
  <c r="BA19" i="3"/>
  <c r="AS19" i="3"/>
  <c r="AU20" i="3"/>
  <c r="BC20" i="3"/>
  <c r="AS20" i="3"/>
  <c r="BA20" i="3"/>
  <c r="AX20" i="3"/>
  <c r="AP20" i="3"/>
  <c r="AV20" i="3"/>
  <c r="BN36" i="3"/>
  <c r="BN7" i="3"/>
  <c r="BN15" i="3"/>
  <c r="BN41" i="3"/>
  <c r="BN8" i="3"/>
  <c r="BN34" i="3"/>
  <c r="BN31" i="3"/>
  <c r="BN17" i="3"/>
  <c r="BN28" i="3"/>
  <c r="BN18" i="3"/>
  <c r="BN32" i="3"/>
  <c r="BN23" i="3"/>
  <c r="BN14" i="3"/>
  <c r="BN46" i="3"/>
  <c r="BN24" i="3"/>
  <c r="BN12" i="3"/>
  <c r="BN19" i="3"/>
  <c r="BN10" i="3"/>
  <c r="BN42" i="3"/>
  <c r="BN16" i="3"/>
  <c r="BN45" i="3"/>
  <c r="BN38" i="3"/>
  <c r="BN43" i="3"/>
  <c r="BN37" i="3"/>
  <c r="BN6" i="3"/>
  <c r="BN11" i="3"/>
  <c r="BN29" i="3"/>
  <c r="BN22" i="3"/>
  <c r="BN40" i="3"/>
  <c r="BN27" i="3"/>
  <c r="BN9" i="3"/>
  <c r="BN20" i="3"/>
  <c r="BN39" i="3"/>
  <c r="BN30" i="3"/>
  <c r="BN33" i="3"/>
  <c r="BN21" i="3"/>
  <c r="BN44" i="3"/>
  <c r="BN35" i="3"/>
  <c r="BN26" i="3"/>
  <c r="BN25" i="3"/>
  <c r="BN13" i="3"/>
  <c r="BO6" i="3"/>
  <c r="BO39" i="3"/>
  <c r="DZ932" i="1" s="1"/>
  <c r="BO31" i="3"/>
  <c r="DZ924" i="1" s="1"/>
  <c r="BO23" i="3"/>
  <c r="DZ916" i="1" s="1"/>
  <c r="BO15" i="3"/>
  <c r="DZ908" i="1" s="1"/>
  <c r="BO7" i="3"/>
  <c r="DZ900" i="1" s="1"/>
  <c r="BO40" i="3"/>
  <c r="DZ933" i="1" s="1"/>
  <c r="BO32" i="3"/>
  <c r="DZ925" i="1" s="1"/>
  <c r="BO24" i="3"/>
  <c r="DZ917" i="1" s="1"/>
  <c r="BO16" i="3"/>
  <c r="DZ909" i="1" s="1"/>
  <c r="BO8" i="3"/>
  <c r="DZ901" i="1" s="1"/>
  <c r="BO41" i="3"/>
  <c r="DZ934" i="1" s="1"/>
  <c r="BO33" i="3"/>
  <c r="DZ926" i="1" s="1"/>
  <c r="BO25" i="3"/>
  <c r="DZ918" i="1" s="1"/>
  <c r="BO17" i="3"/>
  <c r="DZ910" i="1" s="1"/>
  <c r="BO9" i="3"/>
  <c r="DZ902" i="1" s="1"/>
  <c r="BO42" i="3"/>
  <c r="BO34" i="3"/>
  <c r="DZ927" i="1" s="1"/>
  <c r="BO26" i="3"/>
  <c r="DZ919" i="1" s="1"/>
  <c r="BO18" i="3"/>
  <c r="DZ911" i="1" s="1"/>
  <c r="BO10" i="3"/>
  <c r="DZ903" i="1" s="1"/>
  <c r="BO43" i="3"/>
  <c r="BO35" i="3"/>
  <c r="DZ928" i="1" s="1"/>
  <c r="BO27" i="3"/>
  <c r="DZ920" i="1" s="1"/>
  <c r="BO19" i="3"/>
  <c r="DZ912" i="1" s="1"/>
  <c r="BO11" i="3"/>
  <c r="DZ904" i="1" s="1"/>
  <c r="BO44" i="3"/>
  <c r="BO36" i="3"/>
  <c r="DZ929" i="1" s="1"/>
  <c r="BO28" i="3"/>
  <c r="DZ921" i="1" s="1"/>
  <c r="BO20" i="3"/>
  <c r="DZ913" i="1" s="1"/>
  <c r="BO12" i="3"/>
  <c r="DZ905" i="1" s="1"/>
  <c r="BO45" i="3"/>
  <c r="BO37" i="3"/>
  <c r="DZ930" i="1" s="1"/>
  <c r="BO29" i="3"/>
  <c r="DZ922" i="1" s="1"/>
  <c r="BO21" i="3"/>
  <c r="DZ914" i="1" s="1"/>
  <c r="BO13" i="3"/>
  <c r="DZ906" i="1" s="1"/>
  <c r="BO46" i="3"/>
  <c r="BO38" i="3"/>
  <c r="DZ931" i="1" s="1"/>
  <c r="BO30" i="3"/>
  <c r="DZ923" i="1" s="1"/>
  <c r="BO22" i="3"/>
  <c r="DZ915" i="1" s="1"/>
  <c r="BO14" i="3"/>
  <c r="DZ907" i="1" s="1"/>
  <c r="BC163" i="3"/>
  <c r="BI6" i="3" a="1"/>
  <c r="BH9" i="3"/>
  <c r="BH21" i="3"/>
  <c r="BH16" i="3"/>
  <c r="BH42" i="3"/>
  <c r="BH38" i="3"/>
  <c r="BH19" i="3"/>
  <c r="BH37" i="3"/>
  <c r="BH28" i="3"/>
  <c r="BH27" i="3"/>
  <c r="BH26" i="3"/>
  <c r="BH45" i="3"/>
  <c r="BH13" i="3"/>
  <c r="BH30" i="3"/>
  <c r="BH36" i="3"/>
  <c r="BH6" i="3"/>
  <c r="BH31" i="3"/>
  <c r="BH15" i="3"/>
  <c r="BH34" i="3"/>
  <c r="BH40" i="3"/>
  <c r="BH8" i="3"/>
  <c r="BH33" i="3"/>
  <c r="BH17" i="3"/>
  <c r="BH35" i="3"/>
  <c r="BH44" i="3"/>
  <c r="BH12" i="3"/>
  <c r="BH10" i="3"/>
  <c r="BH22" i="3"/>
  <c r="BH43" i="3"/>
  <c r="BH11" i="3"/>
  <c r="BH32" i="3"/>
  <c r="BH29" i="3"/>
  <c r="BH46" i="3"/>
  <c r="BH14" i="3"/>
  <c r="BH20" i="3"/>
  <c r="BH39" i="3"/>
  <c r="BH23" i="3"/>
  <c r="BH7" i="3"/>
  <c r="BH18" i="3"/>
  <c r="BH24" i="3"/>
  <c r="BH41" i="3"/>
  <c r="BH25" i="3"/>
  <c r="AW22" i="3"/>
  <c r="BA22" i="3"/>
  <c r="AO22" i="3"/>
  <c r="AQ22" i="3"/>
  <c r="AP22" i="3"/>
  <c r="AS22" i="3"/>
  <c r="AU22" i="3"/>
  <c r="AM22" i="3"/>
  <c r="AR22" i="3"/>
  <c r="AY22" i="3"/>
  <c r="AN22" i="3"/>
  <c r="BC22" i="3"/>
  <c r="AX22" i="3"/>
  <c r="BB22" i="3"/>
  <c r="AV22" i="3"/>
  <c r="AZ22" i="3"/>
  <c r="BQ13" i="3"/>
  <c r="BQ21" i="3"/>
  <c r="BQ29" i="3"/>
  <c r="BQ37" i="3"/>
  <c r="BQ45" i="3"/>
  <c r="BQ12" i="3"/>
  <c r="BQ20" i="3"/>
  <c r="BQ28" i="3"/>
  <c r="BQ36" i="3"/>
  <c r="BQ44" i="3"/>
  <c r="BQ11" i="3"/>
  <c r="BQ19" i="3"/>
  <c r="BQ27" i="3"/>
  <c r="BQ35" i="3"/>
  <c r="BQ43" i="3"/>
  <c r="BQ10" i="3"/>
  <c r="BQ18" i="3"/>
  <c r="BQ26" i="3"/>
  <c r="BQ34" i="3"/>
  <c r="BQ42" i="3"/>
  <c r="BQ9" i="3"/>
  <c r="BQ17" i="3"/>
  <c r="BQ25" i="3"/>
  <c r="BQ33" i="3"/>
  <c r="BQ41" i="3"/>
  <c r="BQ8" i="3"/>
  <c r="BQ16" i="3"/>
  <c r="BQ24" i="3"/>
  <c r="BQ32" i="3"/>
  <c r="BQ40" i="3"/>
  <c r="BQ7" i="3"/>
  <c r="BQ15" i="3"/>
  <c r="BQ23" i="3"/>
  <c r="BQ31" i="3"/>
  <c r="BQ39" i="3"/>
  <c r="BQ6" i="3"/>
  <c r="BQ14" i="3"/>
  <c r="BQ22" i="3"/>
  <c r="BQ30" i="3"/>
  <c r="BQ38" i="3"/>
  <c r="BQ46" i="3"/>
  <c r="BH107" i="2"/>
  <c r="BZ106" i="2"/>
  <c r="DH88" i="2"/>
  <c r="DW88" i="2" s="1"/>
  <c r="DW87" i="2"/>
  <c r="AU122" i="7"/>
  <c r="BP122" i="7"/>
  <c r="HZ165" i="2"/>
  <c r="IP165" i="2" s="1"/>
  <c r="AE119" i="7"/>
  <c r="CN136" i="8"/>
  <c r="X209" i="7"/>
  <c r="Q209" i="7"/>
  <c r="CX450" i="1" l="1"/>
  <c r="DJ449" i="1"/>
  <c r="CX221" i="1"/>
  <c r="CY220" i="1"/>
  <c r="BS6" i="3" a="1"/>
  <c r="BS7" i="3" s="1"/>
  <c r="BS25" i="3"/>
  <c r="BS13" i="3"/>
  <c r="BS35" i="3"/>
  <c r="BS44" i="3"/>
  <c r="BS39" i="3"/>
  <c r="BC37" i="4" a="1"/>
  <c r="BI22" i="3"/>
  <c r="BI44" i="3"/>
  <c r="BI24" i="3"/>
  <c r="BI13" i="3"/>
  <c r="BI35" i="3"/>
  <c r="BI10" i="3"/>
  <c r="BI9" i="3"/>
  <c r="BI31" i="3"/>
  <c r="BI45" i="3"/>
  <c r="BI6" i="3"/>
  <c r="BI32" i="3"/>
  <c r="BI17" i="3"/>
  <c r="BI33" i="3"/>
  <c r="BI19" i="3"/>
  <c r="BI7" i="3"/>
  <c r="BI34" i="3"/>
  <c r="BI30" i="3"/>
  <c r="BI41" i="3"/>
  <c r="BI16" i="3"/>
  <c r="BI27" i="3"/>
  <c r="BI36" i="3"/>
  <c r="BI20" i="3"/>
  <c r="BI37" i="3"/>
  <c r="BI8" i="3"/>
  <c r="BI23" i="3"/>
  <c r="BI46" i="3"/>
  <c r="BI42" i="3"/>
  <c r="BI38" i="3"/>
  <c r="BI29" i="3"/>
  <c r="BI15" i="3"/>
  <c r="BI28" i="3"/>
  <c r="BI25" i="3"/>
  <c r="BI26" i="3"/>
  <c r="BI11" i="3"/>
  <c r="BI43" i="3"/>
  <c r="BI12" i="3"/>
  <c r="BI21" i="3"/>
  <c r="BI18" i="3"/>
  <c r="BI40" i="3"/>
  <c r="BI39" i="3"/>
  <c r="BI14" i="3"/>
  <c r="BH108" i="2"/>
  <c r="BZ107" i="2"/>
  <c r="AS97" i="12"/>
  <c r="AS161" i="12" s="1"/>
  <c r="AB91" i="12"/>
  <c r="AB155" i="12" s="1"/>
  <c r="AP91" i="12"/>
  <c r="AP155" i="12" s="1"/>
  <c r="AS91" i="12"/>
  <c r="AS155" i="12" s="1"/>
  <c r="AC91" i="12"/>
  <c r="AC155" i="12" s="1"/>
  <c r="AJ91" i="12"/>
  <c r="AJ155" i="12" s="1"/>
  <c r="AT91" i="12"/>
  <c r="AT155" i="12" s="1"/>
  <c r="O89" i="6"/>
  <c r="O148" i="6" s="1"/>
  <c r="AI91" i="12"/>
  <c r="AI155" i="12" s="1"/>
  <c r="S91" i="12"/>
  <c r="S155" i="12" s="1"/>
  <c r="AR91" i="12"/>
  <c r="AR155" i="12" s="1"/>
  <c r="AV91" i="12"/>
  <c r="AV155" i="12" s="1"/>
  <c r="AH91" i="12"/>
  <c r="AH155" i="12" s="1"/>
  <c r="AO91" i="12"/>
  <c r="AO155" i="12" s="1"/>
  <c r="Y91" i="12"/>
  <c r="Y155" i="12" s="1"/>
  <c r="T91" i="12"/>
  <c r="T155" i="12" s="1"/>
  <c r="AL91" i="12"/>
  <c r="AL155" i="12" s="1"/>
  <c r="AU91" i="12"/>
  <c r="AU155" i="12" s="1"/>
  <c r="AE91" i="12"/>
  <c r="AE155" i="12" s="1"/>
  <c r="O91" i="12"/>
  <c r="O155" i="12" s="1"/>
  <c r="AQ90" i="6"/>
  <c r="AQ149" i="6" s="1"/>
  <c r="AU92" i="12"/>
  <c r="AU156" i="12" s="1"/>
  <c r="AM92" i="12"/>
  <c r="AM156" i="12" s="1"/>
  <c r="AR92" i="12"/>
  <c r="AR156" i="12" s="1"/>
  <c r="AL92" i="12"/>
  <c r="AL156" i="12" s="1"/>
  <c r="AS92" i="12"/>
  <c r="AS156" i="12" s="1"/>
  <c r="AL90" i="6"/>
  <c r="AL149" i="6" s="1"/>
  <c r="AJ92" i="12"/>
  <c r="AJ156" i="12" s="1"/>
  <c r="AV92" i="12"/>
  <c r="AV156" i="12" s="1"/>
  <c r="AR90" i="6"/>
  <c r="AR149" i="6" s="1"/>
  <c r="AI92" i="12"/>
  <c r="AI156" i="12" s="1"/>
  <c r="AN92" i="12"/>
  <c r="AN156" i="12" s="1"/>
  <c r="AT92" i="12"/>
  <c r="AT156" i="12" s="1"/>
  <c r="AO92" i="12"/>
  <c r="AO156" i="12" s="1"/>
  <c r="HZ166" i="2"/>
  <c r="IP166" i="2" s="1"/>
  <c r="AE120" i="7"/>
  <c r="AS105" i="12"/>
  <c r="AS169" i="12" s="1"/>
  <c r="AL103" i="6"/>
  <c r="AL162" i="6" s="1"/>
  <c r="Y105" i="12"/>
  <c r="Y169" i="12" s="1"/>
  <c r="Q105" i="12"/>
  <c r="Q169" i="12" s="1"/>
  <c r="AV105" i="12"/>
  <c r="AV169" i="12" s="1"/>
  <c r="AJ105" i="12"/>
  <c r="AJ169" i="12" s="1"/>
  <c r="U103" i="6"/>
  <c r="U162" i="6" s="1"/>
  <c r="AR103" i="6"/>
  <c r="AR162" i="6" s="1"/>
  <c r="AJ103" i="6"/>
  <c r="AJ162" i="6" s="1"/>
  <c r="AA105" i="12"/>
  <c r="AA169" i="12" s="1"/>
  <c r="S105" i="12"/>
  <c r="S169" i="12" s="1"/>
  <c r="AT105" i="12"/>
  <c r="AT169" i="12" s="1"/>
  <c r="AL105" i="12"/>
  <c r="AL169" i="12" s="1"/>
  <c r="AE103" i="6"/>
  <c r="AE162" i="6" s="1"/>
  <c r="W103" i="6"/>
  <c r="W162" i="6" s="1"/>
  <c r="O103" i="6"/>
  <c r="O162" i="6" s="1"/>
  <c r="AR105" i="12"/>
  <c r="AR169" i="12" s="1"/>
  <c r="Y103" i="6"/>
  <c r="Y162" i="6" s="1"/>
  <c r="AO105" i="12"/>
  <c r="AO169" i="12" s="1"/>
  <c r="AC105" i="12"/>
  <c r="AC169" i="12" s="1"/>
  <c r="V103" i="6"/>
  <c r="V162" i="6" s="1"/>
  <c r="AO103" i="6"/>
  <c r="AO162" i="6" s="1"/>
  <c r="AC103" i="6"/>
  <c r="AC162" i="6" s="1"/>
  <c r="AU105" i="12"/>
  <c r="AU169" i="12" s="1"/>
  <c r="AN103" i="6"/>
  <c r="AN162" i="6" s="1"/>
  <c r="AF103" i="6"/>
  <c r="AF162" i="6" s="1"/>
  <c r="W105" i="12"/>
  <c r="W169" i="12" s="1"/>
  <c r="P103" i="6"/>
  <c r="P162" i="6" s="1"/>
  <c r="AP105" i="12"/>
  <c r="AP169" i="12" s="1"/>
  <c r="AI103" i="6"/>
  <c r="AI162" i="6" s="1"/>
  <c r="AA103" i="6"/>
  <c r="AA162" i="6" s="1"/>
  <c r="R105" i="12"/>
  <c r="R169" i="12" s="1"/>
  <c r="AH103" i="6"/>
  <c r="AH162" i="6" s="1"/>
  <c r="AG103" i="6"/>
  <c r="AG162" i="6" s="1"/>
  <c r="CN138" i="8"/>
  <c r="CN137" i="8"/>
  <c r="AV87" i="12"/>
  <c r="AV151" i="12" s="1"/>
  <c r="AU87" i="12"/>
  <c r="AU151" i="12" s="1"/>
  <c r="AT87" i="12"/>
  <c r="AT151" i="12" s="1"/>
  <c r="AS87" i="12"/>
  <c r="AS151" i="12" s="1"/>
  <c r="AR87" i="12"/>
  <c r="AR151" i="12" s="1"/>
  <c r="AQ87" i="12"/>
  <c r="AQ151" i="12" s="1"/>
  <c r="AR85" i="6"/>
  <c r="AR144" i="6" s="1"/>
  <c r="AP87" i="12"/>
  <c r="AP151" i="12" s="1"/>
  <c r="AQ85" i="6"/>
  <c r="AQ144" i="6" s="1"/>
  <c r="AO87" i="12"/>
  <c r="AO151" i="12" s="1"/>
  <c r="AP85" i="6"/>
  <c r="AP144" i="6" s="1"/>
  <c r="AN87" i="12"/>
  <c r="AN151" i="12" s="1"/>
  <c r="AO85" i="6"/>
  <c r="AO144" i="6" s="1"/>
  <c r="AM87" i="12"/>
  <c r="AM151" i="12" s="1"/>
  <c r="AN85" i="6"/>
  <c r="AN144" i="6" s="1"/>
  <c r="AL87" i="12"/>
  <c r="AL151" i="12" s="1"/>
  <c r="AM85" i="6"/>
  <c r="AM144" i="6" s="1"/>
  <c r="AK87" i="12"/>
  <c r="AK151" i="12" s="1"/>
  <c r="AL85" i="6"/>
  <c r="AL144" i="6" s="1"/>
  <c r="AJ87" i="12"/>
  <c r="AJ151" i="12" s="1"/>
  <c r="AK85" i="6"/>
  <c r="AK144" i="6" s="1"/>
  <c r="AI87" i="12"/>
  <c r="AI151" i="12" s="1"/>
  <c r="AJ85" i="6"/>
  <c r="AJ144" i="6" s="1"/>
  <c r="AH87" i="12"/>
  <c r="AH151" i="12" s="1"/>
  <c r="AI85" i="6"/>
  <c r="AI144" i="6" s="1"/>
  <c r="AG87" i="12"/>
  <c r="AG151" i="12" s="1"/>
  <c r="AH85" i="6"/>
  <c r="AH144" i="6" s="1"/>
  <c r="AF87" i="12"/>
  <c r="AF151" i="12" s="1"/>
  <c r="AG85" i="6"/>
  <c r="AG144" i="6" s="1"/>
  <c r="AE87" i="12"/>
  <c r="AE151" i="12" s="1"/>
  <c r="AF85" i="6"/>
  <c r="AF144" i="6" s="1"/>
  <c r="AD87" i="12"/>
  <c r="AD151" i="12" s="1"/>
  <c r="AE85" i="6"/>
  <c r="AE144" i="6" s="1"/>
  <c r="AC87" i="12"/>
  <c r="AC151" i="12" s="1"/>
  <c r="AD85" i="6"/>
  <c r="AD144" i="6" s="1"/>
  <c r="AB87" i="12"/>
  <c r="AB151" i="12" s="1"/>
  <c r="AC85" i="6"/>
  <c r="AC144" i="6" s="1"/>
  <c r="AA87" i="12"/>
  <c r="AA151" i="12" s="1"/>
  <c r="AB85" i="6"/>
  <c r="AB144" i="6" s="1"/>
  <c r="Z87" i="12"/>
  <c r="Z151" i="12" s="1"/>
  <c r="AA85" i="6"/>
  <c r="AA144" i="6" s="1"/>
  <c r="Y87" i="12"/>
  <c r="Y151" i="12" s="1"/>
  <c r="Z85" i="6"/>
  <c r="Z144" i="6" s="1"/>
  <c r="X87" i="12"/>
  <c r="X151" i="12" s="1"/>
  <c r="Y85" i="6"/>
  <c r="Y144" i="6" s="1"/>
  <c r="W87" i="12"/>
  <c r="W151" i="12" s="1"/>
  <c r="X85" i="6"/>
  <c r="X144" i="6" s="1"/>
  <c r="V87" i="12"/>
  <c r="V151" i="12" s="1"/>
  <c r="W85" i="6"/>
  <c r="W144" i="6" s="1"/>
  <c r="U87" i="12"/>
  <c r="U151" i="12" s="1"/>
  <c r="V85" i="6"/>
  <c r="V144" i="6" s="1"/>
  <c r="T87" i="12"/>
  <c r="T151" i="12" s="1"/>
  <c r="U85" i="6"/>
  <c r="U144" i="6" s="1"/>
  <c r="S87" i="12"/>
  <c r="S151" i="12" s="1"/>
  <c r="T85" i="6"/>
  <c r="T144" i="6" s="1"/>
  <c r="R87" i="12"/>
  <c r="R151" i="12" s="1"/>
  <c r="S85" i="6"/>
  <c r="S144" i="6" s="1"/>
  <c r="Q87" i="12"/>
  <c r="Q151" i="12" s="1"/>
  <c r="R85" i="6"/>
  <c r="R144" i="6" s="1"/>
  <c r="P87" i="12"/>
  <c r="P151" i="12" s="1"/>
  <c r="Q85" i="6"/>
  <c r="Q144" i="6" s="1"/>
  <c r="O87" i="12"/>
  <c r="O151" i="12" s="1"/>
  <c r="P85" i="6"/>
  <c r="P144" i="6" s="1"/>
  <c r="N87" i="12"/>
  <c r="N151" i="12" s="1"/>
  <c r="O85" i="6"/>
  <c r="O144" i="6" s="1"/>
  <c r="AQ91" i="12"/>
  <c r="AQ155" i="12" s="1"/>
  <c r="AR89" i="6"/>
  <c r="AR148" i="6" s="1"/>
  <c r="AN91" i="12"/>
  <c r="AN155" i="12" s="1"/>
  <c r="AO89" i="6"/>
  <c r="AO148" i="6" s="1"/>
  <c r="AM91" i="12"/>
  <c r="AM155" i="12" s="1"/>
  <c r="AN89" i="6"/>
  <c r="AN148" i="6" s="1"/>
  <c r="AK91" i="12"/>
  <c r="AK155" i="12" s="1"/>
  <c r="AL89" i="6"/>
  <c r="AL148" i="6" s="1"/>
  <c r="AG91" i="12"/>
  <c r="AG155" i="12" s="1"/>
  <c r="AH89" i="6"/>
  <c r="AH148" i="6" s="1"/>
  <c r="AF91" i="12"/>
  <c r="AF155" i="12" s="1"/>
  <c r="AG89" i="6"/>
  <c r="AG148" i="6" s="1"/>
  <c r="AD91" i="12"/>
  <c r="AD155" i="12" s="1"/>
  <c r="AE89" i="6"/>
  <c r="AE148" i="6" s="1"/>
  <c r="AA91" i="12"/>
  <c r="AA155" i="12" s="1"/>
  <c r="AB89" i="6"/>
  <c r="AB148" i="6" s="1"/>
  <c r="Z91" i="12"/>
  <c r="Z155" i="12" s="1"/>
  <c r="AA89" i="6"/>
  <c r="AA148" i="6" s="1"/>
  <c r="X91" i="12"/>
  <c r="X155" i="12" s="1"/>
  <c r="Y89" i="6"/>
  <c r="Y148" i="6" s="1"/>
  <c r="W91" i="12"/>
  <c r="W155" i="12" s="1"/>
  <c r="X89" i="6"/>
  <c r="X148" i="6" s="1"/>
  <c r="V91" i="12"/>
  <c r="V155" i="12" s="1"/>
  <c r="W89" i="6"/>
  <c r="W148" i="6" s="1"/>
  <c r="U91" i="12"/>
  <c r="U155" i="12" s="1"/>
  <c r="V89" i="6"/>
  <c r="V148" i="6" s="1"/>
  <c r="R91" i="12"/>
  <c r="R155" i="12" s="1"/>
  <c r="S89" i="6"/>
  <c r="S148" i="6" s="1"/>
  <c r="Q91" i="12"/>
  <c r="Q155" i="12" s="1"/>
  <c r="R89" i="6"/>
  <c r="R148" i="6" s="1"/>
  <c r="P91" i="12"/>
  <c r="P155" i="12" s="1"/>
  <c r="Q89" i="6"/>
  <c r="Q148" i="6" s="1"/>
  <c r="Q103" i="6"/>
  <c r="Q162" i="6" s="1"/>
  <c r="P105" i="12"/>
  <c r="P169" i="12" s="1"/>
  <c r="AK103" i="6"/>
  <c r="AK162" i="6" s="1"/>
  <c r="BS30" i="3" l="1"/>
  <c r="BS18" i="3"/>
  <c r="BS8" i="3"/>
  <c r="BS45" i="3"/>
  <c r="BS19" i="3"/>
  <c r="BS21" i="3"/>
  <c r="BS41" i="3"/>
  <c r="BS31" i="3"/>
  <c r="BS36" i="3"/>
  <c r="BS24" i="3"/>
  <c r="CX222" i="1"/>
  <c r="CY221" i="1"/>
  <c r="BS12" i="3"/>
  <c r="BS10" i="3"/>
  <c r="BS22" i="3"/>
  <c r="BS43" i="3"/>
  <c r="BS26" i="3"/>
  <c r="CX451" i="1"/>
  <c r="DJ450" i="1"/>
  <c r="BS23" i="3"/>
  <c r="BS14" i="3"/>
  <c r="BS46" i="3"/>
  <c r="BS37" i="3"/>
  <c r="BS28" i="3"/>
  <c r="BS27" i="3"/>
  <c r="BS9" i="3"/>
  <c r="BS32" i="3"/>
  <c r="BS33" i="3"/>
  <c r="BS40" i="3"/>
  <c r="BS15" i="3"/>
  <c r="BS6" i="3"/>
  <c r="BS38" i="3"/>
  <c r="BS29" i="3"/>
  <c r="BS20" i="3"/>
  <c r="BS11" i="3"/>
  <c r="BS34" i="3"/>
  <c r="BS16" i="3"/>
  <c r="BS42" i="3"/>
  <c r="BS17" i="3"/>
  <c r="BC37" i="4"/>
  <c r="BC38" i="4"/>
  <c r="BC42" i="4"/>
  <c r="BC46" i="4"/>
  <c r="BC50" i="4"/>
  <c r="BC40" i="4"/>
  <c r="BC44" i="4"/>
  <c r="BC48" i="4"/>
  <c r="BC52" i="4"/>
  <c r="BC53" i="4"/>
  <c r="BC49" i="4"/>
  <c r="BC45" i="4"/>
  <c r="BC41" i="4"/>
  <c r="BC51" i="4"/>
  <c r="BC47" i="4"/>
  <c r="BC43" i="4"/>
  <c r="BC39" i="4"/>
  <c r="BH109" i="2"/>
  <c r="BZ108" i="2"/>
  <c r="AU97" i="12"/>
  <c r="AU161" i="12" s="1"/>
  <c r="AT97" i="12"/>
  <c r="AT161" i="12" s="1"/>
  <c r="AR97" i="12"/>
  <c r="AR161" i="12" s="1"/>
  <c r="AV97" i="12"/>
  <c r="AV161" i="12" s="1"/>
  <c r="AP90" i="6"/>
  <c r="AP149" i="6" s="1"/>
  <c r="AD90" i="6"/>
  <c r="AD149" i="6" s="1"/>
  <c r="T90" i="6"/>
  <c r="T149" i="6" s="1"/>
  <c r="AK90" i="6"/>
  <c r="AK149" i="6" s="1"/>
  <c r="Q90" i="6"/>
  <c r="Q149" i="6" s="1"/>
  <c r="Z90" i="6"/>
  <c r="Z149" i="6" s="1"/>
  <c r="AG90" i="6"/>
  <c r="AG149" i="6" s="1"/>
  <c r="AN90" i="6"/>
  <c r="AN149" i="6" s="1"/>
  <c r="S90" i="6"/>
  <c r="S149" i="6" s="1"/>
  <c r="X90" i="6"/>
  <c r="X149" i="6" s="1"/>
  <c r="AA90" i="6"/>
  <c r="AA149" i="6" s="1"/>
  <c r="AE90" i="6"/>
  <c r="AE149" i="6" s="1"/>
  <c r="AJ90" i="6"/>
  <c r="AJ149" i="6" s="1"/>
  <c r="AM90" i="6"/>
  <c r="AM149" i="6" s="1"/>
  <c r="AO90" i="6"/>
  <c r="AO149" i="6" s="1"/>
  <c r="P92" i="12"/>
  <c r="P156" i="12" s="1"/>
  <c r="R92" i="12"/>
  <c r="R156" i="12" s="1"/>
  <c r="S92" i="12"/>
  <c r="S156" i="12" s="1"/>
  <c r="W92" i="12"/>
  <c r="W156" i="12" s="1"/>
  <c r="Y92" i="12"/>
  <c r="Y156" i="12" s="1"/>
  <c r="Z92" i="12"/>
  <c r="Z156" i="12" s="1"/>
  <c r="AC92" i="12"/>
  <c r="AC156" i="12" s="1"/>
  <c r="AD92" i="12"/>
  <c r="AD156" i="12" s="1"/>
  <c r="AF92" i="12"/>
  <c r="AF156" i="12" s="1"/>
  <c r="AQ92" i="12"/>
  <c r="AQ156" i="12" s="1"/>
  <c r="AP89" i="6"/>
  <c r="AP148" i="6" s="1"/>
  <c r="Z89" i="6"/>
  <c r="Z148" i="6" s="1"/>
  <c r="X92" i="12"/>
  <c r="X156" i="12" s="1"/>
  <c r="N91" i="12"/>
  <c r="N155" i="12" s="1"/>
  <c r="AI89" i="6"/>
  <c r="AI148" i="6" s="1"/>
  <c r="Q92" i="12"/>
  <c r="Q156" i="12" s="1"/>
  <c r="AG92" i="12"/>
  <c r="AG156" i="12" s="1"/>
  <c r="T89" i="6"/>
  <c r="T148" i="6" s="1"/>
  <c r="AD89" i="6"/>
  <c r="AD148" i="6" s="1"/>
  <c r="AK89" i="6"/>
  <c r="AK148" i="6" s="1"/>
  <c r="N92" i="12"/>
  <c r="N156" i="12" s="1"/>
  <c r="U92" i="12"/>
  <c r="U156" i="12" s="1"/>
  <c r="AB92" i="12"/>
  <c r="AB156" i="12" s="1"/>
  <c r="AK92" i="12"/>
  <c r="AK156" i="12" s="1"/>
  <c r="P89" i="6"/>
  <c r="P148" i="6" s="1"/>
  <c r="U89" i="6"/>
  <c r="U148" i="6" s="1"/>
  <c r="AC89" i="6"/>
  <c r="AC148" i="6" s="1"/>
  <c r="AF89" i="6"/>
  <c r="AF148" i="6" s="1"/>
  <c r="AJ89" i="6"/>
  <c r="AJ148" i="6" s="1"/>
  <c r="AM89" i="6"/>
  <c r="AM148" i="6" s="1"/>
  <c r="AQ89" i="6"/>
  <c r="AQ148" i="6" s="1"/>
  <c r="O92" i="12"/>
  <c r="O156" i="12" s="1"/>
  <c r="T92" i="12"/>
  <c r="T156" i="12" s="1"/>
  <c r="V92" i="12"/>
  <c r="V156" i="12" s="1"/>
  <c r="AA92" i="12"/>
  <c r="AA156" i="12" s="1"/>
  <c r="AE92" i="12"/>
  <c r="AE156" i="12" s="1"/>
  <c r="AH92" i="12"/>
  <c r="AH156" i="12" s="1"/>
  <c r="AP92" i="12"/>
  <c r="AP156" i="12" s="1"/>
  <c r="O90" i="6"/>
  <c r="O149" i="6" s="1"/>
  <c r="P90" i="6"/>
  <c r="P149" i="6" s="1"/>
  <c r="R90" i="6"/>
  <c r="R149" i="6" s="1"/>
  <c r="U90" i="6"/>
  <c r="U149" i="6" s="1"/>
  <c r="V90" i="6"/>
  <c r="V149" i="6" s="1"/>
  <c r="W90" i="6"/>
  <c r="W149" i="6" s="1"/>
  <c r="Y90" i="6"/>
  <c r="Y149" i="6" s="1"/>
  <c r="AB90" i="6"/>
  <c r="AB149" i="6" s="1"/>
  <c r="AC90" i="6"/>
  <c r="AC149" i="6" s="1"/>
  <c r="AF90" i="6"/>
  <c r="AF149" i="6" s="1"/>
  <c r="AH90" i="6"/>
  <c r="AH149" i="6" s="1"/>
  <c r="AI90" i="6"/>
  <c r="AI149" i="6" s="1"/>
  <c r="HZ167" i="2"/>
  <c r="IP167" i="2" s="1"/>
  <c r="AE121" i="7"/>
  <c r="AF105" i="12"/>
  <c r="AF169" i="12" s="1"/>
  <c r="N105" i="12"/>
  <c r="N169" i="12" s="1"/>
  <c r="X103" i="6"/>
  <c r="X162" i="6" s="1"/>
  <c r="V105" i="12"/>
  <c r="V169" i="12" s="1"/>
  <c r="AE105" i="12"/>
  <c r="AE169" i="12" s="1"/>
  <c r="T105" i="12"/>
  <c r="T169" i="12" s="1"/>
  <c r="AH105" i="12"/>
  <c r="AH169" i="12" s="1"/>
  <c r="U105" i="12"/>
  <c r="U169" i="12" s="1"/>
  <c r="T103" i="6"/>
  <c r="T162" i="6" s="1"/>
  <c r="S103" i="6"/>
  <c r="S162" i="6" s="1"/>
  <c r="O105" i="12"/>
  <c r="O169" i="12" s="1"/>
  <c r="AN105" i="12"/>
  <c r="AN169" i="12" s="1"/>
  <c r="AP103" i="6"/>
  <c r="AP162" i="6" s="1"/>
  <c r="AM103" i="6"/>
  <c r="AM162" i="6" s="1"/>
  <c r="AI105" i="12"/>
  <c r="AI169" i="12" s="1"/>
  <c r="Z103" i="6"/>
  <c r="Z162" i="6" s="1"/>
  <c r="AB103" i="6"/>
  <c r="AB162" i="6" s="1"/>
  <c r="AK105" i="12"/>
  <c r="AK169" i="12" s="1"/>
  <c r="Z105" i="12"/>
  <c r="Z169" i="12" s="1"/>
  <c r="AB105" i="12"/>
  <c r="AB169" i="12" s="1"/>
  <c r="X105" i="12"/>
  <c r="X169" i="12" s="1"/>
  <c r="AD105" i="12"/>
  <c r="AD169" i="12" s="1"/>
  <c r="AQ105" i="12"/>
  <c r="AQ169" i="12" s="1"/>
  <c r="R103" i="6"/>
  <c r="R162" i="6" s="1"/>
  <c r="AG105" i="12"/>
  <c r="AG169" i="12" s="1"/>
  <c r="AQ103" i="6"/>
  <c r="AQ162" i="6" s="1"/>
  <c r="AM105" i="12"/>
  <c r="AM169" i="12" s="1"/>
  <c r="AD103" i="6"/>
  <c r="AD162" i="6" s="1"/>
  <c r="BO168" i="1"/>
  <c r="BO167" i="1"/>
  <c r="CX223" i="1" l="1"/>
  <c r="CY222" i="1"/>
  <c r="CX452" i="1"/>
  <c r="DJ451" i="1"/>
  <c r="BH110" i="2"/>
  <c r="BZ109" i="2"/>
  <c r="HZ168" i="2"/>
  <c r="IP168" i="2" s="1"/>
  <c r="AF91" i="6"/>
  <c r="AF150" i="6" s="1"/>
  <c r="Z91" i="6"/>
  <c r="Z150" i="6" s="1"/>
  <c r="Z93" i="12"/>
  <c r="Z157" i="12" s="1"/>
  <c r="T93" i="12"/>
  <c r="T157" i="12" s="1"/>
  <c r="P91" i="6"/>
  <c r="P150" i="6" s="1"/>
  <c r="AJ93" i="12"/>
  <c r="AJ157" i="12" s="1"/>
  <c r="W93" i="12"/>
  <c r="W157" i="12" s="1"/>
  <c r="S91" i="6"/>
  <c r="S150" i="6" s="1"/>
  <c r="AI91" i="6"/>
  <c r="AI150" i="6" s="1"/>
  <c r="Q93" i="12"/>
  <c r="Q157" i="12" s="1"/>
  <c r="AC91" i="6"/>
  <c r="AC150" i="6" s="1"/>
  <c r="S93" i="12"/>
  <c r="S157" i="12" s="1"/>
  <c r="AA93" i="12"/>
  <c r="AA157" i="12" s="1"/>
  <c r="AJ91" i="6"/>
  <c r="AJ150" i="6" s="1"/>
  <c r="V93" i="12"/>
  <c r="V157" i="12" s="1"/>
  <c r="AE91" i="6"/>
  <c r="AE150" i="6" s="1"/>
  <c r="V91" i="6"/>
  <c r="V150" i="6" s="1"/>
  <c r="X93" i="12"/>
  <c r="X157" i="12" s="1"/>
  <c r="AE122" i="7"/>
  <c r="AF93" i="12"/>
  <c r="AF157" i="12" s="1"/>
  <c r="Y91" i="6"/>
  <c r="Y150" i="6" s="1"/>
  <c r="P93" i="12"/>
  <c r="P157" i="12" s="1"/>
  <c r="AD91" i="6"/>
  <c r="AD150" i="6" s="1"/>
  <c r="O75" i="6"/>
  <c r="O134" i="6" s="1"/>
  <c r="Q75" i="6"/>
  <c r="Q134" i="6" s="1"/>
  <c r="S75" i="6"/>
  <c r="S134" i="6" s="1"/>
  <c r="U75" i="6"/>
  <c r="U134" i="6" s="1"/>
  <c r="W75" i="6"/>
  <c r="W134" i="6" s="1"/>
  <c r="Y75" i="6"/>
  <c r="Y134" i="6" s="1"/>
  <c r="Z75" i="6"/>
  <c r="Z134" i="6" s="1"/>
  <c r="Z76" i="12"/>
  <c r="Z140" i="12" s="1"/>
  <c r="AB75" i="6"/>
  <c r="AB134" i="6" s="1"/>
  <c r="AC75" i="6"/>
  <c r="AC134" i="6" s="1"/>
  <c r="AD75" i="6"/>
  <c r="AD134" i="6" s="1"/>
  <c r="AE75" i="6"/>
  <c r="AE134" i="6" s="1"/>
  <c r="AF75" i="6"/>
  <c r="AF134" i="6" s="1"/>
  <c r="AG75" i="6"/>
  <c r="AG134" i="6" s="1"/>
  <c r="AH75" i="6"/>
  <c r="AH134" i="6" s="1"/>
  <c r="AI75" i="6"/>
  <c r="AI134" i="6" s="1"/>
  <c r="AJ75" i="6"/>
  <c r="AJ134" i="6" s="1"/>
  <c r="AK75" i="6"/>
  <c r="AK134" i="6" s="1"/>
  <c r="AL75" i="6"/>
  <c r="AL134" i="6" s="1"/>
  <c r="AM75" i="6"/>
  <c r="AM134" i="6" s="1"/>
  <c r="AN75" i="6"/>
  <c r="AN134" i="6" s="1"/>
  <c r="AO75" i="6"/>
  <c r="AO134" i="6" s="1"/>
  <c r="AP75" i="6"/>
  <c r="AP134" i="6" s="1"/>
  <c r="AQ75" i="6"/>
  <c r="AQ134" i="6" s="1"/>
  <c r="AR75" i="6"/>
  <c r="AR134" i="6" s="1"/>
  <c r="AR76" i="12"/>
  <c r="AR140" i="12" s="1"/>
  <c r="AS76" i="12"/>
  <c r="AS140" i="12" s="1"/>
  <c r="AT76" i="12"/>
  <c r="AT140" i="12" s="1"/>
  <c r="AU76" i="12"/>
  <c r="AU140" i="12" s="1"/>
  <c r="AV76" i="12"/>
  <c r="AV140" i="12" s="1"/>
  <c r="AQ76" i="12"/>
  <c r="AQ140" i="12" s="1"/>
  <c r="AP76" i="12"/>
  <c r="AP140" i="12" s="1"/>
  <c r="AA76" i="12"/>
  <c r="AA140" i="12" s="1"/>
  <c r="Y76" i="12"/>
  <c r="Y140" i="12" s="1"/>
  <c r="W76" i="12"/>
  <c r="W140" i="12" s="1"/>
  <c r="X75" i="6"/>
  <c r="X134" i="6" s="1"/>
  <c r="V76" i="12"/>
  <c r="V140" i="12" s="1"/>
  <c r="U76" i="12"/>
  <c r="U140" i="12" s="1"/>
  <c r="V75" i="6"/>
  <c r="V134" i="6" s="1"/>
  <c r="S76" i="12"/>
  <c r="S140" i="12" s="1"/>
  <c r="T75" i="6"/>
  <c r="T134" i="6" s="1"/>
  <c r="Q76" i="12"/>
  <c r="Q140" i="12" s="1"/>
  <c r="R75" i="6"/>
  <c r="R134" i="6" s="1"/>
  <c r="O76" i="12"/>
  <c r="O140" i="12" s="1"/>
  <c r="P75" i="6"/>
  <c r="P134" i="6" s="1"/>
  <c r="N76" i="12"/>
  <c r="N140" i="12" s="1"/>
  <c r="AT68" i="12"/>
  <c r="AT132" i="12" s="1"/>
  <c r="AK68" i="12"/>
  <c r="AK132" i="12" s="1"/>
  <c r="AL67" i="6"/>
  <c r="AL126" i="6" s="1"/>
  <c r="Q68" i="12"/>
  <c r="Q132" i="12" s="1"/>
  <c r="R67" i="6"/>
  <c r="R126" i="6" s="1"/>
  <c r="W68" i="12"/>
  <c r="W132" i="12" s="1"/>
  <c r="X67" i="6"/>
  <c r="X126" i="6" s="1"/>
  <c r="Z68" i="12"/>
  <c r="Z132" i="12" s="1"/>
  <c r="AA67" i="6"/>
  <c r="AA126" i="6" s="1"/>
  <c r="AC68" i="12"/>
  <c r="AC132" i="12" s="1"/>
  <c r="AD67" i="6"/>
  <c r="AD126" i="6" s="1"/>
  <c r="AJ68" i="12"/>
  <c r="AJ132" i="12" s="1"/>
  <c r="AK67" i="6"/>
  <c r="AK126" i="6" s="1"/>
  <c r="T68" i="12"/>
  <c r="T132" i="12" s="1"/>
  <c r="U67" i="6"/>
  <c r="U126" i="6" s="1"/>
  <c r="AD68" i="12"/>
  <c r="AD132" i="12" s="1"/>
  <c r="AE67" i="6"/>
  <c r="AE126" i="6" s="1"/>
  <c r="AQ68" i="12"/>
  <c r="AQ132" i="12" s="1"/>
  <c r="AR67" i="6"/>
  <c r="AR126" i="6" s="1"/>
  <c r="AL68" i="12"/>
  <c r="AL132" i="12" s="1"/>
  <c r="AM67" i="6"/>
  <c r="AM126" i="6" s="1"/>
  <c r="AG68" i="12"/>
  <c r="AG132" i="12" s="1"/>
  <c r="AH67" i="6"/>
  <c r="AH126" i="6" s="1"/>
  <c r="AU68" i="12"/>
  <c r="AU132" i="12" s="1"/>
  <c r="O68" i="12"/>
  <c r="O132" i="12" s="1"/>
  <c r="P67" i="6"/>
  <c r="P126" i="6" s="1"/>
  <c r="R68" i="12"/>
  <c r="R132" i="12" s="1"/>
  <c r="S67" i="6"/>
  <c r="S126" i="6" s="1"/>
  <c r="AV68" i="12"/>
  <c r="AV132" i="12" s="1"/>
  <c r="AF68" i="12"/>
  <c r="AF132" i="12" s="1"/>
  <c r="AG67" i="6"/>
  <c r="AG126" i="6" s="1"/>
  <c r="P68" i="12"/>
  <c r="P132" i="12" s="1"/>
  <c r="Q67" i="6"/>
  <c r="Q126" i="6" s="1"/>
  <c r="AE68" i="12"/>
  <c r="AE132" i="12" s="1"/>
  <c r="AF67" i="6"/>
  <c r="AF126" i="6" s="1"/>
  <c r="V68" i="12"/>
  <c r="V132" i="12" s="1"/>
  <c r="W67" i="6"/>
  <c r="W126" i="6" s="1"/>
  <c r="Y68" i="12"/>
  <c r="Y132" i="12" s="1"/>
  <c r="Z67" i="6"/>
  <c r="Z126" i="6" s="1"/>
  <c r="AM68" i="12"/>
  <c r="AM132" i="12" s="1"/>
  <c r="AN67" i="6"/>
  <c r="AN126" i="6" s="1"/>
  <c r="AP68" i="12"/>
  <c r="AP132" i="12" s="1"/>
  <c r="AQ67" i="6"/>
  <c r="AQ126" i="6" s="1"/>
  <c r="N68" i="12"/>
  <c r="N132" i="12" s="1"/>
  <c r="O67" i="6"/>
  <c r="O126" i="6" s="1"/>
  <c r="AR68" i="12"/>
  <c r="AR132" i="12" s="1"/>
  <c r="AB68" i="12"/>
  <c r="AB132" i="12" s="1"/>
  <c r="AC67" i="6"/>
  <c r="AC126" i="6" s="1"/>
  <c r="S68" i="12"/>
  <c r="S132" i="12" s="1"/>
  <c r="T67" i="6"/>
  <c r="T126" i="6" s="1"/>
  <c r="AS68" i="12"/>
  <c r="AS132" i="12" s="1"/>
  <c r="U68" i="12"/>
  <c r="U132" i="12" s="1"/>
  <c r="V67" i="6"/>
  <c r="V126" i="6" s="1"/>
  <c r="AI68" i="12"/>
  <c r="AI132" i="12" s="1"/>
  <c r="AJ67" i="6"/>
  <c r="AJ126" i="6" s="1"/>
  <c r="AH68" i="12"/>
  <c r="AH132" i="12" s="1"/>
  <c r="AI67" i="6"/>
  <c r="AI126" i="6" s="1"/>
  <c r="AO68" i="12"/>
  <c r="AO132" i="12" s="1"/>
  <c r="AP67" i="6"/>
  <c r="AP126" i="6" s="1"/>
  <c r="AN68" i="12"/>
  <c r="AN132" i="12" s="1"/>
  <c r="AO67" i="6"/>
  <c r="AO126" i="6" s="1"/>
  <c r="X68" i="12"/>
  <c r="X132" i="12" s="1"/>
  <c r="Y67" i="6"/>
  <c r="Y126" i="6" s="1"/>
  <c r="AA68" i="12"/>
  <c r="AA132" i="12" s="1"/>
  <c r="AB67" i="6"/>
  <c r="AB126" i="6" s="1"/>
  <c r="CX453" i="1" l="1"/>
  <c r="DJ453" i="1" s="1"/>
  <c r="O17" i="3" s="1" a="1"/>
  <c r="DJ452" i="1"/>
  <c r="CX224" i="1"/>
  <c r="CY224" i="1" s="1"/>
  <c r="CY223" i="1"/>
  <c r="BZ110" i="2"/>
  <c r="BH111" i="2"/>
  <c r="AD90" i="12"/>
  <c r="AD154" i="12" s="1"/>
  <c r="AE88" i="6"/>
  <c r="AE147" i="6" s="1"/>
  <c r="AP90" i="12"/>
  <c r="AP154" i="12" s="1"/>
  <c r="AQ88" i="6"/>
  <c r="AQ147" i="6" s="1"/>
  <c r="P90" i="12"/>
  <c r="P154" i="12" s="1"/>
  <c r="Q88" i="6"/>
  <c r="Q147" i="6" s="1"/>
  <c r="U90" i="12"/>
  <c r="U154" i="12" s="1"/>
  <c r="V88" i="6"/>
  <c r="V147" i="6" s="1"/>
  <c r="AR88" i="6"/>
  <c r="AR147" i="6" s="1"/>
  <c r="AQ90" i="12"/>
  <c r="AQ154" i="12" s="1"/>
  <c r="R90" i="12"/>
  <c r="R154" i="12" s="1"/>
  <c r="S88" i="6"/>
  <c r="S147" i="6" s="1"/>
  <c r="AK88" i="6"/>
  <c r="AK147" i="6" s="1"/>
  <c r="AJ90" i="12"/>
  <c r="AJ154" i="12" s="1"/>
  <c r="AE90" i="12"/>
  <c r="AE154" i="12" s="1"/>
  <c r="AF88" i="6"/>
  <c r="AF147" i="6" s="1"/>
  <c r="O90" i="12"/>
  <c r="O154" i="12" s="1"/>
  <c r="P88" i="6"/>
  <c r="P147" i="6" s="1"/>
  <c r="AK90" i="12"/>
  <c r="AK154" i="12" s="1"/>
  <c r="AL88" i="6"/>
  <c r="AL147" i="6" s="1"/>
  <c r="AT90" i="12"/>
  <c r="AT154" i="12" s="1"/>
  <c r="Y88" i="6"/>
  <c r="Y147" i="6" s="1"/>
  <c r="X90" i="12"/>
  <c r="X154" i="12" s="1"/>
  <c r="Y90" i="12"/>
  <c r="Y154" i="12" s="1"/>
  <c r="Z88" i="6"/>
  <c r="Z147" i="6" s="1"/>
  <c r="AU90" i="12"/>
  <c r="AU154" i="12" s="1"/>
  <c r="Z90" i="12"/>
  <c r="Z154" i="12" s="1"/>
  <c r="AA88" i="6"/>
  <c r="AA147" i="6" s="1"/>
  <c r="AN90" i="12"/>
  <c r="AN154" i="12" s="1"/>
  <c r="AO88" i="6"/>
  <c r="AO147" i="6" s="1"/>
  <c r="AI90" i="12"/>
  <c r="AI154" i="12" s="1"/>
  <c r="AJ88" i="6"/>
  <c r="AJ147" i="6" s="1"/>
  <c r="S90" i="12"/>
  <c r="S154" i="12" s="1"/>
  <c r="T88" i="6"/>
  <c r="T147" i="6" s="1"/>
  <c r="AP88" i="6"/>
  <c r="AP147" i="6" s="1"/>
  <c r="AO90" i="12"/>
  <c r="AO154" i="12" s="1"/>
  <c r="N90" i="12"/>
  <c r="N154" i="12" s="1"/>
  <c r="O88" i="6"/>
  <c r="O147" i="6" s="1"/>
  <c r="AF90" i="12"/>
  <c r="AF154" i="12" s="1"/>
  <c r="AG88" i="6"/>
  <c r="AG147" i="6" s="1"/>
  <c r="AC90" i="12"/>
  <c r="AC154" i="12" s="1"/>
  <c r="AD88" i="6"/>
  <c r="AD147" i="6" s="1"/>
  <c r="AH90" i="12"/>
  <c r="AH154" i="12" s="1"/>
  <c r="AI88" i="6"/>
  <c r="AI147" i="6" s="1"/>
  <c r="AR90" i="12"/>
  <c r="AR154" i="12" s="1"/>
  <c r="T90" i="12"/>
  <c r="T154" i="12" s="1"/>
  <c r="U88" i="6"/>
  <c r="U147" i="6" s="1"/>
  <c r="W90" i="12"/>
  <c r="W154" i="12" s="1"/>
  <c r="X88" i="6"/>
  <c r="X147" i="6" s="1"/>
  <c r="AS90" i="12"/>
  <c r="AS154" i="12" s="1"/>
  <c r="W88" i="6"/>
  <c r="W147" i="6" s="1"/>
  <c r="V90" i="12"/>
  <c r="V154" i="12" s="1"/>
  <c r="AL90" i="12"/>
  <c r="AL154" i="12" s="1"/>
  <c r="AM88" i="6"/>
  <c r="AM147" i="6" s="1"/>
  <c r="AG90" i="12"/>
  <c r="AG154" i="12" s="1"/>
  <c r="AH88" i="6"/>
  <c r="AH147" i="6" s="1"/>
  <c r="R88" i="6"/>
  <c r="R147" i="6" s="1"/>
  <c r="Q90" i="12"/>
  <c r="Q154" i="12" s="1"/>
  <c r="AN88" i="6"/>
  <c r="AN147" i="6" s="1"/>
  <c r="AM90" i="12"/>
  <c r="AM154" i="12" s="1"/>
  <c r="AV90" i="12"/>
  <c r="AV154" i="12" s="1"/>
  <c r="AC88" i="6"/>
  <c r="AC147" i="6" s="1"/>
  <c r="AB90" i="12"/>
  <c r="AB154" i="12" s="1"/>
  <c r="AA90" i="12"/>
  <c r="AA154" i="12" s="1"/>
  <c r="AB88" i="6"/>
  <c r="AB147" i="6" s="1"/>
  <c r="HZ169" i="2"/>
  <c r="IP169" i="2" s="1"/>
  <c r="AS74" i="12"/>
  <c r="AS138" i="12" s="1"/>
  <c r="AU74" i="12"/>
  <c r="AU138" i="12" s="1"/>
  <c r="AR74" i="12"/>
  <c r="AR138" i="12" s="1"/>
  <c r="AT74" i="12"/>
  <c r="AT138" i="12" s="1"/>
  <c r="AV74" i="12"/>
  <c r="AV138" i="12" s="1"/>
  <c r="R91" i="6"/>
  <c r="R150" i="6" s="1"/>
  <c r="Q78" i="6"/>
  <c r="Q137" i="6" s="1"/>
  <c r="AR79" i="12"/>
  <c r="AR143" i="12" s="1"/>
  <c r="AJ79" i="12"/>
  <c r="AJ143" i="12" s="1"/>
  <c r="AV79" i="12"/>
  <c r="AV143" i="12" s="1"/>
  <c r="AF79" i="12"/>
  <c r="AF143" i="12" s="1"/>
  <c r="O79" i="12"/>
  <c r="O143" i="12" s="1"/>
  <c r="T78" i="6"/>
  <c r="T137" i="6" s="1"/>
  <c r="X78" i="6"/>
  <c r="X137" i="6" s="1"/>
  <c r="AA79" i="12"/>
  <c r="AA143" i="12" s="1"/>
  <c r="AE79" i="12"/>
  <c r="AE143" i="12" s="1"/>
  <c r="AJ78" i="6"/>
  <c r="AJ137" i="6" s="1"/>
  <c r="AN78" i="6"/>
  <c r="AN137" i="6" s="1"/>
  <c r="AQ79" i="12"/>
  <c r="AQ143" i="12" s="1"/>
  <c r="AU79" i="12"/>
  <c r="AU143" i="12" s="1"/>
  <c r="AB79" i="12"/>
  <c r="AB143" i="12" s="1"/>
  <c r="T79" i="12"/>
  <c r="T143" i="12" s="1"/>
  <c r="AN79" i="12"/>
  <c r="AN143" i="12" s="1"/>
  <c r="V78" i="6"/>
  <c r="V137" i="6" s="1"/>
  <c r="AC79" i="12"/>
  <c r="AC143" i="12" s="1"/>
  <c r="AK79" i="12"/>
  <c r="AK143" i="12" s="1"/>
  <c r="AS79" i="12"/>
  <c r="AS143" i="12" s="1"/>
  <c r="AQ78" i="6"/>
  <c r="AQ137" i="6" s="1"/>
  <c r="AI78" i="6"/>
  <c r="AI137" i="6" s="1"/>
  <c r="AA78" i="6"/>
  <c r="AA137" i="6" s="1"/>
  <c r="S78" i="6"/>
  <c r="S137" i="6" s="1"/>
  <c r="X79" i="12"/>
  <c r="X143" i="12" s="1"/>
  <c r="Q79" i="12"/>
  <c r="Q143" i="12" s="1"/>
  <c r="Y79" i="12"/>
  <c r="Y143" i="12" s="1"/>
  <c r="AO79" i="12"/>
  <c r="AO143" i="12" s="1"/>
  <c r="AT79" i="12"/>
  <c r="AT143" i="12" s="1"/>
  <c r="AL79" i="12"/>
  <c r="AL143" i="12" s="1"/>
  <c r="AE78" i="6"/>
  <c r="AE137" i="6" s="1"/>
  <c r="V79" i="12"/>
  <c r="V143" i="12" s="1"/>
  <c r="N79" i="12"/>
  <c r="N143" i="12" s="1"/>
  <c r="Q91" i="6"/>
  <c r="Q150" i="6" s="1"/>
  <c r="AK91" i="6"/>
  <c r="AK150" i="6" s="1"/>
  <c r="R76" i="12"/>
  <c r="R140" i="12" s="1"/>
  <c r="AH76" i="12"/>
  <c r="AH140" i="12" s="1"/>
  <c r="AD76" i="12"/>
  <c r="AD140" i="12" s="1"/>
  <c r="AL76" i="12"/>
  <c r="AL140" i="12" s="1"/>
  <c r="P76" i="12"/>
  <c r="P140" i="12" s="1"/>
  <c r="T76" i="12"/>
  <c r="T140" i="12" s="1"/>
  <c r="X76" i="12"/>
  <c r="X140" i="12" s="1"/>
  <c r="AA75" i="6"/>
  <c r="AA134" i="6" s="1"/>
  <c r="AB76" i="12"/>
  <c r="AB140" i="12" s="1"/>
  <c r="AF76" i="12"/>
  <c r="AF140" i="12" s="1"/>
  <c r="AJ76" i="12"/>
  <c r="AJ140" i="12" s="1"/>
  <c r="AN76" i="12"/>
  <c r="AN140" i="12" s="1"/>
  <c r="Y93" i="12"/>
  <c r="Y157" i="12" s="1"/>
  <c r="O93" i="12"/>
  <c r="O157" i="12" s="1"/>
  <c r="AD93" i="12"/>
  <c r="AD157" i="12" s="1"/>
  <c r="R93" i="12"/>
  <c r="R157" i="12" s="1"/>
  <c r="AB93" i="12"/>
  <c r="AB157" i="12" s="1"/>
  <c r="AC93" i="12"/>
  <c r="AC157" i="12" s="1"/>
  <c r="AH93" i="12"/>
  <c r="AH157" i="12" s="1"/>
  <c r="AI93" i="12"/>
  <c r="AI157" i="12" s="1"/>
  <c r="N93" i="12"/>
  <c r="N157" i="12" s="1"/>
  <c r="AE93" i="12"/>
  <c r="AE157" i="12" s="1"/>
  <c r="U93" i="12"/>
  <c r="U157" i="12" s="1"/>
  <c r="AH91" i="6"/>
  <c r="AH150" i="6" s="1"/>
  <c r="O91" i="6"/>
  <c r="O150" i="6" s="1"/>
  <c r="AG93" i="12"/>
  <c r="AG157" i="12" s="1"/>
  <c r="W91" i="6"/>
  <c r="W150" i="6" s="1"/>
  <c r="T91" i="6"/>
  <c r="T150" i="6" s="1"/>
  <c r="X91" i="6"/>
  <c r="X150" i="6" s="1"/>
  <c r="AG91" i="6"/>
  <c r="AG150" i="6" s="1"/>
  <c r="AA91" i="6"/>
  <c r="AA150" i="6" s="1"/>
  <c r="AB91" i="6"/>
  <c r="AB150" i="6" s="1"/>
  <c r="U91" i="6"/>
  <c r="U150" i="6" s="1"/>
  <c r="AC76" i="12"/>
  <c r="AC140" i="12" s="1"/>
  <c r="AE76" i="12"/>
  <c r="AE140" i="12" s="1"/>
  <c r="AI76" i="12"/>
  <c r="AI140" i="12" s="1"/>
  <c r="AG76" i="12"/>
  <c r="AG140" i="12" s="1"/>
  <c r="AM76" i="12"/>
  <c r="AM140" i="12" s="1"/>
  <c r="AK76" i="12"/>
  <c r="AK140" i="12" s="1"/>
  <c r="AO76" i="12"/>
  <c r="AO140" i="12" s="1"/>
  <c r="AD115" i="6"/>
  <c r="AD174" i="6" s="1"/>
  <c r="AC121" i="12"/>
  <c r="AC185" i="12" s="1"/>
  <c r="AS121" i="12"/>
  <c r="AS185" i="12" s="1"/>
  <c r="AD121" i="12"/>
  <c r="AD185" i="12" s="1"/>
  <c r="AE115" i="6"/>
  <c r="AE174" i="6" s="1"/>
  <c r="P121" i="12"/>
  <c r="P185" i="12" s="1"/>
  <c r="Q115" i="6"/>
  <c r="Q174" i="6" s="1"/>
  <c r="S115" i="6"/>
  <c r="S174" i="6" s="1"/>
  <c r="R121" i="12"/>
  <c r="R185" i="12" s="1"/>
  <c r="AR121" i="12"/>
  <c r="AR185" i="12" s="1"/>
  <c r="AB115" i="6"/>
  <c r="AB174" i="6" s="1"/>
  <c r="AA121" i="12"/>
  <c r="AA185" i="12" s="1"/>
  <c r="AR115" i="6"/>
  <c r="AR174" i="6" s="1"/>
  <c r="AQ121" i="12"/>
  <c r="AQ185" i="12" s="1"/>
  <c r="AO115" i="6"/>
  <c r="AO174" i="6" s="1"/>
  <c r="AN121" i="12"/>
  <c r="AN185" i="12" s="1"/>
  <c r="Z115" i="6"/>
  <c r="Z174" i="6" s="1"/>
  <c r="Y121" i="12"/>
  <c r="Y185" i="12" s="1"/>
  <c r="AP115" i="6"/>
  <c r="AP174" i="6" s="1"/>
  <c r="AO121" i="12"/>
  <c r="AO185" i="12" s="1"/>
  <c r="Z121" i="12"/>
  <c r="Z185" i="12" s="1"/>
  <c r="AA115" i="6"/>
  <c r="AA174" i="6" s="1"/>
  <c r="AP121" i="12"/>
  <c r="AP185" i="12" s="1"/>
  <c r="AQ115" i="6"/>
  <c r="AQ174" i="6" s="1"/>
  <c r="AV121" i="12"/>
  <c r="AV185" i="12" s="1"/>
  <c r="AF121" i="12"/>
  <c r="AF185" i="12" s="1"/>
  <c r="AG115" i="6"/>
  <c r="AG174" i="6" s="1"/>
  <c r="X115" i="6"/>
  <c r="X174" i="6" s="1"/>
  <c r="W121" i="12"/>
  <c r="W185" i="12" s="1"/>
  <c r="AN115" i="6"/>
  <c r="AN174" i="6" s="1"/>
  <c r="AM121" i="12"/>
  <c r="AM185" i="12" s="1"/>
  <c r="AP73" i="6"/>
  <c r="AP132" i="6" s="1"/>
  <c r="AO74" i="12"/>
  <c r="AO138" i="12" s="1"/>
  <c r="Z73" i="6"/>
  <c r="Z132" i="6" s="1"/>
  <c r="Y74" i="12"/>
  <c r="Y138" i="12" s="1"/>
  <c r="AC73" i="6"/>
  <c r="AC132" i="6" s="1"/>
  <c r="AB74" i="12"/>
  <c r="AB138" i="12" s="1"/>
  <c r="AF73" i="6"/>
  <c r="AF132" i="6" s="1"/>
  <c r="AE74" i="12"/>
  <c r="AE138" i="12" s="1"/>
  <c r="P73" i="6"/>
  <c r="P132" i="6" s="1"/>
  <c r="O74" i="12"/>
  <c r="O138" i="12" s="1"/>
  <c r="AM73" i="6"/>
  <c r="AM132" i="6" s="1"/>
  <c r="AL74" i="12"/>
  <c r="AL138" i="12" s="1"/>
  <c r="W73" i="6"/>
  <c r="W132" i="6" s="1"/>
  <c r="V74" i="12"/>
  <c r="V138" i="12" s="1"/>
  <c r="AD73" i="6"/>
  <c r="AD132" i="6" s="1"/>
  <c r="AC74" i="12"/>
  <c r="AC138" i="12" s="1"/>
  <c r="AG73" i="6"/>
  <c r="AG132" i="6" s="1"/>
  <c r="AF74" i="12"/>
  <c r="AF138" i="12" s="1"/>
  <c r="Q73" i="6"/>
  <c r="Q132" i="6" s="1"/>
  <c r="P74" i="12"/>
  <c r="P138" i="12" s="1"/>
  <c r="AJ73" i="6"/>
  <c r="AJ132" i="6" s="1"/>
  <c r="AI74" i="12"/>
  <c r="AI138" i="12" s="1"/>
  <c r="T73" i="6"/>
  <c r="T132" i="6" s="1"/>
  <c r="S74" i="12"/>
  <c r="S138" i="12" s="1"/>
  <c r="AQ73" i="6"/>
  <c r="AQ132" i="6" s="1"/>
  <c r="AP74" i="12"/>
  <c r="AP138" i="12" s="1"/>
  <c r="AA73" i="6"/>
  <c r="AA132" i="6" s="1"/>
  <c r="Z74" i="12"/>
  <c r="Z138" i="12" s="1"/>
  <c r="V115" i="6"/>
  <c r="V174" i="6" s="1"/>
  <c r="U121" i="12"/>
  <c r="U185" i="12" s="1"/>
  <c r="AL115" i="6"/>
  <c r="AL174" i="6" s="1"/>
  <c r="AK121" i="12"/>
  <c r="AK185" i="12" s="1"/>
  <c r="V121" i="12"/>
  <c r="V185" i="12" s="1"/>
  <c r="W115" i="6"/>
  <c r="W174" i="6" s="1"/>
  <c r="AL121" i="12"/>
  <c r="AL185" i="12" s="1"/>
  <c r="AM115" i="6"/>
  <c r="AM174" i="6" s="1"/>
  <c r="AJ121" i="12"/>
  <c r="AJ185" i="12" s="1"/>
  <c r="AK115" i="6"/>
  <c r="AK174" i="6" s="1"/>
  <c r="X121" i="12"/>
  <c r="X185" i="12" s="1"/>
  <c r="Y115" i="6"/>
  <c r="Y174" i="6" s="1"/>
  <c r="T115" i="6"/>
  <c r="T174" i="6" s="1"/>
  <c r="S121" i="12"/>
  <c r="S185" i="12" s="1"/>
  <c r="AJ115" i="6"/>
  <c r="AJ174" i="6" s="1"/>
  <c r="AI121" i="12"/>
  <c r="AI185" i="12" s="1"/>
  <c r="T121" i="12"/>
  <c r="T185" i="12" s="1"/>
  <c r="U115" i="6"/>
  <c r="U174" i="6" s="1"/>
  <c r="R115" i="6"/>
  <c r="R174" i="6" s="1"/>
  <c r="Q121" i="12"/>
  <c r="Q185" i="12" s="1"/>
  <c r="AH115" i="6"/>
  <c r="AH174" i="6" s="1"/>
  <c r="AG121" i="12"/>
  <c r="AG185" i="12" s="1"/>
  <c r="N121" i="12"/>
  <c r="N185" i="12" s="1"/>
  <c r="O115" i="6"/>
  <c r="O174" i="6" s="1"/>
  <c r="AH121" i="12"/>
  <c r="AH185" i="12" s="1"/>
  <c r="AI115" i="6"/>
  <c r="AI174" i="6" s="1"/>
  <c r="AB121" i="12"/>
  <c r="AB185" i="12" s="1"/>
  <c r="AC115" i="6"/>
  <c r="AC174" i="6" s="1"/>
  <c r="AT121" i="12"/>
  <c r="AT185" i="12" s="1"/>
  <c r="P115" i="6"/>
  <c r="P174" i="6" s="1"/>
  <c r="O121" i="12"/>
  <c r="O185" i="12" s="1"/>
  <c r="AF115" i="6"/>
  <c r="AF174" i="6" s="1"/>
  <c r="AE121" i="12"/>
  <c r="AE185" i="12" s="1"/>
  <c r="AU121" i="12"/>
  <c r="AU185" i="12" s="1"/>
  <c r="AH73" i="6"/>
  <c r="AH132" i="6" s="1"/>
  <c r="AG74" i="12"/>
  <c r="AG138" i="12" s="1"/>
  <c r="R73" i="6"/>
  <c r="R132" i="6" s="1"/>
  <c r="Q74" i="12"/>
  <c r="Q138" i="12" s="1"/>
  <c r="AK73" i="6"/>
  <c r="AK132" i="6" s="1"/>
  <c r="AJ74" i="12"/>
  <c r="AJ138" i="12" s="1"/>
  <c r="U73" i="6"/>
  <c r="U132" i="6" s="1"/>
  <c r="T74" i="12"/>
  <c r="T138" i="12" s="1"/>
  <c r="AN73" i="6"/>
  <c r="AN132" i="6" s="1"/>
  <c r="AM74" i="12"/>
  <c r="AM138" i="12" s="1"/>
  <c r="X73" i="6"/>
  <c r="X132" i="6" s="1"/>
  <c r="W74" i="12"/>
  <c r="W138" i="12" s="1"/>
  <c r="AE73" i="6"/>
  <c r="AE132" i="6" s="1"/>
  <c r="AD74" i="12"/>
  <c r="AD138" i="12" s="1"/>
  <c r="O73" i="6"/>
  <c r="O132" i="6" s="1"/>
  <c r="N74" i="12"/>
  <c r="N138" i="12" s="1"/>
  <c r="AL73" i="6"/>
  <c r="AL132" i="6" s="1"/>
  <c r="AK74" i="12"/>
  <c r="AK138" i="12" s="1"/>
  <c r="V73" i="6"/>
  <c r="V132" i="6" s="1"/>
  <c r="U74" i="12"/>
  <c r="U138" i="12" s="1"/>
  <c r="Y73" i="6"/>
  <c r="Y132" i="6" s="1"/>
  <c r="X74" i="12"/>
  <c r="X138" i="12" s="1"/>
  <c r="AR73" i="6"/>
  <c r="AR132" i="6" s="1"/>
  <c r="AQ74" i="12"/>
  <c r="AQ138" i="12" s="1"/>
  <c r="AB73" i="6"/>
  <c r="AB132" i="6" s="1"/>
  <c r="AA74" i="12"/>
  <c r="AA138" i="12" s="1"/>
  <c r="AO73" i="6"/>
  <c r="AO132" i="6" s="1"/>
  <c r="AN74" i="12"/>
  <c r="AN138" i="12" s="1"/>
  <c r="AI73" i="6"/>
  <c r="AI132" i="6" s="1"/>
  <c r="AH74" i="12"/>
  <c r="AH138" i="12" s="1"/>
  <c r="S73" i="6"/>
  <c r="S132" i="6" s="1"/>
  <c r="R74" i="12"/>
  <c r="R138" i="12" s="1"/>
  <c r="AV104" i="12"/>
  <c r="AV168" i="12" s="1"/>
  <c r="AT104" i="12"/>
  <c r="AT168" i="12" s="1"/>
  <c r="AR104" i="12"/>
  <c r="AR168" i="12" s="1"/>
  <c r="AS104" i="12"/>
  <c r="AS168" i="12" s="1"/>
  <c r="AU104" i="12"/>
  <c r="AU168" i="12" s="1"/>
  <c r="AP78" i="6"/>
  <c r="AP137" i="6" s="1"/>
  <c r="AD79" i="12"/>
  <c r="AD143" i="12" s="1"/>
  <c r="Z79" i="12"/>
  <c r="Z143" i="12" s="1"/>
  <c r="R78" i="6"/>
  <c r="R137" i="6" s="1"/>
  <c r="AM78" i="6"/>
  <c r="AM137" i="6" s="1"/>
  <c r="U78" i="6"/>
  <c r="U137" i="6" s="1"/>
  <c r="AT77" i="12"/>
  <c r="AT141" i="12" s="1"/>
  <c r="AU77" i="12"/>
  <c r="AU141" i="12" s="1"/>
  <c r="AS77" i="12"/>
  <c r="AS141" i="12" s="1"/>
  <c r="AR77" i="12"/>
  <c r="AR141" i="12" s="1"/>
  <c r="AV77" i="12"/>
  <c r="AV141" i="12" s="1"/>
  <c r="AL17" i="3" l="1"/>
  <c r="AB17" i="3"/>
  <c r="BA17" i="3"/>
  <c r="AK17" i="3"/>
  <c r="U17" i="3"/>
  <c r="AP17" i="3"/>
  <c r="BC17" i="3"/>
  <c r="W17" i="3"/>
  <c r="AV17" i="3"/>
  <c r="AA17" i="3"/>
  <c r="O17" i="3"/>
  <c r="AT17" i="3"/>
  <c r="AJ17" i="3"/>
  <c r="AW17" i="3"/>
  <c r="AG17" i="3"/>
  <c r="Q17" i="3"/>
  <c r="P17" i="3"/>
  <c r="AU17" i="3"/>
  <c r="Z17" i="3"/>
  <c r="AY17" i="3"/>
  <c r="S17" i="3"/>
  <c r="V17" i="3"/>
  <c r="BB17" i="3"/>
  <c r="AR17" i="3"/>
  <c r="AS17" i="3"/>
  <c r="AC17" i="3"/>
  <c r="R17" i="3"/>
  <c r="X17" i="3"/>
  <c r="AM17" i="3"/>
  <c r="AX17" i="3"/>
  <c r="AQ17" i="3"/>
  <c r="AD17" i="3"/>
  <c r="T17" i="3"/>
  <c r="AZ17" i="3"/>
  <c r="AO17" i="3"/>
  <c r="Y17" i="3"/>
  <c r="AH17" i="3"/>
  <c r="AN17" i="3"/>
  <c r="AE17" i="3"/>
  <c r="AF17" i="3"/>
  <c r="AI17" i="3"/>
  <c r="BH112" i="2"/>
  <c r="BZ111" i="2"/>
  <c r="AR84" i="12"/>
  <c r="AR148" i="12" s="1"/>
  <c r="AT84" i="12"/>
  <c r="AT148" i="12" s="1"/>
  <c r="AG78" i="6"/>
  <c r="AG137" i="6" s="1"/>
  <c r="P79" i="12"/>
  <c r="P143" i="12" s="1"/>
  <c r="Y78" i="6"/>
  <c r="Y137" i="6" s="1"/>
  <c r="AO78" i="6"/>
  <c r="AO137" i="6" s="1"/>
  <c r="AP79" i="12"/>
  <c r="AP143" i="12" s="1"/>
  <c r="Z78" i="6"/>
  <c r="Z137" i="6" s="1"/>
  <c r="AC78" i="6"/>
  <c r="AC137" i="6" s="1"/>
  <c r="AK78" i="6"/>
  <c r="AK137" i="6" s="1"/>
  <c r="W78" i="6"/>
  <c r="W137" i="6" s="1"/>
  <c r="AR78" i="6"/>
  <c r="AR137" i="6" s="1"/>
  <c r="S79" i="12"/>
  <c r="S143" i="12" s="1"/>
  <c r="AI79" i="12"/>
  <c r="AI143" i="12" s="1"/>
  <c r="U79" i="12"/>
  <c r="U143" i="12" s="1"/>
  <c r="AL78" i="6"/>
  <c r="AL137" i="6" s="1"/>
  <c r="AB78" i="6"/>
  <c r="AB137" i="6" s="1"/>
  <c r="AN84" i="12"/>
  <c r="AN148" i="12" s="1"/>
  <c r="AK82" i="6"/>
  <c r="AK141" i="6" s="1"/>
  <c r="AF84" i="12"/>
  <c r="AF148" i="12" s="1"/>
  <c r="AC82" i="6"/>
  <c r="AC141" i="6" s="1"/>
  <c r="Y82" i="6"/>
  <c r="Y141" i="6" s="1"/>
  <c r="T84" i="12"/>
  <c r="T148" i="12" s="1"/>
  <c r="Q82" i="6"/>
  <c r="Q141" i="6" s="1"/>
  <c r="AP84" i="12"/>
  <c r="AP148" i="12" s="1"/>
  <c r="AI82" i="6"/>
  <c r="AI141" i="6" s="1"/>
  <c r="AA82" i="6"/>
  <c r="AA141" i="6" s="1"/>
  <c r="R84" i="12"/>
  <c r="R148" i="12" s="1"/>
  <c r="AD78" i="6"/>
  <c r="AD137" i="6" s="1"/>
  <c r="O78" i="6"/>
  <c r="O137" i="6" s="1"/>
  <c r="R79" i="12"/>
  <c r="R143" i="12" s="1"/>
  <c r="BA81" i="8" a="1"/>
  <c r="BA82" i="8" s="1"/>
  <c r="P78" i="6"/>
  <c r="P137" i="6" s="1"/>
  <c r="AF78" i="6"/>
  <c r="AF137" i="6" s="1"/>
  <c r="AH78" i="6"/>
  <c r="AH137" i="6" s="1"/>
  <c r="W79" i="12"/>
  <c r="W143" i="12" s="1"/>
  <c r="AM79" i="12"/>
  <c r="AM143" i="12" s="1"/>
  <c r="AH79" i="12"/>
  <c r="AH143" i="12" s="1"/>
  <c r="AG79" i="12"/>
  <c r="AG143" i="12" s="1"/>
  <c r="AF102" i="6"/>
  <c r="AF161" i="6" s="1"/>
  <c r="AE104" i="12"/>
  <c r="AE168" i="12" s="1"/>
  <c r="P102" i="6"/>
  <c r="P161" i="6" s="1"/>
  <c r="O104" i="12"/>
  <c r="O168" i="12" s="1"/>
  <c r="P104" i="12"/>
  <c r="P168" i="12" s="1"/>
  <c r="Q102" i="6"/>
  <c r="Q161" i="6" s="1"/>
  <c r="AN104" i="12"/>
  <c r="AN168" i="12" s="1"/>
  <c r="AO102" i="6"/>
  <c r="AO161" i="6" s="1"/>
  <c r="AD104" i="12"/>
  <c r="AD168" i="12" s="1"/>
  <c r="AE102" i="6"/>
  <c r="AE161" i="6" s="1"/>
  <c r="AD102" i="6"/>
  <c r="AD161" i="6" s="1"/>
  <c r="AC104" i="12"/>
  <c r="AC168" i="12" s="1"/>
  <c r="AQ104" i="12"/>
  <c r="AQ168" i="12" s="1"/>
  <c r="AR102" i="6"/>
  <c r="AR161" i="6" s="1"/>
  <c r="AB102" i="6"/>
  <c r="AB161" i="6" s="1"/>
  <c r="AA104" i="12"/>
  <c r="AA168" i="12" s="1"/>
  <c r="AC102" i="6"/>
  <c r="AC161" i="6" s="1"/>
  <c r="AB104" i="12"/>
  <c r="AB168" i="12" s="1"/>
  <c r="AA102" i="6"/>
  <c r="AA161" i="6" s="1"/>
  <c r="Z104" i="12"/>
  <c r="Z168" i="12" s="1"/>
  <c r="AO104" i="12"/>
  <c r="AO168" i="12" s="1"/>
  <c r="AP102" i="6"/>
  <c r="AP161" i="6" s="1"/>
  <c r="Z102" i="6"/>
  <c r="Z161" i="6" s="1"/>
  <c r="Y104" i="12"/>
  <c r="Y168" i="12" s="1"/>
  <c r="AN102" i="6"/>
  <c r="AN161" i="6" s="1"/>
  <c r="AM104" i="12"/>
  <c r="AM168" i="12" s="1"/>
  <c r="W104" i="12"/>
  <c r="W168" i="12" s="1"/>
  <c r="X102" i="6"/>
  <c r="X161" i="6" s="1"/>
  <c r="AG102" i="6"/>
  <c r="AG161" i="6" s="1"/>
  <c r="AF104" i="12"/>
  <c r="AF168" i="12" s="1"/>
  <c r="AI102" i="6"/>
  <c r="AI161" i="6" s="1"/>
  <c r="AH104" i="12"/>
  <c r="AH168" i="12" s="1"/>
  <c r="AQ102" i="6"/>
  <c r="AQ161" i="6" s="1"/>
  <c r="AP104" i="12"/>
  <c r="AP168" i="12" s="1"/>
  <c r="R104" i="12"/>
  <c r="R168" i="12" s="1"/>
  <c r="S102" i="6"/>
  <c r="S161" i="6" s="1"/>
  <c r="AL102" i="6"/>
  <c r="AL161" i="6" s="1"/>
  <c r="AK104" i="12"/>
  <c r="AK168" i="12" s="1"/>
  <c r="U104" i="12"/>
  <c r="U168" i="12" s="1"/>
  <c r="V102" i="6"/>
  <c r="V161" i="6" s="1"/>
  <c r="AK102" i="6"/>
  <c r="AK161" i="6" s="1"/>
  <c r="AJ104" i="12"/>
  <c r="AJ168" i="12" s="1"/>
  <c r="AI104" i="12"/>
  <c r="AI168" i="12" s="1"/>
  <c r="AJ102" i="6"/>
  <c r="AJ161" i="6" s="1"/>
  <c r="T102" i="6"/>
  <c r="T161" i="6" s="1"/>
  <c r="S104" i="12"/>
  <c r="S168" i="12" s="1"/>
  <c r="Y102" i="6"/>
  <c r="Y161" i="6" s="1"/>
  <c r="X104" i="12"/>
  <c r="X168" i="12" s="1"/>
  <c r="W102" i="6"/>
  <c r="W161" i="6" s="1"/>
  <c r="V104" i="12"/>
  <c r="V168" i="12" s="1"/>
  <c r="AL104" i="12"/>
  <c r="AL168" i="12" s="1"/>
  <c r="AM102" i="6"/>
  <c r="AM161" i="6" s="1"/>
  <c r="N104" i="12"/>
  <c r="N168" i="12" s="1"/>
  <c r="O102" i="6"/>
  <c r="O161" i="6" s="1"/>
  <c r="AG104" i="12"/>
  <c r="AG168" i="12" s="1"/>
  <c r="AH102" i="6"/>
  <c r="AH161" i="6" s="1"/>
  <c r="R102" i="6"/>
  <c r="R161" i="6" s="1"/>
  <c r="Q104" i="12"/>
  <c r="Q168" i="12" s="1"/>
  <c r="T104" i="12"/>
  <c r="T168" i="12" s="1"/>
  <c r="U102" i="6"/>
  <c r="U161" i="6" s="1"/>
  <c r="AG76" i="6"/>
  <c r="AG135" i="6" s="1"/>
  <c r="AF77" i="12"/>
  <c r="AF141" i="12" s="1"/>
  <c r="U76" i="6"/>
  <c r="U135" i="6" s="1"/>
  <c r="T77" i="12"/>
  <c r="T141" i="12" s="1"/>
  <c r="AL76" i="6"/>
  <c r="AL135" i="6" s="1"/>
  <c r="AK77" i="12"/>
  <c r="AK141" i="12" s="1"/>
  <c r="X76" i="6"/>
  <c r="X135" i="6" s="1"/>
  <c r="W77" i="12"/>
  <c r="W141" i="12" s="1"/>
  <c r="AN76" i="6"/>
  <c r="AN135" i="6" s="1"/>
  <c r="AM77" i="12"/>
  <c r="AM141" i="12" s="1"/>
  <c r="AR76" i="6"/>
  <c r="AR135" i="6" s="1"/>
  <c r="AQ77" i="12"/>
  <c r="AQ141" i="12" s="1"/>
  <c r="AQ76" i="6"/>
  <c r="AQ135" i="6" s="1"/>
  <c r="AP77" i="12"/>
  <c r="AP141" i="12" s="1"/>
  <c r="AA76" i="6"/>
  <c r="AA135" i="6" s="1"/>
  <c r="Z77" i="12"/>
  <c r="Z141" i="12" s="1"/>
  <c r="Q76" i="6"/>
  <c r="Q135" i="6" s="1"/>
  <c r="P77" i="12"/>
  <c r="P141" i="12" s="1"/>
  <c r="AJ76" i="6"/>
  <c r="AJ135" i="6" s="1"/>
  <c r="AI77" i="12"/>
  <c r="AI141" i="12" s="1"/>
  <c r="T76" i="6"/>
  <c r="T135" i="6" s="1"/>
  <c r="S77" i="12"/>
  <c r="S141" i="12" s="1"/>
  <c r="AH76" i="6"/>
  <c r="AH135" i="6" s="1"/>
  <c r="AG77" i="12"/>
  <c r="AG141" i="12" s="1"/>
  <c r="AD76" i="6"/>
  <c r="AD135" i="6" s="1"/>
  <c r="AC77" i="12"/>
  <c r="AC141" i="12" s="1"/>
  <c r="AM76" i="6"/>
  <c r="AM135" i="6" s="1"/>
  <c r="AL77" i="12"/>
  <c r="AL141" i="12" s="1"/>
  <c r="W76" i="6"/>
  <c r="W135" i="6" s="1"/>
  <c r="V77" i="12"/>
  <c r="V141" i="12" s="1"/>
  <c r="AO76" i="6"/>
  <c r="AO135" i="6" s="1"/>
  <c r="AN77" i="12"/>
  <c r="AN141" i="12" s="1"/>
  <c r="AC76" i="6"/>
  <c r="AC135" i="6" s="1"/>
  <c r="AB77" i="12"/>
  <c r="AB141" i="12" s="1"/>
  <c r="AF76" i="6"/>
  <c r="AF135" i="6" s="1"/>
  <c r="AE77" i="12"/>
  <c r="AE141" i="12" s="1"/>
  <c r="P76" i="6"/>
  <c r="P135" i="6" s="1"/>
  <c r="O77" i="12"/>
  <c r="O141" i="12" s="1"/>
  <c r="V76" i="6"/>
  <c r="V135" i="6" s="1"/>
  <c r="U77" i="12"/>
  <c r="U141" i="12" s="1"/>
  <c r="Z76" i="6"/>
  <c r="Z135" i="6" s="1"/>
  <c r="Y77" i="12"/>
  <c r="Y141" i="12" s="1"/>
  <c r="AI76" i="6"/>
  <c r="AI135" i="6" s="1"/>
  <c r="AH77" i="12"/>
  <c r="AH141" i="12" s="1"/>
  <c r="S76" i="6"/>
  <c r="S135" i="6" s="1"/>
  <c r="R77" i="12"/>
  <c r="R141" i="12" s="1"/>
  <c r="AK76" i="6"/>
  <c r="AK135" i="6" s="1"/>
  <c r="AJ77" i="12"/>
  <c r="AJ141" i="12" s="1"/>
  <c r="Y76" i="6"/>
  <c r="Y135" i="6" s="1"/>
  <c r="X77" i="12"/>
  <c r="X141" i="12" s="1"/>
  <c r="AP76" i="6"/>
  <c r="AP135" i="6" s="1"/>
  <c r="AO77" i="12"/>
  <c r="AO141" i="12" s="1"/>
  <c r="AB76" i="6"/>
  <c r="AB135" i="6" s="1"/>
  <c r="AA77" i="12"/>
  <c r="AA141" i="12" s="1"/>
  <c r="R76" i="6"/>
  <c r="R135" i="6" s="1"/>
  <c r="Q77" i="12"/>
  <c r="Q141" i="12" s="1"/>
  <c r="AE76" i="6"/>
  <c r="AE135" i="6" s="1"/>
  <c r="AD77" i="12"/>
  <c r="AD141" i="12" s="1"/>
  <c r="N77" i="12"/>
  <c r="N141" i="12" s="1"/>
  <c r="O76" i="6"/>
  <c r="O135" i="6" s="1"/>
  <c r="BZ112" i="2" l="1"/>
  <c r="BH113" i="2"/>
  <c r="BZ113" i="2" s="1"/>
  <c r="Q84" i="12"/>
  <c r="Q148" i="12" s="1"/>
  <c r="N84" i="12"/>
  <c r="N148" i="12" s="1"/>
  <c r="W82" i="6"/>
  <c r="W141" i="6" s="1"/>
  <c r="AD84" i="12"/>
  <c r="AD148" i="12" s="1"/>
  <c r="AL84" i="12"/>
  <c r="AL148" i="12" s="1"/>
  <c r="S84" i="12"/>
  <c r="S148" i="12" s="1"/>
  <c r="AH82" i="6"/>
  <c r="AH141" i="6" s="1"/>
  <c r="AI84" i="12"/>
  <c r="AI148" i="12" s="1"/>
  <c r="Y84" i="12"/>
  <c r="Y148" i="12" s="1"/>
  <c r="AO84" i="12"/>
  <c r="AO148" i="12" s="1"/>
  <c r="AA84" i="12"/>
  <c r="AA148" i="12" s="1"/>
  <c r="AQ84" i="12"/>
  <c r="AQ148" i="12" s="1"/>
  <c r="V82" i="6"/>
  <c r="V141" i="6" s="1"/>
  <c r="AC84" i="12"/>
  <c r="AC148" i="12" s="1"/>
  <c r="AL82" i="6"/>
  <c r="AL141" i="6" s="1"/>
  <c r="O84" i="12"/>
  <c r="O148" i="12" s="1"/>
  <c r="X82" i="6"/>
  <c r="X141" i="6" s="1"/>
  <c r="AE84" i="12"/>
  <c r="AE148" i="12" s="1"/>
  <c r="AN82" i="6"/>
  <c r="AN141" i="6" s="1"/>
  <c r="U84" i="12"/>
  <c r="U148" i="12" s="1"/>
  <c r="AD82" i="6"/>
  <c r="AD141" i="6" s="1"/>
  <c r="AK84" i="12"/>
  <c r="AK148" i="12" s="1"/>
  <c r="S82" i="6"/>
  <c r="S141" i="6" s="1"/>
  <c r="Z84" i="12"/>
  <c r="Z148" i="12" s="1"/>
  <c r="AH84" i="12"/>
  <c r="AH148" i="12" s="1"/>
  <c r="AQ82" i="6"/>
  <c r="AQ141" i="6" s="1"/>
  <c r="P82" i="6"/>
  <c r="P141" i="6" s="1"/>
  <c r="W84" i="12"/>
  <c r="W148" i="12" s="1"/>
  <c r="AF82" i="6"/>
  <c r="AF141" i="6" s="1"/>
  <c r="AM84" i="12"/>
  <c r="AM148" i="12" s="1"/>
  <c r="U82" i="6"/>
  <c r="U141" i="6" s="1"/>
  <c r="AB84" i="12"/>
  <c r="AB148" i="12" s="1"/>
  <c r="AJ84" i="12"/>
  <c r="AJ148" i="12" s="1"/>
  <c r="AS84" i="12"/>
  <c r="AS148" i="12" s="1"/>
  <c r="AU84" i="12"/>
  <c r="AU148" i="12" s="1"/>
  <c r="R82" i="6"/>
  <c r="R141" i="6" s="1"/>
  <c r="Z82" i="6"/>
  <c r="Z141" i="6" s="1"/>
  <c r="AG84" i="12"/>
  <c r="AG148" i="12" s="1"/>
  <c r="AP82" i="6"/>
  <c r="AP141" i="6" s="1"/>
  <c r="O82" i="6"/>
  <c r="O141" i="6" s="1"/>
  <c r="V84" i="12"/>
  <c r="V148" i="12" s="1"/>
  <c r="AE82" i="6"/>
  <c r="AE141" i="6" s="1"/>
  <c r="AM82" i="6"/>
  <c r="AM141" i="6" s="1"/>
  <c r="T82" i="6"/>
  <c r="T141" i="6" s="1"/>
  <c r="AB82" i="6"/>
  <c r="AB141" i="6" s="1"/>
  <c r="AJ82" i="6"/>
  <c r="AJ141" i="6" s="1"/>
  <c r="AR82" i="6"/>
  <c r="AR141" i="6" s="1"/>
  <c r="P84" i="12"/>
  <c r="P148" i="12" s="1"/>
  <c r="X84" i="12"/>
  <c r="X148" i="12" s="1"/>
  <c r="AG82" i="6"/>
  <c r="AG141" i="6" s="1"/>
  <c r="AO82" i="6"/>
  <c r="AO141" i="6" s="1"/>
  <c r="AV84" i="12"/>
  <c r="AV148" i="12" s="1"/>
  <c r="BA81" i="8"/>
  <c r="BA89" i="8"/>
  <c r="BA93" i="8"/>
  <c r="BA85" i="8"/>
  <c r="BA95" i="8"/>
  <c r="BA91" i="8"/>
  <c r="BA87" i="8"/>
  <c r="BA83" i="8"/>
  <c r="BA96" i="8"/>
  <c r="BA94" i="8"/>
  <c r="BA92" i="8"/>
  <c r="BA90" i="8"/>
  <c r="BA88" i="8"/>
  <c r="BA86" i="8"/>
  <c r="BA84" i="8"/>
  <c r="AR126" i="12"/>
  <c r="AR190" i="12" s="1"/>
  <c r="AV126" i="12"/>
  <c r="AV190" i="12" s="1"/>
  <c r="AT126" i="12"/>
  <c r="AT190" i="12" s="1"/>
  <c r="AU126" i="12"/>
  <c r="AU190" i="12" s="1"/>
  <c r="AS126" i="12"/>
  <c r="AS190" i="12" s="1"/>
  <c r="R120" i="6" l="1"/>
  <c r="R179" i="6" s="1"/>
  <c r="Q126" i="12"/>
  <c r="Q190" i="12" s="1"/>
  <c r="T120" i="6"/>
  <c r="T179" i="6" s="1"/>
  <c r="S126" i="12"/>
  <c r="S190" i="12" s="1"/>
  <c r="AD126" i="12"/>
  <c r="AD190" i="12" s="1"/>
  <c r="AE120" i="6"/>
  <c r="AE179" i="6" s="1"/>
  <c r="N126" i="12"/>
  <c r="N190" i="12" s="1"/>
  <c r="O120" i="6"/>
  <c r="O179" i="6" s="1"/>
  <c r="AB120" i="6"/>
  <c r="AB179" i="6" s="1"/>
  <c r="AA126" i="12"/>
  <c r="AA190" i="12" s="1"/>
  <c r="AD120" i="6"/>
  <c r="AD179" i="6" s="1"/>
  <c r="AC126" i="12"/>
  <c r="AC190" i="12" s="1"/>
  <c r="AR120" i="6"/>
  <c r="AR179" i="6" s="1"/>
  <c r="AQ126" i="12"/>
  <c r="AQ190" i="12" s="1"/>
  <c r="X126" i="12"/>
  <c r="X190" i="12" s="1"/>
  <c r="Y120" i="6"/>
  <c r="Y179" i="6" s="1"/>
  <c r="AH120" i="6"/>
  <c r="AH179" i="6" s="1"/>
  <c r="AG126" i="12"/>
  <c r="AG190" i="12" s="1"/>
  <c r="R126" i="12"/>
  <c r="R190" i="12" s="1"/>
  <c r="S120" i="6"/>
  <c r="S179" i="6" s="1"/>
  <c r="AB126" i="12"/>
  <c r="AB190" i="12" s="1"/>
  <c r="AC120" i="6"/>
  <c r="AC179" i="6" s="1"/>
  <c r="AF120" i="6"/>
  <c r="AF179" i="6" s="1"/>
  <c r="AE126" i="12"/>
  <c r="AE190" i="12" s="1"/>
  <c r="AF126" i="12"/>
  <c r="AF190" i="12" s="1"/>
  <c r="AG120" i="6"/>
  <c r="AG179" i="6" s="1"/>
  <c r="AP120" i="6"/>
  <c r="AP179" i="6" s="1"/>
  <c r="AO126" i="12"/>
  <c r="AO190" i="12" s="1"/>
  <c r="Z126" i="12"/>
  <c r="Z190" i="12" s="1"/>
  <c r="AA120" i="6"/>
  <c r="AA179" i="6" s="1"/>
  <c r="AP126" i="12"/>
  <c r="AP190" i="12" s="1"/>
  <c r="AQ120" i="6"/>
  <c r="AQ179" i="6" s="1"/>
  <c r="X120" i="6"/>
  <c r="X179" i="6" s="1"/>
  <c r="W126" i="12"/>
  <c r="W190" i="12" s="1"/>
  <c r="AN126" i="12"/>
  <c r="AN190" i="12" s="1"/>
  <c r="AO120" i="6"/>
  <c r="AO179" i="6" s="1"/>
  <c r="Z120" i="6"/>
  <c r="Z179" i="6" s="1"/>
  <c r="Y126" i="12"/>
  <c r="Y190" i="12" s="1"/>
  <c r="T126" i="12"/>
  <c r="T190" i="12" s="1"/>
  <c r="U120" i="6"/>
  <c r="U179" i="6" s="1"/>
  <c r="Q120" i="6"/>
  <c r="Q179" i="6" s="1"/>
  <c r="P126" i="12"/>
  <c r="P190" i="12" s="1"/>
  <c r="AL120" i="6"/>
  <c r="AL179" i="6" s="1"/>
  <c r="AK126" i="12"/>
  <c r="AK190" i="12" s="1"/>
  <c r="V126" i="12"/>
  <c r="V190" i="12" s="1"/>
  <c r="W120" i="6"/>
  <c r="W179" i="6" s="1"/>
  <c r="AJ120" i="6"/>
  <c r="AJ179" i="6" s="1"/>
  <c r="AI126" i="12"/>
  <c r="AI190" i="12" s="1"/>
  <c r="AH126" i="12"/>
  <c r="AH190" i="12" s="1"/>
  <c r="AI120" i="6"/>
  <c r="AI179" i="6" s="1"/>
  <c r="P120" i="6"/>
  <c r="P179" i="6" s="1"/>
  <c r="O126" i="12"/>
  <c r="O190" i="12" s="1"/>
  <c r="AJ126" i="12"/>
  <c r="AJ190" i="12" s="1"/>
  <c r="AK120" i="6"/>
  <c r="AK179" i="6" s="1"/>
  <c r="V120" i="6"/>
  <c r="V179" i="6" s="1"/>
  <c r="U126" i="12"/>
  <c r="U190" i="12" s="1"/>
  <c r="AN120" i="6"/>
  <c r="AN179" i="6" s="1"/>
  <c r="AM126" i="12"/>
  <c r="AM190" i="12" s="1"/>
  <c r="AL126" i="12"/>
  <c r="AL190" i="12" s="1"/>
  <c r="AM120" i="6"/>
  <c r="AM179" i="6" s="1"/>
  <c r="AV83" i="12" l="1"/>
  <c r="AV147" i="12" s="1"/>
  <c r="AU83" i="12"/>
  <c r="AU147" i="12" s="1"/>
  <c r="AT83" i="12"/>
  <c r="AT147" i="12" s="1"/>
  <c r="AS83" i="12"/>
  <c r="AS147" i="12" s="1"/>
  <c r="AR83" i="12"/>
  <c r="AR147" i="12" s="1"/>
  <c r="AQ83" i="12"/>
  <c r="AQ147" i="12" s="1"/>
  <c r="AR81" i="6"/>
  <c r="AR140" i="6" s="1"/>
  <c r="AP83" i="12"/>
  <c r="AP147" i="12" s="1"/>
  <c r="AQ81" i="6"/>
  <c r="AQ140" i="6" s="1"/>
  <c r="AO83" i="12"/>
  <c r="AO147" i="12" s="1"/>
  <c r="AP81" i="6"/>
  <c r="AP140" i="6" s="1"/>
  <c r="AN83" i="12"/>
  <c r="AN147" i="12" s="1"/>
  <c r="AO81" i="6"/>
  <c r="AO140" i="6" s="1"/>
  <c r="AM83" i="12"/>
  <c r="AM147" i="12" s="1"/>
  <c r="AN81" i="6"/>
  <c r="AN140" i="6" s="1"/>
  <c r="AL83" i="12"/>
  <c r="AL147" i="12" s="1"/>
  <c r="AM81" i="6"/>
  <c r="AM140" i="6" s="1"/>
  <c r="AK83" i="12"/>
  <c r="AK147" i="12" s="1"/>
  <c r="AL81" i="6"/>
  <c r="AL140" i="6" s="1"/>
  <c r="AJ83" i="12"/>
  <c r="AJ147" i="12" s="1"/>
  <c r="AK81" i="6"/>
  <c r="AK140" i="6" s="1"/>
  <c r="AI83" i="12"/>
  <c r="AI147" i="12" s="1"/>
  <c r="AJ81" i="6"/>
  <c r="AJ140" i="6" s="1"/>
  <c r="AH83" i="12"/>
  <c r="AH147" i="12" s="1"/>
  <c r="AI81" i="6"/>
  <c r="AI140" i="6" s="1"/>
  <c r="AG81" i="6"/>
  <c r="AG140" i="6" s="1"/>
  <c r="AF83" i="12"/>
  <c r="AF147" i="12" s="1"/>
  <c r="N83" i="12"/>
  <c r="N147" i="12" s="1"/>
  <c r="O81" i="6"/>
  <c r="O140" i="6" s="1"/>
  <c r="AE83" i="12"/>
  <c r="AE147" i="12" s="1"/>
  <c r="AF81" i="6"/>
  <c r="AF140" i="6" s="1"/>
  <c r="AD83" i="12"/>
  <c r="AD147" i="12" s="1"/>
  <c r="AE81" i="6"/>
  <c r="AE140" i="6" s="1"/>
  <c r="AC83" i="12"/>
  <c r="AC147" i="12" s="1"/>
  <c r="AD81" i="6"/>
  <c r="AD140" i="6" s="1"/>
  <c r="AB83" i="12"/>
  <c r="AB147" i="12" s="1"/>
  <c r="AC81" i="6"/>
  <c r="AC140" i="6" s="1"/>
  <c r="AA83" i="12"/>
  <c r="AA147" i="12" s="1"/>
  <c r="AB81" i="6"/>
  <c r="AB140" i="6" s="1"/>
  <c r="Z83" i="12"/>
  <c r="Z147" i="12" s="1"/>
  <c r="AA81" i="6"/>
  <c r="AA140" i="6" s="1"/>
  <c r="Y83" i="12"/>
  <c r="Y147" i="12" s="1"/>
  <c r="Z81" i="6"/>
  <c r="Z140" i="6" s="1"/>
  <c r="X83" i="12"/>
  <c r="X147" i="12" s="1"/>
  <c r="Y81" i="6"/>
  <c r="Y140" i="6" s="1"/>
  <c r="W83" i="12"/>
  <c r="W147" i="12" s="1"/>
  <c r="X81" i="6"/>
  <c r="X140" i="6" s="1"/>
  <c r="V83" i="12"/>
  <c r="V147" i="12" s="1"/>
  <c r="W81" i="6"/>
  <c r="W140" i="6" s="1"/>
  <c r="U83" i="12"/>
  <c r="U147" i="12" s="1"/>
  <c r="V81" i="6"/>
  <c r="V140" i="6" s="1"/>
  <c r="T83" i="12"/>
  <c r="T147" i="12" s="1"/>
  <c r="U81" i="6"/>
  <c r="U140" i="6" s="1"/>
  <c r="S83" i="12"/>
  <c r="S147" i="12" s="1"/>
  <c r="T81" i="6"/>
  <c r="T140" i="6" s="1"/>
  <c r="R83" i="12"/>
  <c r="R147" i="12" s="1"/>
  <c r="S81" i="6"/>
  <c r="S140" i="6" s="1"/>
  <c r="Q83" i="12"/>
  <c r="Q147" i="12" s="1"/>
  <c r="R81" i="6"/>
  <c r="R140" i="6" s="1"/>
  <c r="P83" i="12"/>
  <c r="P147" i="12" s="1"/>
  <c r="Q81" i="6"/>
  <c r="Q140" i="6" s="1"/>
  <c r="O83" i="12"/>
  <c r="O147" i="12" s="1"/>
  <c r="P81" i="6"/>
  <c r="P140" i="6" s="1"/>
  <c r="AH81" i="6"/>
  <c r="AH140" i="6" s="1"/>
  <c r="AG83" i="12"/>
  <c r="AG147" i="12" s="1"/>
  <c r="AJ61" i="2" l="1"/>
  <c r="BU43" i="2" s="1" a="1"/>
  <c r="BU43" i="2" l="1"/>
  <c r="BU45" i="2"/>
  <c r="BU47" i="2"/>
  <c r="BU49" i="2"/>
  <c r="BU51" i="2"/>
  <c r="BU53" i="2"/>
  <c r="BU55" i="2"/>
  <c r="BU57" i="2"/>
  <c r="BU59" i="2"/>
  <c r="BU61" i="2"/>
  <c r="BU63" i="2"/>
  <c r="BU65" i="2"/>
  <c r="BU44" i="2"/>
  <c r="BU46" i="2"/>
  <c r="BU48" i="2"/>
  <c r="BU50" i="2"/>
  <c r="BU52" i="2"/>
  <c r="BU54" i="2"/>
  <c r="BU56" i="2"/>
  <c r="BU58" i="2"/>
  <c r="BU60" i="2"/>
  <c r="BU62" i="2"/>
  <c r="BU64" i="2"/>
  <c r="BU66" i="2"/>
  <c r="AN88" i="12"/>
  <c r="AN152" i="12" s="1"/>
  <c r="AO86" i="6"/>
  <c r="AO145" i="6" s="1"/>
  <c r="N88" i="12"/>
  <c r="N152" i="12" s="1"/>
  <c r="O86" i="6"/>
  <c r="O145" i="6" s="1"/>
  <c r="R88" i="12"/>
  <c r="R152" i="12" s="1"/>
  <c r="S86" i="6"/>
  <c r="S145" i="6" s="1"/>
  <c r="V88" i="12"/>
  <c r="V152" i="12" s="1"/>
  <c r="W86" i="6"/>
  <c r="W145" i="6" s="1"/>
  <c r="Z88" i="12"/>
  <c r="Z152" i="12" s="1"/>
  <c r="AA86" i="6"/>
  <c r="AA145" i="6" s="1"/>
  <c r="AD88" i="12"/>
  <c r="AD152" i="12" s="1"/>
  <c r="AE86" i="6"/>
  <c r="AE145" i="6" s="1"/>
  <c r="AH88" i="12"/>
  <c r="AH152" i="12" s="1"/>
  <c r="AI86" i="6"/>
  <c r="AI145" i="6" s="1"/>
  <c r="AK88" i="12"/>
  <c r="AK152" i="12" s="1"/>
  <c r="AL86" i="6"/>
  <c r="AL145" i="6" s="1"/>
  <c r="AO88" i="12"/>
  <c r="AO152" i="12" s="1"/>
  <c r="AP86" i="6"/>
  <c r="AP145" i="6" s="1"/>
  <c r="AS88" i="12"/>
  <c r="AS152" i="12" s="1"/>
  <c r="AE88" i="12"/>
  <c r="AE152" i="12" s="1"/>
  <c r="AF86" i="6"/>
  <c r="AF145" i="6" s="1"/>
  <c r="AL88" i="12"/>
  <c r="AL152" i="12" s="1"/>
  <c r="AM86" i="6"/>
  <c r="AM145" i="6" s="1"/>
  <c r="AT88" i="12"/>
  <c r="AT152" i="12" s="1"/>
  <c r="Q88" i="12"/>
  <c r="Q152" i="12" s="1"/>
  <c r="R86" i="6"/>
  <c r="R145" i="6" s="1"/>
  <c r="U88" i="12"/>
  <c r="U152" i="12" s="1"/>
  <c r="V86" i="6"/>
  <c r="V145" i="6" s="1"/>
  <c r="AC88" i="12"/>
  <c r="AC152" i="12" s="1"/>
  <c r="AD86" i="6"/>
  <c r="AD145" i="6" s="1"/>
  <c r="AR88" i="12"/>
  <c r="AR152" i="12" s="1"/>
  <c r="O88" i="12"/>
  <c r="O152" i="12" s="1"/>
  <c r="P86" i="6"/>
  <c r="P145" i="6" s="1"/>
  <c r="S88" i="12"/>
  <c r="S152" i="12" s="1"/>
  <c r="T86" i="6"/>
  <c r="T145" i="6" s="1"/>
  <c r="W88" i="12"/>
  <c r="W152" i="12" s="1"/>
  <c r="X86" i="6"/>
  <c r="X145" i="6" s="1"/>
  <c r="AA88" i="12"/>
  <c r="AA152" i="12" s="1"/>
  <c r="AB86" i="6"/>
  <c r="AB145" i="6" s="1"/>
  <c r="AI88" i="12"/>
  <c r="AI152" i="12" s="1"/>
  <c r="AJ86" i="6"/>
  <c r="AJ145" i="6" s="1"/>
  <c r="AP88" i="12"/>
  <c r="AP152" i="12" s="1"/>
  <c r="AQ86" i="6"/>
  <c r="AQ145" i="6" s="1"/>
  <c r="P88" i="12"/>
  <c r="P152" i="12" s="1"/>
  <c r="Q86" i="6"/>
  <c r="Q145" i="6" s="1"/>
  <c r="T88" i="12"/>
  <c r="T152" i="12" s="1"/>
  <c r="U86" i="6"/>
  <c r="U145" i="6" s="1"/>
  <c r="X88" i="12"/>
  <c r="X152" i="12" s="1"/>
  <c r="Y86" i="6"/>
  <c r="Y145" i="6" s="1"/>
  <c r="AB88" i="12"/>
  <c r="AB152" i="12" s="1"/>
  <c r="AC86" i="6"/>
  <c r="AC145" i="6" s="1"/>
  <c r="AF88" i="12"/>
  <c r="AF152" i="12" s="1"/>
  <c r="AG86" i="6"/>
  <c r="AG145" i="6" s="1"/>
  <c r="AJ88" i="12"/>
  <c r="AJ152" i="12" s="1"/>
  <c r="AK86" i="6"/>
  <c r="AK145" i="6" s="1"/>
  <c r="AM88" i="12"/>
  <c r="AM152" i="12" s="1"/>
  <c r="AN86" i="6"/>
  <c r="AN145" i="6" s="1"/>
  <c r="AQ88" i="12"/>
  <c r="AQ152" i="12" s="1"/>
  <c r="AR86" i="6"/>
  <c r="AR145" i="6" s="1"/>
  <c r="AU88" i="12"/>
  <c r="AU152" i="12" s="1"/>
  <c r="AG88" i="12"/>
  <c r="AG152" i="12" s="1"/>
  <c r="AH86" i="6"/>
  <c r="AH145" i="6" s="1"/>
  <c r="AV88" i="12"/>
  <c r="AV152" i="12" s="1"/>
  <c r="Y88" i="12"/>
  <c r="Y152" i="12" s="1"/>
  <c r="Z86" i="6"/>
  <c r="Z145" i="6" s="1"/>
  <c r="AJ15" i="2"/>
  <c r="FL68" i="9" a="1"/>
  <c r="AJ65" i="2" l="1"/>
  <c r="AJ67" i="2" s="1"/>
  <c r="AJ78" i="2"/>
  <c r="AJ81" i="2" s="1"/>
  <c r="FL68" i="9"/>
  <c r="FL69" i="9"/>
  <c r="FL70" i="9"/>
  <c r="FL71" i="9"/>
  <c r="FL72" i="9"/>
  <c r="FL73" i="9"/>
  <c r="FL74" i="9"/>
  <c r="FL75" i="9"/>
  <c r="FL76" i="9"/>
  <c r="FL77" i="9"/>
  <c r="FL78" i="9"/>
  <c r="FL79" i="9"/>
  <c r="FL80" i="9"/>
  <c r="FL81" i="9"/>
  <c r="FL82" i="9"/>
  <c r="FL83" i="9"/>
  <c r="FL84" i="9"/>
  <c r="FL85" i="9"/>
  <c r="FL86" i="9"/>
  <c r="FL87" i="9"/>
  <c r="FL88" i="9"/>
  <c r="AJ18" i="2"/>
  <c r="AF50" i="2" l="1"/>
  <c r="AG50" i="2"/>
  <c r="AG78" i="2" s="1"/>
  <c r="AG81" i="2" s="1"/>
  <c r="AH50" i="2"/>
  <c r="AI50" i="2"/>
  <c r="AI78" i="2" s="1"/>
  <c r="AI81" i="2" s="1"/>
  <c r="AK68" i="1"/>
  <c r="AL68" i="1"/>
  <c r="AM68" i="1"/>
  <c r="AN68" i="1"/>
  <c r="AK119" i="1"/>
  <c r="AL119" i="1"/>
  <c r="AM119" i="1"/>
  <c r="AN119" i="1"/>
  <c r="AO119" i="1"/>
  <c r="AK184" i="1"/>
  <c r="AL184" i="1"/>
  <c r="AF18" i="3" s="1"/>
  <c r="AM184" i="1"/>
  <c r="AG18" i="3" s="1"/>
  <c r="AN184" i="1"/>
  <c r="AH18" i="3" s="1"/>
  <c r="AO184" i="1"/>
  <c r="AI18" i="3" s="1"/>
  <c r="AE18" i="3" l="1"/>
  <c r="BR6" i="3" s="1" a="1"/>
  <c r="CU52" i="1" a="1"/>
  <c r="DS95" i="2" a="1"/>
  <c r="AH65" i="2"/>
  <c r="AH67" i="2" s="1"/>
  <c r="AH78" i="2"/>
  <c r="AH81" i="2" s="1"/>
  <c r="AF65" i="2"/>
  <c r="AF67" i="2" s="1"/>
  <c r="AF78" i="2"/>
  <c r="AF81" i="2" s="1"/>
  <c r="AI53" i="2"/>
  <c r="AI65" i="2"/>
  <c r="AI67" i="2" s="1"/>
  <c r="AG53" i="2"/>
  <c r="AG65" i="2"/>
  <c r="AG67" i="2" s="1"/>
  <c r="BB47" i="7" a="1"/>
  <c r="BA6" i="7" a="1"/>
  <c r="DL68" i="9" a="1"/>
  <c r="GZ134" i="2" a="1"/>
  <c r="AF61" i="8" a="1"/>
  <c r="AF67" i="8" s="1"/>
  <c r="AH53" i="2"/>
  <c r="AF53" i="2"/>
  <c r="AJ53" i="2"/>
  <c r="EI68" i="9" a="1"/>
  <c r="AJ55" i="2"/>
  <c r="AJ57" i="2" s="1"/>
  <c r="AH55" i="2"/>
  <c r="AH57" i="2" s="1"/>
  <c r="AF55" i="2"/>
  <c r="AF57" i="2" s="1"/>
  <c r="CU52" i="1" l="1"/>
  <c r="CU53" i="1"/>
  <c r="EV94" i="1" s="1"/>
  <c r="CU61" i="1"/>
  <c r="EV102" i="1" s="1"/>
  <c r="CU69" i="1"/>
  <c r="EV110" i="1" s="1"/>
  <c r="CU55" i="1"/>
  <c r="EV96" i="1" s="1"/>
  <c r="CU63" i="1"/>
  <c r="EV104" i="1" s="1"/>
  <c r="CU71" i="1"/>
  <c r="EV112" i="1" s="1"/>
  <c r="CU57" i="1"/>
  <c r="EV98" i="1" s="1"/>
  <c r="CU65" i="1"/>
  <c r="EV106" i="1" s="1"/>
  <c r="CU73" i="1"/>
  <c r="EV114" i="1" s="1"/>
  <c r="CU59" i="1"/>
  <c r="EV100" i="1" s="1"/>
  <c r="CU67" i="1"/>
  <c r="EV108" i="1" s="1"/>
  <c r="CU75" i="1"/>
  <c r="EV116" i="1" s="1"/>
  <c r="CU74" i="1"/>
  <c r="EV115" i="1" s="1"/>
  <c r="CU66" i="1"/>
  <c r="EV107" i="1" s="1"/>
  <c r="CU58" i="1"/>
  <c r="EV99" i="1" s="1"/>
  <c r="CU70" i="1"/>
  <c r="EV111" i="1" s="1"/>
  <c r="CU54" i="1"/>
  <c r="EV95" i="1" s="1"/>
  <c r="CU72" i="1"/>
  <c r="EV113" i="1" s="1"/>
  <c r="CU64" i="1"/>
  <c r="EV105" i="1" s="1"/>
  <c r="CU56" i="1"/>
  <c r="EV97" i="1" s="1"/>
  <c r="CU62" i="1"/>
  <c r="EV103" i="1" s="1"/>
  <c r="CU68" i="1"/>
  <c r="EV109" i="1" s="1"/>
  <c r="CU60" i="1"/>
  <c r="EV101" i="1" s="1"/>
  <c r="BR27" i="3"/>
  <c r="BR24" i="3"/>
  <c r="BR15" i="3"/>
  <c r="BR19" i="3"/>
  <c r="BR38" i="3"/>
  <c r="BR34" i="3"/>
  <c r="BR9" i="3"/>
  <c r="BR46" i="3"/>
  <c r="BR35" i="3"/>
  <c r="BR22" i="3"/>
  <c r="BR6" i="3"/>
  <c r="BR43" i="3"/>
  <c r="BR16" i="3"/>
  <c r="BR29" i="3"/>
  <c r="BR23" i="3"/>
  <c r="BR37" i="3"/>
  <c r="BR18" i="3"/>
  <c r="BR25" i="3"/>
  <c r="BR45" i="3"/>
  <c r="BR39" i="3"/>
  <c r="BR17" i="3"/>
  <c r="BR30" i="3"/>
  <c r="BR21" i="3"/>
  <c r="BR10" i="3"/>
  <c r="BR12" i="3"/>
  <c r="BR33" i="3"/>
  <c r="BR36" i="3"/>
  <c r="BR11" i="3"/>
  <c r="BR32" i="3"/>
  <c r="BR13" i="3"/>
  <c r="BR7" i="3"/>
  <c r="BR40" i="3"/>
  <c r="BR41" i="3"/>
  <c r="BR14" i="3"/>
  <c r="BR42" i="3"/>
  <c r="BR44" i="3"/>
  <c r="BR8" i="3"/>
  <c r="BR31" i="3"/>
  <c r="BR20" i="3"/>
  <c r="BR26" i="3"/>
  <c r="BR28" i="3"/>
  <c r="BV43" i="2" a="1"/>
  <c r="BV44" i="2" s="1"/>
  <c r="DS95" i="2"/>
  <c r="DS98" i="2"/>
  <c r="DS102" i="2"/>
  <c r="DS106" i="2"/>
  <c r="DS110" i="2"/>
  <c r="DS114" i="2"/>
  <c r="DS118" i="2"/>
  <c r="DS96" i="2"/>
  <c r="DS100" i="2"/>
  <c r="DS104" i="2"/>
  <c r="DS108" i="2"/>
  <c r="DS112" i="2"/>
  <c r="DS116" i="2"/>
  <c r="DS117" i="2"/>
  <c r="DS113" i="2"/>
  <c r="DS109" i="2"/>
  <c r="DS105" i="2"/>
  <c r="DS101" i="2"/>
  <c r="DS97" i="2"/>
  <c r="DS111" i="2"/>
  <c r="DS107" i="2"/>
  <c r="DS99" i="2"/>
  <c r="DS115" i="2"/>
  <c r="DS103" i="2"/>
  <c r="AF78" i="8"/>
  <c r="AF80" i="8"/>
  <c r="AF81" i="8"/>
  <c r="EI68" i="9"/>
  <c r="EI75" i="9"/>
  <c r="FD75" i="9" s="1"/>
  <c r="EI83" i="9"/>
  <c r="FD83" i="9" s="1"/>
  <c r="EI71" i="9"/>
  <c r="FD71" i="9" s="1"/>
  <c r="EI79" i="9"/>
  <c r="FD79" i="9" s="1"/>
  <c r="EI87" i="9"/>
  <c r="FD87" i="9" s="1"/>
  <c r="EI85" i="9"/>
  <c r="FD85" i="9" s="1"/>
  <c r="EI77" i="9"/>
  <c r="FD77" i="9" s="1"/>
  <c r="EI69" i="9"/>
  <c r="FD69" i="9" s="1"/>
  <c r="EI86" i="9"/>
  <c r="FD86" i="9" s="1"/>
  <c r="EI82" i="9"/>
  <c r="FD82" i="9" s="1"/>
  <c r="EI78" i="9"/>
  <c r="FD78" i="9" s="1"/>
  <c r="EI74" i="9"/>
  <c r="FD74" i="9" s="1"/>
  <c r="EI70" i="9"/>
  <c r="FD70" i="9" s="1"/>
  <c r="EI89" i="9"/>
  <c r="EI81" i="9"/>
  <c r="FD81" i="9" s="1"/>
  <c r="EI73" i="9"/>
  <c r="FD73" i="9" s="1"/>
  <c r="EI88" i="9"/>
  <c r="EI84" i="9"/>
  <c r="FD84" i="9" s="1"/>
  <c r="EI80" i="9"/>
  <c r="FD80" i="9" s="1"/>
  <c r="EI76" i="9"/>
  <c r="FD76" i="9" s="1"/>
  <c r="EI72" i="9"/>
  <c r="FD72" i="9" s="1"/>
  <c r="GZ134" i="2"/>
  <c r="HS134" i="2" s="1"/>
  <c r="GZ141" i="2"/>
  <c r="HS141" i="2" s="1"/>
  <c r="GZ149" i="2"/>
  <c r="HS149" i="2" s="1"/>
  <c r="GZ153" i="2"/>
  <c r="HS153" i="2" s="1"/>
  <c r="GZ137" i="2"/>
  <c r="HS137" i="2" s="1"/>
  <c r="GZ151" i="2"/>
  <c r="HS151" i="2" s="1"/>
  <c r="GZ143" i="2"/>
  <c r="HS143" i="2" s="1"/>
  <c r="GZ135" i="2"/>
  <c r="HS135" i="2" s="1"/>
  <c r="GZ152" i="2"/>
  <c r="HS152" i="2" s="1"/>
  <c r="GZ148" i="2"/>
  <c r="HS148" i="2" s="1"/>
  <c r="GZ144" i="2"/>
  <c r="HS144" i="2" s="1"/>
  <c r="GZ140" i="2"/>
  <c r="HS140" i="2" s="1"/>
  <c r="GZ136" i="2"/>
  <c r="HS136" i="2" s="1"/>
  <c r="GZ155" i="2"/>
  <c r="HS155" i="2" s="1"/>
  <c r="GZ147" i="2"/>
  <c r="HS147" i="2" s="1"/>
  <c r="GZ139" i="2"/>
  <c r="HS139" i="2" s="1"/>
  <c r="GZ150" i="2"/>
  <c r="HS150" i="2" s="1"/>
  <c r="GZ146" i="2"/>
  <c r="HS146" i="2" s="1"/>
  <c r="GZ138" i="2"/>
  <c r="HS138" i="2" s="1"/>
  <c r="GZ145" i="2"/>
  <c r="HS145" i="2" s="1"/>
  <c r="GZ154" i="2"/>
  <c r="HS154" i="2" s="1"/>
  <c r="GZ142" i="2"/>
  <c r="HS142" i="2" s="1"/>
  <c r="BA6" i="7"/>
  <c r="BA7" i="7"/>
  <c r="BA11" i="7"/>
  <c r="BB11" i="7" s="1"/>
  <c r="BA15" i="7"/>
  <c r="BB15" i="7" s="1"/>
  <c r="BA19" i="7"/>
  <c r="BB19" i="7" s="1"/>
  <c r="BA22" i="7"/>
  <c r="BB22" i="7" s="1"/>
  <c r="BA24" i="7"/>
  <c r="BB24" i="7" s="1"/>
  <c r="BA26" i="7"/>
  <c r="BB26" i="7" s="1"/>
  <c r="BA9" i="7"/>
  <c r="BB9" i="7" s="1"/>
  <c r="BA13" i="7"/>
  <c r="BB13" i="7" s="1"/>
  <c r="BA17" i="7"/>
  <c r="BB17" i="7" s="1"/>
  <c r="BA21" i="7"/>
  <c r="BB21" i="7" s="1"/>
  <c r="BA23" i="7"/>
  <c r="BB23" i="7" s="1"/>
  <c r="BA25" i="7"/>
  <c r="BB25" i="7" s="1"/>
  <c r="BA27" i="7"/>
  <c r="BB27" i="7" s="1"/>
  <c r="BA20" i="7"/>
  <c r="BB20" i="7" s="1"/>
  <c r="BA16" i="7"/>
  <c r="BB16" i="7" s="1"/>
  <c r="BA12" i="7"/>
  <c r="BB12" i="7" s="1"/>
  <c r="BA8" i="7"/>
  <c r="BB8" i="7" s="1"/>
  <c r="BA18" i="7"/>
  <c r="BB18" i="7" s="1"/>
  <c r="BA14" i="7"/>
  <c r="BB14" i="7" s="1"/>
  <c r="BA10" i="7"/>
  <c r="BB10" i="7" s="1"/>
  <c r="D190" i="12"/>
  <c r="DL68" i="9"/>
  <c r="DL71" i="9"/>
  <c r="DL79" i="9"/>
  <c r="DL87" i="9"/>
  <c r="DL75" i="9"/>
  <c r="DL83" i="9"/>
  <c r="DL91" i="9"/>
  <c r="DL89" i="9"/>
  <c r="DL81" i="9"/>
  <c r="DL73" i="9"/>
  <c r="DL92" i="9"/>
  <c r="DL88" i="9"/>
  <c r="DL84" i="9"/>
  <c r="DL80" i="9"/>
  <c r="DL76" i="9"/>
  <c r="DL72" i="9"/>
  <c r="DL93" i="9"/>
  <c r="DL85" i="9"/>
  <c r="DL77" i="9"/>
  <c r="DL69" i="9"/>
  <c r="DL90" i="9"/>
  <c r="DL86" i="9"/>
  <c r="DL82" i="9"/>
  <c r="DL78" i="9"/>
  <c r="DL74" i="9"/>
  <c r="DL70" i="9"/>
  <c r="BB47" i="7"/>
  <c r="AX47" i="7" s="1"/>
  <c r="BB48" i="7"/>
  <c r="AX48" i="7" s="1"/>
  <c r="BB52" i="7"/>
  <c r="AX52" i="7" s="1"/>
  <c r="BB56" i="7"/>
  <c r="AX56" i="7" s="1"/>
  <c r="BB60" i="7"/>
  <c r="AX60" i="7" s="1"/>
  <c r="BB64" i="7"/>
  <c r="BB68" i="7"/>
  <c r="BB50" i="7"/>
  <c r="AX50" i="7" s="1"/>
  <c r="BB54" i="7"/>
  <c r="AX54" i="7" s="1"/>
  <c r="BB58" i="7"/>
  <c r="AX58" i="7" s="1"/>
  <c r="BB62" i="7"/>
  <c r="BB66" i="7"/>
  <c r="BB67" i="7"/>
  <c r="BB63" i="7"/>
  <c r="BB59" i="7"/>
  <c r="AX59" i="7" s="1"/>
  <c r="BB55" i="7"/>
  <c r="AX55" i="7" s="1"/>
  <c r="BB51" i="7"/>
  <c r="AX51" i="7" s="1"/>
  <c r="BB65" i="7"/>
  <c r="BB61" i="7"/>
  <c r="BB57" i="7"/>
  <c r="AX57" i="7" s="1"/>
  <c r="BB53" i="7"/>
  <c r="AX53" i="7" s="1"/>
  <c r="BB49" i="7"/>
  <c r="AX49" i="7" s="1"/>
  <c r="AF65" i="8"/>
  <c r="AF66" i="8"/>
  <c r="AF63" i="8"/>
  <c r="AF74" i="8"/>
  <c r="AF73" i="8"/>
  <c r="AF76" i="8"/>
  <c r="AF75" i="8"/>
  <c r="AF70" i="8"/>
  <c r="AF61" i="8"/>
  <c r="AF69" i="8"/>
  <c r="AF64" i="8"/>
  <c r="AF68" i="8"/>
  <c r="AF72" i="8"/>
  <c r="AF71" i="8"/>
  <c r="AF62" i="8"/>
  <c r="AF77" i="8"/>
  <c r="AF79" i="8"/>
  <c r="AI55" i="2"/>
  <c r="AI57" i="2" s="1"/>
  <c r="W174" i="7" a="1"/>
  <c r="W190" i="7" s="1"/>
  <c r="AG55" i="2"/>
  <c r="AG57" i="2" s="1"/>
  <c r="BV61" i="2" l="1"/>
  <c r="BV45" i="2"/>
  <c r="BV53" i="2"/>
  <c r="BV58" i="2"/>
  <c r="BV57" i="2"/>
  <c r="BV49" i="2"/>
  <c r="BV66" i="2"/>
  <c r="BV50" i="2"/>
  <c r="BV65" i="2"/>
  <c r="BV59" i="2"/>
  <c r="BV55" i="2"/>
  <c r="BV51" i="2"/>
  <c r="BV47" i="2"/>
  <c r="BV43" i="2"/>
  <c r="BV62" i="2"/>
  <c r="BV54" i="2"/>
  <c r="BV46" i="2"/>
  <c r="BV63" i="2"/>
  <c r="BV64" i="2"/>
  <c r="BV60" i="2"/>
  <c r="BV56" i="2"/>
  <c r="BV52" i="2"/>
  <c r="BV48" i="2"/>
  <c r="FD88" i="9"/>
  <c r="EJ88" i="9"/>
  <c r="EJ89" i="9"/>
  <c r="EJ90" i="9" s="1"/>
  <c r="FD89" i="9"/>
  <c r="U68" i="9"/>
  <c r="AE39" i="9" s="1"/>
  <c r="W194" i="7"/>
  <c r="W192" i="7"/>
  <c r="W181" i="7"/>
  <c r="W183" i="7"/>
  <c r="W188" i="7"/>
  <c r="W180" i="7"/>
  <c r="W189" i="7"/>
  <c r="W187" i="7"/>
  <c r="W186" i="7"/>
  <c r="W178" i="7"/>
  <c r="W174" i="7"/>
  <c r="W185" i="7"/>
  <c r="W175" i="7"/>
  <c r="W184" i="7"/>
  <c r="W176" i="7"/>
  <c r="W177" i="7"/>
  <c r="W179" i="7"/>
  <c r="W182" i="7"/>
  <c r="W193" i="7"/>
  <c r="W191" i="7"/>
  <c r="U69" i="9"/>
  <c r="AE40" i="9" s="1"/>
  <c r="FD90" i="9" l="1"/>
  <c r="EJ91" i="9"/>
  <c r="AG107" i="6"/>
  <c r="AG166" i="6" s="1"/>
  <c r="AS109" i="12"/>
  <c r="AS173" i="12" s="1"/>
  <c r="AK107" i="6"/>
  <c r="AK166" i="6" s="1"/>
  <c r="AT109" i="12"/>
  <c r="AT173" i="12" s="1"/>
  <c r="AN109" i="12"/>
  <c r="AN173" i="12" s="1"/>
  <c r="AB109" i="12"/>
  <c r="AB173" i="12" s="1"/>
  <c r="T107" i="6"/>
  <c r="T166" i="6" s="1"/>
  <c r="O107" i="6"/>
  <c r="O166" i="6" s="1"/>
  <c r="R109" i="12"/>
  <c r="R173" i="12" s="1"/>
  <c r="AJ107" i="6"/>
  <c r="AJ166" i="6" s="1"/>
  <c r="AV109" i="12"/>
  <c r="AV173" i="12" s="1"/>
  <c r="AU109" i="12"/>
  <c r="AU173" i="12" s="1"/>
  <c r="AC109" i="12"/>
  <c r="AC173" i="12" s="1"/>
  <c r="AR109" i="12"/>
  <c r="AR173" i="12" s="1"/>
  <c r="T109" i="12"/>
  <c r="T173" i="12" s="1"/>
  <c r="AO109" i="12"/>
  <c r="AO173" i="12" s="1"/>
  <c r="AM107" i="6"/>
  <c r="AM166" i="6" s="1"/>
  <c r="AA107" i="6"/>
  <c r="AA166" i="6" s="1"/>
  <c r="Y107" i="6"/>
  <c r="Y166" i="6" s="1"/>
  <c r="AM109" i="12"/>
  <c r="AM173" i="12" s="1"/>
  <c r="AE109" i="12"/>
  <c r="AE173" i="12" s="1"/>
  <c r="AF107" i="6"/>
  <c r="AF166" i="6" s="1"/>
  <c r="AD107" i="6"/>
  <c r="AD166" i="6" s="1"/>
  <c r="X107" i="6"/>
  <c r="X166" i="6" s="1"/>
  <c r="W109" i="12"/>
  <c r="W173" i="12" s="1"/>
  <c r="AI107" i="6"/>
  <c r="AI166" i="6" s="1"/>
  <c r="AH109" i="12"/>
  <c r="AH173" i="12" s="1"/>
  <c r="Q109" i="12"/>
  <c r="Q173" i="12" s="1"/>
  <c r="R107" i="6"/>
  <c r="R166" i="6" s="1"/>
  <c r="AR107" i="6"/>
  <c r="AR166" i="6" s="1"/>
  <c r="AQ109" i="12"/>
  <c r="AQ173" i="12" s="1"/>
  <c r="P107" i="6"/>
  <c r="P166" i="6" s="1"/>
  <c r="O109" i="12"/>
  <c r="O173" i="12" s="1"/>
  <c r="AG109" i="12"/>
  <c r="AG173" i="12" s="1"/>
  <c r="AH107" i="6"/>
  <c r="AH166" i="6" s="1"/>
  <c r="AP109" i="12"/>
  <c r="AP173" i="12" s="1"/>
  <c r="AQ107" i="6"/>
  <c r="AQ166" i="6" s="1"/>
  <c r="AD109" i="12"/>
  <c r="AD173" i="12" s="1"/>
  <c r="AE107" i="6"/>
  <c r="AE166" i="6" s="1"/>
  <c r="V107" i="6"/>
  <c r="V166" i="6" s="1"/>
  <c r="U109" i="12"/>
  <c r="U173" i="12" s="1"/>
  <c r="AB107" i="6"/>
  <c r="AB166" i="6" s="1"/>
  <c r="AA109" i="12"/>
  <c r="AA173" i="12" s="1"/>
  <c r="Q107" i="6"/>
  <c r="Q166" i="6" s="1"/>
  <c r="P109" i="12"/>
  <c r="P173" i="12" s="1"/>
  <c r="AL107" i="6"/>
  <c r="AL166" i="6" s="1"/>
  <c r="AK109" i="12"/>
  <c r="AK173" i="12" s="1"/>
  <c r="Z107" i="6"/>
  <c r="Z166" i="6" s="1"/>
  <c r="Y109" i="12"/>
  <c r="Y173" i="12" s="1"/>
  <c r="V109" i="12"/>
  <c r="V173" i="12" s="1"/>
  <c r="W107" i="6"/>
  <c r="W166" i="6" s="1"/>
  <c r="U70" i="9"/>
  <c r="AE41" i="9" s="1"/>
  <c r="EJ92" i="9" l="1"/>
  <c r="FD91" i="9"/>
  <c r="AI109" i="12"/>
  <c r="AI173" i="12" s="1"/>
  <c r="AC107" i="6"/>
  <c r="AC166" i="6" s="1"/>
  <c r="N109" i="12"/>
  <c r="N173" i="12" s="1"/>
  <c r="AJ109" i="12"/>
  <c r="AJ173" i="12" s="1"/>
  <c r="S107" i="6"/>
  <c r="S166" i="6" s="1"/>
  <c r="S109" i="12"/>
  <c r="S173" i="12" s="1"/>
  <c r="AO107" i="6"/>
  <c r="AO166" i="6" s="1"/>
  <c r="AF109" i="12"/>
  <c r="AF173" i="12" s="1"/>
  <c r="Z109" i="12"/>
  <c r="Z173" i="12" s="1"/>
  <c r="AN107" i="6"/>
  <c r="AN166" i="6" s="1"/>
  <c r="AP107" i="6"/>
  <c r="AP166" i="6" s="1"/>
  <c r="X109" i="12"/>
  <c r="X173" i="12" s="1"/>
  <c r="AL109" i="12"/>
  <c r="AL173" i="12" s="1"/>
  <c r="U107" i="6"/>
  <c r="U166" i="6" s="1"/>
  <c r="AG104" i="6"/>
  <c r="AG163" i="6" s="1"/>
  <c r="AG106" i="12"/>
  <c r="AG170" i="12" s="1"/>
  <c r="AD104" i="6"/>
  <c r="AD163" i="6" s="1"/>
  <c r="AC106" i="12"/>
  <c r="AC170" i="12" s="1"/>
  <c r="AS106" i="12"/>
  <c r="AS170" i="12" s="1"/>
  <c r="AV106" i="12"/>
  <c r="AV170" i="12" s="1"/>
  <c r="AR106" i="12"/>
  <c r="AR170" i="12" s="1"/>
  <c r="AU106" i="12"/>
  <c r="AU170" i="12" s="1"/>
  <c r="AT106" i="12"/>
  <c r="AT170" i="12" s="1"/>
  <c r="U71" i="9"/>
  <c r="AE42" i="9" s="1"/>
  <c r="FD92" i="9" l="1"/>
  <c r="AF106" i="12"/>
  <c r="AF170" i="12" s="1"/>
  <c r="AH104" i="6"/>
  <c r="AH163" i="6" s="1"/>
  <c r="AE106" i="12"/>
  <c r="AE170" i="12" s="1"/>
  <c r="AF104" i="6"/>
  <c r="AF163" i="6" s="1"/>
  <c r="S104" i="6"/>
  <c r="S163" i="6" s="1"/>
  <c r="R106" i="12"/>
  <c r="R170" i="12" s="1"/>
  <c r="U104" i="6"/>
  <c r="U163" i="6" s="1"/>
  <c r="T106" i="12"/>
  <c r="T170" i="12" s="1"/>
  <c r="W106" i="12"/>
  <c r="W170" i="12" s="1"/>
  <c r="X104" i="6"/>
  <c r="X163" i="6" s="1"/>
  <c r="P106" i="12"/>
  <c r="P170" i="12" s="1"/>
  <c r="Q104" i="6"/>
  <c r="Q163" i="6" s="1"/>
  <c r="V106" i="12"/>
  <c r="V170" i="12" s="1"/>
  <c r="W104" i="6"/>
  <c r="W163" i="6" s="1"/>
  <c r="U106" i="12"/>
  <c r="U170" i="12" s="1"/>
  <c r="V104" i="6"/>
  <c r="V163" i="6" s="1"/>
  <c r="AA104" i="6"/>
  <c r="AA163" i="6" s="1"/>
  <c r="Z106" i="12"/>
  <c r="Z170" i="12" s="1"/>
  <c r="AC104" i="6"/>
  <c r="AC163" i="6" s="1"/>
  <c r="AB106" i="12"/>
  <c r="AB170" i="12" s="1"/>
  <c r="AM106" i="12"/>
  <c r="AM170" i="12" s="1"/>
  <c r="AN104" i="6"/>
  <c r="AN163" i="6" s="1"/>
  <c r="X106" i="12"/>
  <c r="X170" i="12" s="1"/>
  <c r="Y104" i="6"/>
  <c r="Y163" i="6" s="1"/>
  <c r="AL106" i="12"/>
  <c r="AL170" i="12" s="1"/>
  <c r="AM104" i="6"/>
  <c r="AM163" i="6" s="1"/>
  <c r="AI106" i="12"/>
  <c r="AI170" i="12" s="1"/>
  <c r="AJ104" i="6"/>
  <c r="AJ163" i="6" s="1"/>
  <c r="AQ106" i="12"/>
  <c r="AQ170" i="12" s="1"/>
  <c r="AR104" i="6"/>
  <c r="AR163" i="6" s="1"/>
  <c r="AE104" i="6"/>
  <c r="AE163" i="6" s="1"/>
  <c r="AD106" i="12"/>
  <c r="AD170" i="12" s="1"/>
  <c r="Y106" i="12"/>
  <c r="Y170" i="12" s="1"/>
  <c r="Z104" i="6"/>
  <c r="Z163" i="6" s="1"/>
  <c r="AI104" i="6"/>
  <c r="AI163" i="6" s="1"/>
  <c r="AH106" i="12"/>
  <c r="AH170" i="12" s="1"/>
  <c r="AK104" i="6"/>
  <c r="AK163" i="6" s="1"/>
  <c r="AJ106" i="12"/>
  <c r="AJ170" i="12" s="1"/>
  <c r="AK106" i="12"/>
  <c r="AK170" i="12" s="1"/>
  <c r="AL104" i="6"/>
  <c r="AL163" i="6" s="1"/>
  <c r="AN106" i="12"/>
  <c r="AN170" i="12" s="1"/>
  <c r="AO104" i="6"/>
  <c r="AO163" i="6" s="1"/>
  <c r="AO106" i="12"/>
  <c r="AO170" i="12" s="1"/>
  <c r="AP104" i="6"/>
  <c r="AP163" i="6" s="1"/>
  <c r="AQ104" i="6"/>
  <c r="AQ163" i="6" s="1"/>
  <c r="AP106" i="12"/>
  <c r="AP170" i="12" s="1"/>
  <c r="O106" i="12"/>
  <c r="O170" i="12" s="1"/>
  <c r="P104" i="6"/>
  <c r="P163" i="6" s="1"/>
  <c r="Q106" i="12"/>
  <c r="Q170" i="12" s="1"/>
  <c r="R104" i="6"/>
  <c r="R163" i="6" s="1"/>
  <c r="N106" i="12"/>
  <c r="N170" i="12" s="1"/>
  <c r="O104" i="6"/>
  <c r="O163" i="6" s="1"/>
  <c r="AA106" i="12"/>
  <c r="AA170" i="12" s="1"/>
  <c r="AB104" i="6"/>
  <c r="AB163" i="6" s="1"/>
  <c r="S106" i="12"/>
  <c r="S170" i="12" s="1"/>
  <c r="T104" i="6"/>
  <c r="T163" i="6" s="1"/>
  <c r="U72" i="9"/>
  <c r="AE43" i="9" s="1"/>
  <c r="U73" i="9" l="1"/>
  <c r="AE44" i="9" s="1"/>
  <c r="U74" i="9" l="1"/>
  <c r="AE45" i="9" s="1"/>
  <c r="U75" i="9" l="1"/>
  <c r="AE46" i="9" s="1"/>
  <c r="U76" i="9" l="1"/>
  <c r="AE47" i="9" s="1"/>
  <c r="U77" i="9" l="1"/>
  <c r="AE48" i="9" s="1"/>
  <c r="U78" i="9" l="1"/>
  <c r="AE49" i="9" s="1"/>
  <c r="U79" i="9" l="1"/>
  <c r="AE50" i="9" s="1"/>
  <c r="AB30" i="9" s="1"/>
  <c r="U80" i="9" l="1"/>
  <c r="AE51" i="9" s="1"/>
  <c r="AU38" i="9"/>
  <c r="AU34" i="9"/>
  <c r="AU39" i="9"/>
  <c r="AU35" i="9"/>
  <c r="AU40" i="9"/>
  <c r="AU36" i="9"/>
  <c r="AU41" i="9"/>
  <c r="AU37" i="9"/>
  <c r="P93" i="9" l="1"/>
  <c r="V93" i="9" s="1"/>
  <c r="W93" i="9" s="1"/>
  <c r="U81" i="9"/>
  <c r="AE52" i="9" s="1"/>
  <c r="P94" i="9" l="1"/>
  <c r="V94" i="9" s="1"/>
  <c r="W94" i="9" s="1"/>
  <c r="U82" i="9"/>
  <c r="AE53" i="9" s="1"/>
  <c r="AV85" i="12" l="1"/>
  <c r="AV149" i="12" s="1"/>
  <c r="AV81" i="12"/>
  <c r="AV145" i="12" s="1"/>
  <c r="P95" i="9"/>
  <c r="V95" i="9" s="1"/>
  <c r="W95" i="9" s="1"/>
  <c r="U83" i="9"/>
  <c r="AE54" i="9" s="1"/>
  <c r="AK86" i="12" l="1"/>
  <c r="AK150" i="12" s="1"/>
  <c r="AO86" i="12"/>
  <c r="AO150" i="12" s="1"/>
  <c r="AV86" i="12"/>
  <c r="AV150" i="12" s="1"/>
  <c r="AM86" i="12"/>
  <c r="AM150" i="12" s="1"/>
  <c r="AU86" i="12"/>
  <c r="AU150" i="12" s="1"/>
  <c r="AS86" i="12"/>
  <c r="AS150" i="12" s="1"/>
  <c r="AQ86" i="12"/>
  <c r="AQ150" i="12" s="1"/>
  <c r="AR85" i="12"/>
  <c r="AR149" i="12" s="1"/>
  <c r="AS85" i="12"/>
  <c r="AS149" i="12" s="1"/>
  <c r="AT85" i="12"/>
  <c r="AT149" i="12" s="1"/>
  <c r="AU85" i="12"/>
  <c r="AU149" i="12" s="1"/>
  <c r="AR81" i="12"/>
  <c r="AR145" i="12" s="1"/>
  <c r="AS81" i="12"/>
  <c r="AS145" i="12" s="1"/>
  <c r="AT81" i="12"/>
  <c r="AT145" i="12" s="1"/>
  <c r="AU81" i="12"/>
  <c r="AU145" i="12" s="1"/>
  <c r="P96" i="9"/>
  <c r="V96" i="9" s="1"/>
  <c r="W96" i="9" s="1"/>
  <c r="U84" i="9"/>
  <c r="AE55" i="9" s="1"/>
  <c r="AT86" i="12" l="1"/>
  <c r="AT150" i="12" s="1"/>
  <c r="AN84" i="6"/>
  <c r="AN143" i="6" s="1"/>
  <c r="AL86" i="12"/>
  <c r="AL150" i="12" s="1"/>
  <c r="AR84" i="6"/>
  <c r="AR143" i="6" s="1"/>
  <c r="AR86" i="12"/>
  <c r="AR150" i="12" s="1"/>
  <c r="AP86" i="12"/>
  <c r="AP150" i="12" s="1"/>
  <c r="AL84" i="6"/>
  <c r="AL143" i="6" s="1"/>
  <c r="AN86" i="12"/>
  <c r="AN150" i="12" s="1"/>
  <c r="AP84" i="6"/>
  <c r="AP143" i="6" s="1"/>
  <c r="AQ84" i="6"/>
  <c r="AQ143" i="6" s="1"/>
  <c r="AO84" i="6"/>
  <c r="AO143" i="6" s="1"/>
  <c r="AM84" i="6"/>
  <c r="AM143" i="6" s="1"/>
  <c r="AQ83" i="6"/>
  <c r="AQ142" i="6" s="1"/>
  <c r="AP85" i="12"/>
  <c r="AP149" i="12" s="1"/>
  <c r="AO83" i="6"/>
  <c r="AO142" i="6" s="1"/>
  <c r="AN85" i="12"/>
  <c r="AN149" i="12" s="1"/>
  <c r="AM83" i="6"/>
  <c r="AM142" i="6" s="1"/>
  <c r="AL85" i="12"/>
  <c r="AL149" i="12" s="1"/>
  <c r="AK83" i="6"/>
  <c r="AK142" i="6" s="1"/>
  <c r="AJ85" i="12"/>
  <c r="AJ149" i="12" s="1"/>
  <c r="AI83" i="6"/>
  <c r="AI142" i="6" s="1"/>
  <c r="AH85" i="12"/>
  <c r="AH149" i="12" s="1"/>
  <c r="AE83" i="6"/>
  <c r="AE142" i="6" s="1"/>
  <c r="AD85" i="12"/>
  <c r="AD149" i="12" s="1"/>
  <c r="AF85" i="12"/>
  <c r="AF149" i="12" s="1"/>
  <c r="AG83" i="6"/>
  <c r="AG142" i="6" s="1"/>
  <c r="AG80" i="8" a="1"/>
  <c r="P83" i="6"/>
  <c r="P142" i="6" s="1"/>
  <c r="O85" i="12"/>
  <c r="O149" i="12" s="1"/>
  <c r="P85" i="12"/>
  <c r="P149" i="12" s="1"/>
  <c r="Q83" i="6"/>
  <c r="Q142" i="6" s="1"/>
  <c r="Z83" i="6"/>
  <c r="Z142" i="6" s="1"/>
  <c r="Y85" i="12"/>
  <c r="Y149" i="12" s="1"/>
  <c r="AB85" i="12"/>
  <c r="AB149" i="12" s="1"/>
  <c r="AC83" i="6"/>
  <c r="AC142" i="6" s="1"/>
  <c r="N85" i="12"/>
  <c r="N149" i="12" s="1"/>
  <c r="O83" i="6"/>
  <c r="O142" i="6" s="1"/>
  <c r="S85" i="12"/>
  <c r="S149" i="12" s="1"/>
  <c r="T83" i="6"/>
  <c r="T142" i="6" s="1"/>
  <c r="V83" i="6"/>
  <c r="V142" i="6" s="1"/>
  <c r="U85" i="12"/>
  <c r="U149" i="12" s="1"/>
  <c r="AR83" i="6"/>
  <c r="AR142" i="6" s="1"/>
  <c r="AQ85" i="12"/>
  <c r="AQ149" i="12" s="1"/>
  <c r="AP83" i="6"/>
  <c r="AP142" i="6" s="1"/>
  <c r="AO85" i="12"/>
  <c r="AO149" i="12" s="1"/>
  <c r="AN83" i="6"/>
  <c r="AN142" i="6" s="1"/>
  <c r="AM85" i="12"/>
  <c r="AM149" i="12" s="1"/>
  <c r="AL83" i="6"/>
  <c r="AL142" i="6" s="1"/>
  <c r="AK85" i="12"/>
  <c r="AK149" i="12" s="1"/>
  <c r="AJ83" i="6"/>
  <c r="AJ142" i="6" s="1"/>
  <c r="AI85" i="12"/>
  <c r="AI149" i="12" s="1"/>
  <c r="AH83" i="6"/>
  <c r="AH142" i="6" s="1"/>
  <c r="AG85" i="12"/>
  <c r="AG149" i="12" s="1"/>
  <c r="AE85" i="12"/>
  <c r="AE149" i="12" s="1"/>
  <c r="AF83" i="6"/>
  <c r="AF142" i="6" s="1"/>
  <c r="AD83" i="6"/>
  <c r="AD142" i="6" s="1"/>
  <c r="AC85" i="12"/>
  <c r="AC149" i="12" s="1"/>
  <c r="U83" i="6"/>
  <c r="U142" i="6" s="1"/>
  <c r="T85" i="12"/>
  <c r="T149" i="12" s="1"/>
  <c r="W83" i="6"/>
  <c r="W142" i="6" s="1"/>
  <c r="V85" i="12"/>
  <c r="V149" i="12" s="1"/>
  <c r="Z85" i="12"/>
  <c r="Z149" i="12" s="1"/>
  <c r="AA83" i="6"/>
  <c r="AA142" i="6" s="1"/>
  <c r="R85" i="12"/>
  <c r="R149" i="12" s="1"/>
  <c r="S83" i="6"/>
  <c r="S142" i="6" s="1"/>
  <c r="AA85" i="12"/>
  <c r="AA149" i="12" s="1"/>
  <c r="AB83" i="6"/>
  <c r="AB142" i="6" s="1"/>
  <c r="R83" i="6"/>
  <c r="R142" i="6" s="1"/>
  <c r="Q85" i="12"/>
  <c r="Q149" i="12" s="1"/>
  <c r="Y83" i="6"/>
  <c r="Y142" i="6" s="1"/>
  <c r="X85" i="12"/>
  <c r="X149" i="12" s="1"/>
  <c r="X83" i="6"/>
  <c r="X142" i="6" s="1"/>
  <c r="W85" i="12"/>
  <c r="W149" i="12" s="1"/>
  <c r="AQ80" i="6"/>
  <c r="AQ139" i="6" s="1"/>
  <c r="AP81" i="12"/>
  <c r="AP145" i="12" s="1"/>
  <c r="AO80" i="6"/>
  <c r="AO139" i="6" s="1"/>
  <c r="AN81" i="12"/>
  <c r="AN145" i="12" s="1"/>
  <c r="AM80" i="6"/>
  <c r="AM139" i="6" s="1"/>
  <c r="AL81" i="12"/>
  <c r="AL145" i="12" s="1"/>
  <c r="AJ81" i="12"/>
  <c r="AJ145" i="12" s="1"/>
  <c r="AK80" i="6"/>
  <c r="AK139" i="6" s="1"/>
  <c r="AD80" i="6"/>
  <c r="AD139" i="6" s="1"/>
  <c r="AC81" i="12"/>
  <c r="AC145" i="12" s="1"/>
  <c r="AF80" i="6"/>
  <c r="AF139" i="6" s="1"/>
  <c r="AE81" i="12"/>
  <c r="AE145" i="12" s="1"/>
  <c r="AF81" i="12"/>
  <c r="AF145" i="12" s="1"/>
  <c r="AG80" i="6"/>
  <c r="AG139" i="6" s="1"/>
  <c r="P80" i="6"/>
  <c r="P139" i="6" s="1"/>
  <c r="O81" i="12"/>
  <c r="O145" i="12" s="1"/>
  <c r="AD81" i="12"/>
  <c r="AD145" i="12" s="1"/>
  <c r="AE80" i="6"/>
  <c r="AE139" i="6" s="1"/>
  <c r="U81" i="12"/>
  <c r="U145" i="12" s="1"/>
  <c r="V80" i="6"/>
  <c r="V139" i="6" s="1"/>
  <c r="W81" i="12"/>
  <c r="W145" i="12" s="1"/>
  <c r="X80" i="6"/>
  <c r="X139" i="6" s="1"/>
  <c r="Q81" i="12"/>
  <c r="Q145" i="12" s="1"/>
  <c r="R80" i="6"/>
  <c r="R139" i="6" s="1"/>
  <c r="V81" i="12"/>
  <c r="V145" i="12" s="1"/>
  <c r="W80" i="6"/>
  <c r="W139" i="6" s="1"/>
  <c r="T80" i="6"/>
  <c r="T139" i="6" s="1"/>
  <c r="S81" i="12"/>
  <c r="S145" i="12" s="1"/>
  <c r="Z81" i="12"/>
  <c r="Z145" i="12" s="1"/>
  <c r="AA80" i="6"/>
  <c r="AA139" i="6" s="1"/>
  <c r="AR80" i="6"/>
  <c r="AR139" i="6" s="1"/>
  <c r="AQ81" i="12"/>
  <c r="AQ145" i="12" s="1"/>
  <c r="AP80" i="6"/>
  <c r="AP139" i="6" s="1"/>
  <c r="AO81" i="12"/>
  <c r="AO145" i="12" s="1"/>
  <c r="AN80" i="6"/>
  <c r="AN139" i="6" s="1"/>
  <c r="AM81" i="12"/>
  <c r="AM145" i="12" s="1"/>
  <c r="AL80" i="6"/>
  <c r="AL139" i="6" s="1"/>
  <c r="AK81" i="12"/>
  <c r="AK145" i="12" s="1"/>
  <c r="AI81" i="12"/>
  <c r="AI145" i="12" s="1"/>
  <c r="AJ80" i="6"/>
  <c r="AJ139" i="6" s="1"/>
  <c r="AI80" i="6"/>
  <c r="AI139" i="6" s="1"/>
  <c r="AH81" i="12"/>
  <c r="AH145" i="12" s="1"/>
  <c r="AG81" i="12"/>
  <c r="AG145" i="12" s="1"/>
  <c r="AH80" i="6"/>
  <c r="AH139" i="6" s="1"/>
  <c r="N81" i="12"/>
  <c r="N145" i="12" s="1"/>
  <c r="O80" i="6"/>
  <c r="O139" i="6" s="1"/>
  <c r="S80" i="6"/>
  <c r="S139" i="6" s="1"/>
  <c r="R81" i="12"/>
  <c r="R145" i="12" s="1"/>
  <c r="U80" i="6"/>
  <c r="U139" i="6" s="1"/>
  <c r="T81" i="12"/>
  <c r="T145" i="12" s="1"/>
  <c r="P81" i="12"/>
  <c r="P145" i="12" s="1"/>
  <c r="Q80" i="6"/>
  <c r="Q139" i="6" s="1"/>
  <c r="Z80" i="6"/>
  <c r="Z139" i="6" s="1"/>
  <c r="Y81" i="12"/>
  <c r="Y145" i="12" s="1"/>
  <c r="AB81" i="12"/>
  <c r="AB145" i="12" s="1"/>
  <c r="AC80" i="6"/>
  <c r="AC139" i="6" s="1"/>
  <c r="AA81" i="12"/>
  <c r="AA145" i="12" s="1"/>
  <c r="AB80" i="6"/>
  <c r="AB139" i="6" s="1"/>
  <c r="Y80" i="6"/>
  <c r="Y139" i="6" s="1"/>
  <c r="X81" i="12"/>
  <c r="X145" i="12" s="1"/>
  <c r="U85" i="9"/>
  <c r="AE56" i="9" s="1"/>
  <c r="U86" i="9"/>
  <c r="AE57" i="9" s="1"/>
  <c r="P97" i="9"/>
  <c r="AB195" i="12" l="1"/>
  <c r="AB196" i="12" s="1"/>
  <c r="N195" i="12"/>
  <c r="N196" i="12" s="1"/>
  <c r="V195" i="12"/>
  <c r="V196" i="12" s="1"/>
  <c r="O195" i="12"/>
  <c r="O196" i="12" s="1"/>
  <c r="AG81" i="8"/>
  <c r="AG85" i="8"/>
  <c r="AG89" i="8"/>
  <c r="AG88" i="8"/>
  <c r="AG94" i="8"/>
  <c r="AG86" i="8"/>
  <c r="AG95" i="8"/>
  <c r="AG93" i="8"/>
  <c r="AG80" i="8"/>
  <c r="AG83" i="8"/>
  <c r="AG87" i="8"/>
  <c r="AG84" i="8"/>
  <c r="AG92" i="8"/>
  <c r="AG96" i="8"/>
  <c r="AG91" i="8"/>
  <c r="AG90" i="8"/>
  <c r="AG82" i="8"/>
  <c r="V97" i="9"/>
  <c r="W97" i="9" s="1"/>
  <c r="U91" i="9"/>
  <c r="R195" i="12" l="1"/>
  <c r="R196" i="12" s="1"/>
  <c r="AE195" i="12"/>
  <c r="AE196" i="12" s="1"/>
  <c r="AG195" i="12"/>
  <c r="AG196" i="12" s="1"/>
  <c r="AC195" i="12"/>
  <c r="AC196" i="12" s="1"/>
  <c r="Y195" i="12"/>
  <c r="Y196" i="12" s="1"/>
  <c r="X195" i="12"/>
  <c r="X196" i="12" s="1"/>
  <c r="Q195" i="12"/>
  <c r="Q196" i="12" s="1"/>
  <c r="AF195" i="12"/>
  <c r="AF196" i="12" s="1"/>
  <c r="P195" i="12"/>
  <c r="P196" i="12" s="1"/>
  <c r="S195" i="12"/>
  <c r="S196" i="12" s="1"/>
  <c r="Z195" i="12"/>
  <c r="Z196" i="12" s="1"/>
  <c r="W195" i="12"/>
  <c r="W196" i="12" s="1"/>
  <c r="AA195" i="12"/>
  <c r="AA196" i="12" s="1"/>
  <c r="T195" i="12"/>
  <c r="T196" i="12" s="1"/>
  <c r="U195" i="12"/>
  <c r="U196" i="12" s="1"/>
  <c r="U92" i="9"/>
  <c r="R94" i="9" s="1"/>
  <c r="S94" i="9" s="1"/>
  <c r="AD195" i="12" l="1"/>
  <c r="AD196" i="12" s="1"/>
  <c r="R96" i="9"/>
  <c r="S96" i="9" s="1"/>
  <c r="R93" i="9"/>
  <c r="S93" i="9" s="1"/>
  <c r="R97" i="9"/>
  <c r="S97" i="9" s="1"/>
  <c r="R95" i="9"/>
  <c r="S95" i="9" s="1"/>
  <c r="N82" i="12" l="1"/>
  <c r="N146" i="12" s="1"/>
  <c r="O82" i="12"/>
  <c r="O146" i="12" s="1"/>
  <c r="P82" i="12"/>
  <c r="P146" i="12" s="1"/>
  <c r="Q82" i="12"/>
  <c r="Q146" i="12" s="1"/>
  <c r="R82" i="12"/>
  <c r="R146" i="12" s="1"/>
  <c r="S82" i="12"/>
  <c r="S146" i="12" s="1"/>
  <c r="T82" i="12"/>
  <c r="T146" i="12" s="1"/>
  <c r="U82" i="12"/>
  <c r="U146" i="12" s="1"/>
  <c r="V82" i="12"/>
  <c r="V146" i="12" s="1"/>
  <c r="W82" i="12"/>
  <c r="W146" i="12" s="1"/>
  <c r="X82" i="12"/>
  <c r="X146" i="12" s="1"/>
  <c r="Y82" i="12"/>
  <c r="Y146" i="12" s="1"/>
  <c r="Z82" i="12"/>
  <c r="Z146" i="12" s="1"/>
  <c r="AA82" i="12"/>
  <c r="AA146" i="12" s="1"/>
  <c r="AB82" i="12"/>
  <c r="AB146" i="12" s="1"/>
  <c r="AC82" i="12"/>
  <c r="AC146" i="12" s="1"/>
  <c r="AD82" i="12"/>
  <c r="AD146" i="12" s="1"/>
  <c r="AE82" i="12"/>
  <c r="AE146" i="12" s="1"/>
  <c r="AF82" i="12"/>
  <c r="AF146" i="12" s="1"/>
  <c r="AG82" i="12"/>
  <c r="AG146" i="12" s="1"/>
  <c r="AH82" i="12"/>
  <c r="AH146" i="12" s="1"/>
  <c r="AI82" i="12"/>
  <c r="AI146" i="12" s="1"/>
  <c r="AJ82" i="12"/>
  <c r="AJ146" i="12" s="1"/>
  <c r="AK82" i="12"/>
  <c r="AK146" i="12" s="1"/>
  <c r="AL82" i="12"/>
  <c r="AL146" i="12" s="1"/>
  <c r="AM82" i="12"/>
  <c r="AM146" i="12" s="1"/>
  <c r="AN82" i="12"/>
  <c r="AN146" i="12" s="1"/>
  <c r="AO82" i="12"/>
  <c r="AO146" i="12" s="1"/>
  <c r="AP82" i="12"/>
  <c r="AP146" i="12" s="1"/>
  <c r="AQ82" i="12"/>
  <c r="AQ146" i="12" s="1"/>
  <c r="AR82" i="12"/>
  <c r="AR146" i="12" s="1"/>
  <c r="AS82" i="12"/>
  <c r="AS146" i="12" s="1"/>
  <c r="AT82" i="12"/>
  <c r="AT146" i="12" s="1"/>
  <c r="AU82" i="12"/>
  <c r="AU146" i="12" s="1"/>
  <c r="AV82" i="12"/>
  <c r="AV146" i="12" s="1"/>
  <c r="N119" i="12"/>
  <c r="N183" i="12" s="1"/>
  <c r="O119" i="12"/>
  <c r="O183" i="12" s="1"/>
  <c r="P119" i="12"/>
  <c r="P183" i="12" s="1"/>
  <c r="Q119" i="12"/>
  <c r="Q183" i="12" s="1"/>
  <c r="R119" i="12"/>
  <c r="R183" i="12" s="1"/>
  <c r="S119" i="12"/>
  <c r="S183" i="12" s="1"/>
  <c r="T119" i="12"/>
  <c r="T183" i="12" s="1"/>
  <c r="U119" i="12"/>
  <c r="U183" i="12" s="1"/>
  <c r="V119" i="12"/>
  <c r="V183" i="12" s="1"/>
  <c r="W119" i="12"/>
  <c r="W183" i="12" s="1"/>
  <c r="X119" i="12"/>
  <c r="X183" i="12" s="1"/>
  <c r="Y119" i="12"/>
  <c r="Y183" i="12" s="1"/>
  <c r="Z119" i="12"/>
  <c r="Z183" i="12" s="1"/>
  <c r="AA119" i="12"/>
  <c r="AA183" i="12" s="1"/>
  <c r="AB119" i="12"/>
  <c r="AB183" i="12" s="1"/>
  <c r="AC119" i="12"/>
  <c r="AD119" i="12"/>
  <c r="AD183" i="12" s="1"/>
  <c r="AE119" i="12"/>
  <c r="AE183" i="12" s="1"/>
  <c r="AF119" i="12"/>
  <c r="AF183" i="12" s="1"/>
  <c r="AG119" i="12"/>
  <c r="AG183" i="12" s="1"/>
  <c r="AH119" i="12"/>
  <c r="AH183" i="12" s="1"/>
  <c r="AI119" i="12"/>
  <c r="AI183" i="12" s="1"/>
  <c r="AJ119" i="12"/>
  <c r="AJ183" i="12" s="1"/>
  <c r="AK119" i="12"/>
  <c r="AK183" i="12" s="1"/>
  <c r="AL119" i="12"/>
  <c r="AL183" i="12" s="1"/>
  <c r="AM119" i="12"/>
  <c r="AM183" i="12" s="1"/>
  <c r="AN119" i="12"/>
  <c r="AN183" i="12" s="1"/>
  <c r="AO119" i="12"/>
  <c r="AO183" i="12" s="1"/>
  <c r="AP119" i="12"/>
  <c r="AP183" i="12" s="1"/>
  <c r="AQ119" i="12"/>
  <c r="AQ183" i="12" s="1"/>
  <c r="AR119" i="12"/>
  <c r="AR183" i="12" s="1"/>
  <c r="AS119" i="12"/>
  <c r="AS183" i="12" s="1"/>
  <c r="AT119" i="12"/>
  <c r="AT183" i="12" s="1"/>
  <c r="AU119" i="12"/>
  <c r="AU183" i="12" s="1"/>
  <c r="AV119" i="12"/>
  <c r="AV183" i="12" s="1"/>
  <c r="AC183" i="12"/>
  <c r="M9" i="11" l="1" a="1"/>
  <c r="M11" i="11" s="1"/>
  <c r="O11" i="11" s="1"/>
  <c r="M7" i="13" a="1"/>
  <c r="M24" i="13" s="1"/>
  <c r="CS81" i="8" a="1"/>
  <c r="CS81" i="8" s="1"/>
  <c r="DB79" i="7" a="1"/>
  <c r="DB79" i="7" s="1"/>
  <c r="AT197" i="7" s="1"/>
  <c r="AV197" i="7" s="1"/>
  <c r="M26" i="11" l="1"/>
  <c r="O26" i="11" s="1"/>
  <c r="M42" i="11"/>
  <c r="O42" i="11" s="1"/>
  <c r="N42" i="11" s="1"/>
  <c r="M10" i="11"/>
  <c r="O10" i="11" s="1"/>
  <c r="M34" i="11"/>
  <c r="O34" i="11" s="1"/>
  <c r="N34" i="11" s="1"/>
  <c r="M18" i="11"/>
  <c r="O18" i="11" s="1"/>
  <c r="M9" i="11"/>
  <c r="O9" i="11" s="1"/>
  <c r="M38" i="11"/>
  <c r="O38" i="11" s="1"/>
  <c r="N38" i="11" s="1"/>
  <c r="M30" i="11"/>
  <c r="O30" i="11" s="1"/>
  <c r="N30" i="11" s="1"/>
  <c r="M22" i="11"/>
  <c r="O22" i="11" s="1"/>
  <c r="M14" i="11"/>
  <c r="O14" i="11" s="1"/>
  <c r="M44" i="11"/>
  <c r="O44" i="11" s="1"/>
  <c r="N44" i="11" s="1"/>
  <c r="M40" i="11"/>
  <c r="O40" i="11" s="1"/>
  <c r="N40" i="11" s="1"/>
  <c r="M36" i="11"/>
  <c r="O36" i="11" s="1"/>
  <c r="N36" i="11" s="1"/>
  <c r="M32" i="11"/>
  <c r="O32" i="11" s="1"/>
  <c r="N32" i="11" s="1"/>
  <c r="M28" i="11"/>
  <c r="O28" i="11" s="1"/>
  <c r="M24" i="11"/>
  <c r="O24" i="11" s="1"/>
  <c r="M20" i="11"/>
  <c r="O20" i="11" s="1"/>
  <c r="M16" i="11"/>
  <c r="O16" i="11" s="1"/>
  <c r="M12" i="11"/>
  <c r="O12" i="11" s="1"/>
  <c r="M43" i="11"/>
  <c r="O43" i="11" s="1"/>
  <c r="N43" i="11" s="1"/>
  <c r="M41" i="11"/>
  <c r="O41" i="11" s="1"/>
  <c r="N41" i="11" s="1"/>
  <c r="M39" i="11"/>
  <c r="O39" i="11" s="1"/>
  <c r="N39" i="11" s="1"/>
  <c r="M37" i="11"/>
  <c r="O37" i="11" s="1"/>
  <c r="N37" i="11" s="1"/>
  <c r="M35" i="11"/>
  <c r="O35" i="11" s="1"/>
  <c r="N35" i="11" s="1"/>
  <c r="M33" i="11"/>
  <c r="O33" i="11" s="1"/>
  <c r="N33" i="11" s="1"/>
  <c r="M31" i="11"/>
  <c r="O31" i="11" s="1"/>
  <c r="N31" i="11" s="1"/>
  <c r="M29" i="11"/>
  <c r="O29" i="11" s="1"/>
  <c r="M27" i="11"/>
  <c r="O27" i="11" s="1"/>
  <c r="M25" i="11"/>
  <c r="O25" i="11" s="1"/>
  <c r="M23" i="11"/>
  <c r="O23" i="11" s="1"/>
  <c r="M21" i="11"/>
  <c r="O21" i="11" s="1"/>
  <c r="M19" i="11"/>
  <c r="O19" i="11" s="1"/>
  <c r="M17" i="11"/>
  <c r="O17" i="11" s="1"/>
  <c r="M15" i="11"/>
  <c r="O15" i="11" s="1"/>
  <c r="M13" i="11"/>
  <c r="O13" i="11" s="1"/>
  <c r="M8" i="13"/>
  <c r="CS96" i="8"/>
  <c r="CS95" i="8"/>
  <c r="CS94" i="8"/>
  <c r="CS93" i="8"/>
  <c r="CS92" i="8"/>
  <c r="CS91" i="8"/>
  <c r="CS90" i="8"/>
  <c r="CS89" i="8"/>
  <c r="CS88" i="8"/>
  <c r="CS87" i="8"/>
  <c r="CS86" i="8"/>
  <c r="CS85" i="8"/>
  <c r="CS84" i="8"/>
  <c r="CS83" i="8"/>
  <c r="CS82" i="8"/>
  <c r="DB94" i="7"/>
  <c r="AT212" i="7" s="1"/>
  <c r="AV212" i="7" s="1"/>
  <c r="DB86" i="7"/>
  <c r="AT204" i="7" s="1"/>
  <c r="AV204" i="7" s="1"/>
  <c r="DB90" i="7"/>
  <c r="AT208" i="7" s="1"/>
  <c r="AV208" i="7" s="1"/>
  <c r="DB82" i="7"/>
  <c r="AT200" i="7" s="1"/>
  <c r="AV200" i="7" s="1"/>
  <c r="DB92" i="7"/>
  <c r="AT210" i="7" s="1"/>
  <c r="AV210" i="7" s="1"/>
  <c r="DB88" i="7"/>
  <c r="AT206" i="7" s="1"/>
  <c r="AV206" i="7" s="1"/>
  <c r="DB84" i="7"/>
  <c r="AT202" i="7" s="1"/>
  <c r="AV202" i="7" s="1"/>
  <c r="DB80" i="7"/>
  <c r="AT198" i="7" s="1"/>
  <c r="AV198" i="7" s="1"/>
  <c r="BO187" i="7" s="1"/>
  <c r="DB95" i="7"/>
  <c r="AT213" i="7" s="1"/>
  <c r="AV213" i="7" s="1"/>
  <c r="DB93" i="7"/>
  <c r="AT211" i="7" s="1"/>
  <c r="AV211" i="7" s="1"/>
  <c r="DB91" i="7"/>
  <c r="AT209" i="7" s="1"/>
  <c r="AV209" i="7" s="1"/>
  <c r="DB89" i="7"/>
  <c r="AT207" i="7" s="1"/>
  <c r="AV207" i="7" s="1"/>
  <c r="DB87" i="7"/>
  <c r="AT205" i="7" s="1"/>
  <c r="AV205" i="7" s="1"/>
  <c r="DB85" i="7"/>
  <c r="AT203" i="7" s="1"/>
  <c r="AV203" i="7" s="1"/>
  <c r="DB83" i="7"/>
  <c r="AT201" i="7" s="1"/>
  <c r="AV201" i="7" s="1"/>
  <c r="DB81" i="7"/>
  <c r="AT199" i="7" s="1"/>
  <c r="AV199" i="7" s="1"/>
  <c r="AH258" i="3"/>
  <c r="Z258" i="3"/>
  <c r="R258" i="3"/>
  <c r="M12" i="13"/>
  <c r="M20" i="13"/>
  <c r="M16" i="13"/>
  <c r="AD258" i="3"/>
  <c r="V258" i="3"/>
  <c r="M7" i="13"/>
  <c r="M9" i="13"/>
  <c r="M11" i="13"/>
  <c r="M13" i="13"/>
  <c r="M15" i="13"/>
  <c r="M17" i="13"/>
  <c r="M19" i="13"/>
  <c r="M21" i="13"/>
  <c r="M23" i="13"/>
  <c r="M25" i="13"/>
  <c r="M26" i="13"/>
  <c r="M27" i="13"/>
  <c r="O27" i="13" s="1"/>
  <c r="N27" i="13" s="1"/>
  <c r="M28" i="13"/>
  <c r="O28" i="13" s="1"/>
  <c r="N28" i="13" s="1"/>
  <c r="M29" i="13"/>
  <c r="O29" i="13" s="1"/>
  <c r="N29" i="13" s="1"/>
  <c r="M30" i="13"/>
  <c r="O30" i="13" s="1"/>
  <c r="N30" i="13" s="1"/>
  <c r="M31" i="13"/>
  <c r="O31" i="13" s="1"/>
  <c r="N31" i="13" s="1"/>
  <c r="M32" i="13"/>
  <c r="O32" i="13" s="1"/>
  <c r="N32" i="13" s="1"/>
  <c r="M33" i="13"/>
  <c r="O33" i="13" s="1"/>
  <c r="N33" i="13" s="1"/>
  <c r="M34" i="13"/>
  <c r="O34" i="13" s="1"/>
  <c r="N34" i="13" s="1"/>
  <c r="M35" i="13"/>
  <c r="O35" i="13" s="1"/>
  <c r="N35" i="13" s="1"/>
  <c r="M36" i="13"/>
  <c r="O36" i="13" s="1"/>
  <c r="N36" i="13" s="1"/>
  <c r="M37" i="13"/>
  <c r="O37" i="13" s="1"/>
  <c r="N37" i="13" s="1"/>
  <c r="M38" i="13"/>
  <c r="O38" i="13" s="1"/>
  <c r="N38" i="13" s="1"/>
  <c r="M39" i="13"/>
  <c r="O39" i="13" s="1"/>
  <c r="N39" i="13" s="1"/>
  <c r="M40" i="13"/>
  <c r="O40" i="13" s="1"/>
  <c r="N40" i="13" s="1"/>
  <c r="M41" i="13"/>
  <c r="O41" i="13" s="1"/>
  <c r="N41" i="13" s="1"/>
  <c r="M42" i="13"/>
  <c r="O42" i="13" s="1"/>
  <c r="N42" i="13" s="1"/>
  <c r="M10" i="13"/>
  <c r="M14" i="13"/>
  <c r="M18" i="13"/>
  <c r="M22" i="13"/>
  <c r="AF258" i="3" l="1"/>
  <c r="AB258" i="3"/>
  <c r="X258" i="3"/>
  <c r="T258" i="3"/>
  <c r="P258" i="3"/>
  <c r="AI258" i="3"/>
  <c r="AE258" i="3"/>
  <c r="AA258" i="3"/>
  <c r="W258" i="3"/>
  <c r="S258" i="3"/>
  <c r="AG258" i="3"/>
  <c r="AC258" i="3"/>
  <c r="Y258" i="3"/>
  <c r="U258" i="3"/>
  <c r="Q258" i="3"/>
  <c r="E7" i="13" l="1" a="1"/>
  <c r="E27" i="13" s="1"/>
  <c r="G27" i="13" s="1"/>
  <c r="F27" i="13" s="1"/>
  <c r="E34" i="13" l="1"/>
  <c r="G34" i="13" s="1"/>
  <c r="F34" i="13" s="1"/>
  <c r="E39" i="13"/>
  <c r="G39" i="13" s="1"/>
  <c r="F39" i="13" s="1"/>
  <c r="E23" i="13"/>
  <c r="E41" i="13"/>
  <c r="G41" i="13" s="1"/>
  <c r="F41" i="13" s="1"/>
  <c r="E37" i="13"/>
  <c r="G37" i="13" s="1"/>
  <c r="F37" i="13" s="1"/>
  <c r="E30" i="13"/>
  <c r="G30" i="13" s="1"/>
  <c r="F30" i="13" s="1"/>
  <c r="E21" i="13"/>
  <c r="E42" i="13"/>
  <c r="G42" i="13" s="1"/>
  <c r="F42" i="13" s="1"/>
  <c r="E40" i="13"/>
  <c r="G40" i="13" s="1"/>
  <c r="F40" i="13" s="1"/>
  <c r="E38" i="13"/>
  <c r="G38" i="13" s="1"/>
  <c r="F38" i="13" s="1"/>
  <c r="E36" i="13"/>
  <c r="G36" i="13" s="1"/>
  <c r="F36" i="13" s="1"/>
  <c r="E32" i="13"/>
  <c r="G32" i="13" s="1"/>
  <c r="F32" i="13" s="1"/>
  <c r="E13" i="13"/>
  <c r="E15" i="13"/>
  <c r="E14" i="13"/>
  <c r="E35" i="13"/>
  <c r="G35" i="13" s="1"/>
  <c r="F35" i="13" s="1"/>
  <c r="E33" i="13"/>
  <c r="G33" i="13" s="1"/>
  <c r="F33" i="13" s="1"/>
  <c r="E31" i="13"/>
  <c r="G31" i="13" s="1"/>
  <c r="F31" i="13" s="1"/>
  <c r="E28" i="13"/>
  <c r="G28" i="13" s="1"/>
  <c r="F28" i="13" s="1"/>
  <c r="E24" i="13"/>
  <c r="E9" i="13"/>
  <c r="E8" i="13"/>
  <c r="E18" i="13"/>
  <c r="E22" i="13"/>
  <c r="E29" i="13"/>
  <c r="G29" i="13" s="1"/>
  <c r="F29" i="13" s="1"/>
  <c r="E11" i="13"/>
  <c r="E10" i="13"/>
  <c r="E19" i="13"/>
  <c r="E16" i="13"/>
  <c r="E12" i="13"/>
  <c r="E20" i="13"/>
  <c r="E17" i="13"/>
  <c r="E7" i="13"/>
  <c r="E26" i="13"/>
  <c r="E25" i="13"/>
  <c r="AK258" i="3" l="1"/>
  <c r="AM258" i="3"/>
  <c r="AO258" i="3"/>
  <c r="AQ258" i="3"/>
  <c r="AJ258" i="3"/>
  <c r="AL258" i="3"/>
  <c r="AN258" i="3"/>
  <c r="AP258" i="3"/>
  <c r="AR258" i="3"/>
  <c r="Q9" i="11" l="1" a="1"/>
  <c r="Q9" i="11" l="1"/>
  <c r="S9" i="11" s="1"/>
  <c r="Q16" i="11"/>
  <c r="S16" i="11" s="1"/>
  <c r="Q17" i="11"/>
  <c r="S17" i="11" s="1"/>
  <c r="Q25" i="11"/>
  <c r="S25" i="11" s="1"/>
  <c r="Q29" i="11"/>
  <c r="S29" i="11" s="1"/>
  <c r="Q24" i="11"/>
  <c r="S24" i="11" s="1"/>
  <c r="Q28" i="11"/>
  <c r="S28" i="11" s="1"/>
  <c r="Q22" i="11"/>
  <c r="S22" i="11" s="1"/>
  <c r="Q18" i="11"/>
  <c r="S18" i="11" s="1"/>
  <c r="Q13" i="11"/>
  <c r="S13" i="11" s="1"/>
  <c r="Q10" i="11"/>
  <c r="S10" i="11" s="1"/>
  <c r="Q20" i="11"/>
  <c r="S20" i="11" s="1"/>
  <c r="Q23" i="11"/>
  <c r="S23" i="11" s="1"/>
  <c r="Q27" i="11"/>
  <c r="S27" i="11" s="1"/>
  <c r="Q14" i="11"/>
  <c r="S14" i="11" s="1"/>
  <c r="Q15" i="11"/>
  <c r="S15" i="11" s="1"/>
  <c r="Q12" i="11"/>
  <c r="S12" i="11" s="1"/>
  <c r="Q11" i="11"/>
  <c r="S11" i="11" s="1"/>
  <c r="Q26" i="11"/>
  <c r="S26" i="11" s="1"/>
  <c r="Q19" i="11"/>
  <c r="S19" i="11" s="1"/>
  <c r="Q21" i="11"/>
  <c r="S21" i="11" s="1"/>
  <c r="Q31" i="11"/>
  <c r="S31" i="11" s="1"/>
  <c r="R31" i="11" s="1"/>
  <c r="Q33" i="11"/>
  <c r="S33" i="11" s="1"/>
  <c r="R33" i="11" s="1"/>
  <c r="Q35" i="11"/>
  <c r="S35" i="11" s="1"/>
  <c r="R35" i="11" s="1"/>
  <c r="Q37" i="11"/>
  <c r="S37" i="11" s="1"/>
  <c r="R37" i="11" s="1"/>
  <c r="Q39" i="11"/>
  <c r="S39" i="11" s="1"/>
  <c r="R39" i="11" s="1"/>
  <c r="Q41" i="11"/>
  <c r="S41" i="11" s="1"/>
  <c r="R41" i="11" s="1"/>
  <c r="Q43" i="11"/>
  <c r="S43" i="11" s="1"/>
  <c r="R43" i="11" s="1"/>
  <c r="Q30" i="11"/>
  <c r="S30" i="11" s="1"/>
  <c r="R30" i="11" s="1"/>
  <c r="Q32" i="11"/>
  <c r="S32" i="11" s="1"/>
  <c r="R32" i="11" s="1"/>
  <c r="Q34" i="11"/>
  <c r="S34" i="11" s="1"/>
  <c r="R34" i="11" s="1"/>
  <c r="Q36" i="11"/>
  <c r="S36" i="11" s="1"/>
  <c r="R36" i="11" s="1"/>
  <c r="Q38" i="11"/>
  <c r="S38" i="11" s="1"/>
  <c r="R38" i="11" s="1"/>
  <c r="Q40" i="11"/>
  <c r="S40" i="11" s="1"/>
  <c r="R40" i="11" s="1"/>
  <c r="Q42" i="11"/>
  <c r="S42" i="11" s="1"/>
  <c r="R42" i="11" s="1"/>
  <c r="Q44" i="11"/>
  <c r="S44" i="11" s="1"/>
  <c r="R44" i="11" s="1"/>
  <c r="BC81" i="8" a="1"/>
  <c r="V195" i="7" a="1"/>
  <c r="V196" i="7" s="1"/>
  <c r="V206" i="7" l="1"/>
  <c r="V202" i="7"/>
  <c r="V198" i="7"/>
  <c r="V208" i="7"/>
  <c r="V204" i="7"/>
  <c r="V200" i="7"/>
  <c r="BC81" i="8"/>
  <c r="BC82" i="8"/>
  <c r="BC83" i="8"/>
  <c r="BC84" i="8"/>
  <c r="BC85" i="8"/>
  <c r="BC86" i="8"/>
  <c r="BC87" i="8"/>
  <c r="BC88" i="8"/>
  <c r="BC89" i="8"/>
  <c r="BC90" i="8"/>
  <c r="BC91" i="8"/>
  <c r="BC92" i="8"/>
  <c r="BC93" i="8"/>
  <c r="BC94" i="8"/>
  <c r="BC95" i="8"/>
  <c r="BC96" i="8"/>
  <c r="V195" i="7"/>
  <c r="V197" i="7"/>
  <c r="V199" i="7"/>
  <c r="V201" i="7"/>
  <c r="V203" i="7"/>
  <c r="V205" i="7"/>
  <c r="V207" i="7"/>
  <c r="V209" i="7"/>
  <c r="AZ82" i="8" l="1"/>
  <c r="AW82" i="8" s="1"/>
  <c r="AZ83" i="8" l="1"/>
  <c r="AW83" i="8" s="1"/>
  <c r="AZ84" i="8" l="1"/>
  <c r="AW84" i="8" s="1"/>
  <c r="AZ85" i="8" l="1"/>
  <c r="AW85" i="8" s="1"/>
  <c r="AZ86" i="8" l="1"/>
  <c r="AW86" i="8" s="1"/>
  <c r="AZ87" i="8" l="1"/>
  <c r="AW87" i="8" s="1"/>
  <c r="AZ88" i="8" l="1"/>
  <c r="AW88" i="8" s="1"/>
  <c r="AZ89" i="8" l="1"/>
  <c r="AW89" i="8" s="1"/>
  <c r="AZ90" i="8" l="1"/>
  <c r="AW90" i="8" s="1"/>
  <c r="AZ91" i="8" l="1"/>
  <c r="AW91" i="8" s="1"/>
  <c r="AZ92" i="8" l="1"/>
  <c r="AW92" i="8" s="1"/>
  <c r="AZ93" i="8" l="1"/>
  <c r="AW93" i="8" s="1"/>
  <c r="AZ94" i="8" l="1"/>
  <c r="AW94" i="8" s="1"/>
  <c r="AZ95" i="8" l="1"/>
  <c r="AW95" i="8" s="1"/>
  <c r="AZ96" i="8" l="1"/>
  <c r="AW96" i="8" s="1"/>
  <c r="AH195" i="12"/>
  <c r="AH196" i="12" s="1"/>
  <c r="DF79" i="7" l="1" a="1"/>
  <c r="DF79" i="7" l="1"/>
  <c r="DJ79" i="7" s="1"/>
  <c r="DF80" i="7"/>
  <c r="DF81" i="7"/>
  <c r="DF82" i="7"/>
  <c r="DF83" i="7"/>
  <c r="DF84" i="7"/>
  <c r="DF85" i="7"/>
  <c r="DF86" i="7"/>
  <c r="DF87" i="7"/>
  <c r="DF88" i="7"/>
  <c r="DF89" i="7"/>
  <c r="DF90" i="7"/>
  <c r="DF91" i="7"/>
  <c r="DF92" i="7"/>
  <c r="DF93" i="7"/>
  <c r="DF94" i="7"/>
  <c r="DF95" i="7"/>
  <c r="DJ80" i="7" l="1"/>
  <c r="DJ81" i="7" s="1"/>
  <c r="DJ82" i="7" s="1"/>
  <c r="DJ83" i="7" s="1"/>
  <c r="DJ84" i="7" s="1"/>
  <c r="DJ85" i="7" s="1"/>
  <c r="DJ86" i="7" s="1"/>
  <c r="DJ87" i="7" s="1"/>
  <c r="DJ88" i="7" s="1"/>
  <c r="DJ89" i="7" s="1"/>
  <c r="DJ90" i="7" s="1"/>
  <c r="DJ91" i="7" s="1"/>
  <c r="DJ92" i="7" s="1"/>
  <c r="DJ93" i="7" s="1"/>
  <c r="DJ94" i="7" s="1"/>
  <c r="DJ95" i="7" s="1"/>
  <c r="AI73" i="12" l="1"/>
  <c r="AI137" i="12" s="1"/>
  <c r="AJ73" i="12"/>
  <c r="AJ137" i="12" s="1"/>
  <c r="AK73" i="12"/>
  <c r="AL73" i="12"/>
  <c r="AL137" i="12" s="1"/>
  <c r="AM73" i="12"/>
  <c r="AM137" i="12" s="1"/>
  <c r="AN73" i="12"/>
  <c r="AN137" i="12" s="1"/>
  <c r="AO73" i="12"/>
  <c r="AO137" i="12" s="1"/>
  <c r="AP73" i="12"/>
  <c r="AP137" i="12" s="1"/>
  <c r="AQ73" i="12"/>
  <c r="AQ137" i="12" s="1"/>
  <c r="AR73" i="12"/>
  <c r="AR137" i="12" s="1"/>
  <c r="AS73" i="12"/>
  <c r="AS137" i="12" s="1"/>
  <c r="AT73" i="12"/>
  <c r="AT137" i="12" s="1"/>
  <c r="AU73" i="12"/>
  <c r="AU137" i="12" s="1"/>
  <c r="AV73" i="12"/>
  <c r="AV137" i="12" s="1"/>
  <c r="AK137" i="12"/>
  <c r="AJ72" i="6"/>
  <c r="AJ131" i="6" s="1"/>
  <c r="AK72" i="6"/>
  <c r="AL72" i="6"/>
  <c r="AL131" i="6" s="1"/>
  <c r="AM72" i="6"/>
  <c r="AM131" i="6" s="1"/>
  <c r="AN72" i="6"/>
  <c r="AN131" i="6" s="1"/>
  <c r="AO72" i="6"/>
  <c r="AO131" i="6" s="1"/>
  <c r="AP72" i="6"/>
  <c r="AP131" i="6" s="1"/>
  <c r="AQ72" i="6"/>
  <c r="AQ131" i="6" s="1"/>
  <c r="AR72" i="6"/>
  <c r="AR131" i="6" s="1"/>
  <c r="AK131" i="6"/>
  <c r="I9" i="11" a="1"/>
  <c r="I22" i="11" s="1"/>
  <c r="K22" i="11" s="1"/>
  <c r="Q7" i="13" a="1"/>
  <c r="Q27" i="13" s="1"/>
  <c r="S27" i="13" s="1"/>
  <c r="R27" i="13" s="1"/>
  <c r="I7" i="13" a="1"/>
  <c r="I27" i="13" s="1"/>
  <c r="K27" i="13" s="1"/>
  <c r="J27" i="13" s="1"/>
  <c r="CQ81" i="8" a="1"/>
  <c r="CQ81" i="8" s="1"/>
  <c r="CU81" i="8" s="1"/>
  <c r="BW80" i="8" a="1"/>
  <c r="BW87" i="8" s="1"/>
  <c r="DL79" i="7" a="1"/>
  <c r="DL84" i="7" s="1"/>
  <c r="I27" i="11" l="1"/>
  <c r="K27" i="11" s="1"/>
  <c r="I26" i="11"/>
  <c r="K26" i="11" s="1"/>
  <c r="CQ90" i="8"/>
  <c r="CT90" i="8" s="1"/>
  <c r="DK90" i="8" s="1"/>
  <c r="I39" i="11"/>
  <c r="K39" i="11" s="1"/>
  <c r="J39" i="11" s="1"/>
  <c r="I11" i="13"/>
  <c r="I31" i="11"/>
  <c r="K31" i="11" s="1"/>
  <c r="J31" i="11" s="1"/>
  <c r="I13" i="11"/>
  <c r="K13" i="11" s="1"/>
  <c r="I12" i="11"/>
  <c r="K12" i="11" s="1"/>
  <c r="I43" i="11"/>
  <c r="K43" i="11" s="1"/>
  <c r="J43" i="11" s="1"/>
  <c r="I35" i="11"/>
  <c r="K35" i="11" s="1"/>
  <c r="J35" i="11" s="1"/>
  <c r="I18" i="11"/>
  <c r="K18" i="11" s="1"/>
  <c r="I15" i="11"/>
  <c r="K15" i="11" s="1"/>
  <c r="I11" i="11"/>
  <c r="K11" i="11" s="1"/>
  <c r="I41" i="11"/>
  <c r="K41" i="11" s="1"/>
  <c r="J41" i="11" s="1"/>
  <c r="I37" i="11"/>
  <c r="K37" i="11" s="1"/>
  <c r="J37" i="11" s="1"/>
  <c r="I33" i="11"/>
  <c r="K33" i="11" s="1"/>
  <c r="J33" i="11" s="1"/>
  <c r="I20" i="11"/>
  <c r="K20" i="11" s="1"/>
  <c r="I25" i="13"/>
  <c r="I16" i="13"/>
  <c r="I10" i="11"/>
  <c r="K10" i="11" s="1"/>
  <c r="I24" i="11"/>
  <c r="K24" i="11" s="1"/>
  <c r="I14" i="11"/>
  <c r="K14" i="11" s="1"/>
  <c r="Q13" i="13"/>
  <c r="I44" i="11"/>
  <c r="K44" i="11" s="1"/>
  <c r="J44" i="11" s="1"/>
  <c r="I42" i="11"/>
  <c r="K42" i="11" s="1"/>
  <c r="J42" i="11" s="1"/>
  <c r="I40" i="11"/>
  <c r="K40" i="11" s="1"/>
  <c r="J40" i="11" s="1"/>
  <c r="I38" i="11"/>
  <c r="K38" i="11" s="1"/>
  <c r="J38" i="11" s="1"/>
  <c r="I36" i="11"/>
  <c r="K36" i="11" s="1"/>
  <c r="J36" i="11" s="1"/>
  <c r="I34" i="11"/>
  <c r="K34" i="11" s="1"/>
  <c r="J34" i="11" s="1"/>
  <c r="I32" i="11"/>
  <c r="K32" i="11" s="1"/>
  <c r="J32" i="11" s="1"/>
  <c r="I17" i="11"/>
  <c r="K17" i="11" s="1"/>
  <c r="I21" i="11"/>
  <c r="K21" i="11" s="1"/>
  <c r="I25" i="11"/>
  <c r="K25" i="11" s="1"/>
  <c r="I18" i="13"/>
  <c r="I12" i="13"/>
  <c r="I28" i="11"/>
  <c r="K28" i="11" s="1"/>
  <c r="I19" i="11"/>
  <c r="K19" i="11" s="1"/>
  <c r="I29" i="11"/>
  <c r="K29" i="11" s="1"/>
  <c r="I30" i="11"/>
  <c r="K30" i="11" s="1"/>
  <c r="J30" i="11" s="1"/>
  <c r="I16" i="11"/>
  <c r="K16" i="11" s="1"/>
  <c r="I9" i="11"/>
  <c r="K9" i="11" s="1"/>
  <c r="I23" i="11"/>
  <c r="K23" i="11" s="1"/>
  <c r="Q32" i="13"/>
  <c r="S32" i="13" s="1"/>
  <c r="R32" i="13" s="1"/>
  <c r="Q20" i="13"/>
  <c r="DL88" i="7"/>
  <c r="Q40" i="13"/>
  <c r="S40" i="13" s="1"/>
  <c r="R40" i="13" s="1"/>
  <c r="CQ94" i="8"/>
  <c r="CT94" i="8" s="1"/>
  <c r="DK94" i="8" s="1"/>
  <c r="CQ86" i="8"/>
  <c r="CT86" i="8" s="1"/>
  <c r="DK86" i="8" s="1"/>
  <c r="Q21" i="13"/>
  <c r="DL92" i="7"/>
  <c r="Q36" i="13"/>
  <c r="S36" i="13" s="1"/>
  <c r="R36" i="13" s="1"/>
  <c r="CQ96" i="8"/>
  <c r="CU96" i="8" s="1"/>
  <c r="CQ92" i="8"/>
  <c r="CT92" i="8" s="1"/>
  <c r="DK92" i="8" s="1"/>
  <c r="CQ88" i="8"/>
  <c r="CT88" i="8" s="1"/>
  <c r="DK88" i="8" s="1"/>
  <c r="CQ83" i="8"/>
  <c r="CT83" i="8" s="1"/>
  <c r="DK83" i="8" s="1"/>
  <c r="Q10" i="13"/>
  <c r="Q12" i="13"/>
  <c r="Q42" i="13"/>
  <c r="S42" i="13" s="1"/>
  <c r="R42" i="13" s="1"/>
  <c r="Q38" i="13"/>
  <c r="S38" i="13" s="1"/>
  <c r="R38" i="13" s="1"/>
  <c r="Q34" i="13"/>
  <c r="S34" i="13" s="1"/>
  <c r="R34" i="13" s="1"/>
  <c r="Q30" i="13"/>
  <c r="S30" i="13" s="1"/>
  <c r="R30" i="13" s="1"/>
  <c r="CQ95" i="8"/>
  <c r="CT95" i="8" s="1"/>
  <c r="DK95" i="8" s="1"/>
  <c r="CQ93" i="8"/>
  <c r="CT93" i="8" s="1"/>
  <c r="DK93" i="8" s="1"/>
  <c r="CQ91" i="8"/>
  <c r="CT91" i="8" s="1"/>
  <c r="DK91" i="8" s="1"/>
  <c r="CQ89" i="8"/>
  <c r="CT89" i="8" s="1"/>
  <c r="DK89" i="8" s="1"/>
  <c r="CQ87" i="8"/>
  <c r="CT87" i="8" s="1"/>
  <c r="DK87" i="8" s="1"/>
  <c r="BW85" i="8"/>
  <c r="Q24" i="13"/>
  <c r="Q17" i="13"/>
  <c r="Q14" i="13"/>
  <c r="Q9" i="13"/>
  <c r="Q8" i="13"/>
  <c r="CQ82" i="8"/>
  <c r="CU82" i="8" s="1"/>
  <c r="Q28" i="13"/>
  <c r="S28" i="13" s="1"/>
  <c r="R28" i="13" s="1"/>
  <c r="Q41" i="13"/>
  <c r="S41" i="13" s="1"/>
  <c r="R41" i="13" s="1"/>
  <c r="Q39" i="13"/>
  <c r="S39" i="13" s="1"/>
  <c r="R39" i="13" s="1"/>
  <c r="Q37" i="13"/>
  <c r="S37" i="13" s="1"/>
  <c r="R37" i="13" s="1"/>
  <c r="Q35" i="13"/>
  <c r="S35" i="13" s="1"/>
  <c r="R35" i="13" s="1"/>
  <c r="Q33" i="13"/>
  <c r="S33" i="13" s="1"/>
  <c r="R33" i="13" s="1"/>
  <c r="Q31" i="13"/>
  <c r="S31" i="13" s="1"/>
  <c r="R31" i="13" s="1"/>
  <c r="Q29" i="13"/>
  <c r="S29" i="13" s="1"/>
  <c r="R29" i="13" s="1"/>
  <c r="BW95" i="8"/>
  <c r="BW93" i="8"/>
  <c r="BW91" i="8"/>
  <c r="BW89" i="8"/>
  <c r="CQ85" i="8"/>
  <c r="CT85" i="8" s="1"/>
  <c r="DK85" i="8" s="1"/>
  <c r="CQ84" i="8"/>
  <c r="CT84" i="8" s="1"/>
  <c r="DK84" i="8" s="1"/>
  <c r="Q22" i="13"/>
  <c r="Q23" i="13"/>
  <c r="Q16" i="13"/>
  <c r="Q18" i="13"/>
  <c r="Q11" i="13"/>
  <c r="Q26" i="13"/>
  <c r="Q25" i="13"/>
  <c r="Q19" i="13"/>
  <c r="Q7" i="13"/>
  <c r="Q15" i="13"/>
  <c r="DL79" i="7"/>
  <c r="DL83" i="7"/>
  <c r="DL85" i="7"/>
  <c r="DL87" i="7"/>
  <c r="DL89" i="7"/>
  <c r="DL91" i="7"/>
  <c r="DL93" i="7"/>
  <c r="DL95" i="7"/>
  <c r="I28" i="13"/>
  <c r="K28" i="13" s="1"/>
  <c r="J28" i="13" s="1"/>
  <c r="I21" i="13"/>
  <c r="I24" i="13"/>
  <c r="I22" i="13"/>
  <c r="I8" i="13"/>
  <c r="I7" i="13"/>
  <c r="I13" i="13"/>
  <c r="I26" i="13"/>
  <c r="I14" i="13"/>
  <c r="I15" i="13"/>
  <c r="I20" i="13"/>
  <c r="I30" i="13"/>
  <c r="K30" i="13" s="1"/>
  <c r="J30" i="13" s="1"/>
  <c r="I32" i="13"/>
  <c r="K32" i="13" s="1"/>
  <c r="J32" i="13" s="1"/>
  <c r="I34" i="13"/>
  <c r="K34" i="13" s="1"/>
  <c r="J34" i="13" s="1"/>
  <c r="I36" i="13"/>
  <c r="K36" i="13" s="1"/>
  <c r="J36" i="13" s="1"/>
  <c r="I38" i="13"/>
  <c r="K38" i="13" s="1"/>
  <c r="J38" i="13" s="1"/>
  <c r="I40" i="13"/>
  <c r="K40" i="13" s="1"/>
  <c r="J40" i="13" s="1"/>
  <c r="I42" i="13"/>
  <c r="K42" i="13" s="1"/>
  <c r="J42" i="13" s="1"/>
  <c r="DL94" i="7"/>
  <c r="DL90" i="7"/>
  <c r="DL86" i="7"/>
  <c r="DL82" i="7"/>
  <c r="I41" i="13"/>
  <c r="K41" i="13" s="1"/>
  <c r="J41" i="13" s="1"/>
  <c r="I39" i="13"/>
  <c r="K39" i="13" s="1"/>
  <c r="J39" i="13" s="1"/>
  <c r="I37" i="13"/>
  <c r="K37" i="13" s="1"/>
  <c r="J37" i="13" s="1"/>
  <c r="I35" i="13"/>
  <c r="K35" i="13" s="1"/>
  <c r="J35" i="13" s="1"/>
  <c r="I33" i="13"/>
  <c r="K33" i="13" s="1"/>
  <c r="J33" i="13" s="1"/>
  <c r="I31" i="13"/>
  <c r="K31" i="13" s="1"/>
  <c r="J31" i="13" s="1"/>
  <c r="I29" i="13"/>
  <c r="K29" i="13" s="1"/>
  <c r="J29" i="13" s="1"/>
  <c r="BW81" i="8"/>
  <c r="BW82" i="8"/>
  <c r="BW83" i="8"/>
  <c r="BW88" i="8"/>
  <c r="BW90" i="8"/>
  <c r="BW92" i="8"/>
  <c r="BW94" i="8"/>
  <c r="BW96" i="8"/>
  <c r="I17" i="13"/>
  <c r="I9" i="13"/>
  <c r="I23" i="13"/>
  <c r="I19" i="13"/>
  <c r="I10" i="13"/>
  <c r="DL80" i="7"/>
  <c r="BW86" i="8"/>
  <c r="BW84" i="8"/>
  <c r="DL81" i="7"/>
  <c r="BW80" i="8"/>
  <c r="CU90" i="8" l="1"/>
  <c r="CU88" i="8"/>
  <c r="CT96" i="8"/>
  <c r="DK96" i="8" s="1"/>
  <c r="CT82" i="8"/>
  <c r="DK82" i="8" s="1"/>
  <c r="CU83" i="8"/>
  <c r="CU94" i="8"/>
  <c r="CU84" i="8"/>
  <c r="CU89" i="8"/>
  <c r="CU86" i="8"/>
  <c r="CU85" i="8"/>
  <c r="CU92" i="8"/>
  <c r="CU93" i="8"/>
  <c r="CU87" i="8"/>
  <c r="CU91" i="8"/>
  <c r="CU95" i="8"/>
  <c r="E9" i="11" l="1" a="1"/>
  <c r="E15" i="11" s="1"/>
  <c r="G15" i="11" s="1"/>
  <c r="BY80" i="8" a="1"/>
  <c r="BY81" i="8" s="1"/>
  <c r="AN195" i="12"/>
  <c r="AN196" i="12" s="1"/>
  <c r="AR195" i="12"/>
  <c r="AR196" i="12" s="1"/>
  <c r="AV195" i="12"/>
  <c r="AV196" i="12" s="1"/>
  <c r="AQ195" i="12"/>
  <c r="AQ196" i="12" s="1"/>
  <c r="BY94" i="8" l="1"/>
  <c r="E37" i="11"/>
  <c r="G37" i="11" s="1"/>
  <c r="F37" i="11" s="1"/>
  <c r="BY89" i="8"/>
  <c r="BY96" i="8"/>
  <c r="BY92" i="8"/>
  <c r="BY85" i="8"/>
  <c r="E42" i="11"/>
  <c r="G42" i="11" s="1"/>
  <c r="F42" i="11" s="1"/>
  <c r="E34" i="11"/>
  <c r="G34" i="11" s="1"/>
  <c r="F34" i="11" s="1"/>
  <c r="BY95" i="8"/>
  <c r="BY93" i="8"/>
  <c r="BY91" i="8"/>
  <c r="BY87" i="8"/>
  <c r="BY83" i="8"/>
  <c r="E14" i="11"/>
  <c r="G14" i="11" s="1"/>
  <c r="AJ195" i="12"/>
  <c r="AJ196" i="12" s="1"/>
  <c r="BY90" i="8"/>
  <c r="BY88" i="8"/>
  <c r="BY86" i="8"/>
  <c r="BY84" i="8"/>
  <c r="BY82" i="8"/>
  <c r="AT195" i="12"/>
  <c r="AT196" i="12" s="1"/>
  <c r="AS195" i="12"/>
  <c r="AS196" i="12" s="1"/>
  <c r="AP195" i="12"/>
  <c r="AP196" i="12" s="1"/>
  <c r="AO195" i="12"/>
  <c r="AO196" i="12" s="1"/>
  <c r="AL195" i="12"/>
  <c r="AL196" i="12" s="1"/>
  <c r="AK195" i="12"/>
  <c r="AK196" i="12" s="1"/>
  <c r="E9" i="11"/>
  <c r="G9" i="11" s="1"/>
  <c r="E21" i="11"/>
  <c r="G21" i="11" s="1"/>
  <c r="E17" i="11"/>
  <c r="G17" i="11" s="1"/>
  <c r="E23" i="11"/>
  <c r="G23" i="11" s="1"/>
  <c r="E24" i="11"/>
  <c r="G24" i="11" s="1"/>
  <c r="E30" i="11"/>
  <c r="G30" i="11" s="1"/>
  <c r="F30" i="11" s="1"/>
  <c r="E18" i="11"/>
  <c r="G18" i="11" s="1"/>
  <c r="E22" i="11"/>
  <c r="G22" i="11" s="1"/>
  <c r="E25" i="11"/>
  <c r="G25" i="11" s="1"/>
  <c r="E13" i="11"/>
  <c r="G13" i="11" s="1"/>
  <c r="E12" i="11"/>
  <c r="G12" i="11" s="1"/>
  <c r="E28" i="11"/>
  <c r="G28" i="11" s="1"/>
  <c r="E19" i="11"/>
  <c r="G19" i="11" s="1"/>
  <c r="E16" i="11"/>
  <c r="G16" i="11" s="1"/>
  <c r="E29" i="11"/>
  <c r="G29" i="11" s="1"/>
  <c r="E26" i="11"/>
  <c r="G26" i="11" s="1"/>
  <c r="E20" i="11"/>
  <c r="G20" i="11" s="1"/>
  <c r="E11" i="11"/>
  <c r="G11" i="11" s="1"/>
  <c r="E31" i="11"/>
  <c r="G31" i="11" s="1"/>
  <c r="F31" i="11" s="1"/>
  <c r="E32" i="11"/>
  <c r="G32" i="11" s="1"/>
  <c r="F32" i="11" s="1"/>
  <c r="E35" i="11"/>
  <c r="G35" i="11" s="1"/>
  <c r="F35" i="11" s="1"/>
  <c r="E36" i="11"/>
  <c r="G36" i="11" s="1"/>
  <c r="F36" i="11" s="1"/>
  <c r="E39" i="11"/>
  <c r="G39" i="11" s="1"/>
  <c r="F39" i="11" s="1"/>
  <c r="E40" i="11"/>
  <c r="G40" i="11" s="1"/>
  <c r="F40" i="11" s="1"/>
  <c r="E43" i="11"/>
  <c r="G43" i="11" s="1"/>
  <c r="F43" i="11" s="1"/>
  <c r="E44" i="11"/>
  <c r="G44" i="11" s="1"/>
  <c r="F44" i="11" s="1"/>
  <c r="AU195" i="12"/>
  <c r="AU196" i="12" s="1"/>
  <c r="AM195" i="12"/>
  <c r="AM196" i="12" s="1"/>
  <c r="E41" i="11"/>
  <c r="G41" i="11" s="1"/>
  <c r="F41" i="11" s="1"/>
  <c r="E38" i="11"/>
  <c r="G38" i="11" s="1"/>
  <c r="F38" i="11" s="1"/>
  <c r="E33" i="11"/>
  <c r="G33" i="11" s="1"/>
  <c r="F33" i="11" s="1"/>
  <c r="E27" i="11"/>
  <c r="G27" i="11" s="1"/>
  <c r="E10" i="11"/>
  <c r="G10" i="11" s="1"/>
  <c r="AI195" i="12"/>
  <c r="AI196" i="12" s="1"/>
  <c r="BY80" i="8"/>
  <c r="DN79" i="7" l="1" a="1"/>
  <c r="DN80" i="7" s="1"/>
  <c r="DD79" i="7" a="1"/>
  <c r="DD80" i="7" s="1"/>
  <c r="DN85" i="7" l="1"/>
  <c r="DN84" i="7"/>
  <c r="DN93" i="7"/>
  <c r="DN92" i="7"/>
  <c r="DD79" i="7"/>
  <c r="DH79" i="7" s="1"/>
  <c r="DH80" i="7" s="1"/>
  <c r="DN89" i="7"/>
  <c r="DN79" i="7"/>
  <c r="DN88" i="7"/>
  <c r="DN81" i="7"/>
  <c r="DN95" i="7"/>
  <c r="DN91" i="7"/>
  <c r="DN87" i="7"/>
  <c r="DN83" i="7"/>
  <c r="DN94" i="7"/>
  <c r="DN90" i="7"/>
  <c r="DN86" i="7"/>
  <c r="DN82" i="7"/>
  <c r="DD95" i="7"/>
  <c r="DD92" i="7"/>
  <c r="DD87" i="7"/>
  <c r="DD84" i="7"/>
  <c r="DD91" i="7"/>
  <c r="DD83" i="7"/>
  <c r="DD88" i="7"/>
  <c r="DD81" i="7"/>
  <c r="DD93" i="7"/>
  <c r="DD89" i="7"/>
  <c r="DD85" i="7"/>
  <c r="DD94" i="7"/>
  <c r="DD90" i="7"/>
  <c r="DD86" i="7"/>
  <c r="DD82" i="7"/>
  <c r="DH81" i="7" l="1"/>
  <c r="DH82" i="7" s="1"/>
  <c r="DH83" i="7" s="1"/>
  <c r="DH84" i="7" s="1"/>
  <c r="DH85" i="7" s="1"/>
  <c r="DH86" i="7" s="1"/>
  <c r="DH87" i="7" s="1"/>
  <c r="DH88" i="7" s="1"/>
  <c r="DH89" i="7" s="1"/>
  <c r="DH90" i="7" s="1"/>
  <c r="DH91" i="7" s="1"/>
  <c r="DH92" i="7" s="1"/>
  <c r="DH93" i="7" s="1"/>
  <c r="DH94" i="7" s="1"/>
  <c r="DH95" i="7" s="1"/>
  <c r="P86" i="3" l="1"/>
  <c r="Q86" i="3"/>
  <c r="R86" i="3"/>
  <c r="S86" i="3"/>
  <c r="T86" i="3"/>
  <c r="U86" i="3"/>
  <c r="V86" i="3"/>
  <c r="W86" i="3"/>
  <c r="X86" i="3"/>
  <c r="Y86" i="3"/>
  <c r="Z86" i="3"/>
  <c r="AA86" i="3"/>
  <c r="AB86" i="3"/>
  <c r="AC86" i="3"/>
  <c r="AD86" i="3"/>
  <c r="AE86" i="3"/>
  <c r="AF86" i="3"/>
  <c r="AG86" i="3"/>
  <c r="AH86" i="3"/>
  <c r="AI86" i="3" l="1"/>
  <c r="AR89" i="12" l="1"/>
  <c r="AR153" i="12" s="1"/>
  <c r="AT89" i="12"/>
  <c r="AT153" i="12" s="1"/>
  <c r="AV89" i="12"/>
  <c r="AV153" i="12" s="1"/>
  <c r="AS89" i="12"/>
  <c r="AS153" i="12" s="1"/>
  <c r="AU89" i="12"/>
  <c r="AU153" i="12" s="1"/>
  <c r="AQ89" i="12" l="1"/>
  <c r="AQ153" i="12" s="1"/>
  <c r="AR87" i="6"/>
  <c r="AR146" i="6" s="1"/>
  <c r="AO89" i="12"/>
  <c r="AO153" i="12" s="1"/>
  <c r="AP87" i="6"/>
  <c r="AP146" i="6" s="1"/>
  <c r="AM89" i="12"/>
  <c r="AM153" i="12" s="1"/>
  <c r="AN87" i="6"/>
  <c r="AN146" i="6" s="1"/>
  <c r="AK89" i="12"/>
  <c r="AK153" i="12" s="1"/>
  <c r="AL87" i="6"/>
  <c r="AL146" i="6" s="1"/>
  <c r="AN89" i="12"/>
  <c r="AN153" i="12" s="1"/>
  <c r="AO87" i="6"/>
  <c r="AO146" i="6" s="1"/>
  <c r="AP89" i="12"/>
  <c r="AP153" i="12" s="1"/>
  <c r="AQ87" i="6"/>
  <c r="AQ146" i="6" s="1"/>
  <c r="AL89" i="12"/>
  <c r="AL153" i="12" s="1"/>
  <c r="AM87" i="6"/>
  <c r="AM146" i="6" s="1"/>
  <c r="EA906" i="1" l="1"/>
  <c r="EA914" i="1"/>
  <c r="EA901" i="1"/>
  <c r="EA909" i="1"/>
  <c r="EA917" i="1"/>
  <c r="EA912" i="1"/>
  <c r="EA907" i="1"/>
  <c r="EA908" i="1"/>
  <c r="EA903" i="1"/>
  <c r="EA916" i="1"/>
  <c r="EA910" i="1"/>
  <c r="EA918" i="1"/>
  <c r="EA905" i="1"/>
  <c r="EA913" i="1"/>
  <c r="EA904" i="1"/>
  <c r="EA920" i="1"/>
  <c r="EA915" i="1"/>
  <c r="EA919" i="1"/>
  <c r="EA911" i="1"/>
  <c r="EA900" i="1"/>
  <c r="EA902" i="1"/>
  <c r="EA922" i="1"/>
  <c r="EA921" i="1"/>
  <c r="EA924" i="1"/>
  <c r="EA926" i="1"/>
  <c r="EA928" i="1"/>
  <c r="EA930" i="1"/>
  <c r="EA932" i="1"/>
  <c r="EA934" i="1"/>
  <c r="EA923" i="1"/>
  <c r="EA925" i="1"/>
  <c r="EA927" i="1"/>
  <c r="EA929" i="1"/>
  <c r="EA931" i="1"/>
  <c r="EA933" i="1"/>
  <c r="DW84" i="7"/>
  <c r="ET84" i="7" s="1"/>
  <c r="DW85" i="7"/>
  <c r="DZ85" i="7" s="1"/>
  <c r="EL93" i="9"/>
  <c r="EH93" i="9" s="1"/>
  <c r="FE93" i="9" s="1"/>
  <c r="EL94" i="9"/>
  <c r="EH94" i="9" s="1"/>
  <c r="FE94" i="9" s="1"/>
  <c r="ET85" i="7" l="1"/>
  <c r="EF93" i="9"/>
  <c r="FC93" i="9" s="1"/>
  <c r="EJ93" i="9"/>
  <c r="EJ94" i="9" s="1"/>
  <c r="DY84" i="7"/>
  <c r="ES84" i="7"/>
  <c r="DZ84" i="7"/>
  <c r="DY85" i="7"/>
  <c r="ES85" i="7"/>
  <c r="FD93" i="9" l="1"/>
  <c r="EF94" i="9"/>
  <c r="FC94" i="9" s="1"/>
  <c r="EL95" i="9"/>
  <c r="EH95" i="9" s="1"/>
  <c r="FE95" i="9" s="1"/>
  <c r="DW86" i="7"/>
  <c r="FD94" i="9"/>
  <c r="EJ95" i="9" l="1"/>
  <c r="FD95" i="9" s="1"/>
  <c r="EF95" i="9"/>
  <c r="FC95" i="9" s="1"/>
  <c r="DY86" i="7"/>
  <c r="ES86" i="7"/>
  <c r="DZ86" i="7"/>
  <c r="ET86" i="7"/>
  <c r="DW87" i="7"/>
  <c r="EL96" i="9"/>
  <c r="EH96" i="9" s="1"/>
  <c r="FE96" i="9" s="1"/>
  <c r="DY87" i="7" l="1"/>
  <c r="ES87" i="7"/>
  <c r="ET87" i="7"/>
  <c r="DZ87" i="7"/>
  <c r="EL97" i="9"/>
  <c r="EH97" i="9" s="1"/>
  <c r="FE97" i="9" s="1"/>
  <c r="DW88" i="7"/>
  <c r="EF96" i="9"/>
  <c r="EJ96" i="9"/>
  <c r="FC96" i="9" l="1"/>
  <c r="EF97" i="9"/>
  <c r="DY88" i="7"/>
  <c r="ES88" i="7"/>
  <c r="DZ88" i="7"/>
  <c r="ET88" i="7"/>
  <c r="EJ97" i="9"/>
  <c r="FD96" i="9"/>
  <c r="DW89" i="7"/>
  <c r="EL98" i="9"/>
  <c r="EH98" i="9" s="1"/>
  <c r="FE98" i="9" s="1"/>
  <c r="EL99" i="9" l="1"/>
  <c r="EH99" i="9" s="1"/>
  <c r="FE99" i="9" s="1"/>
  <c r="DW90" i="7"/>
  <c r="EF98" i="9"/>
  <c r="FC97" i="9"/>
  <c r="DY89" i="7"/>
  <c r="ES89" i="7"/>
  <c r="ET89" i="7"/>
  <c r="DZ89" i="7"/>
  <c r="FD97" i="9"/>
  <c r="EJ98" i="9"/>
  <c r="FD98" i="9" l="1"/>
  <c r="EJ99" i="9"/>
  <c r="FC98" i="9"/>
  <c r="EF99" i="9"/>
  <c r="DY90" i="7"/>
  <c r="ES90" i="7"/>
  <c r="DZ90" i="7"/>
  <c r="ET90" i="7"/>
  <c r="DW91" i="7"/>
  <c r="EL100" i="9"/>
  <c r="EH100" i="9" s="1"/>
  <c r="FE100" i="9" s="1"/>
  <c r="DY91" i="7" l="1"/>
  <c r="ES91" i="7"/>
  <c r="ET91" i="7"/>
  <c r="DZ91" i="7"/>
  <c r="EL101" i="9"/>
  <c r="EH101" i="9" s="1"/>
  <c r="FE101" i="9" s="1"/>
  <c r="DW92" i="7"/>
  <c r="EF100" i="9"/>
  <c r="FC99" i="9"/>
  <c r="FD99" i="9"/>
  <c r="EJ100" i="9"/>
  <c r="EJ101" i="9" l="1"/>
  <c r="FD100" i="9"/>
  <c r="DW93" i="7"/>
  <c r="EL102" i="9"/>
  <c r="EH102" i="9" s="1"/>
  <c r="FE102" i="9" s="1"/>
  <c r="FC100" i="9"/>
  <c r="EF101" i="9"/>
  <c r="DY92" i="7"/>
  <c r="ES92" i="7"/>
  <c r="DZ92" i="7"/>
  <c r="ET92" i="7"/>
  <c r="FD101" i="9" l="1"/>
  <c r="EJ102" i="9"/>
  <c r="EF102" i="9"/>
  <c r="FC101" i="9"/>
  <c r="DY93" i="7"/>
  <c r="ES93" i="7"/>
  <c r="ET93" i="7"/>
  <c r="DZ93" i="7"/>
  <c r="EL103" i="9"/>
  <c r="EH103" i="9" s="1"/>
  <c r="FE103" i="9" s="1"/>
  <c r="DW94" i="7"/>
  <c r="FC102" i="9" l="1"/>
  <c r="EF103" i="9"/>
  <c r="EJ103" i="9"/>
  <c r="FD103" i="9" s="1"/>
  <c r="FD102" i="9"/>
  <c r="DY94" i="7"/>
  <c r="ES94" i="7"/>
  <c r="DZ94" i="7"/>
  <c r="ET94" i="7"/>
  <c r="FC103" i="9" l="1"/>
  <c r="DB921" i="1" l="1" a="1"/>
  <c r="DB921" i="1" l="1"/>
  <c r="DB922" i="1"/>
  <c r="DB924" i="1"/>
  <c r="DB926" i="1"/>
  <c r="DB928" i="1"/>
  <c r="DB930" i="1"/>
  <c r="DB932" i="1"/>
  <c r="DB934" i="1"/>
  <c r="DB923" i="1"/>
  <c r="DB925" i="1"/>
  <c r="DB927" i="1"/>
  <c r="DB929" i="1"/>
  <c r="DB931" i="1"/>
  <c r="DB933" i="1"/>
  <c r="AK204" i="3" l="1"/>
  <c r="AK179" i="3"/>
  <c r="AK203" i="3"/>
  <c r="AL204" i="3" l="1"/>
  <c r="AL179" i="3"/>
  <c r="AL203" i="3"/>
  <c r="BE73" i="9" l="1"/>
  <c r="BB73" i="9" s="1"/>
  <c r="BE79" i="9"/>
  <c r="BE68" i="9"/>
  <c r="BE81" i="9"/>
  <c r="BF88" i="9"/>
  <c r="BE69" i="9"/>
  <c r="BE82" i="9"/>
  <c r="BF89" i="9"/>
  <c r="BE83" i="9"/>
  <c r="BC83" i="9" s="1"/>
  <c r="BE85" i="9"/>
  <c r="BE77" i="9"/>
  <c r="BE71" i="9"/>
  <c r="BE78" i="9"/>
  <c r="BE86" i="9"/>
  <c r="BF87" i="9"/>
  <c r="BE87" i="9"/>
  <c r="BE80" i="9"/>
  <c r="BE76" i="9"/>
  <c r="BE75" i="9"/>
  <c r="BE84" i="9"/>
  <c r="BE72" i="9"/>
  <c r="BE67" i="9"/>
  <c r="BE74" i="9"/>
  <c r="BE70" i="9"/>
  <c r="BF90" i="9"/>
  <c r="BF91" i="9"/>
  <c r="BF92" i="9"/>
  <c r="BF93" i="9"/>
  <c r="BF94" i="9"/>
  <c r="BF95" i="9"/>
  <c r="BF96" i="9"/>
  <c r="BF97" i="9"/>
  <c r="BF98" i="9"/>
  <c r="BF99" i="9"/>
  <c r="BF100" i="9"/>
  <c r="BF101" i="9"/>
  <c r="BB74" i="9" l="1"/>
  <c r="BC84" i="9"/>
  <c r="BC85" i="9" s="1"/>
  <c r="BC86" i="9" s="1"/>
  <c r="BC87" i="9" s="1"/>
  <c r="BC88" i="9" s="1"/>
  <c r="BC89" i="9" s="1"/>
  <c r="BC90" i="9" s="1"/>
  <c r="BC91" i="9" s="1"/>
  <c r="BC92" i="9" s="1"/>
  <c r="BC93" i="9" s="1"/>
  <c r="BC94" i="9" s="1"/>
  <c r="BC95" i="9" s="1"/>
  <c r="BC96" i="9" s="1"/>
  <c r="BC97" i="9" s="1"/>
  <c r="BC98" i="9" s="1"/>
  <c r="BC99" i="9" s="1"/>
  <c r="BC100" i="9" s="1"/>
  <c r="BC101" i="9" s="1"/>
  <c r="AL86" i="3" l="1"/>
  <c r="AP185" i="1" l="1"/>
  <c r="AP196" i="1"/>
  <c r="AQ185" i="1"/>
  <c r="AQ196" i="1"/>
  <c r="AR196" i="1"/>
  <c r="AR185" i="1"/>
  <c r="AO196" i="1"/>
  <c r="AO185" i="1"/>
  <c r="AN185" i="1"/>
  <c r="AN196" i="1"/>
  <c r="AM185" i="1"/>
  <c r="AM196" i="1"/>
  <c r="AL185" i="1"/>
  <c r="AL196" i="1"/>
  <c r="AK185" i="1"/>
  <c r="AK196" i="1"/>
  <c r="AJ185" i="1"/>
  <c r="AJ196" i="1"/>
  <c r="AI185" i="1"/>
  <c r="AI196" i="1"/>
  <c r="AH185" i="1"/>
  <c r="AH196" i="1"/>
  <c r="AG185" i="1"/>
  <c r="AG196" i="1"/>
  <c r="AF185" i="1"/>
  <c r="AF196" i="1"/>
  <c r="AE185" i="1"/>
  <c r="AE196" i="1"/>
  <c r="AD196" i="1"/>
  <c r="AD185" i="1"/>
  <c r="AC196" i="1"/>
  <c r="AC185" i="1"/>
  <c r="AB185" i="1"/>
  <c r="AB196" i="1"/>
  <c r="AA196" i="1"/>
  <c r="AA185" i="1"/>
  <c r="Z185" i="1"/>
  <c r="Z196" i="1"/>
  <c r="Y185" i="1"/>
  <c r="Y196" i="1"/>
  <c r="X185" i="1"/>
  <c r="X196" i="1"/>
  <c r="W185" i="1"/>
  <c r="W196" i="1"/>
  <c r="V196" i="1"/>
  <c r="V185" i="1"/>
  <c r="EG68" i="9" s="1" a="1"/>
  <c r="EG68" i="9" s="1"/>
  <c r="FB161" i="1"/>
  <c r="FB162" i="1"/>
  <c r="FB163" i="1" s="1"/>
  <c r="FB164" i="1" s="1"/>
  <c r="FB165" i="1" s="1"/>
  <c r="FB166" i="1" s="1"/>
  <c r="FB167" i="1" s="1"/>
  <c r="FB168" i="1" s="1"/>
  <c r="FB169" i="1" s="1"/>
  <c r="FB170" i="1" s="1"/>
  <c r="FB171" i="1" s="1"/>
  <c r="FB172" i="1" s="1"/>
  <c r="FB173" i="1" s="1"/>
  <c r="DN372" i="1" a="1"/>
  <c r="DN373" i="1" s="1"/>
  <c r="DP373" i="1" s="1"/>
  <c r="EF373" i="1" s="1"/>
  <c r="DN374" i="1"/>
  <c r="DP374" i="1" s="1"/>
  <c r="EF374" i="1" s="1"/>
  <c r="DN393" i="1"/>
  <c r="DP393" i="1" s="1"/>
  <c r="EF393" i="1" s="1"/>
  <c r="DN391" i="1"/>
  <c r="DP391" i="1" s="1"/>
  <c r="EF391" i="1" s="1"/>
  <c r="DN390" i="1"/>
  <c r="DP390" i="1" s="1"/>
  <c r="EF390" i="1" s="1"/>
  <c r="DN388" i="1"/>
  <c r="DP388" i="1" s="1"/>
  <c r="EF388" i="1" s="1"/>
  <c r="DN387" i="1"/>
  <c r="DP387" i="1" s="1"/>
  <c r="EF387" i="1" s="1"/>
  <c r="DN385" i="1"/>
  <c r="DP385" i="1"/>
  <c r="EF385" i="1" s="1"/>
  <c r="DN383" i="1"/>
  <c r="DP383" i="1"/>
  <c r="EF383" i="1" s="1"/>
  <c r="DN381" i="1"/>
  <c r="DP381" i="1"/>
  <c r="EF381" i="1" s="1"/>
  <c r="DN379" i="1"/>
  <c r="DP379" i="1"/>
  <c r="EF379" i="1" s="1"/>
  <c r="DN377" i="1"/>
  <c r="DP377" i="1"/>
  <c r="EF377" i="1" s="1"/>
  <c r="DN375" i="1"/>
  <c r="DP375" i="1"/>
  <c r="EF375" i="1" s="1"/>
  <c r="DL27" i="9" a="1"/>
  <c r="DL48" i="9" s="1"/>
  <c r="DL40" i="9"/>
  <c r="DL37" i="9"/>
  <c r="DL44" i="9"/>
  <c r="DL28" i="9"/>
  <c r="DL33" i="9"/>
  <c r="DL38" i="9"/>
  <c r="DL43" i="9"/>
  <c r="DL45" i="9"/>
  <c r="EH161" i="1"/>
  <c r="EH162" i="1" s="1"/>
  <c r="CS92" i="1" a="1"/>
  <c r="CS94" i="1" s="1"/>
  <c r="CR94" i="1" s="1"/>
  <c r="CU94" i="1" s="1"/>
  <c r="DI94" i="1" s="1"/>
  <c r="EW95" i="1" s="1"/>
  <c r="CS108" i="1"/>
  <c r="CR108" i="1" s="1"/>
  <c r="CU108" i="1" s="1"/>
  <c r="DI108" i="1" s="1"/>
  <c r="EW109" i="1" s="1"/>
  <c r="CS112" i="1"/>
  <c r="CR112" i="1" s="1"/>
  <c r="CU112" i="1" s="1"/>
  <c r="DI112" i="1" s="1"/>
  <c r="EW113" i="1" s="1"/>
  <c r="CS93" i="1"/>
  <c r="CR93" i="1" s="1"/>
  <c r="CU93" i="1" s="1"/>
  <c r="DI93" i="1" s="1"/>
  <c r="EW94" i="1" s="1"/>
  <c r="CS97" i="1"/>
  <c r="CR97" i="1" s="1"/>
  <c r="CU97" i="1" s="1"/>
  <c r="DI97" i="1" s="1"/>
  <c r="EW98" i="1" s="1"/>
  <c r="CS101" i="1"/>
  <c r="CR101" i="1" s="1"/>
  <c r="CU101" i="1" s="1"/>
  <c r="DI101" i="1" s="1"/>
  <c r="EW102" i="1" s="1"/>
  <c r="CS105" i="1"/>
  <c r="CR105" i="1" s="1"/>
  <c r="CU105" i="1" s="1"/>
  <c r="DI105" i="1" s="1"/>
  <c r="EW106" i="1" s="1"/>
  <c r="CS109" i="1"/>
  <c r="CR109" i="1" s="1"/>
  <c r="CU109" i="1" s="1"/>
  <c r="DI109" i="1" s="1"/>
  <c r="EW110" i="1" s="1"/>
  <c r="CS111" i="1"/>
  <c r="CR111" i="1"/>
  <c r="CU111" i="1" s="1"/>
  <c r="DI111" i="1" s="1"/>
  <c r="EW112" i="1" s="1"/>
  <c r="CS113" i="1"/>
  <c r="CR113" i="1" s="1"/>
  <c r="CU113" i="1" s="1"/>
  <c r="DI113" i="1" s="1"/>
  <c r="EW114" i="1" s="1"/>
  <c r="CS115" i="1"/>
  <c r="CR115" i="1"/>
  <c r="CU115" i="1" s="1"/>
  <c r="DI115" i="1" s="1"/>
  <c r="EW116" i="1" s="1"/>
  <c r="DL27" i="9"/>
  <c r="DN372" i="1"/>
  <c r="CS92" i="1"/>
  <c r="EG82" i="9"/>
  <c r="FE82" i="9" s="1"/>
  <c r="EG87" i="9"/>
  <c r="FE87" i="9" s="1"/>
  <c r="EG84" i="9"/>
  <c r="FE84" i="9" s="1"/>
  <c r="EG74" i="9"/>
  <c r="FE74" i="9" s="1"/>
  <c r="EG85" i="9"/>
  <c r="FE85" i="9" s="1"/>
  <c r="EG80" i="9"/>
  <c r="FE80" i="9" s="1"/>
  <c r="EG75" i="9"/>
  <c r="FE75" i="9" s="1"/>
  <c r="EG70" i="9"/>
  <c r="FE70" i="9" s="1"/>
  <c r="EG86" i="9"/>
  <c r="FE86" i="9" s="1"/>
  <c r="EG81" i="9"/>
  <c r="FE81" i="9" s="1"/>
  <c r="EG71" i="9"/>
  <c r="FE71" i="9" s="1"/>
  <c r="EG76" i="9"/>
  <c r="FE76" i="9" s="1"/>
  <c r="EG77" i="9"/>
  <c r="FE77" i="9" s="1"/>
  <c r="EG79" i="9"/>
  <c r="FE79" i="9" s="1"/>
  <c r="EG69" i="9"/>
  <c r="FE69" i="9" s="1"/>
  <c r="EG72" i="9"/>
  <c r="FE72" i="9" s="1"/>
  <c r="EG88" i="9"/>
  <c r="FE88" i="9" s="1"/>
  <c r="EG83" i="9"/>
  <c r="FE83" i="9" s="1"/>
  <c r="EG78" i="9"/>
  <c r="FE78" i="9" s="1"/>
  <c r="EG73" i="9"/>
  <c r="FE73" i="9"/>
  <c r="EG89" i="9"/>
  <c r="FE89" i="9" s="1"/>
  <c r="EH89" i="9" l="1"/>
  <c r="CS107" i="1"/>
  <c r="CR107" i="1" s="1"/>
  <c r="CU107" i="1" s="1"/>
  <c r="DI107" i="1" s="1"/>
  <c r="EW108" i="1" s="1"/>
  <c r="CS103" i="1"/>
  <c r="CR103" i="1" s="1"/>
  <c r="CU103" i="1" s="1"/>
  <c r="DI103" i="1" s="1"/>
  <c r="EW104" i="1" s="1"/>
  <c r="CS99" i="1"/>
  <c r="CR99" i="1" s="1"/>
  <c r="CU99" i="1" s="1"/>
  <c r="DI99" i="1" s="1"/>
  <c r="EW100" i="1" s="1"/>
  <c r="CS95" i="1"/>
  <c r="CR95" i="1" s="1"/>
  <c r="CU95" i="1" s="1"/>
  <c r="DI95" i="1" s="1"/>
  <c r="EW96" i="1" s="1"/>
  <c r="CS114" i="1"/>
  <c r="CR114" i="1" s="1"/>
  <c r="CU114" i="1" s="1"/>
  <c r="DI114" i="1" s="1"/>
  <c r="EW115" i="1" s="1"/>
  <c r="CS110" i="1"/>
  <c r="CR110" i="1" s="1"/>
  <c r="CU110" i="1" s="1"/>
  <c r="DI110" i="1" s="1"/>
  <c r="EW111" i="1" s="1"/>
  <c r="DN376" i="1"/>
  <c r="DP376" i="1" s="1"/>
  <c r="EF376" i="1" s="1"/>
  <c r="DN378" i="1"/>
  <c r="DP378" i="1" s="1"/>
  <c r="EF378" i="1" s="1"/>
  <c r="DN380" i="1"/>
  <c r="DP380" i="1" s="1"/>
  <c r="EF380" i="1" s="1"/>
  <c r="DN382" i="1"/>
  <c r="DP382" i="1" s="1"/>
  <c r="EF382" i="1" s="1"/>
  <c r="DN384" i="1"/>
  <c r="DP384" i="1" s="1"/>
  <c r="EF384" i="1" s="1"/>
  <c r="DN386" i="1"/>
  <c r="DP386" i="1" s="1"/>
  <c r="EF386" i="1" s="1"/>
  <c r="DN389" i="1"/>
  <c r="DP389" i="1" s="1"/>
  <c r="EF389" i="1" s="1"/>
  <c r="EC389" i="1" s="1"/>
  <c r="DM430" i="1" s="1"/>
  <c r="EB430" i="1" s="1"/>
  <c r="EZ110" i="1" s="1"/>
  <c r="DN394" i="1"/>
  <c r="DP394" i="1" s="1"/>
  <c r="EF394" i="1" s="1"/>
  <c r="EC394" i="1" s="1"/>
  <c r="DM435" i="1" s="1"/>
  <c r="EB435" i="1" s="1"/>
  <c r="EZ115" i="1" s="1"/>
  <c r="DL47" i="9"/>
  <c r="DL42" i="9"/>
  <c r="EB388" i="1"/>
  <c r="EC388" i="1"/>
  <c r="DM429" i="1" s="1"/>
  <c r="EB429" i="1" s="1"/>
  <c r="EZ109" i="1" s="1"/>
  <c r="EB389" i="1"/>
  <c r="EB391" i="1"/>
  <c r="EC391" i="1"/>
  <c r="DM432" i="1" s="1"/>
  <c r="EB432" i="1" s="1"/>
  <c r="EZ112" i="1" s="1"/>
  <c r="EC373" i="1"/>
  <c r="DM414" i="1" s="1"/>
  <c r="EB373" i="1"/>
  <c r="EH163" i="1"/>
  <c r="EH164" i="1" s="1"/>
  <c r="EH165" i="1" s="1"/>
  <c r="EH166" i="1" s="1"/>
  <c r="EH167" i="1" s="1"/>
  <c r="EH168" i="1" s="1"/>
  <c r="EH169" i="1" s="1"/>
  <c r="EH170" i="1" s="1"/>
  <c r="EH171" i="1" s="1"/>
  <c r="EH172" i="1" s="1"/>
  <c r="EH173" i="1" s="1"/>
  <c r="EH174" i="1" s="1"/>
  <c r="EH175" i="1" s="1"/>
  <c r="EH176" i="1" s="1"/>
  <c r="EC375" i="1"/>
  <c r="DM416" i="1" s="1"/>
  <c r="EB416" i="1" s="1"/>
  <c r="EZ96" i="1" s="1"/>
  <c r="EB375" i="1"/>
  <c r="EB376" i="1"/>
  <c r="EC376" i="1"/>
  <c r="DM417" i="1" s="1"/>
  <c r="EB417" i="1" s="1"/>
  <c r="EZ97" i="1" s="1"/>
  <c r="EC377" i="1"/>
  <c r="DM418" i="1" s="1"/>
  <c r="EB418" i="1" s="1"/>
  <c r="EZ98" i="1" s="1"/>
  <c r="EB377" i="1"/>
  <c r="EB378" i="1"/>
  <c r="EC378" i="1"/>
  <c r="DM419" i="1" s="1"/>
  <c r="EB419" i="1" s="1"/>
  <c r="EZ99" i="1" s="1"/>
  <c r="EC379" i="1"/>
  <c r="DM420" i="1" s="1"/>
  <c r="EB420" i="1" s="1"/>
  <c r="EZ100" i="1" s="1"/>
  <c r="EB379" i="1"/>
  <c r="EB380" i="1"/>
  <c r="EC380" i="1"/>
  <c r="DM421" i="1" s="1"/>
  <c r="EB421" i="1" s="1"/>
  <c r="EZ101" i="1" s="1"/>
  <c r="EC381" i="1"/>
  <c r="DM422" i="1" s="1"/>
  <c r="EB422" i="1" s="1"/>
  <c r="EZ102" i="1" s="1"/>
  <c r="EB381" i="1"/>
  <c r="EB382" i="1"/>
  <c r="EC382" i="1"/>
  <c r="DM423" i="1" s="1"/>
  <c r="EB423" i="1" s="1"/>
  <c r="EZ103" i="1" s="1"/>
  <c r="EC383" i="1"/>
  <c r="DM424" i="1" s="1"/>
  <c r="EB424" i="1" s="1"/>
  <c r="EZ104" i="1" s="1"/>
  <c r="EB383" i="1"/>
  <c r="EB384" i="1"/>
  <c r="EC384" i="1"/>
  <c r="DM425" i="1" s="1"/>
  <c r="EB425" i="1" s="1"/>
  <c r="EZ105" i="1" s="1"/>
  <c r="EC385" i="1"/>
  <c r="DM426" i="1" s="1"/>
  <c r="EB426" i="1" s="1"/>
  <c r="EZ106" i="1" s="1"/>
  <c r="EB385" i="1"/>
  <c r="EB386" i="1"/>
  <c r="EC386" i="1"/>
  <c r="DM427" i="1" s="1"/>
  <c r="EB427" i="1" s="1"/>
  <c r="EZ107" i="1" s="1"/>
  <c r="EB387" i="1"/>
  <c r="EC387" i="1"/>
  <c r="DM428" i="1" s="1"/>
  <c r="EB428" i="1" s="1"/>
  <c r="EZ108" i="1" s="1"/>
  <c r="EB390" i="1"/>
  <c r="EC390" i="1"/>
  <c r="DM431" i="1" s="1"/>
  <c r="EB431" i="1" s="1"/>
  <c r="EZ111" i="1" s="1"/>
  <c r="EB393" i="1"/>
  <c r="EC393" i="1"/>
  <c r="DM434" i="1" s="1"/>
  <c r="EB434" i="1" s="1"/>
  <c r="EZ114" i="1" s="1"/>
  <c r="EB374" i="1"/>
  <c r="EC374" i="1"/>
  <c r="DM415" i="1" s="1"/>
  <c r="EB415" i="1" s="1"/>
  <c r="EZ95" i="1" s="1"/>
  <c r="DL39" i="9"/>
  <c r="DL35" i="9"/>
  <c r="DL30" i="9"/>
  <c r="DL46" i="9"/>
  <c r="DL41" i="9"/>
  <c r="DL36" i="9"/>
  <c r="DL31" i="9"/>
  <c r="DL34" i="9"/>
  <c r="DL29" i="9"/>
  <c r="DL32" i="9"/>
  <c r="CS106" i="1"/>
  <c r="CR106" i="1" s="1"/>
  <c r="CU106" i="1" s="1"/>
  <c r="DI106" i="1" s="1"/>
  <c r="EW107" i="1" s="1"/>
  <c r="CS104" i="1"/>
  <c r="CR104" i="1" s="1"/>
  <c r="CU104" i="1" s="1"/>
  <c r="DI104" i="1" s="1"/>
  <c r="EW105" i="1" s="1"/>
  <c r="CS102" i="1"/>
  <c r="CR102" i="1" s="1"/>
  <c r="CU102" i="1" s="1"/>
  <c r="DI102" i="1" s="1"/>
  <c r="EW103" i="1" s="1"/>
  <c r="CS100" i="1"/>
  <c r="CR100" i="1" s="1"/>
  <c r="CU100" i="1" s="1"/>
  <c r="DI100" i="1" s="1"/>
  <c r="EW101" i="1" s="1"/>
  <c r="CS98" i="1"/>
  <c r="CR98" i="1" s="1"/>
  <c r="CU98" i="1" s="1"/>
  <c r="DI98" i="1" s="1"/>
  <c r="EW99" i="1" s="1"/>
  <c r="CS96" i="1"/>
  <c r="CR96" i="1" s="1"/>
  <c r="CU96" i="1" s="1"/>
  <c r="DI96" i="1" s="1"/>
  <c r="DN392" i="1"/>
  <c r="DP392" i="1" s="1"/>
  <c r="EF392" i="1" s="1"/>
  <c r="DN395" i="1"/>
  <c r="DP395" i="1" s="1"/>
  <c r="EF395" i="1" s="1"/>
  <c r="EB394" i="1" l="1"/>
  <c r="O19" i="3" a="1"/>
  <c r="AF19" i="3" s="1"/>
  <c r="EW97" i="1"/>
  <c r="EB392" i="1"/>
  <c r="EC392" i="1"/>
  <c r="DM433" i="1" s="1"/>
  <c r="EB433" i="1" s="1"/>
  <c r="EZ113" i="1" s="1"/>
  <c r="EA374" i="1"/>
  <c r="EE415" i="1"/>
  <c r="EA393" i="1"/>
  <c r="EE434" i="1"/>
  <c r="EE431" i="1"/>
  <c r="EA390" i="1"/>
  <c r="EA387" i="1"/>
  <c r="EE428" i="1"/>
  <c r="EA386" i="1"/>
  <c r="EE427" i="1"/>
  <c r="EA384" i="1"/>
  <c r="EE425" i="1"/>
  <c r="EA382" i="1"/>
  <c r="EE423" i="1"/>
  <c r="EA380" i="1"/>
  <c r="EE421" i="1"/>
  <c r="EA378" i="1"/>
  <c r="EE419" i="1"/>
  <c r="EA376" i="1"/>
  <c r="EE417" i="1"/>
  <c r="EA373" i="1"/>
  <c r="EE414" i="1"/>
  <c r="EV414" i="1" s="1"/>
  <c r="EE435" i="1"/>
  <c r="EV435" i="1" s="1"/>
  <c r="EA394" i="1"/>
  <c r="EE432" i="1"/>
  <c r="EA391" i="1"/>
  <c r="EA389" i="1"/>
  <c r="EE430" i="1"/>
  <c r="EE429" i="1"/>
  <c r="EA388" i="1"/>
  <c r="O116" i="3" a="1"/>
  <c r="EB395" i="1"/>
  <c r="EC395" i="1"/>
  <c r="DM436" i="1" s="1"/>
  <c r="EB436" i="1" s="1"/>
  <c r="EZ116" i="1" s="1"/>
  <c r="EA385" i="1"/>
  <c r="EE426" i="1"/>
  <c r="EA383" i="1"/>
  <c r="EE424" i="1"/>
  <c r="EA381" i="1"/>
  <c r="EE422" i="1"/>
  <c r="EA379" i="1"/>
  <c r="EE420" i="1"/>
  <c r="EA377" i="1"/>
  <c r="EE418" i="1"/>
  <c r="EE416" i="1"/>
  <c r="EA375" i="1"/>
  <c r="EB414" i="1"/>
  <c r="EZ94" i="1" s="1"/>
  <c r="AM31" i="3" a="1"/>
  <c r="S19" i="3" l="1"/>
  <c r="AK19" i="3"/>
  <c r="X19" i="3"/>
  <c r="Z19" i="3"/>
  <c r="AJ19" i="3"/>
  <c r="O19" i="3"/>
  <c r="BX18" i="4"/>
  <c r="EV418" i="1"/>
  <c r="BX22" i="4"/>
  <c r="EV422" i="1"/>
  <c r="BX26" i="4"/>
  <c r="EV426" i="1"/>
  <c r="BX19" i="4"/>
  <c r="EV419" i="1"/>
  <c r="BX23" i="4"/>
  <c r="EV423" i="1"/>
  <c r="BX27" i="4"/>
  <c r="EV427" i="1"/>
  <c r="BX15" i="4"/>
  <c r="EV415" i="1"/>
  <c r="V19" i="3"/>
  <c r="AI19" i="3"/>
  <c r="AB19" i="3"/>
  <c r="U19" i="3"/>
  <c r="P19" i="3"/>
  <c r="AD19" i="3"/>
  <c r="BX20" i="4"/>
  <c r="EV420" i="1"/>
  <c r="BX24" i="4"/>
  <c r="EV424" i="1"/>
  <c r="BX29" i="4"/>
  <c r="EV429" i="1"/>
  <c r="BX32" i="4"/>
  <c r="EV432" i="1"/>
  <c r="BX31" i="4"/>
  <c r="EV431" i="1"/>
  <c r="W19" i="3"/>
  <c r="AC19" i="3"/>
  <c r="Y19" i="3"/>
  <c r="AE19" i="3"/>
  <c r="AG19" i="3"/>
  <c r="AH19" i="3"/>
  <c r="BX16" i="4"/>
  <c r="EV416" i="1"/>
  <c r="BX30" i="4"/>
  <c r="EV430" i="1"/>
  <c r="BX17" i="4"/>
  <c r="EV417" i="1"/>
  <c r="BX21" i="4"/>
  <c r="EV421" i="1"/>
  <c r="BX25" i="4"/>
  <c r="EV425" i="1"/>
  <c r="BX28" i="4"/>
  <c r="EV428" i="1"/>
  <c r="BX34" i="4"/>
  <c r="EV434" i="1"/>
  <c r="AA19" i="3"/>
  <c r="Q19" i="3"/>
  <c r="R19" i="3"/>
  <c r="T19" i="3"/>
  <c r="AL19" i="3"/>
  <c r="O116" i="3"/>
  <c r="P116" i="3"/>
  <c r="R116" i="3"/>
  <c r="S116" i="3"/>
  <c r="V116" i="3"/>
  <c r="X116" i="3"/>
  <c r="Z116" i="3"/>
  <c r="AB116" i="3"/>
  <c r="AD116" i="3"/>
  <c r="AF116" i="3"/>
  <c r="AH116" i="3"/>
  <c r="Q116" i="3"/>
  <c r="T116" i="3"/>
  <c r="U116" i="3"/>
  <c r="W116" i="3"/>
  <c r="Y116" i="3"/>
  <c r="AA116" i="3"/>
  <c r="AC116" i="3"/>
  <c r="AE116" i="3"/>
  <c r="AG116" i="3"/>
  <c r="AJ116" i="3"/>
  <c r="AI116" i="3"/>
  <c r="AL116" i="3"/>
  <c r="AK116" i="3"/>
  <c r="EH435" i="1"/>
  <c r="BX35" i="4"/>
  <c r="EE433" i="1"/>
  <c r="EA392" i="1"/>
  <c r="V84" i="6"/>
  <c r="V143" i="6" s="1"/>
  <c r="U86" i="12"/>
  <c r="U150" i="12" s="1"/>
  <c r="Q86" i="12"/>
  <c r="Q150" i="12" s="1"/>
  <c r="R84" i="6"/>
  <c r="R143" i="6" s="1"/>
  <c r="AB84" i="6"/>
  <c r="AB143" i="6" s="1"/>
  <c r="AA86" i="12"/>
  <c r="AA150" i="12" s="1"/>
  <c r="AI86" i="12"/>
  <c r="AI150" i="12" s="1"/>
  <c r="AJ84" i="6"/>
  <c r="AJ143" i="6" s="1"/>
  <c r="W86" i="12"/>
  <c r="W150" i="12" s="1"/>
  <c r="X84" i="6"/>
  <c r="X143" i="6" s="1"/>
  <c r="W84" i="6"/>
  <c r="W143" i="6" s="1"/>
  <c r="V86" i="12"/>
  <c r="V150" i="12" s="1"/>
  <c r="AD84" i="6"/>
  <c r="AD143" i="6" s="1"/>
  <c r="AC86" i="12"/>
  <c r="AC150" i="12" s="1"/>
  <c r="Y84" i="6"/>
  <c r="Y143" i="6" s="1"/>
  <c r="X86" i="12"/>
  <c r="X150" i="12" s="1"/>
  <c r="AF84" i="6"/>
  <c r="AF143" i="6" s="1"/>
  <c r="AE86" i="12"/>
  <c r="AE150" i="12" s="1"/>
  <c r="AH86" i="12"/>
  <c r="AH150" i="12" s="1"/>
  <c r="AI84" i="6"/>
  <c r="AI143" i="6" s="1"/>
  <c r="AF86" i="12"/>
  <c r="AF150" i="12" s="1"/>
  <c r="AG84" i="6"/>
  <c r="AG143" i="6" s="1"/>
  <c r="AP31" i="3"/>
  <c r="AP114" i="3" s="1"/>
  <c r="AT31" i="3"/>
  <c r="AT114" i="3" s="1"/>
  <c r="AX31" i="3"/>
  <c r="AX114" i="3" s="1"/>
  <c r="BB31" i="3"/>
  <c r="BB114" i="3" s="1"/>
  <c r="BC31" i="3"/>
  <c r="BC114" i="3" s="1"/>
  <c r="AU31" i="3"/>
  <c r="AU114" i="3" s="1"/>
  <c r="BA31" i="3"/>
  <c r="BA114" i="3" s="1"/>
  <c r="AS31" i="3"/>
  <c r="AS114" i="3" s="1"/>
  <c r="AN31" i="3"/>
  <c r="AN114" i="3" s="1"/>
  <c r="AR31" i="3"/>
  <c r="AR114" i="3" s="1"/>
  <c r="AV31" i="3"/>
  <c r="AV114" i="3" s="1"/>
  <c r="AM31" i="3"/>
  <c r="AM114" i="3" s="1"/>
  <c r="AZ31" i="3"/>
  <c r="AZ114" i="3" s="1"/>
  <c r="AY31" i="3"/>
  <c r="AY114" i="3" s="1"/>
  <c r="AQ31" i="3"/>
  <c r="AQ114" i="3" s="1"/>
  <c r="AW31" i="3"/>
  <c r="AW114" i="3" s="1"/>
  <c r="AO31" i="3"/>
  <c r="AO114" i="3" s="1"/>
  <c r="EE436" i="1"/>
  <c r="EV436" i="1" s="1"/>
  <c r="EA395" i="1"/>
  <c r="BX14" i="4"/>
  <c r="O32" i="3" a="1"/>
  <c r="T86" i="12"/>
  <c r="T150" i="12" s="1"/>
  <c r="U84" i="6"/>
  <c r="U143" i="6" s="1"/>
  <c r="Z84" i="6"/>
  <c r="Z143" i="6" s="1"/>
  <c r="Y86" i="12"/>
  <c r="Y150" i="12" s="1"/>
  <c r="AH84" i="6"/>
  <c r="AH143" i="6" s="1"/>
  <c r="AG86" i="12"/>
  <c r="AG150" i="12" s="1"/>
  <c r="P84" i="6"/>
  <c r="P143" i="6" s="1"/>
  <c r="O86" i="12"/>
  <c r="O150" i="12" s="1"/>
  <c r="AA84" i="6"/>
  <c r="AA143" i="6" s="1"/>
  <c r="Z86" i="12"/>
  <c r="Z150" i="12" s="1"/>
  <c r="P86" i="12"/>
  <c r="P150" i="12" s="1"/>
  <c r="Q84" i="6"/>
  <c r="Q143" i="6" s="1"/>
  <c r="T84" i="6"/>
  <c r="T143" i="6" s="1"/>
  <c r="S86" i="12"/>
  <c r="S150" i="12" s="1"/>
  <c r="R86" i="12"/>
  <c r="R150" i="12" s="1"/>
  <c r="S84" i="6"/>
  <c r="S143" i="6" s="1"/>
  <c r="O84" i="6"/>
  <c r="O143" i="6" s="1"/>
  <c r="N86" i="12"/>
  <c r="N150" i="12" s="1"/>
  <c r="AJ86" i="12"/>
  <c r="AJ150" i="12" s="1"/>
  <c r="AK84" i="6"/>
  <c r="AK143" i="6" s="1"/>
  <c r="AB86" i="12"/>
  <c r="AB150" i="12" s="1"/>
  <c r="AC84" i="6"/>
  <c r="AC143" i="6" s="1"/>
  <c r="AE84" i="6"/>
  <c r="AE143" i="6" s="1"/>
  <c r="AD86" i="12"/>
  <c r="AD150" i="12" s="1"/>
  <c r="O22" i="3" a="1"/>
  <c r="BX33" i="4" l="1"/>
  <c r="EV433" i="1"/>
  <c r="AL127" i="3"/>
  <c r="AL175" i="3" s="1"/>
  <c r="AL182" i="3"/>
  <c r="AJ127" i="3"/>
  <c r="AJ175" i="3" s="1"/>
  <c r="AJ182" i="3"/>
  <c r="AE127" i="3"/>
  <c r="AE175" i="3" s="1"/>
  <c r="AE182" i="3"/>
  <c r="AA127" i="3"/>
  <c r="AA175" i="3" s="1"/>
  <c r="AA182" i="3"/>
  <c r="W127" i="3"/>
  <c r="W175" i="3" s="1"/>
  <c r="W182" i="3"/>
  <c r="T127" i="3"/>
  <c r="T175" i="3" s="1"/>
  <c r="T182" i="3"/>
  <c r="AH127" i="3"/>
  <c r="AH175" i="3" s="1"/>
  <c r="AH182" i="3"/>
  <c r="AD127" i="3"/>
  <c r="AD175" i="3" s="1"/>
  <c r="AD182" i="3"/>
  <c r="Z127" i="3"/>
  <c r="Z175" i="3" s="1"/>
  <c r="Z182" i="3"/>
  <c r="V127" i="3"/>
  <c r="V175" i="3" s="1"/>
  <c r="V182" i="3"/>
  <c r="R127" i="3"/>
  <c r="R175" i="3" s="1"/>
  <c r="R182" i="3"/>
  <c r="AK127" i="3"/>
  <c r="AK175" i="3" s="1"/>
  <c r="AK182" i="3"/>
  <c r="AI127" i="3"/>
  <c r="AI175" i="3" s="1"/>
  <c r="AI182" i="3"/>
  <c r="AG127" i="3"/>
  <c r="AG175" i="3" s="1"/>
  <c r="AG182" i="3"/>
  <c r="AC127" i="3"/>
  <c r="AC175" i="3" s="1"/>
  <c r="AC182" i="3"/>
  <c r="Y127" i="3"/>
  <c r="Y175" i="3" s="1"/>
  <c r="Y182" i="3"/>
  <c r="U127" i="3"/>
  <c r="U175" i="3" s="1"/>
  <c r="U182" i="3"/>
  <c r="Q127" i="3"/>
  <c r="Q175" i="3" s="1"/>
  <c r="Q182" i="3"/>
  <c r="AF127" i="3"/>
  <c r="AF175" i="3" s="1"/>
  <c r="AF182" i="3"/>
  <c r="AB127" i="3"/>
  <c r="AB175" i="3" s="1"/>
  <c r="AB182" i="3"/>
  <c r="X127" i="3"/>
  <c r="X175" i="3" s="1"/>
  <c r="X182" i="3"/>
  <c r="S127" i="3"/>
  <c r="S175" i="3" s="1"/>
  <c r="S182" i="3"/>
  <c r="P127" i="3"/>
  <c r="P175" i="3" s="1"/>
  <c r="P182" i="3"/>
  <c r="O22" i="3"/>
  <c r="W22" i="3"/>
  <c r="AK22" i="3"/>
  <c r="AB22" i="3"/>
  <c r="AE22" i="3"/>
  <c r="V22" i="3"/>
  <c r="AJ22" i="3"/>
  <c r="S22" i="3"/>
  <c r="AI22" i="3"/>
  <c r="Z22" i="3"/>
  <c r="Q22" i="3"/>
  <c r="AG22" i="3"/>
  <c r="X22" i="3"/>
  <c r="AD22" i="3"/>
  <c r="U22" i="3"/>
  <c r="AL22" i="3"/>
  <c r="AC22" i="3"/>
  <c r="T22" i="3"/>
  <c r="AA22" i="3"/>
  <c r="R22" i="3"/>
  <c r="AH22" i="3"/>
  <c r="Y22" i="3"/>
  <c r="P22" i="3"/>
  <c r="AF22" i="3"/>
  <c r="BX36" i="4"/>
  <c r="EH436" i="1"/>
  <c r="EH437" i="1" s="1"/>
  <c r="EV437" i="1" s="1"/>
  <c r="AU93" i="12"/>
  <c r="AU157" i="12" s="1"/>
  <c r="AK93" i="12"/>
  <c r="AK157" i="12" s="1"/>
  <c r="AL91" i="6"/>
  <c r="AL150" i="6" s="1"/>
  <c r="AP93" i="12"/>
  <c r="AP157" i="12" s="1"/>
  <c r="AQ91" i="6"/>
  <c r="AQ150" i="6" s="1"/>
  <c r="AQ93" i="12"/>
  <c r="AQ157" i="12" s="1"/>
  <c r="AR91" i="6"/>
  <c r="AR150" i="6" s="1"/>
  <c r="AS93" i="12"/>
  <c r="AS157" i="12" s="1"/>
  <c r="AR93" i="12"/>
  <c r="AR157" i="12" s="1"/>
  <c r="O32" i="3"/>
  <c r="AB32" i="3"/>
  <c r="W32" i="3"/>
  <c r="Z32" i="3"/>
  <c r="AJ32" i="3"/>
  <c r="AH32" i="3"/>
  <c r="AE32" i="3"/>
  <c r="R32" i="3"/>
  <c r="X32" i="3"/>
  <c r="AD32" i="3"/>
  <c r="Q32" i="3"/>
  <c r="S32" i="3"/>
  <c r="P32" i="3"/>
  <c r="AL32" i="3"/>
  <c r="T32" i="3"/>
  <c r="U32" i="3"/>
  <c r="V32" i="3"/>
  <c r="AC32" i="3"/>
  <c r="AG32" i="3"/>
  <c r="AA32" i="3"/>
  <c r="AF32" i="3"/>
  <c r="Y32" i="3"/>
  <c r="AK32" i="3"/>
  <c r="AI32" i="3"/>
  <c r="AM93" i="12"/>
  <c r="AM157" i="12" s="1"/>
  <c r="AN91" i="6"/>
  <c r="AN150" i="6" s="1"/>
  <c r="AO93" i="12"/>
  <c r="AO157" i="12" s="1"/>
  <c r="AP91" i="6"/>
  <c r="AP150" i="6" s="1"/>
  <c r="AT93" i="12"/>
  <c r="AT157" i="12" s="1"/>
  <c r="AL93" i="12"/>
  <c r="AL157" i="12" s="1"/>
  <c r="AM91" i="6"/>
  <c r="AM150" i="6" s="1"/>
  <c r="AV93" i="12"/>
  <c r="AV157" i="12" s="1"/>
  <c r="AO91" i="6"/>
  <c r="AO150" i="6" s="1"/>
  <c r="AN93" i="12"/>
  <c r="AN157" i="12" s="1"/>
  <c r="BB13" i="4" l="1" a="1"/>
  <c r="AI94" i="12"/>
  <c r="AI158" i="12" s="1"/>
  <c r="AJ92" i="6"/>
  <c r="AJ151" i="6" s="1"/>
  <c r="AE92" i="6"/>
  <c r="AE151" i="6" s="1"/>
  <c r="AD94" i="12"/>
  <c r="AD158" i="12" s="1"/>
  <c r="AF92" i="6"/>
  <c r="AF151" i="6" s="1"/>
  <c r="AE94" i="12"/>
  <c r="AE158" i="12" s="1"/>
  <c r="U92" i="6"/>
  <c r="U151" i="6" s="1"/>
  <c r="T94" i="12"/>
  <c r="T158" i="12" s="1"/>
  <c r="S92" i="6"/>
  <c r="S151" i="6" s="1"/>
  <c r="R94" i="12"/>
  <c r="R158" i="12" s="1"/>
  <c r="O92" i="6"/>
  <c r="O151" i="6" s="1"/>
  <c r="N94" i="12"/>
  <c r="N158" i="12" s="1"/>
  <c r="O94" i="12"/>
  <c r="O158" i="12" s="1"/>
  <c r="P92" i="6"/>
  <c r="P151" i="6" s="1"/>
  <c r="W92" i="6"/>
  <c r="W151" i="6" s="1"/>
  <c r="V94" i="12"/>
  <c r="V158" i="12" s="1"/>
  <c r="AD92" i="6"/>
  <c r="AD151" i="6" s="1"/>
  <c r="AC94" i="12"/>
  <c r="AC158" i="12" s="1"/>
  <c r="AI92" i="6"/>
  <c r="AI151" i="6" s="1"/>
  <c r="AH94" i="12"/>
  <c r="AH158" i="12" s="1"/>
  <c r="U94" i="12"/>
  <c r="U158" i="12" s="1"/>
  <c r="V92" i="6"/>
  <c r="V151" i="6" s="1"/>
  <c r="N89" i="12"/>
  <c r="N153" i="12" s="1"/>
  <c r="O87" i="6"/>
  <c r="O146" i="6" s="1"/>
  <c r="AF89" i="12"/>
  <c r="AF153" i="12" s="1"/>
  <c r="AG87" i="6"/>
  <c r="AG146" i="6" s="1"/>
  <c r="Y89" i="12"/>
  <c r="Y153" i="12" s="1"/>
  <c r="Z87" i="6"/>
  <c r="Z146" i="6" s="1"/>
  <c r="AA89" i="12"/>
  <c r="AA153" i="12" s="1"/>
  <c r="AB87" i="6"/>
  <c r="AB146" i="6" s="1"/>
  <c r="S89" i="12"/>
  <c r="S153" i="12" s="1"/>
  <c r="T87" i="6"/>
  <c r="T146" i="6" s="1"/>
  <c r="V89" i="12"/>
  <c r="V153" i="12" s="1"/>
  <c r="W87" i="6"/>
  <c r="W146" i="6" s="1"/>
  <c r="O89" i="12"/>
  <c r="O153" i="12" s="1"/>
  <c r="P87" i="6"/>
  <c r="P146" i="6" s="1"/>
  <c r="AG89" i="12"/>
  <c r="AG153" i="12" s="1"/>
  <c r="AH87" i="6"/>
  <c r="AH146" i="6" s="1"/>
  <c r="AI87" i="6"/>
  <c r="AI146" i="6" s="1"/>
  <c r="AH89" i="12"/>
  <c r="AH153" i="12" s="1"/>
  <c r="AC89" i="12"/>
  <c r="AC153" i="12" s="1"/>
  <c r="AD87" i="6"/>
  <c r="AD146" i="6" s="1"/>
  <c r="AJ87" i="6"/>
  <c r="AJ146" i="6" s="1"/>
  <c r="AI89" i="12"/>
  <c r="AI153" i="12" s="1"/>
  <c r="BT6" i="3" a="1"/>
  <c r="AG94" i="12"/>
  <c r="AG158" i="12" s="1"/>
  <c r="AH92" i="6"/>
  <c r="AH151" i="6" s="1"/>
  <c r="X92" i="6"/>
  <c r="X151" i="6" s="1"/>
  <c r="W94" i="12"/>
  <c r="W158" i="12" s="1"/>
  <c r="Y94" i="12"/>
  <c r="Y158" i="12" s="1"/>
  <c r="Z92" i="6"/>
  <c r="Z151" i="6" s="1"/>
  <c r="AB92" i="6"/>
  <c r="AB151" i="6" s="1"/>
  <c r="AA94" i="12"/>
  <c r="AA158" i="12" s="1"/>
  <c r="S94" i="12"/>
  <c r="S158" i="12" s="1"/>
  <c r="T92" i="6"/>
  <c r="T151" i="6" s="1"/>
  <c r="AK92" i="6"/>
  <c r="AK151" i="6" s="1"/>
  <c r="AJ94" i="12"/>
  <c r="AJ158" i="12" s="1"/>
  <c r="R92" i="6"/>
  <c r="R151" i="6" s="1"/>
  <c r="Q94" i="12"/>
  <c r="Q158" i="12" s="1"/>
  <c r="AC92" i="6"/>
  <c r="AC151" i="6" s="1"/>
  <c r="AB94" i="12"/>
  <c r="AB158" i="12" s="1"/>
  <c r="Q92" i="6"/>
  <c r="Q151" i="6" s="1"/>
  <c r="P94" i="12"/>
  <c r="P158" i="12" s="1"/>
  <c r="AG92" i="6"/>
  <c r="AG151" i="6" s="1"/>
  <c r="AF94" i="12"/>
  <c r="AF158" i="12" s="1"/>
  <c r="Y92" i="6"/>
  <c r="Y151" i="6" s="1"/>
  <c r="X94" i="12"/>
  <c r="X158" i="12" s="1"/>
  <c r="AA92" i="6"/>
  <c r="AA151" i="6" s="1"/>
  <c r="Z94" i="12"/>
  <c r="Z158" i="12" s="1"/>
  <c r="EH438" i="1"/>
  <c r="AD89" i="12"/>
  <c r="AD153" i="12" s="1"/>
  <c r="AE87" i="6"/>
  <c r="AE146" i="6" s="1"/>
  <c r="W89" i="12"/>
  <c r="W153" i="12" s="1"/>
  <c r="X87" i="6"/>
  <c r="X146" i="6" s="1"/>
  <c r="P89" i="12"/>
  <c r="P153" i="12" s="1"/>
  <c r="Q87" i="6"/>
  <c r="Q146" i="6" s="1"/>
  <c r="R89" i="12"/>
  <c r="R153" i="12" s="1"/>
  <c r="S87" i="6"/>
  <c r="S146" i="6" s="1"/>
  <c r="AK87" i="6"/>
  <c r="AK146" i="6" s="1"/>
  <c r="AJ89" i="12"/>
  <c r="AJ153" i="12" s="1"/>
  <c r="AB89" i="12"/>
  <c r="AB153" i="12" s="1"/>
  <c r="AC87" i="6"/>
  <c r="AC146" i="6" s="1"/>
  <c r="AE89" i="12"/>
  <c r="AE153" i="12" s="1"/>
  <c r="AF87" i="6"/>
  <c r="AF146" i="6" s="1"/>
  <c r="X89" i="12"/>
  <c r="X153" i="12" s="1"/>
  <c r="Y87" i="6"/>
  <c r="Y146" i="6" s="1"/>
  <c r="Q89" i="12"/>
  <c r="Q153" i="12" s="1"/>
  <c r="R87" i="6"/>
  <c r="R146" i="6" s="1"/>
  <c r="T89" i="12"/>
  <c r="T153" i="12" s="1"/>
  <c r="U87" i="6"/>
  <c r="U146" i="6" s="1"/>
  <c r="Z89" i="12"/>
  <c r="Z153" i="12" s="1"/>
  <c r="AA87" i="6"/>
  <c r="AA146" i="6" s="1"/>
  <c r="U89" i="12"/>
  <c r="U153" i="12" s="1"/>
  <c r="V87" i="6"/>
  <c r="V146" i="6" s="1"/>
  <c r="EH439" i="1" l="1"/>
  <c r="EV438" i="1"/>
  <c r="BB13" i="4"/>
  <c r="BB16" i="4"/>
  <c r="BB20" i="4"/>
  <c r="BB24" i="4"/>
  <c r="BB28" i="4"/>
  <c r="BB32" i="4"/>
  <c r="BB36" i="4"/>
  <c r="BB14" i="4"/>
  <c r="BB18" i="4"/>
  <c r="BB22" i="4"/>
  <c r="BB26" i="4"/>
  <c r="BB30" i="4"/>
  <c r="BB34" i="4"/>
  <c r="BB35" i="4"/>
  <c r="BB31" i="4"/>
  <c r="BB27" i="4"/>
  <c r="BB23" i="4"/>
  <c r="BB19" i="4"/>
  <c r="BB15" i="4"/>
  <c r="BB33" i="4"/>
  <c r="BB29" i="4"/>
  <c r="BB25" i="4"/>
  <c r="BB21" i="4"/>
  <c r="BB17" i="4"/>
  <c r="BT32" i="3"/>
  <c r="BT34" i="3"/>
  <c r="BT38" i="3"/>
  <c r="BT44" i="3"/>
  <c r="BT31" i="3"/>
  <c r="BT33" i="3"/>
  <c r="BT36" i="3"/>
  <c r="BT37" i="3"/>
  <c r="BT39" i="3"/>
  <c r="BT41" i="3"/>
  <c r="BT43" i="3"/>
  <c r="BT35" i="3"/>
  <c r="BT30" i="3"/>
  <c r="BT40" i="3"/>
  <c r="BT42" i="3"/>
  <c r="BT45" i="3"/>
  <c r="BT46" i="3"/>
  <c r="BT6" i="3"/>
  <c r="BT14" i="3"/>
  <c r="BT28" i="3"/>
  <c r="BT19" i="3"/>
  <c r="BT22" i="3"/>
  <c r="BT13" i="3"/>
  <c r="BT27" i="3"/>
  <c r="BT10" i="3"/>
  <c r="BT26" i="3"/>
  <c r="BT17" i="3"/>
  <c r="BT8" i="3"/>
  <c r="BT24" i="3"/>
  <c r="BT15" i="3"/>
  <c r="BT21" i="3"/>
  <c r="BT12" i="3"/>
  <c r="BT29" i="3"/>
  <c r="BT20" i="3"/>
  <c r="BT11" i="3"/>
  <c r="BT18" i="3"/>
  <c r="BT9" i="3"/>
  <c r="BT25" i="3"/>
  <c r="BT16" i="3"/>
  <c r="BT7" i="3"/>
  <c r="BT23" i="3"/>
  <c r="EH440" i="1" l="1"/>
  <c r="EV439" i="1"/>
  <c r="AM115" i="3"/>
  <c r="EH441" i="1" l="1"/>
  <c r="EV440" i="1"/>
  <c r="AN115" i="3"/>
  <c r="EH442" i="1" l="1"/>
  <c r="EV441" i="1"/>
  <c r="AO115" i="3"/>
  <c r="EH443" i="1" l="1"/>
  <c r="EV442" i="1"/>
  <c r="AP115" i="3"/>
  <c r="EH444" i="1" l="1"/>
  <c r="EV443" i="1"/>
  <c r="AQ115" i="3"/>
  <c r="EH445" i="1" l="1"/>
  <c r="EV444" i="1"/>
  <c r="AR115" i="3"/>
  <c r="EH446" i="1" l="1"/>
  <c r="EV445" i="1"/>
  <c r="AS115" i="3"/>
  <c r="EH447" i="1" l="1"/>
  <c r="EV446" i="1"/>
  <c r="AT115" i="3"/>
  <c r="EH448" i="1" l="1"/>
  <c r="EV447" i="1"/>
  <c r="AU115" i="3"/>
  <c r="EH449" i="1" l="1"/>
  <c r="EV448" i="1"/>
  <c r="AV115" i="3"/>
  <c r="EH450" i="1" l="1"/>
  <c r="EV449" i="1"/>
  <c r="AW115" i="3"/>
  <c r="EH451" i="1" l="1"/>
  <c r="EV450" i="1"/>
  <c r="AX115" i="3"/>
  <c r="EH452" i="1" l="1"/>
  <c r="EV451" i="1"/>
  <c r="AY115" i="3"/>
  <c r="EH453" i="1" l="1"/>
  <c r="EV452" i="1"/>
  <c r="AZ115" i="3"/>
  <c r="EV453" i="1" l="1"/>
  <c r="AM32" i="3" a="1"/>
  <c r="BA115" i="3"/>
  <c r="AP32" i="3" l="1"/>
  <c r="AQ32" i="3"/>
  <c r="AU32" i="3"/>
  <c r="AS32" i="3"/>
  <c r="BA32" i="3"/>
  <c r="BA116" i="3" s="1"/>
  <c r="AO32" i="3"/>
  <c r="BC32" i="3"/>
  <c r="BC116" i="3" s="1"/>
  <c r="AW32" i="3"/>
  <c r="AX32" i="3"/>
  <c r="AY32" i="3"/>
  <c r="AY116" i="3" s="1"/>
  <c r="AM32" i="3"/>
  <c r="AV32" i="3"/>
  <c r="BB32" i="3"/>
  <c r="BB116" i="3" s="1"/>
  <c r="AR32" i="3"/>
  <c r="AN32" i="3"/>
  <c r="AZ32" i="3"/>
  <c r="AZ116" i="3" s="1"/>
  <c r="AT32" i="3"/>
  <c r="BB115" i="3"/>
  <c r="BC115" i="3"/>
  <c r="AZ182" i="3" l="1"/>
  <c r="AZ117" i="3"/>
  <c r="AV116" i="3"/>
  <c r="AT94" i="12"/>
  <c r="AT158" i="12" s="1"/>
  <c r="AU94" i="12"/>
  <c r="AU158" i="12" s="1"/>
  <c r="AW116" i="3"/>
  <c r="AR92" i="6"/>
  <c r="AR151" i="6" s="1"/>
  <c r="AQ94" i="12"/>
  <c r="AQ158" i="12" s="1"/>
  <c r="AS116" i="3"/>
  <c r="BC117" i="3"/>
  <c r="BC182" i="3"/>
  <c r="AM92" i="6"/>
  <c r="AM151" i="6" s="1"/>
  <c r="AN116" i="3"/>
  <c r="AL94" i="12"/>
  <c r="AL158" i="12" s="1"/>
  <c r="AK94" i="12"/>
  <c r="AK158" i="12" s="1"/>
  <c r="AM116" i="3"/>
  <c r="AL92" i="6"/>
  <c r="AL151" i="6" s="1"/>
  <c r="AS94" i="12"/>
  <c r="AS158" i="12" s="1"/>
  <c r="AU116" i="3"/>
  <c r="AR116" i="3"/>
  <c r="AP94" i="12"/>
  <c r="AP158" i="12" s="1"/>
  <c r="AQ92" i="6"/>
  <c r="AQ151" i="6" s="1"/>
  <c r="AY182" i="3"/>
  <c r="AY117" i="3"/>
  <c r="AM94" i="12"/>
  <c r="AM158" i="12" s="1"/>
  <c r="AO116" i="3"/>
  <c r="AN92" i="6"/>
  <c r="AN151" i="6" s="1"/>
  <c r="AO94" i="12"/>
  <c r="AO158" i="12" s="1"/>
  <c r="AQ116" i="3"/>
  <c r="AP92" i="6"/>
  <c r="AP151" i="6" s="1"/>
  <c r="AR94" i="12"/>
  <c r="AR158" i="12" s="1"/>
  <c r="AT116" i="3"/>
  <c r="BB182" i="3"/>
  <c r="BB117" i="3"/>
  <c r="AX116" i="3"/>
  <c r="AV94" i="12"/>
  <c r="AV158" i="12" s="1"/>
  <c r="BA182" i="3"/>
  <c r="BA117" i="3"/>
  <c r="AO92" i="6"/>
  <c r="AO151" i="6" s="1"/>
  <c r="AN94" i="12"/>
  <c r="AN158" i="12" s="1"/>
  <c r="AP116" i="3"/>
  <c r="AT117" i="3" l="1"/>
  <c r="AT182" i="3"/>
  <c r="AR182" i="3"/>
  <c r="AR117" i="3"/>
  <c r="AM117" i="3"/>
  <c r="AM182" i="3"/>
  <c r="AX117" i="3"/>
  <c r="AX182" i="3"/>
  <c r="AU117" i="3"/>
  <c r="AU182" i="3"/>
  <c r="AV117" i="3"/>
  <c r="AV182" i="3"/>
  <c r="AO117" i="3"/>
  <c r="AO182" i="3"/>
  <c r="AW117" i="3"/>
  <c r="AW182" i="3"/>
  <c r="AP117" i="3"/>
  <c r="AP182" i="3"/>
  <c r="AQ117" i="3"/>
  <c r="AQ182" i="3"/>
  <c r="AN117" i="3"/>
  <c r="AN182" i="3"/>
  <c r="AS182" i="3"/>
  <c r="AS117" i="3"/>
  <c r="BZ36" i="4" l="1" a="1"/>
  <c r="BZ41" i="4" l="1"/>
  <c r="BZ39" i="4"/>
  <c r="BZ50" i="4"/>
  <c r="BZ52" i="4"/>
  <c r="BZ47" i="4"/>
  <c r="BZ45" i="4"/>
  <c r="BZ43" i="4"/>
  <c r="BZ46" i="4"/>
  <c r="BZ48" i="4"/>
  <c r="BZ36" i="4"/>
  <c r="BZ42" i="4"/>
  <c r="BZ37" i="4"/>
  <c r="BZ53" i="4"/>
  <c r="BZ51" i="4"/>
  <c r="BZ38" i="4"/>
  <c r="BZ40" i="4"/>
  <c r="BZ49" i="4"/>
  <c r="BZ44" i="4"/>
  <c r="O8" i="3" l="1" a="1"/>
  <c r="AZ8" i="3"/>
  <c r="BC8" i="3"/>
  <c r="AY8" i="3"/>
  <c r="BB8" i="3"/>
  <c r="BA8" i="3"/>
  <c r="CI6" i="3" a="1"/>
  <c r="CE6" i="3" a="1"/>
  <c r="CJ6" i="3" a="1"/>
  <c r="CG6" i="3" a="1"/>
  <c r="DD921" i="1" a="1"/>
  <c r="DC921" i="1" a="1"/>
  <c r="AU8" i="3"/>
  <c r="CN7" i="3" a="1"/>
  <c r="BJ6" i="3" a="1"/>
  <c r="AV8" i="3"/>
  <c r="AQ8" i="3"/>
  <c r="AM8" i="3"/>
  <c r="BJ25" i="3"/>
  <c r="DY918" i="1"/>
  <c r="CI16" i="3"/>
  <c r="PR23" i="4"/>
  <c r="CI15" i="3"/>
  <c r="PR22" i="4"/>
  <c r="CE9" i="3"/>
  <c r="CC9" i="3"/>
  <c r="BW69" i="9"/>
  <c r="BJ24" i="3"/>
  <c r="DY917" i="1"/>
  <c r="BU6" i="3" a="1"/>
  <c r="CN17" i="3"/>
  <c r="GV24" i="4"/>
  <c r="CN16" i="3"/>
  <c r="GV23" i="4"/>
  <c r="CI18" i="3"/>
  <c r="PR25" i="4"/>
  <c r="CI17" i="3"/>
  <c r="PR24" i="4"/>
  <c r="AX8" i="3"/>
  <c r="AT8" i="3"/>
  <c r="AP8" i="3"/>
  <c r="CN7" i="3"/>
  <c r="GV14" i="4"/>
  <c r="FZ14" i="4" s="1"/>
  <c r="CE6" i="3"/>
  <c r="CC6" i="3"/>
  <c r="CN20" i="3"/>
  <c r="GV27" i="4"/>
  <c r="CN19" i="3"/>
  <c r="GV26" i="4"/>
  <c r="DC921" i="1"/>
  <c r="DD921" i="1"/>
  <c r="DF921" i="1"/>
  <c r="CN23" i="3"/>
  <c r="GV30" i="4"/>
  <c r="CN22" i="3"/>
  <c r="GV29" i="4"/>
  <c r="CI8" i="3"/>
  <c r="PR15" i="4"/>
  <c r="CI7" i="3"/>
  <c r="PR14" i="4"/>
  <c r="OV14" i="4" s="1"/>
  <c r="BJ19" i="3"/>
  <c r="DY912" i="1"/>
  <c r="CN29" i="3"/>
  <c r="GX36" i="4"/>
  <c r="CN28" i="3"/>
  <c r="GX35" i="4"/>
  <c r="CE23" i="3"/>
  <c r="CC23" i="3"/>
  <c r="BW83" i="9"/>
  <c r="CN83" i="9"/>
  <c r="CE24" i="3"/>
  <c r="CC24" i="3"/>
  <c r="BW84" i="9"/>
  <c r="CN84" i="9"/>
  <c r="CN85" i="9"/>
  <c r="CN86" i="9"/>
  <c r="CN87" i="9"/>
  <c r="CN88" i="9"/>
  <c r="CN89" i="9"/>
  <c r="CN90" i="9"/>
  <c r="CN91" i="9"/>
  <c r="CN92" i="9"/>
  <c r="CN93" i="9"/>
  <c r="CN94" i="9"/>
  <c r="CE16" i="3"/>
  <c r="CC16" i="3"/>
  <c r="BW76" i="9"/>
  <c r="AW8" i="3"/>
  <c r="AS8" i="3"/>
  <c r="AO8" i="3"/>
  <c r="CE19" i="3"/>
  <c r="CC19" i="3"/>
  <c r="BW79" i="9"/>
  <c r="BJ18" i="3"/>
  <c r="DY911" i="1"/>
  <c r="CN10" i="3"/>
  <c r="GV17" i="4"/>
  <c r="CN9" i="3"/>
  <c r="GV16" i="4"/>
  <c r="FZ17" i="4" s="1"/>
  <c r="BJ28" i="3"/>
  <c r="DY921" i="1"/>
  <c r="CE29" i="3"/>
  <c r="CC29" i="3"/>
  <c r="BX89" i="9"/>
  <c r="DC922" i="1"/>
  <c r="DD922" i="1"/>
  <c r="DF922" i="1"/>
  <c r="CN25" i="3"/>
  <c r="GV32" i="4"/>
  <c r="CN24" i="3"/>
  <c r="GV31" i="4"/>
  <c r="FZ31" i="4" s="1"/>
  <c r="BJ20" i="3"/>
  <c r="DY913" i="1"/>
  <c r="CN12" i="3"/>
  <c r="GV19" i="4"/>
  <c r="CN11" i="3"/>
  <c r="GV18" i="4"/>
  <c r="CN18" i="3"/>
  <c r="GV25" i="4"/>
  <c r="FZ26" i="4" s="1"/>
  <c r="AR8" i="3"/>
  <c r="AN8" i="3"/>
  <c r="CI21" i="3"/>
  <c r="PR28" i="4"/>
  <c r="CI20" i="3"/>
  <c r="PR27" i="4"/>
  <c r="CG28" i="3"/>
  <c r="FE35" i="4"/>
  <c r="EI35" i="4" s="1"/>
  <c r="CG27" i="3"/>
  <c r="FE34" i="4"/>
  <c r="CA6" i="3" a="1"/>
  <c r="CA19" i="3"/>
  <c r="CA16" i="3"/>
  <c r="CA10" i="3"/>
  <c r="CA9" i="3"/>
  <c r="CA20" i="3"/>
  <c r="CA18" i="3"/>
  <c r="CA25" i="3"/>
  <c r="CA12" i="3"/>
  <c r="CA26" i="3"/>
  <c r="CA17" i="3"/>
  <c r="CA24" i="3"/>
  <c r="CA29" i="3"/>
  <c r="CA13" i="3"/>
  <c r="CA8" i="3"/>
  <c r="CA7" i="3"/>
  <c r="CA28" i="3"/>
  <c r="CA15" i="3"/>
  <c r="CA21" i="3"/>
  <c r="CA23" i="3"/>
  <c r="CA6" i="3"/>
  <c r="CA11" i="3"/>
  <c r="CA27" i="3"/>
  <c r="CA22" i="3"/>
  <c r="CA14" i="3"/>
  <c r="CI23" i="3"/>
  <c r="PR30" i="4"/>
  <c r="CI22" i="3"/>
  <c r="PR29" i="4"/>
  <c r="BU7" i="3"/>
  <c r="BU28" i="3"/>
  <c r="BU27" i="3"/>
  <c r="BU26" i="3"/>
  <c r="BU16" i="3"/>
  <c r="BU23" i="3"/>
  <c r="BU25" i="3"/>
  <c r="BU9" i="3"/>
  <c r="BU13" i="3"/>
  <c r="BU15" i="3"/>
  <c r="BU19" i="3"/>
  <c r="BU17" i="3"/>
  <c r="BU18" i="3"/>
  <c r="BU8" i="3"/>
  <c r="BU21" i="3"/>
  <c r="BU12" i="3"/>
  <c r="BU10" i="3"/>
  <c r="BU20" i="3"/>
  <c r="BU24" i="3"/>
  <c r="BU11" i="3"/>
  <c r="BU14" i="3"/>
  <c r="BU29" i="3"/>
  <c r="BU6" i="3"/>
  <c r="BU22" i="3"/>
  <c r="CI27" i="3"/>
  <c r="PR34" i="4"/>
  <c r="CI26" i="3"/>
  <c r="PR33" i="4"/>
  <c r="BJ9" i="3"/>
  <c r="DY902" i="1"/>
  <c r="CI14" i="3"/>
  <c r="PR21" i="4"/>
  <c r="CI13" i="3"/>
  <c r="PR20" i="4"/>
  <c r="CN21" i="3"/>
  <c r="GV28" i="4"/>
  <c r="CE20" i="3"/>
  <c r="CC20" i="3"/>
  <c r="BW80" i="9"/>
  <c r="CE26" i="3"/>
  <c r="CC26" i="3"/>
  <c r="BW86" i="9"/>
  <c r="CI11" i="3"/>
  <c r="PR18" i="4"/>
  <c r="CI10" i="3"/>
  <c r="PR17" i="4"/>
  <c r="CE8" i="3"/>
  <c r="CF8" i="3"/>
  <c r="BW8" i="3"/>
  <c r="CC8" i="3"/>
  <c r="CE13" i="3"/>
  <c r="BW13" i="3"/>
  <c r="CF13" i="3"/>
  <c r="CC13" i="3"/>
  <c r="CI29" i="3"/>
  <c r="PR36" i="4"/>
  <c r="CI28" i="3"/>
  <c r="PR35" i="4"/>
  <c r="CN13" i="3"/>
  <c r="GV20" i="4"/>
  <c r="CE17" i="3"/>
  <c r="BW17" i="3"/>
  <c r="CF17" i="3"/>
  <c r="CC17" i="3"/>
  <c r="CI12" i="3"/>
  <c r="PR19" i="4"/>
  <c r="BJ17" i="3"/>
  <c r="DY910" i="1"/>
  <c r="CE11" i="3"/>
  <c r="CC11" i="3"/>
  <c r="BW71" i="9"/>
  <c r="BU71" i="9"/>
  <c r="CE18" i="3"/>
  <c r="CC18" i="3"/>
  <c r="BW78" i="9"/>
  <c r="BU72" i="9"/>
  <c r="BU73" i="9"/>
  <c r="BU74" i="9"/>
  <c r="BU75" i="9"/>
  <c r="BU76" i="9"/>
  <c r="BU77" i="9"/>
  <c r="BU78" i="9"/>
  <c r="BU79" i="9"/>
  <c r="BU80" i="9"/>
  <c r="BU81" i="9"/>
  <c r="CO6" i="3" a="1"/>
  <c r="CO18" i="3"/>
  <c r="CO23" i="3"/>
  <c r="CO28" i="3"/>
  <c r="CO19" i="3"/>
  <c r="CO7" i="3"/>
  <c r="CO6" i="3"/>
  <c r="CO17" i="3"/>
  <c r="CO14" i="3"/>
  <c r="CO21" i="3"/>
  <c r="CO8" i="3"/>
  <c r="CO24" i="3"/>
  <c r="CO15" i="3"/>
  <c r="CO29" i="3"/>
  <c r="CO13" i="3"/>
  <c r="CO25" i="3"/>
  <c r="CO9" i="3"/>
  <c r="CO26" i="3"/>
  <c r="CO16" i="3"/>
  <c r="CO27" i="3"/>
  <c r="CO22" i="3"/>
  <c r="CO12" i="3"/>
  <c r="CO11" i="3"/>
  <c r="CO20" i="3"/>
  <c r="CO10" i="3"/>
  <c r="BW24" i="3"/>
  <c r="CF24" i="3"/>
  <c r="BW23" i="3"/>
  <c r="CF23" i="3"/>
  <c r="CN15" i="3"/>
  <c r="GV22" i="4"/>
  <c r="FZ23" i="4" s="1"/>
  <c r="GV36" i="4"/>
  <c r="GV35" i="4"/>
  <c r="CI25" i="3"/>
  <c r="PR32" i="4"/>
  <c r="CI24" i="3"/>
  <c r="PR31" i="4"/>
  <c r="OV31" i="4" s="1"/>
  <c r="CE28" i="3"/>
  <c r="CC28" i="3"/>
  <c r="BX88" i="9"/>
  <c r="CE27" i="3"/>
  <c r="CC27" i="3"/>
  <c r="BX87" i="9"/>
  <c r="BW87" i="9"/>
  <c r="BJ23" i="3"/>
  <c r="DY916" i="1"/>
  <c r="CE12" i="3"/>
  <c r="CC12" i="3"/>
  <c r="BW72" i="9"/>
  <c r="BW26" i="3"/>
  <c r="CF26" i="3"/>
  <c r="CE21" i="3"/>
  <c r="CC21" i="3"/>
  <c r="BW81" i="9"/>
  <c r="PS36" i="4"/>
  <c r="CE7" i="3"/>
  <c r="CC7" i="3"/>
  <c r="BW67" i="9"/>
  <c r="BJ7" i="3"/>
  <c r="DY900" i="1"/>
  <c r="CE15" i="3"/>
  <c r="CC15" i="3"/>
  <c r="BW75" i="9"/>
  <c r="CN8" i="3"/>
  <c r="GV15" i="4"/>
  <c r="CE22" i="3"/>
  <c r="CC22" i="3"/>
  <c r="BW82" i="9"/>
  <c r="BU82" i="9"/>
  <c r="BU83" i="9"/>
  <c r="BU84" i="9"/>
  <c r="CJ29" i="3"/>
  <c r="KK36" i="4"/>
  <c r="CN14" i="3"/>
  <c r="GV21" i="4"/>
  <c r="DE921" i="1"/>
  <c r="CI9" i="3"/>
  <c r="PR16" i="4"/>
  <c r="CN27" i="3"/>
  <c r="GV34" i="4"/>
  <c r="BJ22" i="3"/>
  <c r="DY915" i="1"/>
  <c r="BJ11" i="3"/>
  <c r="DY904" i="1"/>
  <c r="DP79" i="7" a="1"/>
  <c r="BW20" i="3"/>
  <c r="CF20" i="3"/>
  <c r="CE25" i="3"/>
  <c r="CC25" i="3"/>
  <c r="BW85" i="9"/>
  <c r="MD35" i="4"/>
  <c r="CF28" i="3"/>
  <c r="BW28" i="3"/>
  <c r="BW27" i="3"/>
  <c r="CF27" i="3"/>
  <c r="BW19" i="3"/>
  <c r="CF19" i="3"/>
  <c r="CF12" i="3"/>
  <c r="BW12" i="3"/>
  <c r="CN26" i="3"/>
  <c r="GV33" i="4"/>
  <c r="FZ33" i="4" s="1"/>
  <c r="CG29" i="3"/>
  <c r="FE36" i="4"/>
  <c r="BW21" i="3"/>
  <c r="CF21" i="3"/>
  <c r="BJ26" i="3"/>
  <c r="DY919" i="1"/>
  <c r="CE10" i="3"/>
  <c r="CC10" i="3"/>
  <c r="BW70" i="9"/>
  <c r="PS33" i="4"/>
  <c r="DE922" i="1"/>
  <c r="BW7" i="3"/>
  <c r="CF7" i="3"/>
  <c r="CF15" i="3"/>
  <c r="BW15" i="3"/>
  <c r="CF22" i="3"/>
  <c r="BW22" i="3"/>
  <c r="CE14" i="3"/>
  <c r="CC14" i="3"/>
  <c r="BW74" i="9"/>
  <c r="CJ8" i="3"/>
  <c r="CJ24" i="3"/>
  <c r="CJ26" i="3"/>
  <c r="CJ16" i="3"/>
  <c r="CJ19" i="3"/>
  <c r="CJ17" i="3"/>
  <c r="CJ10" i="3"/>
  <c r="CJ7" i="3"/>
  <c r="CJ27" i="3"/>
  <c r="CJ22" i="3"/>
  <c r="CJ21" i="3"/>
  <c r="CJ20" i="3"/>
  <c r="CJ14" i="3"/>
  <c r="CJ11" i="3"/>
  <c r="CJ28" i="3"/>
  <c r="CJ25" i="3"/>
  <c r="CJ15" i="3"/>
  <c r="CJ13" i="3"/>
  <c r="CJ6" i="3"/>
  <c r="CJ18" i="3"/>
  <c r="CJ12" i="3"/>
  <c r="CJ9" i="3"/>
  <c r="CJ23" i="3"/>
  <c r="PS35" i="4"/>
  <c r="BJ29" i="3"/>
  <c r="DY922" i="1"/>
  <c r="CI19" i="3"/>
  <c r="PR26" i="4"/>
  <c r="OV16" i="4"/>
  <c r="GX34" i="4"/>
  <c r="BW29" i="3"/>
  <c r="MD36" i="4"/>
  <c r="CF29" i="3"/>
  <c r="BJ8" i="3"/>
  <c r="DY901" i="1"/>
  <c r="BW16" i="3"/>
  <c r="CF16" i="3"/>
  <c r="CF25" i="3"/>
  <c r="BW25" i="3"/>
  <c r="BJ21" i="3"/>
  <c r="DY914" i="1"/>
  <c r="OV33" i="4"/>
  <c r="BJ12" i="3"/>
  <c r="DY905" i="1"/>
  <c r="CF9" i="3"/>
  <c r="BW9" i="3"/>
  <c r="BJ27" i="3"/>
  <c r="DY920" i="1"/>
  <c r="BW68" i="9"/>
  <c r="BW73" i="9"/>
  <c r="BW10" i="3"/>
  <c r="CF10" i="3"/>
  <c r="BK6" i="3" a="1"/>
  <c r="BK20" i="3"/>
  <c r="BK15" i="3"/>
  <c r="BK14" i="3"/>
  <c r="BK27" i="3"/>
  <c r="BK26" i="3"/>
  <c r="BK24" i="3"/>
  <c r="BK13" i="3"/>
  <c r="BK10" i="3"/>
  <c r="BK23" i="3"/>
  <c r="BK25" i="3"/>
  <c r="BK16" i="3"/>
  <c r="BK12" i="3"/>
  <c r="BK21" i="3"/>
  <c r="BK22" i="3"/>
  <c r="BK7" i="3"/>
  <c r="BK9" i="3"/>
  <c r="BK8" i="3"/>
  <c r="BK6" i="3"/>
  <c r="BK29" i="3"/>
  <c r="BK19" i="3"/>
  <c r="BK18" i="3"/>
  <c r="BK28" i="3"/>
  <c r="BK11" i="3"/>
  <c r="BK17" i="3"/>
  <c r="BW77" i="9"/>
  <c r="BJ16" i="3"/>
  <c r="DY909" i="1"/>
  <c r="DP82" i="7"/>
  <c r="DP80" i="7"/>
  <c r="DP79" i="7"/>
  <c r="DP83" i="7"/>
  <c r="DP81" i="7"/>
  <c r="CF14" i="3"/>
  <c r="BW14" i="3"/>
  <c r="BW18" i="3"/>
  <c r="CF18" i="3"/>
  <c r="CF11" i="3"/>
  <c r="BW11" i="3"/>
  <c r="BJ15" i="3"/>
  <c r="DY908" i="1"/>
  <c r="BJ14" i="3"/>
  <c r="DY907" i="1"/>
  <c r="BJ6" i="3"/>
  <c r="BJ10" i="3"/>
  <c r="BJ13" i="3"/>
  <c r="DY903" i="1"/>
  <c r="PS34" i="4"/>
  <c r="CG20" i="3"/>
  <c r="CG6" i="3"/>
  <c r="CG17" i="3"/>
  <c r="CG24" i="3"/>
  <c r="CG16" i="3"/>
  <c r="CG23" i="3"/>
  <c r="CG21" i="3"/>
  <c r="CG13" i="3"/>
  <c r="CG8" i="3"/>
  <c r="CG19" i="3"/>
  <c r="CG22" i="3"/>
  <c r="CG25" i="3"/>
  <c r="CG14" i="3"/>
  <c r="CG10" i="3"/>
  <c r="CG7" i="3"/>
  <c r="CG15" i="3"/>
  <c r="CG18" i="3"/>
  <c r="CG9" i="3"/>
  <c r="CG11" i="3"/>
  <c r="CG12" i="3"/>
  <c r="CG26" i="3"/>
  <c r="DY906" i="1"/>
  <c r="CI6" i="3"/>
  <c r="BZ6" i="3" a="1"/>
  <c r="P8" i="3"/>
  <c r="O69" i="6"/>
  <c r="O128" i="6"/>
  <c r="Y8" i="3"/>
  <c r="X69" i="6"/>
  <c r="X128" i="6"/>
  <c r="AO70" i="12"/>
  <c r="AO134" i="12"/>
  <c r="AQ69" i="6"/>
  <c r="AQ128" i="6"/>
  <c r="AL8" i="3"/>
  <c r="AK69" i="6"/>
  <c r="AK128" i="6"/>
  <c r="AH8" i="3"/>
  <c r="AF70" i="12"/>
  <c r="AF134" i="12"/>
  <c r="AK8" i="3"/>
  <c r="AJ69" i="6"/>
  <c r="AJ128" i="6"/>
  <c r="N70" i="12"/>
  <c r="N134" i="12"/>
  <c r="AS70" i="12"/>
  <c r="AS134" i="12"/>
  <c r="AM70" i="12"/>
  <c r="AM134" i="12"/>
  <c r="AL70" i="12"/>
  <c r="AL134" i="12"/>
  <c r="AT70" i="12"/>
  <c r="T8" i="3"/>
  <c r="S69" i="6"/>
  <c r="S128" i="6"/>
  <c r="AN70" i="12"/>
  <c r="AN134" i="12"/>
  <c r="AA8" i="3"/>
  <c r="Z69" i="6"/>
  <c r="Z128" i="6"/>
  <c r="W70" i="12"/>
  <c r="W134" i="12"/>
  <c r="AJ8" i="3"/>
  <c r="AI69" i="6"/>
  <c r="AI128" i="6"/>
  <c r="AR70" i="12"/>
  <c r="AR134" i="12"/>
  <c r="W8" i="3"/>
  <c r="U70" i="12"/>
  <c r="U134" i="12"/>
  <c r="AI70" i="12"/>
  <c r="AI134" i="12"/>
  <c r="AU70" i="12"/>
  <c r="AU134" i="12"/>
  <c r="Z8" i="3"/>
  <c r="Y69" i="6"/>
  <c r="Y128" i="6"/>
  <c r="AJ70" i="12"/>
  <c r="AT134" i="12"/>
  <c r="AI8" i="3"/>
  <c r="AH69" i="6"/>
  <c r="AG70" i="12"/>
  <c r="U8" i="3"/>
  <c r="S70" i="12"/>
  <c r="S134" i="12"/>
  <c r="AG8" i="3"/>
  <c r="AE70" i="12"/>
  <c r="AE134" i="12"/>
  <c r="S8" i="3"/>
  <c r="Q70" i="12"/>
  <c r="R69" i="6"/>
  <c r="AV70" i="12"/>
  <c r="AV134" i="12"/>
  <c r="AO69" i="6"/>
  <c r="AP69" i="6"/>
  <c r="AP128" i="6"/>
  <c r="AR69" i="6"/>
  <c r="AR128" i="6"/>
  <c r="AG69" i="6"/>
  <c r="AG128" i="6"/>
  <c r="Y70" i="12"/>
  <c r="Y134" i="12"/>
  <c r="AF69" i="6"/>
  <c r="AF128" i="6"/>
  <c r="AG134" i="12"/>
  <c r="R70" i="12"/>
  <c r="R134" i="12"/>
  <c r="AO128" i="6"/>
  <c r="AD8" i="3"/>
  <c r="AC69" i="6"/>
  <c r="AC128" i="6"/>
  <c r="Q134" i="12"/>
  <c r="AN69" i="6"/>
  <c r="AN128" i="6"/>
  <c r="R128" i="6"/>
  <c r="AB8" i="3"/>
  <c r="Z70" i="12"/>
  <c r="Z134" i="12"/>
  <c r="AM69" i="6"/>
  <c r="AM128" i="6"/>
  <c r="AE8" i="3"/>
  <c r="AC70" i="12"/>
  <c r="AC134" i="12"/>
  <c r="AC8" i="3"/>
  <c r="AB69" i="6"/>
  <c r="AB128" i="6"/>
  <c r="X70" i="12"/>
  <c r="AA69" i="6"/>
  <c r="AA128" i="6"/>
  <c r="AP70" i="12"/>
  <c r="AL69" i="6"/>
  <c r="AL128" i="6"/>
  <c r="Q8" i="3"/>
  <c r="O70" i="12"/>
  <c r="O134" i="12"/>
  <c r="T69" i="6"/>
  <c r="V69" i="6"/>
  <c r="V128" i="6"/>
  <c r="V8" i="3"/>
  <c r="T70" i="12"/>
  <c r="T134" i="12"/>
  <c r="X8" i="3"/>
  <c r="W69" i="6"/>
  <c r="W128" i="6"/>
  <c r="AF8" i="3"/>
  <c r="AE69" i="6"/>
  <c r="AE128" i="6"/>
  <c r="AQ70" i="12"/>
  <c r="R8" i="3"/>
  <c r="P70" i="12"/>
  <c r="P134" i="12"/>
  <c r="X134" i="12"/>
  <c r="AP134" i="12"/>
  <c r="BZ31" i="3"/>
  <c r="BZ40" i="3"/>
  <c r="BZ24" i="3"/>
  <c r="BZ23" i="3"/>
  <c r="BZ7" i="3"/>
  <c r="AC62" i="5"/>
  <c r="O8" i="3"/>
  <c r="BZ6" i="3"/>
  <c r="BZ9" i="3"/>
  <c r="BZ30" i="3"/>
  <c r="BZ18" i="3"/>
  <c r="BZ41" i="3"/>
  <c r="BZ33" i="3"/>
  <c r="BZ34" i="3"/>
  <c r="BZ46" i="3"/>
  <c r="BZ25" i="3"/>
  <c r="BZ42" i="3"/>
  <c r="BZ29" i="3"/>
  <c r="BZ11" i="3"/>
  <c r="BZ12" i="3"/>
  <c r="BZ13" i="3"/>
  <c r="BZ38" i="3"/>
  <c r="BZ28" i="3"/>
  <c r="BZ20" i="3"/>
  <c r="BZ39" i="3"/>
  <c r="BZ21" i="3"/>
  <c r="BZ35" i="3"/>
  <c r="BZ43" i="3"/>
  <c r="BZ15" i="3"/>
  <c r="BZ37" i="3"/>
  <c r="BZ16" i="3"/>
  <c r="BZ44" i="3"/>
  <c r="BZ26" i="3"/>
  <c r="BZ36" i="3"/>
  <c r="BZ8" i="3"/>
  <c r="BZ14" i="3"/>
  <c r="BZ19" i="3"/>
  <c r="BZ10" i="3"/>
  <c r="BZ32" i="3"/>
  <c r="BZ22" i="3"/>
  <c r="BZ27" i="3"/>
  <c r="BZ17" i="3"/>
  <c r="BZ45" i="3"/>
  <c r="AH70" i="12"/>
  <c r="AH134" i="12"/>
  <c r="V70" i="12"/>
  <c r="V134" i="12"/>
  <c r="P69" i="6"/>
  <c r="P128" i="6"/>
  <c r="Q69" i="6"/>
  <c r="Q128" i="6"/>
  <c r="AB70" i="12"/>
  <c r="AB134" i="12"/>
  <c r="AD69" i="6"/>
  <c r="AA70" i="12"/>
  <c r="AA134" i="12"/>
  <c r="T128" i="6"/>
  <c r="AK70" i="12"/>
  <c r="AK134" i="12"/>
  <c r="U69" i="6"/>
  <c r="AD128" i="6"/>
  <c r="AD70" i="12"/>
  <c r="AD134" i="12"/>
  <c r="U128" i="6"/>
  <c r="AH128" i="6"/>
  <c r="AJ134" i="12"/>
  <c r="AQ134" i="12"/>
  <c r="FZ35" i="4" l="1"/>
  <c r="EI36" i="4"/>
  <c r="FZ34" i="4"/>
  <c r="FZ15" i="4"/>
  <c r="OV27" i="4"/>
  <c r="FZ36" i="4"/>
  <c r="FZ20" i="4"/>
  <c r="OV17" i="4"/>
  <c r="OV20" i="4"/>
  <c r="OV18" i="4"/>
  <c r="FZ29" i="4"/>
  <c r="FZ21" i="4"/>
  <c r="OV15" i="4"/>
  <c r="FZ30" i="4"/>
  <c r="OV23" i="4"/>
  <c r="FZ25" i="4"/>
  <c r="FZ16" i="4"/>
  <c r="OV19" i="4"/>
  <c r="OV34" i="4"/>
  <c r="OV30" i="4"/>
  <c r="GA36" i="4"/>
  <c r="FZ24" i="4"/>
  <c r="OV21" i="4"/>
  <c r="OV25" i="4"/>
  <c r="OV36" i="4"/>
  <c r="FZ19" i="4"/>
  <c r="OW36" i="4"/>
  <c r="OV22" i="4"/>
  <c r="FZ32" i="4"/>
  <c r="OV26" i="4"/>
  <c r="OV32" i="4"/>
  <c r="OV29" i="4"/>
  <c r="FZ27" i="4"/>
  <c r="FZ28" i="4"/>
  <c r="FZ22" i="4"/>
  <c r="FZ18" i="4"/>
  <c r="OV28" i="4"/>
  <c r="OV35" i="4"/>
  <c r="OV24" i="4"/>
  <c r="LI35" i="4" l="1" a="1"/>
  <c r="LG35" i="4" a="1"/>
  <c r="LG37" i="4"/>
  <c r="LG35" i="4"/>
  <c r="LG36" i="4"/>
  <c r="LI35" i="4"/>
  <c r="LI36" i="4"/>
  <c r="SI44" i="4"/>
  <c r="MD44" i="4"/>
  <c r="OW43" i="4"/>
  <c r="PS43" i="4"/>
  <c r="CI36" i="3"/>
  <c r="AS186" i="3"/>
  <c r="AS110" i="3"/>
  <c r="AS109" i="3"/>
  <c r="I46" i="4"/>
  <c r="I53" i="4"/>
  <c r="BJ44" i="3"/>
  <c r="BA142" i="3"/>
  <c r="AX179" i="3"/>
  <c r="AX129" i="3"/>
  <c r="AS179" i="3"/>
  <c r="AS129" i="3"/>
  <c r="EI45" i="4"/>
  <c r="FE45" i="4"/>
  <c r="CG38" i="3"/>
  <c r="AU184" i="3"/>
  <c r="JN44" i="4"/>
  <c r="KK44" i="4"/>
  <c r="CJ37" i="3"/>
  <c r="AP161" i="3"/>
  <c r="AP159" i="3"/>
  <c r="AP158" i="3"/>
  <c r="AP157" i="3"/>
  <c r="BA152" i="3"/>
  <c r="BA151" i="3"/>
  <c r="GA48" i="4"/>
  <c r="GX48" i="4"/>
  <c r="CN41" i="3"/>
  <c r="AX183" i="3"/>
  <c r="GA42" i="4"/>
  <c r="GX42" i="4"/>
  <c r="CN35" i="3"/>
  <c r="AR183" i="3"/>
  <c r="AU152" i="3"/>
  <c r="AU151" i="3"/>
  <c r="AZ161" i="3"/>
  <c r="AZ159" i="3"/>
  <c r="AZ158" i="3"/>
  <c r="AZ157" i="3"/>
  <c r="JN53" i="4"/>
  <c r="KK53" i="4"/>
  <c r="CJ46" i="3"/>
  <c r="BC187" i="3"/>
  <c r="BC107" i="3"/>
  <c r="BC106" i="3"/>
  <c r="OW41" i="4"/>
  <c r="AQ109" i="3"/>
  <c r="AQ110" i="3"/>
  <c r="AQ186" i="3"/>
  <c r="CI34" i="3"/>
  <c r="PS41" i="4"/>
  <c r="AU164" i="3"/>
  <c r="AU166" i="3"/>
  <c r="AY143" i="3"/>
  <c r="AY138" i="3"/>
  <c r="AY137" i="3"/>
  <c r="BU42" i="3"/>
  <c r="AS154" i="3"/>
  <c r="EI44" i="4"/>
  <c r="FE44" i="4"/>
  <c r="CG37" i="3"/>
  <c r="AT184" i="3"/>
  <c r="BA161" i="3"/>
  <c r="BA159" i="3"/>
  <c r="BA158" i="3"/>
  <c r="BA157" i="3"/>
  <c r="BX94" i="9"/>
  <c r="CC34" i="3"/>
  <c r="BA149" i="3"/>
  <c r="BA148" i="3"/>
  <c r="EI48" i="4"/>
  <c r="FE48" i="4"/>
  <c r="CG41" i="3"/>
  <c r="AX184" i="3"/>
  <c r="OW51" i="4"/>
  <c r="PS51" i="4"/>
  <c r="CI44" i="3"/>
  <c r="BA186" i="3"/>
  <c r="BA110" i="3"/>
  <c r="BA109" i="3"/>
  <c r="DF934" i="1"/>
  <c r="DC934" i="1"/>
  <c r="AP149" i="3"/>
  <c r="AP148" i="3"/>
  <c r="BB152" i="3"/>
  <c r="BB151" i="3"/>
  <c r="I42" i="4"/>
  <c r="BX96" i="9"/>
  <c r="CC36" i="3"/>
  <c r="JN37" i="4"/>
  <c r="KK37" i="4"/>
  <c r="CJ30" i="3"/>
  <c r="I41" i="4"/>
  <c r="GA51" i="4"/>
  <c r="GX51" i="4"/>
  <c r="CN44" i="3"/>
  <c r="BA183" i="3"/>
  <c r="BK46" i="3"/>
  <c r="AY152" i="3"/>
  <c r="AY151" i="3"/>
  <c r="AV149" i="3"/>
  <c r="AV148" i="3"/>
  <c r="OW40" i="4"/>
  <c r="PS40" i="4"/>
  <c r="CI33" i="3"/>
  <c r="AP186" i="3"/>
  <c r="AP110" i="3"/>
  <c r="AP109" i="3"/>
  <c r="AT157" i="3"/>
  <c r="AT158" i="3"/>
  <c r="AT159" i="3"/>
  <c r="AT161" i="3"/>
  <c r="DF932" i="1"/>
  <c r="DC932" i="1"/>
  <c r="EI37" i="4"/>
  <c r="FE37" i="4"/>
  <c r="CG30" i="3"/>
  <c r="AM184" i="3"/>
  <c r="CA34" i="3"/>
  <c r="LI41" i="4"/>
  <c r="LG43" i="4"/>
  <c r="CA32" i="3"/>
  <c r="LI39" i="4"/>
  <c r="BB136" i="3"/>
  <c r="EI50" i="4"/>
  <c r="FE50" i="4"/>
  <c r="CG43" i="3"/>
  <c r="AZ184" i="3"/>
  <c r="AY161" i="3"/>
  <c r="AY159" i="3"/>
  <c r="AY158" i="3"/>
  <c r="AY157" i="3"/>
  <c r="AS149" i="3"/>
  <c r="AS148" i="3"/>
  <c r="CO42" i="3"/>
  <c r="AY175" i="3"/>
  <c r="OW42" i="4"/>
  <c r="PS42" i="4"/>
  <c r="CI35" i="3"/>
  <c r="AR186" i="3"/>
  <c r="AR110" i="3"/>
  <c r="AR109" i="3"/>
  <c r="AQ147" i="3"/>
  <c r="DC927" i="1"/>
  <c r="DF927" i="1"/>
  <c r="BU44" i="3"/>
  <c r="BA138" i="3"/>
  <c r="BA137" i="3"/>
  <c r="BA143" i="3"/>
  <c r="AY154" i="3"/>
  <c r="AQ146" i="3"/>
  <c r="LG42" i="4"/>
  <c r="BA141" i="3"/>
  <c r="BB143" i="3"/>
  <c r="BB138" i="3"/>
  <c r="BB137" i="3"/>
  <c r="BU45" i="3"/>
  <c r="OW50" i="4"/>
  <c r="PS50" i="4"/>
  <c r="AZ109" i="3"/>
  <c r="AZ110" i="3"/>
  <c r="AZ186" i="3"/>
  <c r="CI43" i="3"/>
  <c r="AR149" i="3"/>
  <c r="AR148" i="3"/>
  <c r="BK30" i="3"/>
  <c r="BB154" i="3"/>
  <c r="LG40" i="4"/>
  <c r="LG47" i="4"/>
  <c r="CJ32" i="3"/>
  <c r="KK39" i="4"/>
  <c r="JN39" i="4"/>
  <c r="BK40" i="3"/>
  <c r="I43" i="4"/>
  <c r="DF924" i="1"/>
  <c r="DC924" i="1"/>
  <c r="SI48" i="4"/>
  <c r="MD48" i="4"/>
  <c r="LG48" i="4"/>
  <c r="BC165" i="3"/>
  <c r="AQ154" i="3"/>
  <c r="OW39" i="4"/>
  <c r="PS39" i="4"/>
  <c r="CI32" i="3"/>
  <c r="AO109" i="3"/>
  <c r="AO110" i="3"/>
  <c r="AO186" i="3"/>
  <c r="AX136" i="3"/>
  <c r="AQ136" i="3"/>
  <c r="BC161" i="3"/>
  <c r="BC159" i="3"/>
  <c r="BC158" i="3"/>
  <c r="BC157" i="3"/>
  <c r="AV179" i="3"/>
  <c r="AV129" i="3"/>
  <c r="AW149" i="3"/>
  <c r="AW148" i="3"/>
  <c r="BK39" i="3"/>
  <c r="BU36" i="3"/>
  <c r="AS138" i="3"/>
  <c r="AS137" i="3"/>
  <c r="AS143" i="3"/>
  <c r="AR161" i="3"/>
  <c r="AR157" i="3"/>
  <c r="AR158" i="3"/>
  <c r="AR159" i="3"/>
  <c r="OW49" i="4"/>
  <c r="AY109" i="3"/>
  <c r="AY110" i="3"/>
  <c r="AY186" i="3"/>
  <c r="CI42" i="3"/>
  <c r="PS49" i="4"/>
  <c r="BB125" i="3"/>
  <c r="BB130" i="3"/>
  <c r="BK45" i="3"/>
  <c r="AY102" i="3"/>
  <c r="AY125" i="3"/>
  <c r="AY130" i="3"/>
  <c r="BK42" i="3"/>
  <c r="OW44" i="4"/>
  <c r="AT109" i="3"/>
  <c r="AT110" i="3"/>
  <c r="AT186" i="3"/>
  <c r="CI37" i="3"/>
  <c r="PS44" i="4"/>
  <c r="AQ152" i="3"/>
  <c r="AQ151" i="3"/>
  <c r="CO44" i="3"/>
  <c r="BA175" i="3"/>
  <c r="LG39" i="4"/>
  <c r="BA130" i="3"/>
  <c r="BK44" i="3"/>
  <c r="I51" i="4"/>
  <c r="AO146" i="3"/>
  <c r="AO147" i="3"/>
  <c r="DC925" i="1"/>
  <c r="DF925" i="1"/>
  <c r="SI52" i="4"/>
  <c r="MD52" i="4"/>
  <c r="BK43" i="3"/>
  <c r="AZ141" i="3"/>
  <c r="AQ149" i="3"/>
  <c r="AQ148" i="3"/>
  <c r="JN46" i="4"/>
  <c r="KK46" i="4"/>
  <c r="CJ39" i="3"/>
  <c r="AN149" i="3"/>
  <c r="AN148" i="3"/>
  <c r="CO40" i="3"/>
  <c r="AW175" i="3"/>
  <c r="AU138" i="3"/>
  <c r="BU38" i="3"/>
  <c r="AU137" i="3"/>
  <c r="AU143" i="3"/>
  <c r="DY930" i="1"/>
  <c r="BJ37" i="3"/>
  <c r="AT142" i="3"/>
  <c r="GA50" i="4"/>
  <c r="GX50" i="4"/>
  <c r="CN43" i="3"/>
  <c r="AZ183" i="3"/>
  <c r="BB86" i="9"/>
  <c r="BB85" i="9"/>
  <c r="BB75" i="9"/>
  <c r="BB76" i="9"/>
  <c r="BB77" i="9"/>
  <c r="BB78" i="9"/>
  <c r="BB79" i="9"/>
  <c r="BB80" i="9"/>
  <c r="BB81" i="9"/>
  <c r="BB82" i="9"/>
  <c r="BB83" i="9"/>
  <c r="BB84" i="9"/>
  <c r="GA53" i="4"/>
  <c r="GX53" i="4"/>
  <c r="CN46" i="3"/>
  <c r="BC183" i="3"/>
  <c r="AY164" i="3"/>
  <c r="AY166" i="3"/>
  <c r="AU130" i="3"/>
  <c r="BK38" i="3"/>
  <c r="BX101" i="9"/>
  <c r="CC41" i="3"/>
  <c r="DE924" i="1"/>
  <c r="DD924" i="1"/>
  <c r="BC154" i="3"/>
  <c r="AM154" i="3"/>
  <c r="AV143" i="3"/>
  <c r="AV138" i="3"/>
  <c r="AV130" i="3"/>
  <c r="AV137" i="3"/>
  <c r="BU39" i="3"/>
  <c r="AS125" i="3"/>
  <c r="AS130" i="3"/>
  <c r="BK36" i="3"/>
  <c r="AY124" i="3"/>
  <c r="BA184" i="3"/>
  <c r="CG44" i="3"/>
  <c r="FE51" i="4"/>
  <c r="EI51" i="4"/>
  <c r="AO152" i="3"/>
  <c r="AO151" i="3"/>
  <c r="LG49" i="4"/>
  <c r="BC138" i="3"/>
  <c r="BC143" i="3"/>
  <c r="BC102" i="3"/>
  <c r="BC125" i="3"/>
  <c r="BC130" i="3"/>
  <c r="BC137" i="3"/>
  <c r="BU46" i="3"/>
  <c r="AM138" i="3"/>
  <c r="BU30" i="3"/>
  <c r="AM125" i="3"/>
  <c r="AM130" i="3"/>
  <c r="AM137" i="3"/>
  <c r="AM143" i="3"/>
  <c r="AR164" i="3"/>
  <c r="AR166" i="3"/>
  <c r="AZ154" i="3"/>
  <c r="AQ165" i="3"/>
  <c r="AQ204" i="3"/>
  <c r="AQ203" i="3"/>
  <c r="AW164" i="3"/>
  <c r="AW166" i="3"/>
  <c r="CA35" i="3"/>
  <c r="LI42" i="4"/>
  <c r="AW155" i="3"/>
  <c r="AW153" i="3"/>
  <c r="AT107" i="3"/>
  <c r="AT187" i="3"/>
  <c r="DP91" i="7"/>
  <c r="AU149" i="3"/>
  <c r="AU148" i="3"/>
  <c r="AV125" i="3"/>
  <c r="AV154" i="3"/>
  <c r="AX141" i="3"/>
  <c r="AW141" i="3"/>
  <c r="BB165" i="3"/>
  <c r="AW154" i="3"/>
  <c r="AU109" i="3"/>
  <c r="AU110" i="3"/>
  <c r="AU186" i="3"/>
  <c r="CI38" i="3"/>
  <c r="PS45" i="4"/>
  <c r="OW45" i="4"/>
  <c r="AO149" i="3"/>
  <c r="AO148" i="3"/>
  <c r="JN51" i="4"/>
  <c r="BA106" i="3"/>
  <c r="BA107" i="3"/>
  <c r="BA187" i="3"/>
  <c r="CJ44" i="3"/>
  <c r="KK51" i="4"/>
  <c r="BA155" i="3"/>
  <c r="BA139" i="3"/>
  <c r="BA140" i="3"/>
  <c r="BA153" i="3"/>
  <c r="BC136" i="3"/>
  <c r="BB164" i="3"/>
  <c r="BB166" i="3"/>
  <c r="LG38" i="4"/>
  <c r="AT124" i="3"/>
  <c r="AQ157" i="3"/>
  <c r="AQ158" i="3"/>
  <c r="AQ159" i="3"/>
  <c r="AQ161" i="3"/>
  <c r="AN152" i="3"/>
  <c r="AN151" i="3"/>
  <c r="AM109" i="3"/>
  <c r="AM110" i="3"/>
  <c r="AM186" i="3"/>
  <c r="CI30" i="3"/>
  <c r="PS37" i="4"/>
  <c r="OW37" i="4"/>
  <c r="AX164" i="3"/>
  <c r="AX166" i="3"/>
  <c r="CO30" i="3"/>
  <c r="AM175" i="3"/>
  <c r="AR119" i="3"/>
  <c r="AR124" i="3"/>
  <c r="DF926" i="1"/>
  <c r="DC926" i="1"/>
  <c r="LI46" i="4"/>
  <c r="AV146" i="3"/>
  <c r="AV147" i="3"/>
  <c r="CA39" i="3"/>
  <c r="LG53" i="4"/>
  <c r="GA44" i="4"/>
  <c r="GX44" i="4"/>
  <c r="AT119" i="3"/>
  <c r="AT183" i="3"/>
  <c r="CN37" i="3"/>
  <c r="AU157" i="3"/>
  <c r="AU158" i="3"/>
  <c r="AU159" i="3"/>
  <c r="AU161" i="3"/>
  <c r="AO124" i="3"/>
  <c r="AM107" i="3"/>
  <c r="AM187" i="3"/>
  <c r="DP84" i="7"/>
  <c r="BB141" i="3"/>
  <c r="CF34" i="3"/>
  <c r="BW34" i="3"/>
  <c r="AR152" i="3"/>
  <c r="AR151" i="3"/>
  <c r="AQ179" i="3"/>
  <c r="AQ129" i="3"/>
  <c r="GA41" i="4"/>
  <c r="GX41" i="4"/>
  <c r="CN34" i="3"/>
  <c r="AQ183" i="3"/>
  <c r="BA136" i="3"/>
  <c r="AM166" i="3"/>
  <c r="AM164" i="3"/>
  <c r="AV166" i="3"/>
  <c r="AV164" i="3"/>
  <c r="AU145" i="3"/>
  <c r="AU150" i="3"/>
  <c r="AU144" i="3"/>
  <c r="AY119" i="3"/>
  <c r="AY183" i="3"/>
  <c r="CN42" i="3"/>
  <c r="GX49" i="4"/>
  <c r="GA49" i="4"/>
  <c r="AV109" i="3"/>
  <c r="AV110" i="3"/>
  <c r="AV186" i="3"/>
  <c r="CI39" i="3"/>
  <c r="PS46" i="4"/>
  <c r="OW46" i="4"/>
  <c r="AW165" i="3"/>
  <c r="AW204" i="3"/>
  <c r="AW203" i="3"/>
  <c r="AP166" i="3"/>
  <c r="AP164" i="3"/>
  <c r="DN126" i="1"/>
  <c r="DN127" i="1"/>
  <c r="DN116" i="1"/>
  <c r="DN117" i="1"/>
  <c r="DN122" i="1"/>
  <c r="DN131" i="1"/>
  <c r="DN121" i="1"/>
  <c r="DN128" i="1"/>
  <c r="DN120" i="1"/>
  <c r="DN119" i="1"/>
  <c r="DN125" i="1"/>
  <c r="DN130" i="1"/>
  <c r="DN123" i="1"/>
  <c r="DN124" i="1"/>
  <c r="DN118" i="1"/>
  <c r="DN132" i="1"/>
  <c r="DN129" i="1"/>
  <c r="DN116" i="1" a="1"/>
  <c r="AV204" i="3"/>
  <c r="AV165" i="3"/>
  <c r="AV203" i="3"/>
  <c r="AZ166" i="3"/>
  <c r="AZ164" i="3"/>
  <c r="AP136" i="3"/>
  <c r="AP203" i="3"/>
  <c r="AP204" i="3"/>
  <c r="AP165" i="3"/>
  <c r="AW138" i="3"/>
  <c r="AW143" i="3"/>
  <c r="AW125" i="3"/>
  <c r="AW130" i="3"/>
  <c r="AW137" i="3"/>
  <c r="BU40" i="3"/>
  <c r="AO154" i="3"/>
  <c r="AO138" i="3"/>
  <c r="BU32" i="3"/>
  <c r="AO137" i="3"/>
  <c r="AO143" i="3"/>
  <c r="AG37" i="4"/>
  <c r="AG52" i="4"/>
  <c r="AG53" i="4"/>
  <c r="AG51" i="4"/>
  <c r="AG46" i="4"/>
  <c r="AG39" i="4"/>
  <c r="AG45" i="4"/>
  <c r="AG43" i="4"/>
  <c r="AG49" i="4"/>
  <c r="AG44" i="4"/>
  <c r="AG41" i="4"/>
  <c r="AG48" i="4"/>
  <c r="AG42" i="4"/>
  <c r="AG40" i="4"/>
  <c r="AG47" i="4"/>
  <c r="AG38" i="4"/>
  <c r="AG50" i="4"/>
  <c r="AS141" i="3"/>
  <c r="SI37" i="4"/>
  <c r="MD37" i="4"/>
  <c r="BU35" i="3"/>
  <c r="AR143" i="3"/>
  <c r="AR137" i="3"/>
  <c r="AR138" i="3"/>
  <c r="AZ143" i="3"/>
  <c r="AZ138" i="3"/>
  <c r="AZ102" i="3"/>
  <c r="AZ125" i="3"/>
  <c r="AZ130" i="3"/>
  <c r="AZ137" i="3"/>
  <c r="BU43" i="3"/>
  <c r="AV184" i="3"/>
  <c r="CG39" i="3"/>
  <c r="FE46" i="4"/>
  <c r="EI46" i="4"/>
  <c r="AZ155" i="3"/>
  <c r="AZ153" i="3"/>
  <c r="AN184" i="3"/>
  <c r="CG31" i="3"/>
  <c r="FE38" i="4"/>
  <c r="EI38" i="4"/>
  <c r="LI38" i="4"/>
  <c r="AN146" i="3"/>
  <c r="AN147" i="3"/>
  <c r="CA31" i="3"/>
  <c r="CF45" i="3"/>
  <c r="CC45" i="3"/>
  <c r="BB131" i="3"/>
  <c r="BB132" i="3"/>
  <c r="BB135" i="3"/>
  <c r="CE45" i="3"/>
  <c r="BW45" i="3"/>
  <c r="AR146" i="3"/>
  <c r="AR147" i="3"/>
  <c r="DC928" i="1"/>
  <c r="DF928" i="1"/>
  <c r="BC166" i="3"/>
  <c r="BB162" i="3"/>
  <c r="BC162" i="3"/>
  <c r="BC164" i="3"/>
  <c r="BA145" i="3"/>
  <c r="BA150" i="3"/>
  <c r="BA89" i="3"/>
  <c r="BA144" i="3"/>
  <c r="CA41" i="3"/>
  <c r="AX146" i="3"/>
  <c r="AX147" i="3"/>
  <c r="LI48" i="4"/>
  <c r="AX157" i="3"/>
  <c r="AX158" i="3"/>
  <c r="AX159" i="3"/>
  <c r="AX161" i="3"/>
  <c r="AX119" i="3"/>
  <c r="AX124" i="3"/>
  <c r="AW184" i="3"/>
  <c r="CG40" i="3"/>
  <c r="FE47" i="4"/>
  <c r="EI47" i="4"/>
  <c r="AV107" i="3"/>
  <c r="AV187" i="3"/>
  <c r="DP93" i="7"/>
  <c r="AO157" i="3"/>
  <c r="AO158" i="3"/>
  <c r="AO159" i="3"/>
  <c r="AO161" i="3"/>
  <c r="AW109" i="3"/>
  <c r="AW110" i="3"/>
  <c r="AW186" i="3"/>
  <c r="CI40" i="3"/>
  <c r="PS47" i="4"/>
  <c r="OW47" i="4"/>
  <c r="AX142" i="3"/>
  <c r="BJ41" i="3"/>
  <c r="DY934" i="1"/>
  <c r="AS164" i="3"/>
  <c r="AS166" i="3"/>
  <c r="AR154" i="3"/>
  <c r="AT179" i="3"/>
  <c r="AT129" i="3"/>
  <c r="I47" i="4"/>
  <c r="AM129" i="3"/>
  <c r="AM179" i="3"/>
  <c r="AN204" i="3"/>
  <c r="AN203" i="3"/>
  <c r="AN165" i="3"/>
  <c r="AT204" i="3"/>
  <c r="AT203" i="3"/>
  <c r="AT165" i="3"/>
  <c r="AU141" i="3"/>
  <c r="SI53" i="4"/>
  <c r="MD53" i="4"/>
  <c r="AU155" i="3"/>
  <c r="AU153" i="3"/>
  <c r="BJ46" i="3"/>
  <c r="BC142" i="3"/>
  <c r="AZ106" i="3"/>
  <c r="AZ107" i="3"/>
  <c r="AZ187" i="3"/>
  <c r="CJ43" i="3"/>
  <c r="KK50" i="4"/>
  <c r="JN50" i="4"/>
  <c r="AO107" i="3"/>
  <c r="AO187" i="3"/>
  <c r="DP86" i="7"/>
  <c r="JN38" i="4"/>
  <c r="KK38" i="4"/>
  <c r="CJ31" i="3"/>
  <c r="AR102" i="3"/>
  <c r="AR125" i="3"/>
  <c r="AR130" i="3"/>
  <c r="BK35" i="3"/>
  <c r="BX92" i="9"/>
  <c r="CC32" i="3"/>
  <c r="LG46" i="4"/>
  <c r="JN42" i="4"/>
  <c r="KK42" i="4"/>
  <c r="CJ35" i="3"/>
  <c r="EN255" i="1"/>
  <c r="EN252" i="1"/>
  <c r="EN254" i="1"/>
  <c r="EN258" i="1"/>
  <c r="EN257" i="1"/>
  <c r="EN267" i="1"/>
  <c r="EN256" i="1"/>
  <c r="EN264" i="1"/>
  <c r="EN260" i="1"/>
  <c r="EN266" i="1"/>
  <c r="EN263" i="1"/>
  <c r="EN261" i="1"/>
  <c r="EN251" i="1"/>
  <c r="EN259" i="1"/>
  <c r="EN262" i="1"/>
  <c r="EN265" i="1"/>
  <c r="EN253" i="1"/>
  <c r="EN251" i="1" a="1"/>
  <c r="EL210" i="1"/>
  <c r="EL221" i="1"/>
  <c r="EL222" i="1"/>
  <c r="EL209" i="1"/>
  <c r="EL213" i="1"/>
  <c r="EL220" i="1"/>
  <c r="EL206" i="1"/>
  <c r="EL219" i="1"/>
  <c r="EL211" i="1"/>
  <c r="EL208" i="1"/>
  <c r="EL216" i="1"/>
  <c r="EL214" i="1"/>
  <c r="EL207" i="1"/>
  <c r="EL218" i="1"/>
  <c r="EL217" i="1"/>
  <c r="EL212" i="1"/>
  <c r="EL215" i="1"/>
  <c r="EL206" i="1" a="1"/>
  <c r="SI46" i="4"/>
  <c r="MD46" i="4"/>
  <c r="JN48" i="4"/>
  <c r="KK48" i="4"/>
  <c r="CJ41" i="3"/>
  <c r="DE927" i="1"/>
  <c r="DD927" i="1"/>
  <c r="OW53" i="4"/>
  <c r="BC109" i="3"/>
  <c r="BC110" i="3"/>
  <c r="BC186" i="3"/>
  <c r="CI46" i="3"/>
  <c r="PS53" i="4"/>
  <c r="AO203" i="3"/>
  <c r="AO165" i="3"/>
  <c r="AO204" i="3"/>
  <c r="AN136" i="3"/>
  <c r="DY931" i="1"/>
  <c r="AU139" i="3"/>
  <c r="AU140" i="3"/>
  <c r="AU142" i="3"/>
  <c r="BJ38" i="3"/>
  <c r="BC141" i="3"/>
  <c r="EI53" i="4"/>
  <c r="BC184" i="3"/>
  <c r="CG46" i="3"/>
  <c r="FE53" i="4"/>
  <c r="AM161" i="3"/>
  <c r="DD929" i="1"/>
  <c r="DE929" i="1"/>
  <c r="BX100" i="9"/>
  <c r="CC40" i="3"/>
  <c r="AN106" i="3"/>
  <c r="AN107" i="3"/>
  <c r="AN187" i="3"/>
  <c r="DP85" i="7"/>
  <c r="AM151" i="3"/>
  <c r="AM150" i="3"/>
  <c r="AM144" i="3"/>
  <c r="AM145" i="3"/>
  <c r="BK37" i="3"/>
  <c r="LI52" i="4"/>
  <c r="BB146" i="3"/>
  <c r="BB147" i="3"/>
  <c r="CA45" i="3"/>
  <c r="AZ139" i="3"/>
  <c r="AZ140" i="3"/>
  <c r="AZ142" i="3"/>
  <c r="BJ43" i="3"/>
  <c r="AX153" i="3"/>
  <c r="AX139" i="3"/>
  <c r="AX140" i="3"/>
  <c r="AX155" i="3"/>
  <c r="DF931" i="1"/>
  <c r="DC931" i="1"/>
  <c r="AO102" i="3"/>
  <c r="AO125" i="3"/>
  <c r="AO130" i="3"/>
  <c r="BK32" i="3"/>
  <c r="I49" i="4"/>
  <c r="AW152" i="3"/>
  <c r="AW151" i="3"/>
  <c r="AY165" i="3"/>
  <c r="OW52" i="4"/>
  <c r="PS52" i="4"/>
  <c r="CI45" i="3"/>
  <c r="BB109" i="3"/>
  <c r="BB110" i="3"/>
  <c r="BB186" i="3"/>
  <c r="AM136" i="3"/>
  <c r="AN157" i="3"/>
  <c r="AN158" i="3"/>
  <c r="AN159" i="3"/>
  <c r="AN161" i="3"/>
  <c r="AR142" i="3"/>
  <c r="BJ35" i="3"/>
  <c r="DY928" i="1"/>
  <c r="AZ136" i="3"/>
  <c r="JN40" i="4"/>
  <c r="KK40" i="4"/>
  <c r="CJ33" i="3"/>
  <c r="DY923" i="1"/>
  <c r="BJ30" i="3"/>
  <c r="AM142" i="3"/>
  <c r="BA165" i="3"/>
  <c r="SI45" i="4"/>
  <c r="MD45" i="4"/>
  <c r="JN41" i="4"/>
  <c r="KK41" i="4"/>
  <c r="CJ34" i="3"/>
  <c r="AM141" i="3"/>
  <c r="BW46" i="3"/>
  <c r="CC46" i="3"/>
  <c r="BC131" i="3"/>
  <c r="BC132" i="3"/>
  <c r="BC135" i="3"/>
  <c r="CE46" i="3"/>
  <c r="CF46" i="3"/>
  <c r="DP90" i="7"/>
  <c r="DF930" i="1"/>
  <c r="DC930" i="1"/>
  <c r="AU102" i="3"/>
  <c r="AU125" i="3"/>
  <c r="AU154" i="3"/>
  <c r="AS145" i="3"/>
  <c r="AS150" i="3"/>
  <c r="AS144" i="3"/>
  <c r="BA102" i="3"/>
  <c r="BA125" i="3"/>
  <c r="BA154" i="3"/>
  <c r="AW139" i="3"/>
  <c r="AW140" i="3"/>
  <c r="AW142" i="3"/>
  <c r="BJ40" i="3"/>
  <c r="DY933" i="1"/>
  <c r="I37" i="4"/>
  <c r="AX175" i="3"/>
  <c r="CO41" i="3"/>
  <c r="SI40" i="4"/>
  <c r="MD40" i="4"/>
  <c r="AT164" i="3"/>
  <c r="AT166" i="3"/>
  <c r="AM152" i="3"/>
  <c r="AM148" i="3"/>
  <c r="AM149" i="3"/>
  <c r="BB149" i="3"/>
  <c r="BB148" i="3"/>
  <c r="AT143" i="3"/>
  <c r="AT138" i="3"/>
  <c r="AT130" i="3"/>
  <c r="AT137" i="3"/>
  <c r="BU37" i="3"/>
  <c r="AQ166" i="3"/>
  <c r="AQ164" i="3"/>
  <c r="AO166" i="3"/>
  <c r="AO164" i="3"/>
  <c r="BB145" i="3"/>
  <c r="BB144" i="3"/>
  <c r="BB150" i="3"/>
  <c r="CF37" i="3"/>
  <c r="BW37" i="3"/>
  <c r="AZ119" i="3"/>
  <c r="AZ124" i="3"/>
  <c r="GA45" i="4"/>
  <c r="GX45" i="4"/>
  <c r="CN38" i="3"/>
  <c r="AU183" i="3"/>
  <c r="CF31" i="3"/>
  <c r="BW31" i="3"/>
  <c r="CF33" i="3"/>
  <c r="BW33" i="3"/>
  <c r="I52" i="4"/>
  <c r="BC149" i="3"/>
  <c r="BC148" i="3"/>
  <c r="BX95" i="9"/>
  <c r="CC35" i="3"/>
  <c r="AR136" i="3"/>
  <c r="AV106" i="3"/>
  <c r="DD932" i="1"/>
  <c r="DE932" i="1"/>
  <c r="AW136" i="3"/>
  <c r="EI49" i="4"/>
  <c r="FE49" i="4"/>
  <c r="CG42" i="3"/>
  <c r="AY184" i="3"/>
  <c r="AX149" i="3"/>
  <c r="AX148" i="3"/>
  <c r="DY932" i="1"/>
  <c r="BJ39" i="3"/>
  <c r="AV142" i="3"/>
  <c r="AV161" i="3"/>
  <c r="AV159" i="3"/>
  <c r="AV158" i="3"/>
  <c r="AV102" i="3"/>
  <c r="AV157" i="3"/>
  <c r="BB161" i="3"/>
  <c r="BB159" i="3"/>
  <c r="BB158" i="3"/>
  <c r="BB102" i="3"/>
  <c r="BB157" i="3"/>
  <c r="AT102" i="3"/>
  <c r="AT125" i="3"/>
  <c r="AT154" i="3"/>
  <c r="BK34" i="3"/>
  <c r="CC31" i="3"/>
  <c r="BX91" i="9"/>
  <c r="AW102" i="3"/>
  <c r="AW157" i="3"/>
  <c r="AW158" i="3"/>
  <c r="AW159" i="3"/>
  <c r="AW161" i="3"/>
  <c r="BX99" i="9"/>
  <c r="CC39" i="3"/>
  <c r="AT132" i="3"/>
  <c r="AT135" i="3"/>
  <c r="CE37" i="3"/>
  <c r="CC37" i="3"/>
  <c r="BX97" i="9"/>
  <c r="AS136" i="3"/>
  <c r="AT155" i="3"/>
  <c r="AT140" i="3"/>
  <c r="AT153" i="3"/>
  <c r="GA37" i="4"/>
  <c r="AM183" i="3"/>
  <c r="CN30" i="3"/>
  <c r="GX37" i="4"/>
  <c r="BC153" i="3"/>
  <c r="BC139" i="3"/>
  <c r="BC140" i="3"/>
  <c r="BC155" i="3"/>
  <c r="EI40" i="4"/>
  <c r="AP184" i="3"/>
  <c r="CG33" i="3"/>
  <c r="FE40" i="4"/>
  <c r="GA46" i="4"/>
  <c r="AV183" i="3"/>
  <c r="CN39" i="3"/>
  <c r="GX46" i="4"/>
  <c r="AN131" i="3"/>
  <c r="AN132" i="3"/>
  <c r="AN135" i="3"/>
  <c r="CE31" i="3"/>
  <c r="MD38" i="4"/>
  <c r="SI38" i="4"/>
  <c r="AQ131" i="3"/>
  <c r="AQ132" i="3"/>
  <c r="AQ135" i="3"/>
  <c r="CE34" i="3"/>
  <c r="MD41" i="4"/>
  <c r="SI41" i="4"/>
  <c r="AP131" i="3"/>
  <c r="AP132" i="3"/>
  <c r="AP135" i="3"/>
  <c r="CE33" i="3"/>
  <c r="CC33" i="3"/>
  <c r="BX93" i="9"/>
  <c r="BC145" i="3"/>
  <c r="BC150" i="3"/>
  <c r="BC144" i="3"/>
  <c r="BB129" i="3"/>
  <c r="AR107" i="3"/>
  <c r="AR187" i="3"/>
  <c r="DP89" i="7"/>
  <c r="AS106" i="3"/>
  <c r="AS107" i="3"/>
  <c r="AS187" i="3"/>
  <c r="CJ36" i="3"/>
  <c r="KK43" i="4"/>
  <c r="JN43" i="4"/>
  <c r="AO179" i="3"/>
  <c r="AO129" i="3"/>
  <c r="AP150" i="3"/>
  <c r="AP145" i="3"/>
  <c r="AP144" i="3"/>
  <c r="AZ165" i="3"/>
  <c r="CO32" i="3"/>
  <c r="AO175" i="3"/>
  <c r="AV155" i="3"/>
  <c r="AV140" i="3"/>
  <c r="AV153" i="3"/>
  <c r="AP141" i="3"/>
  <c r="AN179" i="3"/>
  <c r="AN129" i="3"/>
  <c r="CO37" i="3"/>
  <c r="AT175" i="3"/>
  <c r="BW36" i="3"/>
  <c r="CF36" i="3"/>
  <c r="BC119" i="3"/>
  <c r="BC124" i="3"/>
  <c r="AZ152" i="3"/>
  <c r="AZ151" i="3"/>
  <c r="AN155" i="3"/>
  <c r="AN153" i="3"/>
  <c r="AP151" i="3"/>
  <c r="AP152" i="3"/>
  <c r="AQ143" i="3"/>
  <c r="BU34" i="3"/>
  <c r="AQ102" i="3"/>
  <c r="AQ125" i="3"/>
  <c r="AQ130" i="3"/>
  <c r="AQ137" i="3"/>
  <c r="AQ138" i="3"/>
  <c r="CA38" i="3"/>
  <c r="AU146" i="3"/>
  <c r="AU147" i="3"/>
  <c r="LI45" i="4"/>
  <c r="I38" i="4"/>
  <c r="CO46" i="3"/>
  <c r="BC175" i="3"/>
  <c r="AO136" i="3"/>
  <c r="AR184" i="3"/>
  <c r="CG35" i="3"/>
  <c r="FE42" i="4"/>
  <c r="EI42" i="4"/>
  <c r="BB106" i="3"/>
  <c r="BB107" i="3"/>
  <c r="BB187" i="3"/>
  <c r="CJ45" i="3"/>
  <c r="KK52" i="4"/>
  <c r="JN52" i="4"/>
  <c r="CF41" i="3"/>
  <c r="CE41" i="3"/>
  <c r="BW41" i="3"/>
  <c r="AM165" i="3"/>
  <c r="AM203" i="3"/>
  <c r="AM204" i="3"/>
  <c r="AR165" i="3"/>
  <c r="AR204" i="3"/>
  <c r="AR203" i="3"/>
  <c r="BA164" i="3"/>
  <c r="AO162" i="3"/>
  <c r="AP162" i="3"/>
  <c r="AQ162" i="3"/>
  <c r="AR162" i="3"/>
  <c r="AS162" i="3"/>
  <c r="AT162" i="3"/>
  <c r="AU162" i="3"/>
  <c r="AV162" i="3"/>
  <c r="AW162" i="3"/>
  <c r="AX162" i="3"/>
  <c r="AY162" i="3"/>
  <c r="AZ162" i="3"/>
  <c r="BA162" i="3"/>
  <c r="BA166" i="3"/>
  <c r="BC89" i="3"/>
  <c r="BC151" i="3"/>
  <c r="BC152" i="3"/>
  <c r="AN154" i="3"/>
  <c r="CO38" i="3"/>
  <c r="AU175" i="3"/>
  <c r="BB127" i="3"/>
  <c r="BB175" i="3"/>
  <c r="CO45" i="3"/>
  <c r="AR106" i="3"/>
  <c r="DD928" i="1"/>
  <c r="DE928" i="1"/>
  <c r="DD931" i="1"/>
  <c r="DE931" i="1"/>
  <c r="AP129" i="3"/>
  <c r="AP179" i="3"/>
  <c r="AT139" i="3"/>
  <c r="AT141" i="3"/>
  <c r="AP175" i="3"/>
  <c r="CO33" i="3"/>
  <c r="LI44" i="4"/>
  <c r="AT147" i="3"/>
  <c r="CA37" i="3"/>
  <c r="AU119" i="3"/>
  <c r="AU124" i="3"/>
  <c r="AR144" i="3"/>
  <c r="AR145" i="3"/>
  <c r="AR150" i="3"/>
  <c r="EL261" i="1"/>
  <c r="EL263" i="1"/>
  <c r="EL255" i="1"/>
  <c r="EL254" i="1"/>
  <c r="EL266" i="1"/>
  <c r="EL264" i="1"/>
  <c r="EL257" i="1"/>
  <c r="EL256" i="1"/>
  <c r="EL265" i="1"/>
  <c r="EL253" i="1"/>
  <c r="EL262" i="1"/>
  <c r="EL260" i="1"/>
  <c r="EL259" i="1"/>
  <c r="EL267" i="1"/>
  <c r="EL251" i="1"/>
  <c r="EL252" i="1"/>
  <c r="EL258" i="1"/>
  <c r="EL251" i="1" a="1"/>
  <c r="EI43" i="4"/>
  <c r="AS184" i="3"/>
  <c r="CG36" i="3"/>
  <c r="FE43" i="4"/>
  <c r="AV136" i="3"/>
  <c r="LI47" i="4"/>
  <c r="CA40" i="3"/>
  <c r="AP107" i="3"/>
  <c r="AP187" i="3"/>
  <c r="DP87" i="7"/>
  <c r="AX107" i="3"/>
  <c r="AX187" i="3"/>
  <c r="DP95" i="7"/>
  <c r="AM153" i="3"/>
  <c r="AM139" i="3"/>
  <c r="AM140" i="3"/>
  <c r="AM155" i="3"/>
  <c r="BJ42" i="3"/>
  <c r="AY142" i="3"/>
  <c r="OW38" i="4"/>
  <c r="AN109" i="3"/>
  <c r="AN110" i="3"/>
  <c r="AN186" i="3"/>
  <c r="CI31" i="3"/>
  <c r="PS38" i="4"/>
  <c r="SI51" i="4"/>
  <c r="MD51" i="4"/>
  <c r="GA43" i="4"/>
  <c r="AS183" i="3"/>
  <c r="CN36" i="3"/>
  <c r="GX43" i="4"/>
  <c r="EI39" i="4"/>
  <c r="AO184" i="3"/>
  <c r="CG32" i="3"/>
  <c r="FE39" i="4"/>
  <c r="AU136" i="3"/>
  <c r="DP92" i="7"/>
  <c r="AN124" i="3"/>
  <c r="I44" i="4"/>
  <c r="GA52" i="4"/>
  <c r="GX52" i="4"/>
  <c r="CN45" i="3"/>
  <c r="BB183" i="3"/>
  <c r="DE923" i="1"/>
  <c r="AM89" i="3"/>
  <c r="AM106" i="3"/>
  <c r="DD923" i="1"/>
  <c r="DE933" i="1"/>
  <c r="DD933" i="1"/>
  <c r="AY149" i="3"/>
  <c r="AY148" i="3"/>
  <c r="AV139" i="3"/>
  <c r="AV141" i="3"/>
  <c r="SI50" i="4"/>
  <c r="MD50" i="4"/>
  <c r="AS155" i="3"/>
  <c r="AS153" i="3"/>
  <c r="AT152" i="3"/>
  <c r="AT151" i="3"/>
  <c r="BK31" i="3"/>
  <c r="AN166" i="3"/>
  <c r="AM102" i="3"/>
  <c r="AM157" i="3"/>
  <c r="AM158" i="3"/>
  <c r="AM159" i="3"/>
  <c r="AM162" i="3"/>
  <c r="AN162" i="3"/>
  <c r="AN164" i="3"/>
  <c r="AO119" i="3"/>
  <c r="AO183" i="3"/>
  <c r="CN32" i="3"/>
  <c r="GX39" i="4"/>
  <c r="GA39" i="4"/>
  <c r="AR153" i="3"/>
  <c r="AR140" i="3"/>
  <c r="AR155" i="3"/>
  <c r="AM119" i="3"/>
  <c r="AM124" i="3"/>
  <c r="AX152" i="3"/>
  <c r="AX151" i="3"/>
  <c r="AP154" i="3"/>
  <c r="AY153" i="3"/>
  <c r="AY140" i="3"/>
  <c r="AY155" i="3"/>
  <c r="AN141" i="3"/>
  <c r="AT106" i="3"/>
  <c r="DD930" i="1"/>
  <c r="DE930" i="1"/>
  <c r="AO106" i="3"/>
  <c r="DD925" i="1"/>
  <c r="DE925" i="1"/>
  <c r="LI51" i="4"/>
  <c r="BA147" i="3"/>
  <c r="CA44" i="3"/>
  <c r="AS119" i="3"/>
  <c r="AS124" i="3"/>
  <c r="AS203" i="3"/>
  <c r="AS204" i="3"/>
  <c r="AS165" i="3"/>
  <c r="AQ142" i="3"/>
  <c r="BJ34" i="3"/>
  <c r="DY927" i="1"/>
  <c r="AQ150" i="3"/>
  <c r="AQ144" i="3"/>
  <c r="AQ145" i="3"/>
  <c r="AS175" i="3"/>
  <c r="CO36" i="3"/>
  <c r="BC129" i="3"/>
  <c r="AQ119" i="3"/>
  <c r="AQ124" i="3"/>
  <c r="BW35" i="3"/>
  <c r="CF35" i="3"/>
  <c r="BB155" i="3"/>
  <c r="BB153" i="3"/>
  <c r="AS151" i="3"/>
  <c r="AS152" i="3"/>
  <c r="CO35" i="3"/>
  <c r="AR175" i="3"/>
  <c r="AY106" i="3"/>
  <c r="AY107" i="3"/>
  <c r="AY187" i="3"/>
  <c r="CJ42" i="3"/>
  <c r="KK49" i="4"/>
  <c r="JN49" i="4"/>
  <c r="AS131" i="3"/>
  <c r="AS132" i="3"/>
  <c r="AS135" i="3"/>
  <c r="CE36" i="3"/>
  <c r="MD43" i="4"/>
  <c r="SI43" i="4"/>
  <c r="CC42" i="3"/>
  <c r="CF42" i="3"/>
  <c r="BW42" i="3"/>
  <c r="AX144" i="3"/>
  <c r="AX150" i="3"/>
  <c r="AX145" i="3"/>
  <c r="AP142" i="3"/>
  <c r="BJ33" i="3"/>
  <c r="DY926" i="1"/>
  <c r="AT145" i="3"/>
  <c r="AT150" i="3"/>
  <c r="AT144" i="3"/>
  <c r="LG41" i="4"/>
  <c r="BB119" i="3"/>
  <c r="BB124" i="3"/>
  <c r="AV150" i="3"/>
  <c r="AV145" i="3"/>
  <c r="AV144" i="3"/>
  <c r="AW183" i="3"/>
  <c r="CN40" i="3"/>
  <c r="GX47" i="4"/>
  <c r="GA47" i="4"/>
  <c r="CF30" i="3"/>
  <c r="BW30" i="3"/>
  <c r="LI37" i="4"/>
  <c r="CA30" i="3"/>
  <c r="CJ40" i="3"/>
  <c r="KK47" i="4"/>
  <c r="JN47" i="4"/>
  <c r="AP106" i="3"/>
  <c r="DD926" i="1"/>
  <c r="DE926" i="1"/>
  <c r="AQ127" i="3"/>
  <c r="AQ175" i="3"/>
  <c r="CO34" i="3"/>
  <c r="AY129" i="3"/>
  <c r="DE934" i="1"/>
  <c r="AX106" i="3"/>
  <c r="DD934" i="1"/>
  <c r="I45" i="4"/>
  <c r="AO141" i="3"/>
  <c r="BW32" i="3"/>
  <c r="CF32" i="3"/>
  <c r="AV175" i="3"/>
  <c r="CO39" i="3"/>
  <c r="AZ129" i="3"/>
  <c r="LG50" i="4"/>
  <c r="AU89" i="3"/>
  <c r="AU106" i="3"/>
  <c r="AU107" i="3"/>
  <c r="AU187" i="3"/>
  <c r="CJ38" i="3"/>
  <c r="KK45" i="4"/>
  <c r="JN45" i="4"/>
  <c r="AR131" i="3"/>
  <c r="AR132" i="3"/>
  <c r="AR135" i="3"/>
  <c r="CE35" i="3"/>
  <c r="MD42" i="4"/>
  <c r="SI42" i="4"/>
  <c r="BB89" i="3"/>
  <c r="BB139" i="3"/>
  <c r="BB140" i="3"/>
  <c r="BB142" i="3"/>
  <c r="BJ45" i="3"/>
  <c r="LG51" i="4"/>
  <c r="CO31" i="3"/>
  <c r="AN127" i="3"/>
  <c r="AN175" i="3"/>
  <c r="AQ141" i="3"/>
  <c r="AY132" i="3"/>
  <c r="AY135" i="3"/>
  <c r="CE42" i="3"/>
  <c r="MD49" i="4"/>
  <c r="SI49" i="4"/>
  <c r="AX89" i="3"/>
  <c r="AX109" i="3"/>
  <c r="AX110" i="3"/>
  <c r="AX186" i="3"/>
  <c r="CI41" i="3"/>
  <c r="PS48" i="4"/>
  <c r="OW48" i="4"/>
  <c r="CA36" i="3"/>
  <c r="LI43" i="4"/>
  <c r="AT89" i="3"/>
  <c r="AT148" i="3"/>
  <c r="AT149" i="3"/>
  <c r="BW40" i="3"/>
  <c r="CF40" i="3"/>
  <c r="BX98" i="9"/>
  <c r="CC38" i="3"/>
  <c r="AV89" i="3"/>
  <c r="AV151" i="3"/>
  <c r="AV152" i="3"/>
  <c r="BB86" i="3"/>
  <c r="BB85" i="3"/>
  <c r="BB88" i="3"/>
  <c r="BB99" i="3"/>
  <c r="BB184" i="3"/>
  <c r="CG45" i="3"/>
  <c r="FE52" i="4"/>
  <c r="EI52" i="4"/>
  <c r="AS102" i="3"/>
  <c r="AS157" i="3"/>
  <c r="AS158" i="3"/>
  <c r="AS159" i="3"/>
  <c r="AS161" i="3"/>
  <c r="AZ175" i="3"/>
  <c r="CO43" i="3"/>
  <c r="AW119" i="3"/>
  <c r="AW124" i="3"/>
  <c r="AX143" i="3"/>
  <c r="AX138" i="3"/>
  <c r="AX137" i="3"/>
  <c r="BU41" i="3"/>
  <c r="AN139" i="3"/>
  <c r="AN140" i="3"/>
  <c r="AN142" i="3"/>
  <c r="BJ31" i="3"/>
  <c r="DY924" i="1"/>
  <c r="AQ106" i="3"/>
  <c r="AQ107" i="3"/>
  <c r="AQ187" i="3"/>
  <c r="DP88" i="7"/>
  <c r="AM131" i="3"/>
  <c r="AM132" i="3"/>
  <c r="AM135" i="3"/>
  <c r="CE30" i="3"/>
  <c r="CC30" i="3"/>
  <c r="BX90" i="9"/>
  <c r="AQ88" i="3"/>
  <c r="AQ99" i="3"/>
  <c r="AQ184" i="3"/>
  <c r="CG34" i="3"/>
  <c r="FE41" i="4"/>
  <c r="EI41" i="4"/>
  <c r="AP183" i="3"/>
  <c r="CN33" i="3"/>
  <c r="GX40" i="4"/>
  <c r="GA40" i="4"/>
  <c r="AM86" i="3"/>
  <c r="AM85" i="3"/>
  <c r="AM88" i="3"/>
  <c r="AM99" i="3"/>
  <c r="AM127" i="3"/>
  <c r="AM146" i="3"/>
  <c r="AM147" i="3"/>
  <c r="DC923" i="1"/>
  <c r="DF923" i="1"/>
  <c r="BU33" i="3"/>
  <c r="AP143" i="3"/>
  <c r="AP137" i="3"/>
  <c r="AP138" i="3"/>
  <c r="BW43" i="3"/>
  <c r="CC43" i="3"/>
  <c r="AZ131" i="3"/>
  <c r="AZ132" i="3"/>
  <c r="AZ135" i="3"/>
  <c r="CE43" i="3"/>
  <c r="CF43" i="3"/>
  <c r="BA119" i="3"/>
  <c r="BA124" i="3"/>
  <c r="AY131" i="3"/>
  <c r="AY136" i="3"/>
  <c r="BW39" i="3"/>
  <c r="AV99" i="3"/>
  <c r="AV127" i="3"/>
  <c r="AV131" i="3"/>
  <c r="AV132" i="3"/>
  <c r="AV135" i="3"/>
  <c r="CE39" i="3"/>
  <c r="CF39" i="3"/>
  <c r="AS89" i="3"/>
  <c r="AS139" i="3"/>
  <c r="AS140" i="3"/>
  <c r="AS142" i="3"/>
  <c r="BJ36" i="3"/>
  <c r="DY929" i="1"/>
  <c r="AW146" i="3"/>
  <c r="AW147" i="3"/>
  <c r="DC933" i="1"/>
  <c r="DF933" i="1"/>
  <c r="BU31" i="3"/>
  <c r="AN143" i="3"/>
  <c r="AN99" i="3"/>
  <c r="AN102" i="3"/>
  <c r="AN125" i="3"/>
  <c r="AN130" i="3"/>
  <c r="AN137" i="3"/>
  <c r="AN138" i="3"/>
  <c r="AO144" i="3"/>
  <c r="AO145" i="3"/>
  <c r="AO150" i="3"/>
  <c r="AT131" i="3"/>
  <c r="AT136" i="3"/>
  <c r="I50" i="4"/>
  <c r="LG44" i="4"/>
  <c r="AN145" i="3"/>
  <c r="AN144" i="3"/>
  <c r="AN89" i="3"/>
  <c r="AN150" i="3"/>
  <c r="BA129" i="3"/>
  <c r="BA146" i="3"/>
  <c r="LG52" i="4"/>
  <c r="AQ153" i="3"/>
  <c r="AQ85" i="3"/>
  <c r="AQ86" i="3"/>
  <c r="AQ89" i="3"/>
  <c r="AQ139" i="3"/>
  <c r="AQ140" i="3"/>
  <c r="AQ155" i="3"/>
  <c r="CC44" i="3"/>
  <c r="BW44" i="3"/>
  <c r="BA86" i="3"/>
  <c r="BA85" i="3"/>
  <c r="BA88" i="3"/>
  <c r="BA99" i="3"/>
  <c r="BA127" i="3"/>
  <c r="BA131" i="3"/>
  <c r="BA132" i="3"/>
  <c r="BA135" i="3"/>
  <c r="CE44" i="3"/>
  <c r="CF44" i="3"/>
  <c r="AX165" i="3"/>
  <c r="AX203" i="3"/>
  <c r="AX127" i="3"/>
  <c r="AX131" i="3"/>
  <c r="AX132" i="3"/>
  <c r="AX135" i="3"/>
  <c r="AX204" i="3"/>
  <c r="AU204" i="3"/>
  <c r="AU203" i="3"/>
  <c r="AU165" i="3"/>
  <c r="AV86" i="3"/>
  <c r="AV85" i="3"/>
  <c r="AV88" i="3"/>
  <c r="AV119" i="3"/>
  <c r="AV124" i="3"/>
  <c r="I40" i="4"/>
  <c r="CA46" i="3"/>
  <c r="BC86" i="3"/>
  <c r="BC85" i="3"/>
  <c r="BC88" i="3"/>
  <c r="BC99" i="3"/>
  <c r="BC127" i="3"/>
  <c r="BC146" i="3"/>
  <c r="BC147" i="3"/>
  <c r="LI53" i="4"/>
  <c r="AR89" i="3"/>
  <c r="AR139" i="3"/>
  <c r="AR141" i="3"/>
  <c r="AO142" i="3"/>
  <c r="BJ32" i="3"/>
  <c r="DY925" i="1"/>
  <c r="AO88" i="3"/>
  <c r="AO99" i="3"/>
  <c r="AO127" i="3"/>
  <c r="AO131" i="3"/>
  <c r="AO132" i="3"/>
  <c r="AO135" i="3"/>
  <c r="CE32" i="3"/>
  <c r="MD39" i="4"/>
  <c r="SI39" i="4"/>
  <c r="AT86" i="3"/>
  <c r="AT85" i="3"/>
  <c r="AT88" i="3"/>
  <c r="AT99" i="3"/>
  <c r="AT127" i="3"/>
  <c r="AT146" i="3"/>
  <c r="LG45" i="4"/>
  <c r="CA42" i="3"/>
  <c r="AY88" i="3"/>
  <c r="AY99" i="3"/>
  <c r="AY127" i="3"/>
  <c r="AY146" i="3"/>
  <c r="AY147" i="3"/>
  <c r="LI49" i="4"/>
  <c r="AW144" i="3"/>
  <c r="AW150" i="3"/>
  <c r="AW145" i="3"/>
  <c r="I48" i="4"/>
  <c r="AY139" i="3"/>
  <c r="AY141" i="3"/>
  <c r="CA43" i="3"/>
  <c r="AZ88" i="3"/>
  <c r="AZ99" i="3"/>
  <c r="AZ127" i="3"/>
  <c r="AZ146" i="3"/>
  <c r="AZ147" i="3"/>
  <c r="LI50" i="4"/>
  <c r="AU129" i="3"/>
  <c r="AU179" i="3"/>
  <c r="AP102" i="3"/>
  <c r="AP125" i="3"/>
  <c r="AP130" i="3"/>
  <c r="BK33" i="3"/>
  <c r="AX154" i="3"/>
  <c r="AN86" i="3"/>
  <c r="AN85" i="3"/>
  <c r="AN88" i="3"/>
  <c r="AN119" i="3"/>
  <c r="AN183" i="3"/>
  <c r="CN31" i="3"/>
  <c r="GX38" i="4"/>
  <c r="GA38" i="4"/>
  <c r="AZ149" i="3"/>
  <c r="AZ148" i="3"/>
  <c r="AO153" i="3"/>
  <c r="AO85" i="3"/>
  <c r="AO86" i="3"/>
  <c r="AO89" i="3"/>
  <c r="AO139" i="3"/>
  <c r="AO140" i="3"/>
  <c r="AO155" i="3"/>
  <c r="BW38" i="3"/>
  <c r="AU86" i="3"/>
  <c r="AU85" i="3"/>
  <c r="AU88" i="3"/>
  <c r="AU99" i="3"/>
  <c r="AU127" i="3"/>
  <c r="AU131" i="3"/>
  <c r="AU132" i="3"/>
  <c r="AU135" i="3"/>
  <c r="CE38" i="3"/>
  <c r="CF38" i="3"/>
  <c r="AP153" i="3"/>
  <c r="AP89" i="3"/>
  <c r="AP139" i="3"/>
  <c r="AP140" i="3"/>
  <c r="AP155" i="3"/>
  <c r="AS86" i="3"/>
  <c r="AS85" i="3"/>
  <c r="AS88" i="3"/>
  <c r="AS99" i="3"/>
  <c r="AS127" i="3"/>
  <c r="AS146" i="3"/>
  <c r="AS147" i="3"/>
  <c r="DC929" i="1"/>
  <c r="DF929" i="1"/>
  <c r="LI40" i="4"/>
  <c r="AP99" i="3"/>
  <c r="AP127" i="3"/>
  <c r="AP146" i="3"/>
  <c r="AP147" i="3"/>
  <c r="CA33" i="3"/>
  <c r="AW131" i="3"/>
  <c r="AW132" i="3"/>
  <c r="AW135" i="3"/>
  <c r="CE40" i="3"/>
  <c r="MD47" i="4"/>
  <c r="SI47" i="4"/>
  <c r="AG37" i="4" a="1"/>
  <c r="I39" i="4"/>
  <c r="AZ144" i="3"/>
  <c r="AZ150" i="3"/>
  <c r="AZ85" i="3"/>
  <c r="AZ86" i="3"/>
  <c r="AZ89" i="3"/>
  <c r="AZ145" i="3"/>
  <c r="AX86" i="3"/>
  <c r="AX85" i="3"/>
  <c r="AX88" i="3"/>
  <c r="AX99" i="3"/>
  <c r="AX102" i="3"/>
  <c r="AX125" i="3"/>
  <c r="AX130" i="3"/>
  <c r="BK41" i="3"/>
  <c r="AR86" i="3"/>
  <c r="AR85" i="3"/>
  <c r="AR88" i="3"/>
  <c r="AR99" i="3"/>
  <c r="AR127" i="3"/>
  <c r="AR129" i="3"/>
  <c r="AR179" i="3"/>
  <c r="AP86" i="3"/>
  <c r="AP85" i="3"/>
  <c r="AP88" i="3"/>
  <c r="AP119" i="3"/>
  <c r="AP124" i="3"/>
  <c r="AY144" i="3"/>
  <c r="AY150" i="3"/>
  <c r="AY85" i="3"/>
  <c r="AY86" i="3"/>
  <c r="AY89" i="3"/>
  <c r="AY145" i="3"/>
  <c r="AW89" i="3"/>
  <c r="AW106" i="3"/>
  <c r="AW107" i="3"/>
  <c r="AW187" i="3"/>
  <c r="DP94" i="7"/>
  <c r="AW86" i="3"/>
  <c r="AW85" i="3"/>
  <c r="AW88" i="3"/>
  <c r="AW99" i="3"/>
  <c r="AW127" i="3"/>
  <c r="AW129" i="3"/>
  <c r="AW179" i="3"/>
</calcChain>
</file>

<file path=xl/sharedStrings.xml><?xml version="1.0" encoding="utf-8"?>
<sst xmlns="http://schemas.openxmlformats.org/spreadsheetml/2006/main" count="6133" uniqueCount="2275">
  <si>
    <t>Трафарет "ВАРИАНТ ГОТОВ ! "</t>
  </si>
  <si>
    <t>окраска КПП (прогноз)</t>
  </si>
  <si>
    <t>окраска КПП (расчёт)</t>
  </si>
  <si>
    <t xml:space="preserve">    С Ц Е Н А Р И Й     И С Х О Д Н Ы Х     Д А Н Н Ы Х</t>
  </si>
  <si>
    <t>тс руб/чел</t>
  </si>
  <si>
    <t>A</t>
  </si>
  <si>
    <t>ZBR</t>
  </si>
  <si>
    <t>Коэффициент импорта</t>
  </si>
  <si>
    <t xml:space="preserve">Следствие   </t>
  </si>
  <si>
    <t xml:space="preserve">  XS = XOS + POx*CN1o =Px*XSo</t>
  </si>
  <si>
    <t>Выпуск в СЦ покупателей</t>
  </si>
  <si>
    <t>Произв труда в СЦ по выпуску</t>
  </si>
  <si>
    <t>Произв труда в СЦ по ВВП</t>
  </si>
  <si>
    <t xml:space="preserve">Следствие  XOS/POS = OT/UO    UO = OT*POS/XOS = kRU*IPC*UOo </t>
  </si>
  <si>
    <t>Доля ОТ в составе ВВП</t>
  </si>
  <si>
    <t>Коэффициент УОТ</t>
  </si>
  <si>
    <t xml:space="preserve"> qOT = OT / WWP</t>
  </si>
  <si>
    <t>Сл-вие</t>
  </si>
  <si>
    <t xml:space="preserve"> WWSt = vSt*( 0,7*INSt + 0,2*INSt-1 + 0,1*INSt-2)</t>
  </si>
  <si>
    <t>Текущая инвест х-ка экон России</t>
  </si>
  <si>
    <t>удельная оплата труда</t>
  </si>
  <si>
    <t>dev</t>
  </si>
  <si>
    <t>коэффициент изменения запасов МОС</t>
  </si>
  <si>
    <t xml:space="preserve">пропорция затрат конс бюджета на КП НКО </t>
  </si>
  <si>
    <t>С Ц Е Н А Р И Й     И С Х О Д Н Ы Х     Д А Н Н Ы Х</t>
  </si>
  <si>
    <t>тыс.руб/чел</t>
  </si>
  <si>
    <t>удельная оплата труда всех работников за год</t>
  </si>
  <si>
    <t>qRBZ</t>
  </si>
  <si>
    <t xml:space="preserve">пропорция затрат на КП НКО </t>
  </si>
  <si>
    <t>коэффициент прироста МОС</t>
  </si>
  <si>
    <t xml:space="preserve">РАЗНОСТЬ   СЦЕНАРИЕВ    </t>
  </si>
  <si>
    <t>PОx</t>
  </si>
  <si>
    <t>отчёт</t>
  </si>
  <si>
    <t>произв</t>
  </si>
  <si>
    <t>использ</t>
  </si>
  <si>
    <t>RBJt = rt*^WWPt</t>
  </si>
  <si>
    <t>RBJt = rt * ^WWPt</t>
  </si>
  <si>
    <t xml:space="preserve">  Pn</t>
  </si>
  <si>
    <t xml:space="preserve">    BZ</t>
  </si>
  <si>
    <t>XOSt = XOSo*Pxt</t>
  </si>
  <si>
    <t>BZt  = dAt*Nt - LZW</t>
  </si>
  <si>
    <t xml:space="preserve">   LZW</t>
  </si>
  <si>
    <t xml:space="preserve">   RBJ</t>
  </si>
  <si>
    <t xml:space="preserve">   WPR</t>
  </si>
  <si>
    <t xml:space="preserve">    DH</t>
  </si>
  <si>
    <t xml:space="preserve">    ^DH</t>
  </si>
  <si>
    <t>млрд руб</t>
  </si>
  <si>
    <t xml:space="preserve">    ^OT</t>
  </si>
  <si>
    <t>Д О Х О Д Ы     Н А С Е Л Е Н И Я</t>
  </si>
  <si>
    <t>Оплата труда ( включая скрытую заработную плату)</t>
  </si>
  <si>
    <t>Доходы от предпринимательской деятельности</t>
  </si>
  <si>
    <t>Социальные выплаты</t>
  </si>
  <si>
    <t>Доходы от собственности</t>
  </si>
  <si>
    <t>Другие доходы</t>
  </si>
  <si>
    <t>DP</t>
  </si>
  <si>
    <t>SW</t>
  </si>
  <si>
    <t>DS</t>
  </si>
  <si>
    <t>DD</t>
  </si>
  <si>
    <t xml:space="preserve">Источники </t>
  </si>
  <si>
    <t>Российский статистический ежегодник. 2009: Стат.сб./ Росстат.-М., 2009. - 795 с.</t>
  </si>
  <si>
    <t>Россия в цифрах. 2010: Крат.стат.сб./Росстат-М., 2010. - 558 с.</t>
  </si>
  <si>
    <t>2/117</t>
  </si>
  <si>
    <t xml:space="preserve">   ^DP</t>
  </si>
  <si>
    <t xml:space="preserve">Всего денежных доходов, млрд.  рублей  </t>
  </si>
  <si>
    <t xml:space="preserve"> в том числе (в процентах): </t>
  </si>
  <si>
    <t>оплата труда , включая скрытую зарплату</t>
  </si>
  <si>
    <t>доходы от предпринимательской деятельности</t>
  </si>
  <si>
    <t>социальные выплаты</t>
  </si>
  <si>
    <t>доходы от собственности</t>
  </si>
  <si>
    <t>другие доходы</t>
  </si>
  <si>
    <t>Сайт GKS.RU</t>
  </si>
  <si>
    <t xml:space="preserve">   ^SW</t>
  </si>
  <si>
    <t xml:space="preserve">   ^DS</t>
  </si>
  <si>
    <t xml:space="preserve">   ^DD</t>
  </si>
  <si>
    <t xml:space="preserve">                    С Т Р У К Т У Р А    Д О Х О Д О В</t>
  </si>
  <si>
    <t xml:space="preserve">       Ф  А  К  Т  О  Р  Ы</t>
  </si>
  <si>
    <t>Расходы консолидированного бюджета</t>
  </si>
  <si>
    <t>Стоимость основных фондов</t>
  </si>
  <si>
    <t xml:space="preserve">     F</t>
  </si>
  <si>
    <t xml:space="preserve">    kRU</t>
  </si>
  <si>
    <t xml:space="preserve">   IPC</t>
  </si>
  <si>
    <t xml:space="preserve">   POS</t>
  </si>
  <si>
    <t xml:space="preserve"> тср /чел</t>
  </si>
  <si>
    <t>8.</t>
  </si>
  <si>
    <t>Валовая прибыль и ВСД</t>
  </si>
  <si>
    <t>Экспертная оценка доли от ДН</t>
  </si>
  <si>
    <t>7/с.21</t>
  </si>
  <si>
    <r>
      <t xml:space="preserve">     </t>
    </r>
    <r>
      <rPr>
        <sz val="14"/>
        <rFont val="Calibri"/>
        <family val="2"/>
        <charset val="204"/>
      </rPr>
      <t>µ</t>
    </r>
  </si>
  <si>
    <r>
      <t xml:space="preserve">   DH = (OT + DP + SW + DS) / ( 1-</t>
    </r>
    <r>
      <rPr>
        <sz val="11"/>
        <color indexed="8"/>
        <rFont val="Calibri"/>
        <family val="2"/>
        <charset val="204"/>
      </rPr>
      <t>µ )</t>
    </r>
  </si>
  <si>
    <t xml:space="preserve">   DS =  h33*F</t>
  </si>
  <si>
    <t xml:space="preserve">  DP = h31*WPR = h31*WWP*(1-qOT-CN2)</t>
  </si>
  <si>
    <t xml:space="preserve">  SW = h32*RBJ = h32*r*WWP</t>
  </si>
  <si>
    <r>
      <t xml:space="preserve">                 DH = WWP*(qOT + h31*(1-qOT-CN2) + h32 + h33*(F/WWP)) / (1-</t>
    </r>
    <r>
      <rPr>
        <sz val="11"/>
        <color indexed="8"/>
        <rFont val="Calibri"/>
        <family val="2"/>
        <charset val="204"/>
      </rPr>
      <t>µ)</t>
    </r>
  </si>
  <si>
    <r>
      <t xml:space="preserve">    </t>
    </r>
    <r>
      <rPr>
        <sz val="10"/>
        <rFont val="Arial"/>
        <family val="2"/>
        <charset val="204"/>
      </rPr>
      <t>h31</t>
    </r>
    <r>
      <rPr>
        <sz val="14"/>
        <rFont val="Arial"/>
        <family val="2"/>
        <charset val="204"/>
      </rPr>
      <t xml:space="preserve"> </t>
    </r>
  </si>
  <si>
    <r>
      <t xml:space="preserve">    </t>
    </r>
    <r>
      <rPr>
        <sz val="10"/>
        <rFont val="Arial"/>
        <family val="2"/>
        <charset val="204"/>
      </rPr>
      <t>h32</t>
    </r>
    <r>
      <rPr>
        <sz val="14"/>
        <rFont val="Arial"/>
        <family val="2"/>
        <charset val="204"/>
      </rPr>
      <t/>
    </r>
  </si>
  <si>
    <r>
      <t xml:space="preserve">    </t>
    </r>
    <r>
      <rPr>
        <sz val="10"/>
        <rFont val="Arial"/>
        <family val="2"/>
        <charset val="204"/>
      </rPr>
      <t>h33</t>
    </r>
    <r>
      <rPr>
        <sz val="14"/>
        <rFont val="Arial"/>
        <family val="2"/>
        <charset val="204"/>
      </rPr>
      <t/>
    </r>
  </si>
  <si>
    <t xml:space="preserve">  ^h31</t>
  </si>
  <si>
    <t xml:space="preserve">   h31</t>
  </si>
  <si>
    <t xml:space="preserve">  ^h32</t>
  </si>
  <si>
    <t xml:space="preserve">   h32</t>
  </si>
  <si>
    <t xml:space="preserve">    h31</t>
  </si>
  <si>
    <t xml:space="preserve">  OT = UO*(LW+ TM)</t>
  </si>
  <si>
    <r>
      <t xml:space="preserve">     ^</t>
    </r>
    <r>
      <rPr>
        <sz val="14"/>
        <rFont val="Calibri"/>
        <family val="2"/>
        <charset val="204"/>
      </rPr>
      <t>µ</t>
    </r>
  </si>
  <si>
    <t xml:space="preserve">  ^h33</t>
  </si>
  <si>
    <t xml:space="preserve">   h33</t>
  </si>
  <si>
    <r>
      <t xml:space="preserve">    </t>
    </r>
    <r>
      <rPr>
        <sz val="16"/>
        <rFont val="Calibri"/>
        <family val="2"/>
        <charset val="204"/>
      </rPr>
      <t>µ</t>
    </r>
  </si>
  <si>
    <r>
      <t xml:space="preserve"> </t>
    </r>
    <r>
      <rPr>
        <sz val="16"/>
        <rFont val="Calibri"/>
        <family val="2"/>
        <charset val="204"/>
      </rPr>
      <t>µ</t>
    </r>
  </si>
  <si>
    <t>h31</t>
  </si>
  <si>
    <t>h32</t>
  </si>
  <si>
    <t>коэффициент валовой прибыли</t>
  </si>
  <si>
    <t>коэффициент консолидированного бюджета</t>
  </si>
  <si>
    <t>ОПЛАТА ТРУДА по СНС</t>
  </si>
  <si>
    <t>pF = (1- kвыб)/(1 - kобн)</t>
  </si>
  <si>
    <t xml:space="preserve">      F</t>
  </si>
  <si>
    <t xml:space="preserve">  WW</t>
  </si>
  <si>
    <t xml:space="preserve">  pWW</t>
  </si>
  <si>
    <t xml:space="preserve"> WWS</t>
  </si>
  <si>
    <t xml:space="preserve">  ^Кобн</t>
  </si>
  <si>
    <t xml:space="preserve">  ^Квыб</t>
  </si>
  <si>
    <t xml:space="preserve">  Кобн</t>
  </si>
  <si>
    <t xml:space="preserve">  Квыб</t>
  </si>
  <si>
    <t>FSt+1 = ( 1 - kwbt )*FSt + WWSt</t>
  </si>
  <si>
    <t xml:space="preserve">    годы</t>
  </si>
  <si>
    <t>%   OT</t>
  </si>
  <si>
    <t>%    DP</t>
  </si>
  <si>
    <t>%   SW</t>
  </si>
  <si>
    <t>%   DS</t>
  </si>
  <si>
    <t>%    DD</t>
  </si>
  <si>
    <t xml:space="preserve">   IN</t>
  </si>
  <si>
    <t>Доля расходов ФБ отн ВВП</t>
  </si>
  <si>
    <t>Национальные счета России в 2003-2010 годах: Стат. сб./ Росстат. - М., 2011. -333 с.</t>
  </si>
  <si>
    <t>8/c.20</t>
  </si>
  <si>
    <t>8/c.22</t>
  </si>
  <si>
    <t>8/c.23</t>
  </si>
  <si>
    <t xml:space="preserve"> прогн</t>
  </si>
  <si>
    <t>Наличие основных фондов в Российской Федерации</t>
  </si>
  <si>
    <t>на конец отчетного года по полной учетной стоимости</t>
  </si>
  <si>
    <t>Годы</t>
  </si>
  <si>
    <t>Млн. руб.</t>
  </si>
  <si>
    <t>(до 1998 г. - млрд. руб.)</t>
  </si>
  <si>
    <t>ОФ на к.г. (по полной уч.стоимости)</t>
  </si>
  <si>
    <t xml:space="preserve"> Ввод в действие основных фондов в Российской Федерации</t>
  </si>
  <si>
    <t xml:space="preserve">в % к предыдущему году </t>
  </si>
  <si>
    <t xml:space="preserve">в % к 1990г. </t>
  </si>
  <si>
    <t>(до 1998г. - млрд. руб.)</t>
  </si>
  <si>
    <t xml:space="preserve"> (в сопоставимых ценах)</t>
  </si>
  <si>
    <t>(в сопоставимых ценах)</t>
  </si>
  <si>
    <t>Динамика изменения наличия основных фондов на конец года</t>
  </si>
  <si>
    <t xml:space="preserve"> в Российской Федерации (в сопоставимых ценах)</t>
  </si>
  <si>
    <t>В % к предыдущему</t>
  </si>
  <si>
    <t>В % к 1990 г.</t>
  </si>
  <si>
    <t>году</t>
  </si>
  <si>
    <t xml:space="preserve">     DF</t>
  </si>
  <si>
    <t>на конец года</t>
  </si>
  <si>
    <t xml:space="preserve">kWBt  =  1 – pFt  +WWSt/FSt-1 </t>
  </si>
  <si>
    <t>FSt = FSt-1 + WWSt -WBSt</t>
  </si>
  <si>
    <t xml:space="preserve">   Dd</t>
  </si>
  <si>
    <t>8/c.21</t>
  </si>
  <si>
    <t>Доходы населения</t>
  </si>
  <si>
    <t>УПРОЩЁННЫЙ  ВАРИАНТ  РАСЧЁТА  ДОХОДОВ</t>
  </si>
  <si>
    <t xml:space="preserve">    OT</t>
  </si>
  <si>
    <t>^WWPSt = WWPSt*( 1+ dev )</t>
  </si>
  <si>
    <t>коэффициент прочих  доходов населения</t>
  </si>
  <si>
    <t>A-LZW</t>
  </si>
  <si>
    <t>LZWt = LPt</t>
  </si>
  <si>
    <t>Nt =Nt-1 + Rt - Ut + SMt + dt</t>
  </si>
  <si>
    <t xml:space="preserve">     d</t>
  </si>
  <si>
    <t>Xt = Xt-1 + Rt - Ut + SMt</t>
  </si>
  <si>
    <t xml:space="preserve">      c</t>
  </si>
  <si>
    <r>
      <t>^Nt = ^Nt-</t>
    </r>
    <r>
      <rPr>
        <sz val="10"/>
        <rFont val="Arial"/>
        <family val="2"/>
        <charset val="204"/>
      </rPr>
      <t>1</t>
    </r>
    <r>
      <rPr>
        <sz val="14"/>
        <rFont val="Arial"/>
        <family val="2"/>
      </rPr>
      <t>*( 1+ rt -ut + smt  + с)</t>
    </r>
  </si>
  <si>
    <t xml:space="preserve">    ^N</t>
  </si>
  <si>
    <t xml:space="preserve">       N2</t>
  </si>
  <si>
    <t xml:space="preserve">       Nпр</t>
  </si>
  <si>
    <t>Произв =  2,8763* Фондоввор - 209,32</t>
  </si>
  <si>
    <t xml:space="preserve">          k =</t>
  </si>
  <si>
    <t xml:space="preserve">          b =</t>
  </si>
  <si>
    <t>поизвед</t>
  </si>
  <si>
    <t>с.г. Зан</t>
  </si>
  <si>
    <t xml:space="preserve"> Безр</t>
  </si>
  <si>
    <t xml:space="preserve">       Pf</t>
  </si>
  <si>
    <t xml:space="preserve">     IPC</t>
  </si>
  <si>
    <t xml:space="preserve">     WW</t>
  </si>
  <si>
    <t xml:space="preserve">     Pww</t>
  </si>
  <si>
    <t xml:space="preserve">    WWP</t>
  </si>
  <si>
    <t xml:space="preserve">   WWPS</t>
  </si>
  <si>
    <t xml:space="preserve">       pW</t>
  </si>
  <si>
    <t xml:space="preserve">       BZ</t>
  </si>
  <si>
    <t xml:space="preserve"> WWPS/L</t>
  </si>
  <si>
    <t xml:space="preserve">    FS/L</t>
  </si>
  <si>
    <t xml:space="preserve"> млн.чел</t>
  </si>
  <si>
    <t>Тренд 1</t>
  </si>
  <si>
    <t xml:space="preserve">        F</t>
  </si>
  <si>
    <t xml:space="preserve">        FS</t>
  </si>
  <si>
    <t xml:space="preserve">       pF</t>
  </si>
  <si>
    <t>x</t>
  </si>
  <si>
    <t>y</t>
  </si>
  <si>
    <t>Тренд 2</t>
  </si>
  <si>
    <t>Тренд 3</t>
  </si>
  <si>
    <t xml:space="preserve"> LA</t>
  </si>
  <si>
    <t>Инвестиции в основной капитал в Российской Федерации</t>
  </si>
  <si>
    <r>
      <t xml:space="preserve">Миллионов рублей (до 1998г. - млрд.руб.) </t>
    </r>
    <r>
      <rPr>
        <vertAlign val="superscript"/>
        <sz val="12"/>
        <rFont val="Arial"/>
        <family val="2"/>
        <charset val="204"/>
      </rPr>
      <t>1)</t>
    </r>
  </si>
  <si>
    <t>1918-1928</t>
  </si>
  <si>
    <t>5,5</t>
  </si>
  <si>
    <t xml:space="preserve">   Kpd</t>
  </si>
  <si>
    <t xml:space="preserve">   ^Kpd</t>
  </si>
  <si>
    <t>Динамика инвестиций в основной капитал в Российской Федерации</t>
  </si>
  <si>
    <t>1929-1932</t>
  </si>
  <si>
    <t>11,9</t>
  </si>
  <si>
    <t xml:space="preserve">в сопоставимых ценах </t>
  </si>
  <si>
    <t>1933-1937</t>
  </si>
  <si>
    <t>27,2</t>
  </si>
  <si>
    <t>1938-I полугодие 1941</t>
  </si>
  <si>
    <t xml:space="preserve">В процентах к предыдущему году                              </t>
  </si>
  <si>
    <t>8,7</t>
  </si>
  <si>
    <t>II полугодие 1941-1945</t>
  </si>
  <si>
    <t>29,3</t>
  </si>
  <si>
    <t>8,5</t>
  </si>
  <si>
    <t>9,2</t>
  </si>
  <si>
    <t>11,2</t>
  </si>
  <si>
    <t>13,2</t>
  </si>
  <si>
    <t>15,8</t>
  </si>
  <si>
    <t>18,4</t>
  </si>
  <si>
    <t>20,9</t>
  </si>
  <si>
    <t>21,7</t>
  </si>
  <si>
    <t>25,6</t>
  </si>
  <si>
    <t>28,6</t>
  </si>
  <si>
    <t>33,1</t>
  </si>
  <si>
    <t>36,8</t>
  </si>
  <si>
    <t>42,5</t>
  </si>
  <si>
    <t>47,6</t>
  </si>
  <si>
    <t>51,2</t>
  </si>
  <si>
    <t>52,1</t>
  </si>
  <si>
    <t>54,5</t>
  </si>
  <si>
    <t>61,4</t>
  </si>
  <si>
    <t>65,8</t>
  </si>
  <si>
    <t>69,9</t>
  </si>
  <si>
    <t>75,6</t>
  </si>
  <si>
    <t>82,1</t>
  </si>
  <si>
    <t>84,6</t>
  </si>
  <si>
    <t>94,9</t>
  </si>
  <si>
    <t>102,5</t>
  </si>
  <si>
    <t>110,1</t>
  </si>
  <si>
    <t>115,1</t>
  </si>
  <si>
    <t>123,8</t>
  </si>
  <si>
    <t>136,4</t>
  </si>
  <si>
    <t>143,2</t>
  </si>
  <si>
    <t>158,6</t>
  </si>
  <si>
    <t>163,1</t>
  </si>
  <si>
    <t>169,7</t>
  </si>
  <si>
    <t>175,9</t>
  </si>
  <si>
    <t>183,4</t>
  </si>
  <si>
    <t>185,6</t>
  </si>
  <si>
    <t>209,6</t>
  </si>
  <si>
    <t>222,1</t>
  </si>
  <si>
    <t>239,2</t>
  </si>
  <si>
    <t xml:space="preserve">       IN</t>
  </si>
  <si>
    <t xml:space="preserve">     pIN</t>
  </si>
  <si>
    <t>Y=k*X + b</t>
  </si>
  <si>
    <t>248,9</t>
  </si>
  <si>
    <t>Млн руб</t>
  </si>
  <si>
    <t>Млрд руб</t>
  </si>
  <si>
    <t xml:space="preserve">            k =</t>
  </si>
  <si>
    <t>249,1</t>
  </si>
  <si>
    <t xml:space="preserve">            b =</t>
  </si>
  <si>
    <t>210,5</t>
  </si>
  <si>
    <t>2670,2</t>
  </si>
  <si>
    <t>27124,5</t>
  </si>
  <si>
    <t xml:space="preserve">        INS</t>
  </si>
  <si>
    <t xml:space="preserve">       pIN</t>
  </si>
  <si>
    <t>Х</t>
  </si>
  <si>
    <t>У</t>
  </si>
  <si>
    <t>108809,9</t>
  </si>
  <si>
    <t>266973,6</t>
  </si>
  <si>
    <t>375958,1</t>
  </si>
  <si>
    <t>408797,3</t>
  </si>
  <si>
    <t>407086,3</t>
  </si>
  <si>
    <t>670438,8</t>
  </si>
  <si>
    <t>1165234,2</t>
  </si>
  <si>
    <t>1504712,1</t>
  </si>
  <si>
    <t>1762407,3</t>
  </si>
  <si>
    <t>2186365,2</t>
  </si>
  <si>
    <t>2865013,9</t>
  </si>
  <si>
    <t>3611109,0</t>
  </si>
  <si>
    <t>4730022,9</t>
  </si>
  <si>
    <t>6716222,4</t>
  </si>
  <si>
    <t>8781616,4</t>
  </si>
  <si>
    <t>7976012,8</t>
  </si>
  <si>
    <r>
      <t>2010</t>
    </r>
    <r>
      <rPr>
        <vertAlign val="superscript"/>
        <sz val="12"/>
        <rFont val="Arial Cyr"/>
        <charset val="204"/>
      </rPr>
      <t>2)</t>
    </r>
  </si>
  <si>
    <r>
      <t>2010</t>
    </r>
    <r>
      <rPr>
        <vertAlign val="superscript"/>
        <sz val="9"/>
        <rFont val="Arial Cyr"/>
        <charset val="204"/>
      </rPr>
      <t>2)</t>
    </r>
  </si>
  <si>
    <t>1) В фактически действовавших ценах (до 1990г. - в ценах 1991г.)</t>
  </si>
  <si>
    <t>2) Данные уточнены на основании годовых отчетов и окончательных расчетов объема инвестиций, не наблюдаемых прямыми статистическими методами</t>
  </si>
  <si>
    <t xml:space="preserve">  ^Pw</t>
  </si>
  <si>
    <t>9.</t>
  </si>
  <si>
    <t>Национальные счета России в 2004-2011 годах: Стат. сб./ Росстат. - М., 2012. -341 с.</t>
  </si>
  <si>
    <t>p^WWP</t>
  </si>
  <si>
    <t xml:space="preserve">        LZW</t>
  </si>
  <si>
    <t xml:space="preserve">     LA</t>
  </si>
  <si>
    <t xml:space="preserve">Динамика соотношения минимального размера оплаты труда </t>
  </si>
  <si>
    <t xml:space="preserve">и прожиточного минимума трудоспособного работника </t>
  </si>
  <si>
    <t xml:space="preserve">за 2000-2010 гг. </t>
  </si>
  <si>
    <t xml:space="preserve"> Прожиточный минимум </t>
  </si>
  <si>
    <t xml:space="preserve">трудоспособного </t>
  </si>
  <si>
    <t xml:space="preserve">работника (ПМ) </t>
  </si>
  <si>
    <t xml:space="preserve">руб. в месяц </t>
  </si>
  <si>
    <t xml:space="preserve">Минимальный размер </t>
  </si>
  <si>
    <t>оплаты труда (МРОТ) 1</t>
  </si>
  <si>
    <t xml:space="preserve"> </t>
  </si>
  <si>
    <t xml:space="preserve">Соотношение </t>
  </si>
  <si>
    <t xml:space="preserve">МРОТ и ПМ </t>
  </si>
  <si>
    <t xml:space="preserve">процентов </t>
  </si>
  <si>
    <t xml:space="preserve">2000 1320 107 8,1 </t>
  </si>
  <si>
    <t xml:space="preserve">2005 3255 740 22,7 </t>
  </si>
  <si>
    <t xml:space="preserve">2006 3695 1025 27,7 </t>
  </si>
  <si>
    <t xml:space="preserve">2007 4159 1400 33,7 </t>
  </si>
  <si>
    <t xml:space="preserve">2008 4970 2300 46,3 </t>
  </si>
  <si>
    <t xml:space="preserve">2009 5572 4330 77,7 </t>
  </si>
  <si>
    <t xml:space="preserve">2010 6138 4330 70,5 </t>
  </si>
  <si>
    <t xml:space="preserve">Источники: </t>
  </si>
  <si>
    <t xml:space="preserve">Россия в цифрах. 2008. Крат. стат. сб. / Росстат. – М., 2008. С. 126-127. </t>
  </si>
  <si>
    <t xml:space="preserve">Россия в цифрах. 2009. Крат. стат. сб. / Росстат. – М., 2009. С. 124. </t>
  </si>
  <si>
    <t xml:space="preserve">Социальное положение и уровень жизни населения России. 2010: Стат.сб. / Росстат - M., 2010. </t>
  </si>
  <si>
    <t xml:space="preserve">С.138. </t>
  </si>
  <si>
    <t xml:space="preserve">Постановление Правительства РФ от 18.05.2009 N 418. </t>
  </si>
  <si>
    <t xml:space="preserve">Постановление Правительства РФ от 19.08.2009 N 666. </t>
  </si>
  <si>
    <t>Федеральный закон Российской Федерации от 24 июня 2008 г. № 91-ФЗ «О внесении измене-</t>
  </si>
  <si>
    <t xml:space="preserve">ния в статью 1 Федерального закона «О минимальном размере оплаты труда» </t>
  </si>
  <si>
    <t>по ВВП</t>
  </si>
  <si>
    <t>цены</t>
  </si>
  <si>
    <t>выпуски</t>
  </si>
  <si>
    <t>рентабельность</t>
  </si>
  <si>
    <t>инвестиции</t>
  </si>
  <si>
    <t>налоги</t>
  </si>
  <si>
    <t>амортизация</t>
  </si>
  <si>
    <t xml:space="preserve">составляющие затрат </t>
  </si>
  <si>
    <t>БАЗА ДАННЫХ ( корпораций, предприятий, отраслей )</t>
  </si>
  <si>
    <t>МОДЕЛИ взаимосвязи отраслей, рынков, цен</t>
  </si>
  <si>
    <t>на федеральном уровне</t>
  </si>
  <si>
    <t>на региональном уровне</t>
  </si>
  <si>
    <t>на отраслевом уровне</t>
  </si>
  <si>
    <t>на уровне локальных рынков</t>
  </si>
  <si>
    <t xml:space="preserve">и регулированию рентабельности корпораций, </t>
  </si>
  <si>
    <t>предприятий, отраслей</t>
  </si>
  <si>
    <t xml:space="preserve">СЦЕНАРИИ мероприятий по ограничению цен </t>
  </si>
  <si>
    <t xml:space="preserve">ОЦЕНКИ мероприятий по ограничению цен </t>
  </si>
  <si>
    <t xml:space="preserve">РЕШЕНИЯ О ПРОВЕДЕНИИ мероприятий по ограниче- </t>
  </si>
  <si>
    <t xml:space="preserve">нию цен и регулированию рентабельности корпораций, </t>
  </si>
  <si>
    <t xml:space="preserve">МОНИТОРИНГ ЭФФЕКТИВНОСТИ мероприятий по </t>
  </si>
  <si>
    <t xml:space="preserve">ограничению цен и регулированию рентабельности </t>
  </si>
  <si>
    <t>корпораций, предприятий, отраслей</t>
  </si>
  <si>
    <t>выпуск от</t>
  </si>
  <si>
    <t>инфляция</t>
  </si>
  <si>
    <t>ВЕРСИЯ</t>
  </si>
  <si>
    <t>WDС = XO - Z</t>
  </si>
  <si>
    <t>X = XO + CN1</t>
  </si>
  <si>
    <t xml:space="preserve">WWP = WPR + OT + CN2 </t>
  </si>
  <si>
    <t>XO - Z + CN1 = WPR + OT + CN2</t>
  </si>
  <si>
    <t>Следствие   WPR = XO - Z - OT - CN2 + CN1</t>
  </si>
  <si>
    <t>Следствие   XO = Z + OT + WPR + CN2 - CN1       OT = s2*XO</t>
  </si>
  <si>
    <t xml:space="preserve"> WWPS = WDCS + CNS1</t>
  </si>
  <si>
    <t>Используется ГКС. Бред какой то …</t>
  </si>
  <si>
    <t xml:space="preserve"> WWPS = XS - ZS = XS*( 1 - aS)</t>
  </si>
  <si>
    <t xml:space="preserve">Следствие  aS = ZS/XS = 1 - WWPS / XS = 1 - (Pw*WWPo)/(Px*Xo) </t>
  </si>
  <si>
    <t xml:space="preserve"> WWPS = XS - ZS </t>
  </si>
  <si>
    <t>Следствие  ^Pw = (XS-ZS) / WWPo    Dw = WWP/ WWPS</t>
  </si>
  <si>
    <t xml:space="preserve"> WDСS = XOS - ZS</t>
  </si>
  <si>
    <t xml:space="preserve"> Px = POx</t>
  </si>
  <si>
    <t>Следствие  XS = Px*Xo = POx*(XOo + CN1o)</t>
  </si>
  <si>
    <t xml:space="preserve"> Источники</t>
  </si>
  <si>
    <t xml:space="preserve">версия </t>
  </si>
  <si>
    <t>1.</t>
  </si>
  <si>
    <t>Национальные счета России в 1995-2002 годах: Стат. сб./ Росстат. - М., 2003. -157 с.</t>
  </si>
  <si>
    <t xml:space="preserve"> WWPS = WPRS + OTS + CNS2 </t>
  </si>
  <si>
    <t>2.</t>
  </si>
  <si>
    <t>Национальные счета России в 1998-2005 годах: Стат. сб./ Росстат. - М., 2006. -145 с.</t>
  </si>
  <si>
    <t>3.</t>
  </si>
  <si>
    <t>Национальные счета России в 2000-2007 годах: Стат. сб./ Росстат. - М., 2008. -213 с.</t>
  </si>
  <si>
    <t>Зарегистрированные безработн</t>
  </si>
  <si>
    <t xml:space="preserve"> BRZ = qR*BZ </t>
  </si>
  <si>
    <t>4.</t>
  </si>
  <si>
    <t>Россия в цифрах. 2010: Крат.стат.сб./Росстат - М.,2010. - 558 с.</t>
  </si>
  <si>
    <t>5.</t>
  </si>
  <si>
    <t>Российский статистический ежегодник. 2009: Стат.сб./ Росстат. - М., 2009 -795c.</t>
  </si>
  <si>
    <t>Удельная оплата труда</t>
  </si>
  <si>
    <t>6.</t>
  </si>
  <si>
    <t>Национальные счета России в 2001-2008 годах: Стат. сб./ Росстат. - М., 2009. -253 с.</t>
  </si>
  <si>
    <t>Коэффициент девиации ВВП</t>
  </si>
  <si>
    <t xml:space="preserve"> dev = (^Pw - Pw) / Pw</t>
  </si>
  <si>
    <t>7.</t>
  </si>
  <si>
    <t>Национальные счета России в 2002-2009 годах: Стат. сб./ Росстат. - М., 2010. -325 с.</t>
  </si>
  <si>
    <t>Валовое накопление в СЦ</t>
  </si>
  <si>
    <t>Базисный год 1995</t>
  </si>
  <si>
    <t>Деноминированные рубли 1998 года.</t>
  </si>
  <si>
    <t>Источн.</t>
  </si>
  <si>
    <t>Обознач.</t>
  </si>
  <si>
    <t xml:space="preserve">           Наименование показателя</t>
  </si>
  <si>
    <t xml:space="preserve"> Ед. исч.</t>
  </si>
  <si>
    <t>млрд.руб</t>
  </si>
  <si>
    <t>7/c.20</t>
  </si>
  <si>
    <t>XO</t>
  </si>
  <si>
    <t>ВЫПУСК в основных ценах (ОЦ)</t>
  </si>
  <si>
    <t>млрд.руб.</t>
  </si>
  <si>
    <t>IM</t>
  </si>
  <si>
    <t>ИМПОРТ товаров и услуг</t>
  </si>
  <si>
    <t>NL</t>
  </si>
  <si>
    <t xml:space="preserve">НАЛОГИ на продукты </t>
  </si>
  <si>
    <t>SB</t>
  </si>
  <si>
    <t xml:space="preserve">СУБСИДИИ на продукты </t>
  </si>
  <si>
    <t>расчёт</t>
  </si>
  <si>
    <t>X</t>
  </si>
  <si>
    <t>ВЫПУСК в ценах покупателей  (ЦП)</t>
  </si>
  <si>
    <t xml:space="preserve">Zt </t>
  </si>
  <si>
    <t>ПРОМЕЖУТОЧНОЕ  ПОТРЕБЛЕНИЕ</t>
  </si>
  <si>
    <t>a=Z/Х</t>
  </si>
  <si>
    <t>КОЭФФИЦИЕНТ. ПРОМ. ПОТРЕБЛЕНИЯ</t>
  </si>
  <si>
    <t xml:space="preserve">     б/p</t>
  </si>
  <si>
    <t>Y</t>
  </si>
  <si>
    <t>КОНЕЧНОЕ  ПОТРЕБЛЕНИЕ</t>
  </si>
  <si>
    <t>WN</t>
  </si>
  <si>
    <t>ВАЛОВОЕ  НАКОПЛЕНИЕ</t>
  </si>
  <si>
    <t>EX</t>
  </si>
  <si>
    <t>ЭКСПОРТ товаров и услуг</t>
  </si>
  <si>
    <t>EX - IM</t>
  </si>
  <si>
    <t xml:space="preserve">ЧИСТЫЙ ЭКСПОРТ </t>
  </si>
  <si>
    <t>STR</t>
  </si>
  <si>
    <t>СТАТИСТИЧЕСКОЕ РАСХОЖДЕНИЕ</t>
  </si>
  <si>
    <t>WWP</t>
  </si>
  <si>
    <t>ВВП в рыночных ценах (РЦ)</t>
  </si>
  <si>
    <t>CN1</t>
  </si>
  <si>
    <t>ЧИСТЫЕ НАЛОГИ на продукты</t>
  </si>
  <si>
    <t>WWP1</t>
  </si>
  <si>
    <t>контроль</t>
  </si>
  <si>
    <t>WWP2</t>
  </si>
  <si>
    <t>YD</t>
  </si>
  <si>
    <t>КОНЕЧНОЕ  ПОТРЕБЛЕНИЕ ДХ</t>
  </si>
  <si>
    <t>YG</t>
  </si>
  <si>
    <t>КОНЕЧНОЕ  ПОТРЕБЛЕНИЕ ГОС</t>
  </si>
  <si>
    <t>YNК</t>
  </si>
  <si>
    <t>КОНЕЧНОЕ  ПОТРЕБЛЕНИЕ НКО</t>
  </si>
  <si>
    <t>5/c.651</t>
  </si>
  <si>
    <t>IN</t>
  </si>
  <si>
    <t>ИНВЕСТИЦИИ в ОК</t>
  </si>
  <si>
    <t>5/c.307</t>
  </si>
  <si>
    <t>WNОК</t>
  </si>
  <si>
    <t>ВАЛОВОЕ НАКОПЛЕНИЕ ОК</t>
  </si>
  <si>
    <t>Mt - Mt-1</t>
  </si>
  <si>
    <t>ИЗМЕНЕНИЕ ЗАПАСОВ МОС</t>
  </si>
  <si>
    <t>1/c.323</t>
  </si>
  <si>
    <t>F</t>
  </si>
  <si>
    <t>ОСНОВНЫЕ ФОНДЫ   (тек ц. на 1.01)</t>
  </si>
  <si>
    <t>5/с.336</t>
  </si>
  <si>
    <t>WW</t>
  </si>
  <si>
    <t>ВВОДЫ ОСНОВНЫХ ФОНДОВ</t>
  </si>
  <si>
    <t>aS = ZS / XS</t>
  </si>
  <si>
    <t>aS</t>
  </si>
  <si>
    <t>Ra = Z / ZS</t>
  </si>
  <si>
    <t>Ra</t>
  </si>
  <si>
    <t>окраска КПП</t>
  </si>
  <si>
    <t>5/c.31</t>
  </si>
  <si>
    <t>N</t>
  </si>
  <si>
    <t>ЧИСЛЕННОСТЬ НАСЕЛЕНИЯ (на 1.01)</t>
  </si>
  <si>
    <t>млн.чел.</t>
  </si>
  <si>
    <t>OT</t>
  </si>
  <si>
    <t>4/c.117</t>
  </si>
  <si>
    <t>DН</t>
  </si>
  <si>
    <t>ДЕНЕЖНЫЕ ДОХОДЫ НАСЕЛЕНИЯ</t>
  </si>
  <si>
    <t>5/c.129</t>
  </si>
  <si>
    <t>LZW</t>
  </si>
  <si>
    <t>ЗАНЯТЫЕ ВСЕГО</t>
  </si>
  <si>
    <t>LZ</t>
  </si>
  <si>
    <t>4/c.29</t>
  </si>
  <si>
    <t>BZ</t>
  </si>
  <si>
    <t>ЧИСЛЕННОСТЬ БЕЗРАБОТНЫХ</t>
  </si>
  <si>
    <t>LA-LZW</t>
  </si>
  <si>
    <t>КОНТРОЛЬ БЕЗРАБОТНЫХ</t>
  </si>
  <si>
    <t>РАСЧЁТ</t>
  </si>
  <si>
    <t>qRBZ = RBZ / BZ</t>
  </si>
  <si>
    <t>qR</t>
  </si>
  <si>
    <t>ДОЛЯ ЗАРЕГИСТР  БЕЗРАБОТНЫХ</t>
  </si>
  <si>
    <t>4/c.101</t>
  </si>
  <si>
    <t>ЗАРЕГИСТРИРОВАННЫЕ БЕЗРАБОТН</t>
  </si>
  <si>
    <t>4/c.91</t>
  </si>
  <si>
    <t>ЭКОНОМИЧЕСКИ АКТИВНОЕ НАСЕЛЕНИЕ</t>
  </si>
  <si>
    <t>NL2</t>
  </si>
  <si>
    <t>НАЛОГИ НА ПРОИЗВ. И ИМП.</t>
  </si>
  <si>
    <t>SB2</t>
  </si>
  <si>
    <t>СУБСИДИИ НА ПРОИЗВ. И ИМП.</t>
  </si>
  <si>
    <t>CN2</t>
  </si>
  <si>
    <t>ЧИСТЫЕ НАЛОГИ НА ПРОИЗВ. И ИМП.</t>
  </si>
  <si>
    <t>3/ c.21</t>
  </si>
  <si>
    <t>WPR</t>
  </si>
  <si>
    <t>ВАЛОВАЯ ПРИБЫЛЬ ЭКОНОМИКИ И ВСД</t>
  </si>
  <si>
    <t>RBJ</t>
  </si>
  <si>
    <t>РАСХОДЫ КОНС. БЮДЖЕТА</t>
  </si>
  <si>
    <t>4/c.32</t>
  </si>
  <si>
    <t>DBJ</t>
  </si>
  <si>
    <t>ДОХОДЫ КОНС. БЮДЖЕТА</t>
  </si>
  <si>
    <t>4/c.31</t>
  </si>
  <si>
    <t>WWP3</t>
  </si>
  <si>
    <t>гипотеза</t>
  </si>
  <si>
    <t>TM</t>
  </si>
  <si>
    <t>ТРУДОВАЯ МИГРАЦИЯ</t>
  </si>
  <si>
    <t>UO</t>
  </si>
  <si>
    <t>УДЕЛЬНАЯ ОПЛАТА ТРУДА</t>
  </si>
  <si>
    <t>тыс р/чел</t>
  </si>
  <si>
    <t>kRUt = UOt / IPCt*UOo</t>
  </si>
  <si>
    <t>kRU</t>
  </si>
  <si>
    <t>КОЭФФ. РЕАЛЬНОЙ УДЕЛЬНОЙ О.Т.</t>
  </si>
  <si>
    <t>qOT</t>
  </si>
  <si>
    <t>dI1</t>
  </si>
  <si>
    <t>Доля ИНВЕСТИЦИЙ в ОК  ГОС</t>
  </si>
  <si>
    <t>dI2</t>
  </si>
  <si>
    <t>Доля ИНВЕСТИЦИЙ в ОК  КОРП</t>
  </si>
  <si>
    <t>dI3</t>
  </si>
  <si>
    <t>Доля ИНВЕСТИЦИЙ в ОК  ДХ</t>
  </si>
  <si>
    <t>dI4</t>
  </si>
  <si>
    <t>Доля ИНВЕСТИЦИЙ в ОК  ОМ</t>
  </si>
  <si>
    <t>h1</t>
  </si>
  <si>
    <t xml:space="preserve">КОЭФФ. расх. сектора ГОС на КП </t>
  </si>
  <si>
    <t>h2t = IN1t /RBJt</t>
  </si>
  <si>
    <t>h2</t>
  </si>
  <si>
    <t xml:space="preserve">КОЭФФ. расх. сектора ГОС на инвест. </t>
  </si>
  <si>
    <t xml:space="preserve">h3 = (DHt - OTt)/WWPt  </t>
  </si>
  <si>
    <t>h3</t>
  </si>
  <si>
    <t>КОЭФФ. прочих поступлений ДХ</t>
  </si>
  <si>
    <t xml:space="preserve">h4t = YDt/DHt </t>
  </si>
  <si>
    <t>h4</t>
  </si>
  <si>
    <t xml:space="preserve">КОЭФФ. расх. сектора ДХ  на КП </t>
  </si>
  <si>
    <t>h5t = IN3t /DHt</t>
  </si>
  <si>
    <t>h5</t>
  </si>
  <si>
    <t xml:space="preserve">КОЭФФ. расх. сектора ДХ на инвест. </t>
  </si>
  <si>
    <t>h6t = IN2t /WPRt</t>
  </si>
  <si>
    <t>h6</t>
  </si>
  <si>
    <t xml:space="preserve">КОЭФФ. расх. сектора КОРП на инвест. </t>
  </si>
  <si>
    <t>h7t = IN4t /INt</t>
  </si>
  <si>
    <t>h7</t>
  </si>
  <si>
    <t xml:space="preserve">КОЭФФ. расх. сектора ОМ на инвест. </t>
  </si>
  <si>
    <t>n1=CN1/ XO</t>
  </si>
  <si>
    <t>n1</t>
  </si>
  <si>
    <t>КОЭФФ. чистых нал на продукты</t>
  </si>
  <si>
    <t>n2=CN2/(XO+IM)</t>
  </si>
  <si>
    <t>n2</t>
  </si>
  <si>
    <t>КОЭФФ. чистых нал на произв и импорт</t>
  </si>
  <si>
    <t>4/c.33</t>
  </si>
  <si>
    <t>ip  (д/д)</t>
  </si>
  <si>
    <t>Годовой ИПЦ</t>
  </si>
  <si>
    <t>Темп произведенного (отчётного) ВВП</t>
  </si>
  <si>
    <t>7/c.182</t>
  </si>
  <si>
    <t>pWWP</t>
  </si>
  <si>
    <t>ТЕМП ВВП в рыночных ценах (РЦ)</t>
  </si>
  <si>
    <t>Темп использованного ВВП</t>
  </si>
  <si>
    <t>pХО</t>
  </si>
  <si>
    <t>ТЕМП ВЫПУСКА в ОЦ</t>
  </si>
  <si>
    <t>pХ</t>
  </si>
  <si>
    <t>ТЕМП ВЫПУСКА в ЦП</t>
  </si>
  <si>
    <t>3/ c.105</t>
  </si>
  <si>
    <t>pWN</t>
  </si>
  <si>
    <t>ТЕМП валового накопления в ЦП</t>
  </si>
  <si>
    <t>pWNOK</t>
  </si>
  <si>
    <t>ТЕМП влового накопления ОК</t>
  </si>
  <si>
    <t>pY</t>
  </si>
  <si>
    <t>ТЕМП конечного потребления</t>
  </si>
  <si>
    <t>pYD</t>
  </si>
  <si>
    <t>ТЕМП КП ДХ</t>
  </si>
  <si>
    <t>pYG</t>
  </si>
  <si>
    <t>ТЕМП КП ГОС</t>
  </si>
  <si>
    <t>pYNK</t>
  </si>
  <si>
    <t>ТЕМП КП НКО</t>
  </si>
  <si>
    <t>pEX</t>
  </si>
  <si>
    <t>ТЕМП экспорта</t>
  </si>
  <si>
    <t>pIM</t>
  </si>
  <si>
    <t>ТЕМП импорта</t>
  </si>
  <si>
    <t>4/ c.36</t>
  </si>
  <si>
    <t>pIN</t>
  </si>
  <si>
    <t>ТЕМП инвестиций в ОК</t>
  </si>
  <si>
    <t>pF</t>
  </si>
  <si>
    <t>ТЕМП основных фондов</t>
  </si>
  <si>
    <t>pWW</t>
  </si>
  <si>
    <t>ТЕМП вводов ОФ</t>
  </si>
  <si>
    <t>kWBt = 1 - pFt + WWSt/FSt-1</t>
  </si>
  <si>
    <t>kWB</t>
  </si>
  <si>
    <t>Коэффициент ВЫБЫТИЯ ОФ</t>
  </si>
  <si>
    <t xml:space="preserve">kwbt =  1 + WWSt / FSt  -  pFt .          </t>
  </si>
  <si>
    <t>ZS</t>
  </si>
  <si>
    <t>bS</t>
  </si>
  <si>
    <t>Коэфф. ИМПОРТА в соп. ценах</t>
  </si>
  <si>
    <t>Коэфф. расходов КОНС.БЮДЖЕТА</t>
  </si>
  <si>
    <t>d</t>
  </si>
  <si>
    <t>Коэфф. доходов КОНС.БЮДЖЕТА</t>
  </si>
  <si>
    <t>XS</t>
  </si>
  <si>
    <t>ВЫПУСК в сопоставимых ЦП</t>
  </si>
  <si>
    <t>IPC</t>
  </si>
  <si>
    <t>Базисный ИПЦ</t>
  </si>
  <si>
    <t>Рw</t>
  </si>
  <si>
    <t>Базисный ТЕМП ВВП</t>
  </si>
  <si>
    <t>Рх</t>
  </si>
  <si>
    <t>Базисный ТЕМП выпуска в ЦП</t>
  </si>
  <si>
    <t>РОх</t>
  </si>
  <si>
    <t>Базисный ТЕМП выпуска в ОЦ</t>
  </si>
  <si>
    <t>Рz</t>
  </si>
  <si>
    <t>Базисный ТЕМП пром.потребления</t>
  </si>
  <si>
    <t>Рn</t>
  </si>
  <si>
    <t>Базисный ТЕМП инвестиций в ОК</t>
  </si>
  <si>
    <t>Рk</t>
  </si>
  <si>
    <t>Базисный ТЕМП валового накопления</t>
  </si>
  <si>
    <t>Рd</t>
  </si>
  <si>
    <t>Базисный ТЕМП КПДХ</t>
  </si>
  <si>
    <t>Рg</t>
  </si>
  <si>
    <t>Базисный ТЕМП ГОС</t>
  </si>
  <si>
    <t>Рnk</t>
  </si>
  <si>
    <t>Базисный ТЕМП НКО</t>
  </si>
  <si>
    <t>Рe</t>
  </si>
  <si>
    <t>Базисный ТЕМП экспорта</t>
  </si>
  <si>
    <t>Рm</t>
  </si>
  <si>
    <t>Базисный ТЕМП импорта</t>
  </si>
  <si>
    <t>Pn</t>
  </si>
  <si>
    <t>Рf</t>
  </si>
  <si>
    <t>Базисный ТЕМП основных фондов</t>
  </si>
  <si>
    <t>Рww</t>
  </si>
  <si>
    <t>Базисный ТЕМП вводов</t>
  </si>
  <si>
    <t>XOS</t>
  </si>
  <si>
    <t>ВЫПУСК в сопоставимых ОЦ</t>
  </si>
  <si>
    <t>n1 = CN1 / XO</t>
  </si>
  <si>
    <t>Коэфф. Ч.Н. на продкты</t>
  </si>
  <si>
    <t>n2 = CN2 / (XO+IM)</t>
  </si>
  <si>
    <t>Коэфф. Ч.Н. на произв. и импорт</t>
  </si>
  <si>
    <t>POS</t>
  </si>
  <si>
    <t>тср / чел</t>
  </si>
  <si>
    <t>eSt = ( WNS -WNOKSt ) / XOS</t>
  </si>
  <si>
    <t>eS</t>
  </si>
  <si>
    <t>Коэффициент прироста МОС</t>
  </si>
  <si>
    <t>Dw</t>
  </si>
  <si>
    <t>Базисный ДЕФЛ ВВП</t>
  </si>
  <si>
    <t>Dх</t>
  </si>
  <si>
    <t>Базисный ДЕФЛ выпуска в ЦП</t>
  </si>
  <si>
    <t>DОх</t>
  </si>
  <si>
    <t>Базисный ДЕФЛ выпуска в ОЦ</t>
  </si>
  <si>
    <t>Dk</t>
  </si>
  <si>
    <t>Базисный ДЕФЛ валового накопления</t>
  </si>
  <si>
    <t>Dd</t>
  </si>
  <si>
    <t>Базисный ДЕФЛ КПДХ</t>
  </si>
  <si>
    <t>Dg</t>
  </si>
  <si>
    <t>Базисный ДЕФЛ ГОС</t>
  </si>
  <si>
    <t>Dnk</t>
  </si>
  <si>
    <t>Базисный ДЕФЛ НКО</t>
  </si>
  <si>
    <t>De</t>
  </si>
  <si>
    <t>Базисный ДЕФЛ экспорта</t>
  </si>
  <si>
    <t>Dm</t>
  </si>
  <si>
    <t>Базисный ДЕФЛ импорта</t>
  </si>
  <si>
    <t>Dn</t>
  </si>
  <si>
    <t>Базисный ДЕФЛ инвестиций в ОК</t>
  </si>
  <si>
    <t>Df</t>
  </si>
  <si>
    <t>Базисный ДЕФЛ основных фондов</t>
  </si>
  <si>
    <t>Dww</t>
  </si>
  <si>
    <t>Базисный ДЕФЛ вводов</t>
  </si>
  <si>
    <t>Dz</t>
  </si>
  <si>
    <t>Базисный ДЕФЛ промежут.потребл.</t>
  </si>
  <si>
    <t>WWS</t>
  </si>
  <si>
    <t>Вводы ОФ в СЦ</t>
  </si>
  <si>
    <t>IMS</t>
  </si>
  <si>
    <t>Импорт в СЦ</t>
  </si>
  <si>
    <t>INS</t>
  </si>
  <si>
    <t>Инвестиции в ОК в СЦ</t>
  </si>
  <si>
    <t>YS</t>
  </si>
  <si>
    <t>Конечное потребление в СЦ</t>
  </si>
  <si>
    <t>FS</t>
  </si>
  <si>
    <t>ОФ в сопоставимых ценах</t>
  </si>
  <si>
    <t>fOS = XOS / FS</t>
  </si>
  <si>
    <t>fOS</t>
  </si>
  <si>
    <t>Фондоотдача  (по выпуску) в СЦ</t>
  </si>
  <si>
    <t>сайт МФ</t>
  </si>
  <si>
    <t>DHF</t>
  </si>
  <si>
    <t>Фактические доходы ФБ</t>
  </si>
  <si>
    <t>RHF</t>
  </si>
  <si>
    <t>Фактические расходы ФБ</t>
  </si>
  <si>
    <t>DF</t>
  </si>
  <si>
    <t>Дефицит ФБ</t>
  </si>
  <si>
    <t>NLF</t>
  </si>
  <si>
    <t>Налоговых доходы ФБ</t>
  </si>
  <si>
    <t>qDHF</t>
  </si>
  <si>
    <t>Доля доходов ФБ отн  ВВП</t>
  </si>
  <si>
    <t>qRHF</t>
  </si>
  <si>
    <t>qDEF</t>
  </si>
  <si>
    <t>Доля дефицита ФБ отн ВВП</t>
  </si>
  <si>
    <t>qNLF</t>
  </si>
  <si>
    <t xml:space="preserve">Доля налоговых доходов ФБ </t>
  </si>
  <si>
    <t xml:space="preserve"> WNSt = WNOKSt + MSt - MSt-1 = nSt*WWSt + eSt*XOSt = nSt*vSt*( 0,7*INSt + 0,2*INSt-1 + 0,1*INSt-2 ) + eSt*XOSt</t>
  </si>
  <si>
    <t xml:space="preserve">                                  О Ф И Ц И А Л Ь Н А Я      О Т Ч Ё Т Н О С Т Ь</t>
  </si>
  <si>
    <t>прогноз</t>
  </si>
  <si>
    <t xml:space="preserve">   б/р</t>
  </si>
  <si>
    <t xml:space="preserve">    ^pW</t>
  </si>
  <si>
    <t xml:space="preserve">    pW</t>
  </si>
  <si>
    <t xml:space="preserve">    ^Pw</t>
  </si>
  <si>
    <t xml:space="preserve">    Pw</t>
  </si>
  <si>
    <t xml:space="preserve">       б/р</t>
  </si>
  <si>
    <t>БАЗА</t>
  </si>
  <si>
    <t>версия</t>
  </si>
  <si>
    <t xml:space="preserve">                       ФУНДАМЕНТАЛЬНАЯ  МАТРИЦА "СЧЁТА ТОВАРОВ И УСЛУГ" </t>
  </si>
  <si>
    <t>Росстат</t>
  </si>
  <si>
    <t>выпуск в ОЦ</t>
  </si>
  <si>
    <t>декларация ГКС</t>
  </si>
  <si>
    <t>pXO</t>
  </si>
  <si>
    <t>POx</t>
  </si>
  <si>
    <t>DOx</t>
  </si>
  <si>
    <t>выпуск в СОЦ</t>
  </si>
  <si>
    <t>импорт</t>
  </si>
  <si>
    <t>Pm</t>
  </si>
  <si>
    <t>чистые налоги на прод.</t>
  </si>
  <si>
    <t>pCN1</t>
  </si>
  <si>
    <t>Pcn1</t>
  </si>
  <si>
    <t>Dcn1</t>
  </si>
  <si>
    <t>CNS1 = ^WWPS - WDCS</t>
  </si>
  <si>
    <t>CNS1</t>
  </si>
  <si>
    <t>выпуск в ЦП</t>
  </si>
  <si>
    <t>pX</t>
  </si>
  <si>
    <t>Pxt = XSt / XSt-1</t>
  </si>
  <si>
    <t>Px</t>
  </si>
  <si>
    <t>Dx = X / XS</t>
  </si>
  <si>
    <t>Следствие</t>
  </si>
  <si>
    <t>Dx</t>
  </si>
  <si>
    <t>XS = XOS + CNS1</t>
  </si>
  <si>
    <t>промежуточное потр.</t>
  </si>
  <si>
    <t>Z</t>
  </si>
  <si>
    <t>pZ</t>
  </si>
  <si>
    <t>Pz</t>
  </si>
  <si>
    <t xml:space="preserve">ZS = XS - ^WWPS </t>
  </si>
  <si>
    <t>валовое накопление</t>
  </si>
  <si>
    <t>Pk</t>
  </si>
  <si>
    <t>WNS</t>
  </si>
  <si>
    <t>Pg</t>
  </si>
  <si>
    <t>YGS</t>
  </si>
  <si>
    <t>КП НКО</t>
  </si>
  <si>
    <t>YNK</t>
  </si>
  <si>
    <t>Pnk</t>
  </si>
  <si>
    <t>YNKS</t>
  </si>
  <si>
    <t>КП ДХ</t>
  </si>
  <si>
    <t>Pd</t>
  </si>
  <si>
    <t>YDS</t>
  </si>
  <si>
    <t>экспорт</t>
  </si>
  <si>
    <t>Pe</t>
  </si>
  <si>
    <t>EXS</t>
  </si>
  <si>
    <t>ВВП</t>
  </si>
  <si>
    <t>^WWP</t>
  </si>
  <si>
    <t>РАЗНОСТЬ</t>
  </si>
  <si>
    <t>Стат расхождение</t>
  </si>
  <si>
    <t>^STR</t>
  </si>
  <si>
    <t>^WWPS = ^Pw*WWPo</t>
  </si>
  <si>
    <t>^WWPS</t>
  </si>
  <si>
    <t>WWPS</t>
  </si>
  <si>
    <t>pW</t>
  </si>
  <si>
    <t>de</t>
  </si>
  <si>
    <t>WDC = XO - Z</t>
  </si>
  <si>
    <t>Валовая добавл ст.</t>
  </si>
  <si>
    <t>WDC</t>
  </si>
  <si>
    <t>Темпы</t>
  </si>
  <si>
    <t>pWD</t>
  </si>
  <si>
    <t>Базисные темпы</t>
  </si>
  <si>
    <t>Pwd</t>
  </si>
  <si>
    <t>Базисный дефлятор</t>
  </si>
  <si>
    <t>Dwd</t>
  </si>
  <si>
    <t>ВДС  в ценах 1995</t>
  </si>
  <si>
    <t>WDCS</t>
  </si>
  <si>
    <t>WDCS = XOS - ZS</t>
  </si>
  <si>
    <t>ZS = XOS - WDCS</t>
  </si>
  <si>
    <t>Пром потребление</t>
  </si>
  <si>
    <t>Контроль</t>
  </si>
  <si>
    <t>Коэфф. пром.потребл.</t>
  </si>
  <si>
    <t>a = Z / X</t>
  </si>
  <si>
    <t>Ra = a / aS</t>
  </si>
  <si>
    <t>a</t>
  </si>
  <si>
    <t>WPRt = ^WWPt - OTt - CN2t</t>
  </si>
  <si>
    <t>1995 г.</t>
  </si>
  <si>
    <t>XS = XOS + POx*CN1o =Px*XSo</t>
  </si>
  <si>
    <t>WWPS = XS - ZS</t>
  </si>
  <si>
    <t>Промежут. потребление в СЦ</t>
  </si>
  <si>
    <t>ZS = XS - WWPS</t>
  </si>
  <si>
    <t>ВВП в СЦ</t>
  </si>
  <si>
    <t>Dz = Z / ZS</t>
  </si>
  <si>
    <t>Pzt = ZSt / ZSo</t>
  </si>
  <si>
    <t>WWPS = WWPo*Pw</t>
  </si>
  <si>
    <t>qDHF = DHF / ^WWP</t>
  </si>
  <si>
    <t xml:space="preserve"> прогноз</t>
  </si>
  <si>
    <t xml:space="preserve">Коэф  промежуточного потребления </t>
  </si>
  <si>
    <t>СЦЕНАР</t>
  </si>
  <si>
    <t>тс.руб/ч</t>
  </si>
  <si>
    <t>руб/руб</t>
  </si>
  <si>
    <t xml:space="preserve">   Pw</t>
  </si>
  <si>
    <t xml:space="preserve">     n1</t>
  </si>
  <si>
    <t xml:space="preserve">   n2</t>
  </si>
  <si>
    <t xml:space="preserve">    eS</t>
  </si>
  <si>
    <t>WNOKS</t>
  </si>
  <si>
    <t xml:space="preserve">     б/р</t>
  </si>
  <si>
    <t>nS</t>
  </si>
  <si>
    <t xml:space="preserve">Коэф  валового накопления </t>
  </si>
  <si>
    <t>nS = WNOKS / WWS</t>
  </si>
  <si>
    <t>vS</t>
  </si>
  <si>
    <t xml:space="preserve">  kWBt =  WBt / Ft-1</t>
  </si>
  <si>
    <t xml:space="preserve">  FSt = FSt-1 + WWSt - WBSt</t>
  </si>
  <si>
    <t xml:space="preserve">  pFt = 1 + WWSt/FSt - kWBt</t>
  </si>
  <si>
    <t xml:space="preserve">  kWBt = 1 + WWSt/FSt-1 - pFt</t>
  </si>
  <si>
    <t>ВВП - производственный метод</t>
  </si>
  <si>
    <t>ВВП - метод использ доходов</t>
  </si>
  <si>
    <t xml:space="preserve">ВВП - метрическая гипотеза </t>
  </si>
  <si>
    <t xml:space="preserve">ВДС - метрическая гипотеза </t>
  </si>
  <si>
    <t>Темпы выпуска -рабочая гипотеза</t>
  </si>
  <si>
    <t>ВВП исп - метрическая гипотеза</t>
  </si>
  <si>
    <t xml:space="preserve">ВВП по ист дох - метр.гипотеза </t>
  </si>
  <si>
    <t>Коэффициент выбытия ОФ</t>
  </si>
  <si>
    <t>Динамика ОФ</t>
  </si>
  <si>
    <t xml:space="preserve">    d</t>
  </si>
  <si>
    <t xml:space="preserve">    б/р</t>
  </si>
  <si>
    <t>r</t>
  </si>
  <si>
    <t>d = DCB / WWP</t>
  </si>
  <si>
    <t>r = RCB / WWP</t>
  </si>
  <si>
    <t xml:space="preserve">    ip</t>
  </si>
  <si>
    <r>
      <t xml:space="preserve">  </t>
    </r>
    <r>
      <rPr>
        <sz val="14"/>
        <rFont val="Arial"/>
        <family val="2"/>
        <charset val="204"/>
      </rPr>
      <t>IPC</t>
    </r>
  </si>
  <si>
    <t>тср/чел</t>
  </si>
  <si>
    <t>PTSw</t>
  </si>
  <si>
    <t>Производительность труда по ВВП</t>
  </si>
  <si>
    <t>Произв труда (по выпуску в ОЦ)</t>
  </si>
  <si>
    <t xml:space="preserve">   Dw</t>
  </si>
  <si>
    <t xml:space="preserve">    IPC</t>
  </si>
  <si>
    <t xml:space="preserve">    Dm</t>
  </si>
  <si>
    <t xml:space="preserve">    De</t>
  </si>
  <si>
    <t>сценарий</t>
  </si>
  <si>
    <t xml:space="preserve">    Dn</t>
  </si>
  <si>
    <t xml:space="preserve">    Dd</t>
  </si>
  <si>
    <t>ПРОСТЕЙШИЕ УРАВНЕНИЯ ДЕМОГРАФИЧЕСКОГО БАЛАНСА РОССИИ</t>
  </si>
  <si>
    <t>на к.г.</t>
  </si>
  <si>
    <t>3 / с.80</t>
  </si>
  <si>
    <t>расчет</t>
  </si>
  <si>
    <t>4 / с.51</t>
  </si>
  <si>
    <t>1 / с.81</t>
  </si>
  <si>
    <t>3 / с.28</t>
  </si>
  <si>
    <t xml:space="preserve">     ^N</t>
  </si>
  <si>
    <t xml:space="preserve">     IM</t>
  </si>
  <si>
    <t xml:space="preserve">     EM</t>
  </si>
  <si>
    <t xml:space="preserve">     SM</t>
  </si>
  <si>
    <t xml:space="preserve">     sm</t>
  </si>
  <si>
    <t xml:space="preserve">      R</t>
  </si>
  <si>
    <t xml:space="preserve">     r</t>
  </si>
  <si>
    <t xml:space="preserve">       U</t>
  </si>
  <si>
    <t xml:space="preserve">     u</t>
  </si>
  <si>
    <t xml:space="preserve">       Х</t>
  </si>
  <si>
    <t xml:space="preserve">      х1</t>
  </si>
  <si>
    <t xml:space="preserve">     A</t>
  </si>
  <si>
    <t xml:space="preserve">    dA</t>
  </si>
  <si>
    <t>ИСТОЧНИКИ ИНФОРМАЦИИ</t>
  </si>
  <si>
    <t xml:space="preserve">Российский статистический ежегодник </t>
  </si>
  <si>
    <t>Стат.сб./ Госкосстат России. - М.,2006 -806с.</t>
  </si>
  <si>
    <t>Россия в цифрах. 2006:</t>
  </si>
  <si>
    <t>Крат.стат.сб./ Росстат - М.,2006. - 462 с.</t>
  </si>
  <si>
    <t>Россия в цифрах. 2007:</t>
  </si>
  <si>
    <t>Крат.стат.сб./ Росстат - М.,2007. - 494 с.</t>
  </si>
  <si>
    <t xml:space="preserve">Вопросы статистики N4, 2007,  </t>
  </si>
  <si>
    <t>Шайкин Д.Н.</t>
  </si>
  <si>
    <t xml:space="preserve">Перспективная оценка численности населения </t>
  </si>
  <si>
    <t>России в среднесрочном периоде  с.47-52</t>
  </si>
  <si>
    <t>Наблюдаемые величины</t>
  </si>
  <si>
    <t>Модель 1</t>
  </si>
  <si>
    <t>Оt = Xt - ^Xt</t>
  </si>
  <si>
    <t xml:space="preserve">        Nt -</t>
  </si>
  <si>
    <t>численность населения России</t>
  </si>
  <si>
    <t xml:space="preserve">        Rt -</t>
  </si>
  <si>
    <t>количество родившихся</t>
  </si>
  <si>
    <t xml:space="preserve">         rt -</t>
  </si>
  <si>
    <t>коэффициент рождаемости населения</t>
  </si>
  <si>
    <t xml:space="preserve">       Ut -</t>
  </si>
  <si>
    <t>количество умерших</t>
  </si>
  <si>
    <t xml:space="preserve">        ut -</t>
  </si>
  <si>
    <t>коэффициент смертности населения</t>
  </si>
  <si>
    <t xml:space="preserve">     SMt -</t>
  </si>
  <si>
    <t>сальдо миграции</t>
  </si>
  <si>
    <t>коэфф. сальдо миграции</t>
  </si>
  <si>
    <t xml:space="preserve">        Xt -</t>
  </si>
  <si>
    <t>прочие факторы</t>
  </si>
  <si>
    <t xml:space="preserve">         с -</t>
  </si>
  <si>
    <t>параметр идентификации модели</t>
  </si>
  <si>
    <r>
      <t>rt = Rt / ^Nt-</t>
    </r>
    <r>
      <rPr>
        <sz val="11"/>
        <rFont val="Arial"/>
        <family val="2"/>
        <charset val="204"/>
      </rPr>
      <t>1</t>
    </r>
  </si>
  <si>
    <r>
      <t>ut = Ut / ^Nt-</t>
    </r>
    <r>
      <rPr>
        <sz val="10"/>
        <rFont val="Arial"/>
        <family val="2"/>
        <charset val="204"/>
      </rPr>
      <t>1</t>
    </r>
  </si>
  <si>
    <r>
      <t>smt =SMt / ^Nt-</t>
    </r>
    <r>
      <rPr>
        <sz val="10"/>
        <rFont val="Arial"/>
        <family val="2"/>
        <charset val="204"/>
      </rPr>
      <t>1</t>
    </r>
  </si>
  <si>
    <t xml:space="preserve">Россия в цифрах 2010 : </t>
  </si>
  <si>
    <t>Крат.стат.сб./ Росстат - М.,2010. - 558 с.</t>
  </si>
  <si>
    <r>
      <t xml:space="preserve">    </t>
    </r>
    <r>
      <rPr>
        <sz val="14"/>
        <rFont val="Arial"/>
        <family val="2"/>
        <charset val="204"/>
      </rPr>
      <t>r</t>
    </r>
  </si>
  <si>
    <r>
      <t xml:space="preserve">    </t>
    </r>
    <r>
      <rPr>
        <sz val="14"/>
        <rFont val="Arial"/>
        <family val="2"/>
        <charset val="204"/>
      </rPr>
      <t>u</t>
    </r>
  </si>
  <si>
    <r>
      <t xml:space="preserve">    </t>
    </r>
    <r>
      <rPr>
        <sz val="14"/>
        <rFont val="Arial"/>
        <family val="2"/>
        <charset val="204"/>
      </rPr>
      <t>sm</t>
    </r>
  </si>
  <si>
    <t xml:space="preserve">    N</t>
  </si>
  <si>
    <t>млн чел</t>
  </si>
  <si>
    <t xml:space="preserve"> dA*100</t>
  </si>
  <si>
    <t xml:space="preserve">     dA</t>
  </si>
  <si>
    <t xml:space="preserve">  БАЗА</t>
  </si>
  <si>
    <t>О</t>
  </si>
  <si>
    <t>Т</t>
  </si>
  <si>
    <t>Ч</t>
  </si>
  <si>
    <t>Ё</t>
  </si>
  <si>
    <t>П</t>
  </si>
  <si>
    <t>Р</t>
  </si>
  <si>
    <t>Г</t>
  </si>
  <si>
    <t>Н</t>
  </si>
  <si>
    <t>З</t>
  </si>
  <si>
    <t>даты форм.</t>
  </si>
  <si>
    <t xml:space="preserve">С     Л     О     В     А     Р     Ь </t>
  </si>
  <si>
    <t>млн.чел</t>
  </si>
  <si>
    <t>dA</t>
  </si>
  <si>
    <t>доля экономически активного населения</t>
  </si>
  <si>
    <t>общая численность безработных</t>
  </si>
  <si>
    <t>лимит использования  трудовой миграции</t>
  </si>
  <si>
    <t>Fо</t>
  </si>
  <si>
    <t>основные фонды (ОФ) в начале года</t>
  </si>
  <si>
    <t xml:space="preserve">коэффициент промежуточного потребления </t>
  </si>
  <si>
    <t xml:space="preserve">коэффициент промежуточного потребления в СЦ </t>
  </si>
  <si>
    <t>производительность труда в СОЦ 1995г.</t>
  </si>
  <si>
    <t>фондоотдача в СОЦ 1995г.</t>
  </si>
  <si>
    <t>базсный индекс потребительских цен (д/д)</t>
  </si>
  <si>
    <t>ip</t>
  </si>
  <si>
    <t>индекс потребительских цен (д/д)</t>
  </si>
  <si>
    <t xml:space="preserve">коэффициент реальной удельной оплаты труда </t>
  </si>
  <si>
    <t>базисный дефлятор валового накопления</t>
  </si>
  <si>
    <t xml:space="preserve">базисный дефлятор КП ДХ </t>
  </si>
  <si>
    <t xml:space="preserve">базисный дефлятор КП ГОС </t>
  </si>
  <si>
    <t>базисный дефлятор НКО</t>
  </si>
  <si>
    <t>базисный дефлятор экспорта</t>
  </si>
  <si>
    <t>базисный дефлятор импорта</t>
  </si>
  <si>
    <t xml:space="preserve">базисный дефлятор инвестиций </t>
  </si>
  <si>
    <t>базисный дефлятор ОФ</t>
  </si>
  <si>
    <t>базисный дефлятор вводов ОФ</t>
  </si>
  <si>
    <t>коэффициент импорта в СОЦ 1995</t>
  </si>
  <si>
    <t xml:space="preserve">коэффициент валового накопления </t>
  </si>
  <si>
    <t xml:space="preserve">коэффициент чистых налогов на продукты </t>
  </si>
  <si>
    <t>коэффициент чистых налогов на производство и импорт</t>
  </si>
  <si>
    <t>коэффициент регистрации  безработных</t>
  </si>
  <si>
    <t>расходы консолидированного бюджета</t>
  </si>
  <si>
    <t>валовая прибыль экономики и смешанные доходы</t>
  </si>
  <si>
    <t>DH</t>
  </si>
  <si>
    <t>денежные доходы населения</t>
  </si>
  <si>
    <t>отечественный выпуск</t>
  </si>
  <si>
    <t>чистые налоги на продукты</t>
  </si>
  <si>
    <t>Xo</t>
  </si>
  <si>
    <t>выпуск в ценах покупателей</t>
  </si>
  <si>
    <t>коэффициент перевода инв. во вводы ОФ в СЦП 1995г.</t>
  </si>
  <si>
    <t>коэффициент выбытия ОФ в СЦП 1995г.</t>
  </si>
  <si>
    <t>коэффициент ассигнований ГОС на КП</t>
  </si>
  <si>
    <t>коэффициент ассигнований ГОС на инвестиции в ОК</t>
  </si>
  <si>
    <t>доля прочих поступлений в доходы ДХ</t>
  </si>
  <si>
    <t xml:space="preserve">доля ассигнований ДХ на КП  </t>
  </si>
  <si>
    <t>доля ассигнований ДХ на инвестиции в ОК</t>
  </si>
  <si>
    <t>коэффициент ассигнований КОРП на инвестиции в ОК</t>
  </si>
  <si>
    <t>доля ассигнований ОМ в суммарных инвестициях в ОК</t>
  </si>
  <si>
    <t>g</t>
  </si>
  <si>
    <t>c</t>
  </si>
  <si>
    <t>доля расходов консолидированного бюджета в ВВП</t>
  </si>
  <si>
    <t>доля доходов консолидированного бюджета в ВВП</t>
  </si>
  <si>
    <t>базисный темп экспорта</t>
  </si>
  <si>
    <t>ЕXo</t>
  </si>
  <si>
    <t>инвестиции в ОК</t>
  </si>
  <si>
    <t>валовой внутренний продукт</t>
  </si>
  <si>
    <t>статистическое расхождение</t>
  </si>
  <si>
    <t xml:space="preserve">коэффициент девиации баз. темпов ВВП </t>
  </si>
  <si>
    <t xml:space="preserve">Зарядка счетчика времени </t>
  </si>
  <si>
    <t>t = 1   ( 1996 г.)</t>
  </si>
  <si>
    <t>Формирование начальных приближений</t>
  </si>
  <si>
    <t>Решение системы нелинейных уравнений</t>
  </si>
  <si>
    <t>валовое накопление в СЦ</t>
  </si>
  <si>
    <t>WNSt = WNOKSt + eSt*XOSt</t>
  </si>
  <si>
    <t>YGSt = YGt / Dgt</t>
  </si>
  <si>
    <t>YNKt = gt*RBJt</t>
  </si>
  <si>
    <t>YNKSt = YNKt / Dnkt</t>
  </si>
  <si>
    <t>YDSt = YDt / Ddt</t>
  </si>
  <si>
    <t>YSt = YDSt+YGSt+YNKSt</t>
  </si>
  <si>
    <t>IMSt = bSt*(YSt + INSt)</t>
  </si>
  <si>
    <t>EXSt = Pet*EXo</t>
  </si>
  <si>
    <t xml:space="preserve">WWPSt =  WNSt + YSt + EXSt - IMSt </t>
  </si>
  <si>
    <t>Pw</t>
  </si>
  <si>
    <t xml:space="preserve">Pwt = WWPSt / WWPo </t>
  </si>
  <si>
    <t>^Pw</t>
  </si>
  <si>
    <t xml:space="preserve">^Pwt = ^WWPSt / WWPo </t>
  </si>
  <si>
    <t>ХSt = ^WWPSt / ( 1- aSt )</t>
  </si>
  <si>
    <t>Pxt = XSt /XSo</t>
  </si>
  <si>
    <t>LP</t>
  </si>
  <si>
    <t>^WWPt = ^Dwt*^WWPSt</t>
  </si>
  <si>
    <t>Yt = YDt+Ygt + YNKt</t>
  </si>
  <si>
    <t>WNt = Dkt*WNSt</t>
  </si>
  <si>
    <t>IMt = Dmt*IMSt</t>
  </si>
  <si>
    <t>EXt = Det*EXSt</t>
  </si>
  <si>
    <t>Rat = Dzt / Dxt</t>
  </si>
  <si>
    <t>at = aSt*Rat</t>
  </si>
  <si>
    <t>Xt = ^WWPt / (1 - at )</t>
  </si>
  <si>
    <t>Dxt = Xt / XSt</t>
  </si>
  <si>
    <t xml:space="preserve">XOt =  Xt /( 1+ n1t ) </t>
  </si>
  <si>
    <t xml:space="preserve">CN1t = n1t*XOt </t>
  </si>
  <si>
    <t>DOxt = XOt / XOSt</t>
  </si>
  <si>
    <t>чистые налоги на производство и импорт</t>
  </si>
  <si>
    <t>CN2t = n2t*(XOt + IMt)</t>
  </si>
  <si>
    <t>Zt = XOt + CN1t - ^WWPt</t>
  </si>
  <si>
    <t>ZSt = aSt*XSt</t>
  </si>
  <si>
    <t>Dzt = Zt / ZSt</t>
  </si>
  <si>
    <t>Точность счёта по ВВП</t>
  </si>
  <si>
    <t>СТОП</t>
  </si>
  <si>
    <t>Ft = FSt * Dft</t>
  </si>
  <si>
    <t>КОНТРОЛЬ наличия производственных мощностей</t>
  </si>
  <si>
    <t>располагаемые  произв. мощности</t>
  </si>
  <si>
    <t>RXOS</t>
  </si>
  <si>
    <t>баз.темп произв. ВВП</t>
  </si>
  <si>
    <t>баз.темп исп. ВВП</t>
  </si>
  <si>
    <t>баз.темп выпуска в ЦП</t>
  </si>
  <si>
    <t>баз.темп выпуска в ОЦ</t>
  </si>
  <si>
    <t>баз. темп промежуточного потребления</t>
  </si>
  <si>
    <t>баз. темп вал.накопл. в ЦП</t>
  </si>
  <si>
    <t>баз. темп вал.накопл. OK</t>
  </si>
  <si>
    <t>баз. темп КП ДХ в ЦП</t>
  </si>
  <si>
    <t>баз. темп КП ГОС в ЦП</t>
  </si>
  <si>
    <t>баз. темп КП НКО в ЦП</t>
  </si>
  <si>
    <t>баз. темп экспорта в ЦП</t>
  </si>
  <si>
    <t>баз. темп импорта в ЦП</t>
  </si>
  <si>
    <t>баз. темп инвестиций в ОК</t>
  </si>
  <si>
    <t>баз. темп валовой добавленной стоимости</t>
  </si>
  <si>
    <t>Pwdt = WDCSt / WDCo</t>
  </si>
  <si>
    <t>Вычисление цепных темпов</t>
  </si>
  <si>
    <t>годовой.темп произв. ВВП</t>
  </si>
  <si>
    <t>pWt = Pwt / Pwt-1</t>
  </si>
  <si>
    <t>годовой темп выпуска в ЦП</t>
  </si>
  <si>
    <t>pXt = Pxt / Pxt-1</t>
  </si>
  <si>
    <t>годовой.темп выпуска в ОЦ</t>
  </si>
  <si>
    <t>pOX</t>
  </si>
  <si>
    <t>pXOt = POxt / POxt-1</t>
  </si>
  <si>
    <t>годовой темп промежуточного потребления</t>
  </si>
  <si>
    <t>pZt = Pzt / Pzt-1</t>
  </si>
  <si>
    <t>годовой темп вал.накопл. в ЦП</t>
  </si>
  <si>
    <t>pWNt = Pkt / Pkt-1</t>
  </si>
  <si>
    <t>годовой темп вал.накопл. OK</t>
  </si>
  <si>
    <t>pWNO</t>
  </si>
  <si>
    <t>годовой темп КП ДХ в ЦП</t>
  </si>
  <si>
    <t>pYDt = Pdt / Pdt-1</t>
  </si>
  <si>
    <t>годовой темп КП ГОС в ЦП</t>
  </si>
  <si>
    <t>годовой темп КП НКО в ЦП</t>
  </si>
  <si>
    <t>pNK</t>
  </si>
  <si>
    <t>pYNKt = Pnkt / Pnkt-1</t>
  </si>
  <si>
    <t>годовой темп экспорта в ЦП</t>
  </si>
  <si>
    <t>pEXt = Pet / Pet-1</t>
  </si>
  <si>
    <t>годовой темп импорта в ЦП</t>
  </si>
  <si>
    <t>pIMt = Pmt / Pmt-1</t>
  </si>
  <si>
    <t>годовой темп инвестиций в ОК</t>
  </si>
  <si>
    <t>pINt = Pnt / Pnt-1</t>
  </si>
  <si>
    <t>Вычисление цепных дефляторов</t>
  </si>
  <si>
    <t>годовой.дефл. произв. ВВП</t>
  </si>
  <si>
    <t>годовой.дефл. исп. ВВП</t>
  </si>
  <si>
    <t>dW</t>
  </si>
  <si>
    <t>годовой.дефл. выпуска в ЦП</t>
  </si>
  <si>
    <t>dX</t>
  </si>
  <si>
    <t>dXt = Dxt / Dxt-1</t>
  </si>
  <si>
    <t>годовой.дефл. выпуска в ОЦ</t>
  </si>
  <si>
    <t>dXO</t>
  </si>
  <si>
    <t>dXOt = DOxt / DOxt-1</t>
  </si>
  <si>
    <t>годовой  дефл. промежуточного потребления</t>
  </si>
  <si>
    <t>dZ</t>
  </si>
  <si>
    <t>dZt = Dzt / Dzt-1</t>
  </si>
  <si>
    <t>годовой  дефл. вал.накопл. в ЦП</t>
  </si>
  <si>
    <t>dWN</t>
  </si>
  <si>
    <t>dWNt = Dkt / Dkt-1</t>
  </si>
  <si>
    <t>годовой  дефл вал.накопл. OK</t>
  </si>
  <si>
    <t>dWNO</t>
  </si>
  <si>
    <t>dWNOt = Dwnot / Dwnot-1</t>
  </si>
  <si>
    <t>годовой  дефл КП ДХ в ЦП</t>
  </si>
  <si>
    <t>dYD</t>
  </si>
  <si>
    <t>dYDt = Ddt / Ddt-1</t>
  </si>
  <si>
    <t xml:space="preserve"> годовой дефл КП ГОС в ЦП</t>
  </si>
  <si>
    <t xml:space="preserve"> годовой дефл КП НКО в ЦП</t>
  </si>
  <si>
    <t>dNK</t>
  </si>
  <si>
    <t>dYNKt = Pnkt / Dnkt-1</t>
  </si>
  <si>
    <t>годовой  дефл экспорта в ЦП</t>
  </si>
  <si>
    <t>dEX</t>
  </si>
  <si>
    <t>dEXt = Det / Det-1</t>
  </si>
  <si>
    <t xml:space="preserve"> годовой дефл импорта в ЦП</t>
  </si>
  <si>
    <t>dIM</t>
  </si>
  <si>
    <t>dIMt = Dmt / Dmt-1</t>
  </si>
  <si>
    <t>годовой  дефл инвестиций в ОК</t>
  </si>
  <si>
    <t>dIN</t>
  </si>
  <si>
    <t>dINt = Dnt / Dnt-1</t>
  </si>
  <si>
    <t>годовой  дефл валовой добавленной стоимости</t>
  </si>
  <si>
    <t>dWD</t>
  </si>
  <si>
    <t>dWDt = Dwdt / Dwdt-1</t>
  </si>
  <si>
    <t>Занятые, безработные и зарегистрированные</t>
  </si>
  <si>
    <t>LPt</t>
  </si>
  <si>
    <t>КОНТРОЛЬ ПЕРИОДА ПРОГНОЗА</t>
  </si>
  <si>
    <t>Счетчик</t>
  </si>
  <si>
    <t>t=t+1</t>
  </si>
  <si>
    <t>Если t &gt; 16  ,              то переход в п.136,  иначе - п.1</t>
  </si>
  <si>
    <t xml:space="preserve">    ^А</t>
  </si>
  <si>
    <t xml:space="preserve">      ^N</t>
  </si>
  <si>
    <t>REN</t>
  </si>
  <si>
    <t>Номинальные и реальные доходы</t>
  </si>
  <si>
    <t>Для оценки уровня и динамики доходов населения используются показатели номинального, располагаемого и реального дохода.</t>
  </si>
  <si>
    <t>Стремление к максимизации своего дохода диктует экономическую логику поведения любому рыночному субъекту. Доход является конечной целью действий каждого активного участника рыночной экономики, объективным и мощным стимулом его повседневной деятельности.</t>
  </si>
  <si>
    <t>Названные категории населения поддерживаются всем обществом, от имени которого правительство регулярно выплачивает им денежные пособия. Конечно, эти выплаты образуют особый элемент совокупного дохода, но «рыночными» они, строго говоря, не являются.</t>
  </si>
  <si>
    <t>Рыночный же доход всегда есть результат наших полезных – для других людей – усилий. Значит, он во многом определяется совпадением предлагаемых нами товаров и услуг с предъявляемым «другими людьми» спросом.</t>
  </si>
  <si>
    <t>Взаимодействие спроса и предложения – объективный механизм образования доходов в рыночной экономике, в том числе и доходов населения.</t>
  </si>
  <si>
    <t>Под доходами населения понимается сумма денежных средств и материальных благ, полученных или произведенных домашними хозяйствами за определенный промежуток времени. Роль доходов определяется тем, что уровень потребления населения прямо зависит от уровня доходов.</t>
  </si>
  <si>
    <t>Номинальный доход (NT) – количество денег, полученное отдельными лицами в течение определенного периода, также он характеризует уровень денежных доходов независимо от налогообложения.</t>
  </si>
  <si>
    <t>Располагаемый доход (DI) – доход, который может быть использован на личное потребление и личные сбережения. Располагаемый доход меньше номинального дохода на сумму налогов и обязательных платежей, т. е. это средства, используемые на потребление и сбережение. Для измерения динамики располагаемых доходов применяется показатель «реальные располагаемые доходы», рассчитываемый с учетом индекса цен.</t>
  </si>
  <si>
    <t>Реальный доход (RI) представляет собой количество товаров и услуг, которое можно купить на располагаемый доход в течение определенного периода, т. е. с поправкой на изменение уровня цен.</t>
  </si>
  <si>
    <t>Доход есть денежная оценка результатов деятельности физического (или юридического) лица как субъекта рыночной экономики. В экономической теории под «доходом» имеют в виду денежную сумму, регулярно и законно поступающую в непосредственное распоряжение рыночного субъекта.</t>
  </si>
  <si>
    <t>Доход всегда представлен деньгами. Это значит, что условием его получения является эффективное участие в экономической жизни общества: живем мы на зарплату или за счет собственной предпринимательской деятельности, – в любом случае мы должны сделать нечто полезное для других людей. Лишь тогда они передадут нам часть находящихся в их распоряжении денег.</t>
  </si>
  <si>
    <t>Следовательно, сам факт получения денежного дохода есть объективное свидетельство участия данного лица в экономической жизни общества, а размер дохода – показатель масштаба такого участия. Ведь деньги, пожалуй, единственная на свете вещь, которую нельзя выдать самому себе: деньги можно получить только от других людей.</t>
  </si>
  <si>
    <t>Прямая зависимость дохода от результатов рыночной деятельности нарушается лишь в одном случае – при объективной невозможности участвовать в ней (пенсионеры, молодежь в дотрудоспособном возрасте, инвалиды, иждивенцы, безработные).</t>
  </si>
  <si>
    <t>Рабочая гипотеза    Y = k*X + A</t>
  </si>
  <si>
    <t>k =</t>
  </si>
  <si>
    <t>A =</t>
  </si>
  <si>
    <t>ошибка</t>
  </si>
  <si>
    <t>модель</t>
  </si>
  <si>
    <t>POS = XOS / LP</t>
  </si>
  <si>
    <t>сайт ГКС</t>
  </si>
  <si>
    <t>базисн темп вводов</t>
  </si>
  <si>
    <t xml:space="preserve">   Pf</t>
  </si>
  <si>
    <r>
      <t xml:space="preserve">млрд руб </t>
    </r>
    <r>
      <rPr>
        <sz val="14"/>
        <rFont val="Arial"/>
        <family val="2"/>
        <charset val="204"/>
      </rPr>
      <t>WW</t>
    </r>
  </si>
  <si>
    <t>млрд руб     F</t>
  </si>
  <si>
    <t>sOT</t>
  </si>
  <si>
    <t>Доля оплаты труда в ВВП</t>
  </si>
  <si>
    <t xml:space="preserve">  IPC</t>
  </si>
  <si>
    <t>sOTt = OTt / WWPt</t>
  </si>
  <si>
    <t>UO = OTt/ LZWt</t>
  </si>
  <si>
    <t xml:space="preserve">     Pf</t>
  </si>
  <si>
    <t xml:space="preserve">    pF</t>
  </si>
  <si>
    <t>10.</t>
  </si>
  <si>
    <t>12.</t>
  </si>
  <si>
    <t>Национальные счета России в 2005-2012 годах: Стат. сб./ Росстат. - М., 2013. -363 с.</t>
  </si>
  <si>
    <t>24.2. ИНВЕСТИЦИИ В ОСНОВНОЙ КАПИТАЛ</t>
  </si>
  <si>
    <t>в процентах к 1995 г.</t>
  </si>
  <si>
    <t xml:space="preserve">Инвестиции в основ-ной капитал (в факти-чески действовавших ценах), млрд. руб. </t>
  </si>
  <si>
    <t>(до 2000 г. - трлн. руб.)</t>
  </si>
  <si>
    <t xml:space="preserve">Индексы физического </t>
  </si>
  <si>
    <t xml:space="preserve">объема инвестиций </t>
  </si>
  <si>
    <t xml:space="preserve">в основной капитал </t>
  </si>
  <si>
    <t>(в сопоставимых це-нах):</t>
  </si>
  <si>
    <t>в процентах к пре-дыдущему году</t>
  </si>
  <si>
    <t xml:space="preserve">24.4. СТРУКТУРА ИНВЕСТИЦИЙ В ОСНОВНОЙ КАПИТАЛ </t>
  </si>
  <si>
    <t>ПО ИСТОЧНИКАМ ФИНАНСИРОВАНИЯ1)</t>
  </si>
  <si>
    <t>(в процентах к итогу)</t>
  </si>
  <si>
    <t>Инвестиции в основной капитал - всего</t>
  </si>
  <si>
    <t>в том числе по источ-никам финансирования:</t>
  </si>
  <si>
    <t xml:space="preserve">собственные средства </t>
  </si>
  <si>
    <t>привлеченные средства</t>
  </si>
  <si>
    <t>их них:</t>
  </si>
  <si>
    <t>кредиты банков</t>
  </si>
  <si>
    <t>в том числе кредиты иностранных банков</t>
  </si>
  <si>
    <t xml:space="preserve">заемные средства </t>
  </si>
  <si>
    <t>других организаций</t>
  </si>
  <si>
    <t xml:space="preserve">бюджетные средства </t>
  </si>
  <si>
    <t>в том числе:</t>
  </si>
  <si>
    <t>из федерального     бюджета</t>
  </si>
  <si>
    <t xml:space="preserve">из бюджетов субъек-тов Российской </t>
  </si>
  <si>
    <t xml:space="preserve">Федерации </t>
  </si>
  <si>
    <t>из средств местных   бюджетов</t>
  </si>
  <si>
    <t>…</t>
  </si>
  <si>
    <t>средства внебюджет-ных фондов</t>
  </si>
  <si>
    <t xml:space="preserve">средства организаций </t>
  </si>
  <si>
    <t>и населения на долевое строительство</t>
  </si>
  <si>
    <t>-</t>
  </si>
  <si>
    <t xml:space="preserve">из них средства </t>
  </si>
  <si>
    <t>населения</t>
  </si>
  <si>
    <t>прочие</t>
  </si>
  <si>
    <t xml:space="preserve">1) С 2000 г. - без субъектов малого предпринимательства и объема инвестиций, не </t>
  </si>
  <si>
    <t>наблюдаемых прямыми статистическими методами.</t>
  </si>
  <si>
    <t>Тысяч человек</t>
  </si>
  <si>
    <t>занятые в экономике</t>
  </si>
  <si>
    <t>безработные</t>
  </si>
  <si>
    <t>Мужчины</t>
  </si>
  <si>
    <t>Женщины</t>
  </si>
  <si>
    <t>В процентах к итогу</t>
  </si>
  <si>
    <t>Экономически активное население — всего</t>
  </si>
  <si>
    <t xml:space="preserve">Экономически </t>
  </si>
  <si>
    <t>активное население — всего</t>
  </si>
  <si>
    <t xml:space="preserve">общий прирост
</t>
  </si>
  <si>
    <t xml:space="preserve">естест- венный прирост
</t>
  </si>
  <si>
    <t xml:space="preserve">миграцион-ный прирост
</t>
  </si>
  <si>
    <t xml:space="preserve">естест-венный прирост
</t>
  </si>
  <si>
    <r>
      <t>ЧИСЛЕННОСТЬ МУЖЧИН И ЖЕНЩИН</t>
    </r>
    <r>
      <rPr>
        <vertAlign val="superscript"/>
        <sz val="11"/>
        <rFont val="Arial"/>
        <family val="2"/>
        <charset val="204"/>
      </rPr>
      <t>1)</t>
    </r>
  </si>
  <si>
    <t>Все население,</t>
  </si>
  <si>
    <t>в том числе</t>
  </si>
  <si>
    <t>В общей численности населения, процентов</t>
  </si>
  <si>
    <t>млн.</t>
  </si>
  <si>
    <t>человек</t>
  </si>
  <si>
    <t>мужчины</t>
  </si>
  <si>
    <t>женщины</t>
  </si>
  <si>
    <t>1) Данные приведены: 1926 г. - по переписи на 17 декабря, 1939 и 1979 гг. - по переписи на 17 января, 1959 и 1970 гг. - по переписи на 15 января, 1989 г. - по пеpеписи на 12 января, 2002 г. - по переписи на 9 октября, 2010 г. - по переписи на 14 октября, за остальные годы - оценка на 1 января соответствующего года.  1926, 1939 гг. - наличное население, за последующие годы - постоянное население. Данные на 1 января 2004-2010 гг. пересчитаны с учетом итогов Всероссийской переписи населения 2010 года.</t>
  </si>
  <si>
    <t>Таблица 1. Динамика общего объема денежных доходов населения Российской Федерации</t>
  </si>
  <si>
    <t>Год</t>
  </si>
  <si>
    <t>Всего денежных доходов, млрд.рублей *</t>
  </si>
  <si>
    <t>Всего денежных доходов, млрд.рублей</t>
  </si>
  <si>
    <t>2012*</t>
  </si>
  <si>
    <t>* до 1998 г. включительно – в недоминированных рублях</t>
  </si>
  <si>
    <t>Источник:http://www.gks.ru/wps/wcm/connect/rosstat_main/rosstat/ru/statistics/population/level/Обновлено 16.12.2013</t>
  </si>
  <si>
    <t xml:space="preserve"> µ</t>
  </si>
  <si>
    <t xml:space="preserve"> WWP</t>
  </si>
  <si>
    <t>доля инвестиций в ВВП</t>
  </si>
  <si>
    <t>WWPt = WNt + Yt + EXt - IMt + STRt</t>
  </si>
  <si>
    <t>^Dwt = WWPt / ^WWPSt</t>
  </si>
  <si>
    <t>FOS = XOS / FS</t>
  </si>
  <si>
    <t xml:space="preserve">   ^ fOS</t>
  </si>
  <si>
    <t xml:space="preserve"> WBS</t>
  </si>
  <si>
    <t xml:space="preserve">   ^WWPS</t>
  </si>
  <si>
    <t>X = Dx*XS</t>
  </si>
  <si>
    <t>pXO = pX</t>
  </si>
  <si>
    <t xml:space="preserve">    Pm</t>
  </si>
  <si>
    <t xml:space="preserve">    Pd</t>
  </si>
  <si>
    <t xml:space="preserve">    Pnk</t>
  </si>
  <si>
    <t>^WWP = WDС + CN1 = X - Z</t>
  </si>
  <si>
    <t xml:space="preserve"> kRU = qOT*(Dw / IPC)*PTw / UOo</t>
  </si>
  <si>
    <t>Расходы КБ</t>
  </si>
  <si>
    <t xml:space="preserve">  RКB = DKB + DFB</t>
  </si>
  <si>
    <t>Доходы КБ</t>
  </si>
  <si>
    <t xml:space="preserve">  DKB = d* XO</t>
  </si>
  <si>
    <t>LPt = ,0064 * ^WWPS + 54,176</t>
  </si>
  <si>
    <t>PWS = ^WWPS / LP</t>
  </si>
  <si>
    <t xml:space="preserve">   ^PWS</t>
  </si>
  <si>
    <t>^WWPS/L</t>
  </si>
  <si>
    <t xml:space="preserve"> WPR = XO - Z - OT - CN2 + CN1 = X - Z - OT - CN2</t>
  </si>
  <si>
    <t>WDCS = XOS - ZS = XOS*( 1 - aS)</t>
  </si>
  <si>
    <t>WWPS = XS - ZS = XS*(1 - aS)</t>
  </si>
  <si>
    <t xml:space="preserve"> WPR = X - Z - OT - CN2 = X*(1 - a) - OT - CN2</t>
  </si>
  <si>
    <t xml:space="preserve"> WPR = X*(1 - a) - OT - CN2 = (XO + CN1)*(1 - a) - OT - CN2</t>
  </si>
  <si>
    <t>WWP = WPR + OT + CN2</t>
  </si>
  <si>
    <t>WWP = X - Z = X*(1 - a)</t>
  </si>
  <si>
    <t>a = aS*(Dz/Dx)</t>
  </si>
  <si>
    <t>X = XO + CN 1</t>
  </si>
  <si>
    <t>XS &lt;  ^fos*FS</t>
  </si>
  <si>
    <t>a = 1 - WWP / X</t>
  </si>
  <si>
    <t>(Dz/Dx) = a / aS</t>
  </si>
  <si>
    <t>Dz = Dx*(a / aS)</t>
  </si>
  <si>
    <t>^WWP = WWP</t>
  </si>
  <si>
    <t xml:space="preserve"> WPR = ^WWP - OT - CN2</t>
  </si>
  <si>
    <t xml:space="preserve">Z = X - ^WWP </t>
  </si>
  <si>
    <t>aS = 1 - (^WWPS / XS)</t>
  </si>
  <si>
    <t>Pw = WWPS / WWPo</t>
  </si>
  <si>
    <t>^Pw = Pw * ( 1 + dev )</t>
  </si>
  <si>
    <t xml:space="preserve">XS = ^WWPS / (1- aS) </t>
  </si>
  <si>
    <t>X = ^WWP / (1 - a) = ^WWP*(1 - aS*(Dz/Dx))</t>
  </si>
  <si>
    <t>Dx = (^WWP/XS)*(1 - aS*(Dz/Dx))</t>
  </si>
  <si>
    <t>Z = Dz*ZS</t>
  </si>
  <si>
    <t>X = Z + WWP</t>
  </si>
  <si>
    <t>Dx = X /XS</t>
  </si>
  <si>
    <t>Dw = WWP / WWPS</t>
  </si>
  <si>
    <t xml:space="preserve">  WWP</t>
  </si>
  <si>
    <t>INSt = Pn*INo</t>
  </si>
  <si>
    <t>WNOKSt = POk*WNOKo</t>
  </si>
  <si>
    <t>РOk</t>
  </si>
  <si>
    <t>Базисный ТЕМП вал нак ОК</t>
  </si>
  <si>
    <t>POk</t>
  </si>
  <si>
    <t>WWS = vS*(0,7*INSt+0,2*INSt-1+0,1*INSt-2)</t>
  </si>
  <si>
    <t>qX</t>
  </si>
  <si>
    <t xml:space="preserve">доля оплаты труда в выпуске в ЦП </t>
  </si>
  <si>
    <t>OTt = qX*X</t>
  </si>
  <si>
    <t>Pn = INS / INo</t>
  </si>
  <si>
    <t>PWS</t>
  </si>
  <si>
    <t xml:space="preserve">   ^FS</t>
  </si>
  <si>
    <t xml:space="preserve"> ^WWS</t>
  </si>
  <si>
    <t xml:space="preserve">   FS</t>
  </si>
  <si>
    <t xml:space="preserve"> ^WBS</t>
  </si>
  <si>
    <t>pWNOt = POkt / POkt-1</t>
  </si>
  <si>
    <t>Pww</t>
  </si>
  <si>
    <t>ОТЧЁТ</t>
  </si>
  <si>
    <t>ПРОГНОЗ</t>
  </si>
  <si>
    <t>ПРОГН</t>
  </si>
  <si>
    <t>POx =Px</t>
  </si>
  <si>
    <t>РАСЧЁТ ДЕФЛЯТОРОВ СДЕЛАТЬ ОТДЕЛЬНЫМ БЛОКОМ !!!</t>
  </si>
  <si>
    <t>Dd = 1,1764*IPC - 0,1212</t>
  </si>
  <si>
    <t>IPC = 0,585*Dx +2,066</t>
  </si>
  <si>
    <t xml:space="preserve">    Dw</t>
  </si>
  <si>
    <t xml:space="preserve">    Dx</t>
  </si>
  <si>
    <t>IPC = 0,5901*Dw +1,2487</t>
  </si>
  <si>
    <t xml:space="preserve">    YD</t>
  </si>
  <si>
    <t>Pn=(din*WWP) / (Dn*INo)</t>
  </si>
  <si>
    <t xml:space="preserve"> ^WWP</t>
  </si>
  <si>
    <t>YGt = 0,1915*^WWP - 180,77</t>
  </si>
  <si>
    <t>YDt = 0,7651*DHt + 13,445</t>
  </si>
  <si>
    <t>POk =( Pn + 0,0176) / 1,0679</t>
  </si>
  <si>
    <t xml:space="preserve">   Dm</t>
  </si>
  <si>
    <t xml:space="preserve">   De</t>
  </si>
  <si>
    <t xml:space="preserve">      CN</t>
  </si>
  <si>
    <t xml:space="preserve">   $/бар</t>
  </si>
  <si>
    <t>тренд</t>
  </si>
  <si>
    <t xml:space="preserve">  Dm</t>
  </si>
  <si>
    <t xml:space="preserve">  Dn</t>
  </si>
  <si>
    <t xml:space="preserve">   Pe</t>
  </si>
  <si>
    <t xml:space="preserve">  руб / $</t>
  </si>
  <si>
    <t xml:space="preserve">   ^pW</t>
  </si>
  <si>
    <t xml:space="preserve">   pW</t>
  </si>
  <si>
    <t xml:space="preserve">   DH</t>
  </si>
  <si>
    <t xml:space="preserve">   YG</t>
  </si>
  <si>
    <t xml:space="preserve">   pIN</t>
  </si>
  <si>
    <t xml:space="preserve">   DFB</t>
  </si>
  <si>
    <t>Данные Росстата    / Прогноз  ИПУ РАН</t>
  </si>
  <si>
    <t>ИСТОЧНИКИ</t>
  </si>
  <si>
    <t>1. Российский статистический ежегодник . 2003: Стат.сб./Госкомстат России.- М.,2003. - 705 с.</t>
  </si>
  <si>
    <t>2. Российский статистический ежегодник . 2009: Стат.сб./Госкомстат России.- М.,2009. - 795 с.</t>
  </si>
  <si>
    <t>/ Минфин РФ</t>
  </si>
  <si>
    <t>3. Статистическое обозрение N 1(88) Ежеквартальный журнал ФСГС.  2014.</t>
  </si>
  <si>
    <t>Федеральный закон Российской Федерации от 1 декабря 2014 г. N 384-ФЗ</t>
  </si>
  <si>
    <t xml:space="preserve">О федеральном бюджете на 2015 год и на плановый период 2016 и 2017 годов </t>
  </si>
  <si>
    <t>4. .Федеральный закон РФ от 1 декабря 2014 г. N 384-ФЗ     ( принят ГД РФ 21 ноября 2014 г.)</t>
  </si>
  <si>
    <t xml:space="preserve">  F(*)</t>
  </si>
  <si>
    <t xml:space="preserve">Следствие   X =  Z + OT + WPR  + CN2 </t>
  </si>
  <si>
    <t>Дата последнего размещения данных - 02.04.2015г.</t>
  </si>
  <si>
    <t xml:space="preserve">Элементы использования валового внутреннего продукта </t>
  </si>
  <si>
    <t>(в ценах 2008 года, млрд руб.)</t>
  </si>
  <si>
    <r>
      <t xml:space="preserve">2014 </t>
    </r>
    <r>
      <rPr>
        <b/>
        <vertAlign val="superscript"/>
        <sz val="8"/>
        <rFont val="Arial"/>
        <family val="2"/>
        <charset val="204"/>
      </rPr>
      <t>3)</t>
    </r>
  </si>
  <si>
    <t xml:space="preserve">Валовой внутренний продукт </t>
  </si>
  <si>
    <t>расходы на конечное потребление</t>
  </si>
  <si>
    <t>домашних хозяйств</t>
  </si>
  <si>
    <t>государственного управления</t>
  </si>
  <si>
    <t>некоммерческих организаций, обслуживающих домашние хозяйства</t>
  </si>
  <si>
    <r>
      <t>валовое накопление основного капитала</t>
    </r>
    <r>
      <rPr>
        <sz val="8"/>
        <rFont val="Arial"/>
        <family val="2"/>
        <charset val="204"/>
      </rPr>
      <t xml:space="preserve"> 1</t>
    </r>
    <r>
      <rPr>
        <vertAlign val="superscript"/>
        <sz val="8"/>
        <rFont val="Arial"/>
        <family val="2"/>
        <charset val="204"/>
      </rPr>
      <t>)</t>
    </r>
  </si>
  <si>
    <r>
      <t>9095,3</t>
    </r>
    <r>
      <rPr>
        <vertAlign val="superscript"/>
        <sz val="8"/>
        <rFont val="Arial Cyr"/>
        <charset val="204"/>
      </rPr>
      <t>2)</t>
    </r>
  </si>
  <si>
    <t>импорт (-)</t>
  </si>
  <si>
    <t>Статистическое расхождение</t>
  </si>
  <si>
    <r>
      <t xml:space="preserve">1) </t>
    </r>
    <r>
      <rPr>
        <sz val="8"/>
        <rFont val="Arial Cyr"/>
        <charset val="204"/>
      </rPr>
      <t>Включая приобретение за вычетом выбытия ценностей.</t>
    </r>
  </si>
  <si>
    <r>
      <t>2)</t>
    </r>
    <r>
      <rPr>
        <sz val="8"/>
        <rFont val="Arial Cyr"/>
        <charset val="204"/>
      </rPr>
      <t xml:space="preserve"> Здесь и далее с учетом повышения лимита стоимости активов, относящихся к материально-производственным запасам, с 20 тыс.руб. до 40 тыс. руб., в соответствии с Приказом Минфина России от 24.12.2010. №186Н.</t>
    </r>
  </si>
  <si>
    <r>
      <t xml:space="preserve">3) </t>
    </r>
    <r>
      <rPr>
        <sz val="8"/>
        <rFont val="Arial Cyr"/>
        <charset val="204"/>
      </rPr>
      <t>Данные за 2014 год представлены с учетом данных по Крымскому федеральному округу.</t>
    </r>
  </si>
  <si>
    <r>
      <t xml:space="preserve">   DH = OT + </t>
    </r>
    <r>
      <rPr>
        <sz val="12"/>
        <color indexed="8"/>
        <rFont val="Calibri"/>
        <family val="2"/>
        <charset val="204"/>
      </rPr>
      <t>µ*^</t>
    </r>
    <r>
      <rPr>
        <sz val="12"/>
        <color indexed="8"/>
        <rFont val="Arial"/>
        <family val="2"/>
        <charset val="204"/>
      </rPr>
      <t xml:space="preserve">WWP   </t>
    </r>
  </si>
  <si>
    <t>КОНТРОЛЬ WDC</t>
  </si>
  <si>
    <t>XO - Z</t>
  </si>
  <si>
    <t>XOS отч</t>
  </si>
  <si>
    <t>XOS расч</t>
  </si>
  <si>
    <t>FS  отч</t>
  </si>
  <si>
    <t>FS  расч</t>
  </si>
  <si>
    <t>YD 0</t>
  </si>
  <si>
    <t>YD 1</t>
  </si>
  <si>
    <t xml:space="preserve"> dYD</t>
  </si>
  <si>
    <t>WWP 0</t>
  </si>
  <si>
    <t>WWP 1</t>
  </si>
  <si>
    <t xml:space="preserve"> dWWP</t>
  </si>
  <si>
    <t>RBJ 0</t>
  </si>
  <si>
    <t>RBJ 1</t>
  </si>
  <si>
    <t xml:space="preserve"> dRBJ</t>
  </si>
  <si>
    <t xml:space="preserve">     %</t>
  </si>
  <si>
    <t>DH 0</t>
  </si>
  <si>
    <t>DH 1</t>
  </si>
  <si>
    <t xml:space="preserve"> dDH</t>
  </si>
  <si>
    <t>ДОХОДЫ НАСЕЛЕНИЯ по опорной траектории развития</t>
  </si>
  <si>
    <t>ДОХОДЫ НАСЕЛЕНИЯ по возмущённой траектории развития</t>
  </si>
  <si>
    <t>абсолютная разность показателей</t>
  </si>
  <si>
    <t>разность в процентах</t>
  </si>
  <si>
    <t xml:space="preserve"> конечное потребление ДОМАШНИХ ХОЗЯЙСТВ по опорной траектории развития</t>
  </si>
  <si>
    <t xml:space="preserve"> конечное потребление ДОМАШНИХ ХОЗЯЙСТВ по возмущённой траектории развития</t>
  </si>
  <si>
    <t>ВВП по опорной траектории развития</t>
  </si>
  <si>
    <t>ВВП по возмущённой траектории развития</t>
  </si>
  <si>
    <t>РАСХОДЫ КОНСОЛИДИРОВАННОГО БЮДЖЕТА по опорной траектории развития</t>
  </si>
  <si>
    <t>РАСХОДЫ КОНСОЛИДИРОВАННОГО БЮДЖЕТА по возмущённой траектории развития</t>
  </si>
  <si>
    <t>коэффициент чистых налогов на произв и импорт</t>
  </si>
  <si>
    <t>коэффициент ассигнований КОРП на инв в ОК</t>
  </si>
  <si>
    <t>доля ассигнований ОМ в суммарных инв в ОК</t>
  </si>
  <si>
    <t>коэффициент ассигнований ГОС на инв в ОК</t>
  </si>
  <si>
    <t>НОВАЯ</t>
  </si>
  <si>
    <t>2015-11</t>
  </si>
  <si>
    <t xml:space="preserve">   YD</t>
  </si>
  <si>
    <t>At = dA*N</t>
  </si>
  <si>
    <t>Экономически активное население</t>
  </si>
  <si>
    <t>Pf</t>
  </si>
  <si>
    <t xml:space="preserve">    Dng</t>
  </si>
  <si>
    <t>aSt = ZS / XS</t>
  </si>
  <si>
    <t>RBZt = qRBZt * BZt</t>
  </si>
  <si>
    <t>RBZ</t>
  </si>
  <si>
    <t xml:space="preserve">    qOT</t>
  </si>
  <si>
    <t xml:space="preserve">  счёт</t>
  </si>
  <si>
    <t xml:space="preserve">      ВВП и</t>
  </si>
  <si>
    <t xml:space="preserve">    в ценах 1995 года</t>
  </si>
  <si>
    <t xml:space="preserve">     основные фонды </t>
  </si>
  <si>
    <t xml:space="preserve"> Счёт</t>
  </si>
  <si>
    <t>Национальные счета России в 2007-2014 годах: Стат. сб./ Росстат. - М., 2015. - 304 c.</t>
  </si>
  <si>
    <t>исп. В.И.Антипов  8(909) 648-0767</t>
  </si>
  <si>
    <t>Сценар</t>
  </si>
  <si>
    <t xml:space="preserve"> млн чел</t>
  </si>
  <si>
    <t>Базисный ТЕМП Вал нак ОК</t>
  </si>
  <si>
    <t>PОk</t>
  </si>
  <si>
    <t xml:space="preserve">   Pg</t>
  </si>
  <si>
    <t>Произв</t>
  </si>
  <si>
    <t xml:space="preserve">   Dg</t>
  </si>
  <si>
    <t xml:space="preserve"> PPS</t>
  </si>
  <si>
    <t xml:space="preserve"> руб/$</t>
  </si>
  <si>
    <t>WWP = X - Z = X*( 1 - a )</t>
  </si>
  <si>
    <t xml:space="preserve">X = WWP / (1-0,489) </t>
  </si>
  <si>
    <t>Экспорт в ценах 1995 года</t>
  </si>
  <si>
    <t xml:space="preserve">  ^WWP</t>
  </si>
  <si>
    <t>ТРЕНД 1</t>
  </si>
  <si>
    <t>ТРЕНД 2</t>
  </si>
  <si>
    <r>
      <t xml:space="preserve">      </t>
    </r>
    <r>
      <rPr>
        <sz val="16"/>
        <rFont val="Arial"/>
        <family val="2"/>
        <charset val="204"/>
      </rPr>
      <t>х</t>
    </r>
  </si>
  <si>
    <t>ВВП в ц 95</t>
  </si>
  <si>
    <r>
      <t xml:space="preserve">   </t>
    </r>
    <r>
      <rPr>
        <sz val="14"/>
        <rFont val="Arial"/>
        <family val="2"/>
        <charset val="204"/>
      </rPr>
      <t>kRU</t>
    </r>
  </si>
  <si>
    <r>
      <t xml:space="preserve">    </t>
    </r>
    <r>
      <rPr>
        <sz val="16"/>
        <rFont val="Arial"/>
        <family val="2"/>
        <charset val="204"/>
      </rPr>
      <t>Pw</t>
    </r>
  </si>
  <si>
    <t xml:space="preserve">   kRU</t>
  </si>
  <si>
    <t>Dw = Dd*Rd +Dng*Rg + Dnk*Rnk + De*Re - Dm*Rm</t>
  </si>
  <si>
    <t>Трудовой пот</t>
  </si>
  <si>
    <t>Эконом активн</t>
  </si>
  <si>
    <t xml:space="preserve">    ТРУДОВАЯ</t>
  </si>
  <si>
    <t xml:space="preserve">    ХАРАКТЕРИСТИКА</t>
  </si>
  <si>
    <t xml:space="preserve">    ЭКОНОМИКИ</t>
  </si>
  <si>
    <t xml:space="preserve">     РОССИИ</t>
  </si>
  <si>
    <t xml:space="preserve">  YGM</t>
  </si>
  <si>
    <t xml:space="preserve">      WWP</t>
  </si>
  <si>
    <t xml:space="preserve">  тренд</t>
  </si>
  <si>
    <t xml:space="preserve"> YGM</t>
  </si>
  <si>
    <t xml:space="preserve">   YGm</t>
  </si>
  <si>
    <t xml:space="preserve">   Pgm</t>
  </si>
  <si>
    <t>pYGM</t>
  </si>
  <si>
    <t xml:space="preserve">   Dgm</t>
  </si>
  <si>
    <t>тренд1</t>
  </si>
  <si>
    <t>тренд2</t>
  </si>
  <si>
    <t xml:space="preserve">  Dx</t>
  </si>
  <si>
    <t>*</t>
  </si>
  <si>
    <t>СЧЁТ</t>
  </si>
  <si>
    <t>13.</t>
  </si>
  <si>
    <t>14.</t>
  </si>
  <si>
    <t>Российский статистический ежегодник. 2016: Стат.сб./ Росстат. - М., 2016 -725c.</t>
  </si>
  <si>
    <t xml:space="preserve"> POS = XOS / LW </t>
  </si>
  <si>
    <t xml:space="preserve"> PSw = WWPS / LW</t>
  </si>
  <si>
    <t>ВВП - метод исп. доходов (модификация)</t>
  </si>
  <si>
    <t>Px = POx</t>
  </si>
  <si>
    <t xml:space="preserve">     Рабочая гипотеза</t>
  </si>
  <si>
    <t xml:space="preserve"> LW = dA*N - BZ = A - BZ</t>
  </si>
  <si>
    <t>Используется ГКС   Бред какой то…</t>
  </si>
  <si>
    <t xml:space="preserve">Занятые всего </t>
  </si>
  <si>
    <t xml:space="preserve"> UO = OT / LW  = kRU*IPC*UOo</t>
  </si>
  <si>
    <t>***???</t>
  </si>
  <si>
    <t>КП отчётн ГКС</t>
  </si>
  <si>
    <t>КОНТРОЛЬ</t>
  </si>
  <si>
    <t xml:space="preserve">КП ГОС </t>
  </si>
  <si>
    <t>Россия в цифрах. 2017: Крат.стат.сб./Росстат- M., Р76 2017 - 511 с. ISBN 978-5-89476-435-1</t>
  </si>
  <si>
    <t>15.</t>
  </si>
  <si>
    <t>15/ c.36</t>
  </si>
  <si>
    <t>15/ c.39</t>
  </si>
  <si>
    <t>14/ п. 2.1.3.</t>
  </si>
  <si>
    <t>14/ п. 2.1.6.</t>
  </si>
  <si>
    <t>14/ п. 2.1.1.</t>
  </si>
  <si>
    <t>15 / с.32</t>
  </si>
  <si>
    <t>15 / с.64</t>
  </si>
  <si>
    <t>15 / c/65</t>
  </si>
  <si>
    <t>15/ c.92</t>
  </si>
  <si>
    <t>15/ c.123</t>
  </si>
  <si>
    <t>14/ п. 2.1.7.</t>
  </si>
  <si>
    <t>ВВП произв</t>
  </si>
  <si>
    <t>14 / 2.7.2.</t>
  </si>
  <si>
    <t>pWDC</t>
  </si>
  <si>
    <t>14 / 2.7.6.</t>
  </si>
  <si>
    <t>ВВП - формирование по ист доходов</t>
  </si>
  <si>
    <t xml:space="preserve">                                   CВОДКА  ПРАВИЛ СНС И ГИПОТЕЗ  МОДЕЛИ Р1-4.0(2018-1)</t>
  </si>
  <si>
    <t>14 / 2.7.14.</t>
  </si>
  <si>
    <t>Рентабельность общ. Произв</t>
  </si>
  <si>
    <t>по источн доходов</t>
  </si>
  <si>
    <t xml:space="preserve">произведенный </t>
  </si>
  <si>
    <t>3/ c.22</t>
  </si>
  <si>
    <t>3/ c.23</t>
  </si>
  <si>
    <t>bS = IMS / (YMS + INS )</t>
  </si>
  <si>
    <t>kWBt = WBSt / Ft-1</t>
  </si>
  <si>
    <t>kWWt = WWSt / FSt</t>
  </si>
  <si>
    <t xml:space="preserve">  млрд руб</t>
  </si>
  <si>
    <t xml:space="preserve">  DH</t>
  </si>
  <si>
    <t>б/р</t>
  </si>
  <si>
    <t>СЦЕНАРИЙ</t>
  </si>
  <si>
    <t>сценар</t>
  </si>
  <si>
    <t xml:space="preserve">   Dn</t>
  </si>
  <si>
    <t xml:space="preserve">   CNF</t>
  </si>
  <si>
    <t xml:space="preserve">  WKU</t>
  </si>
  <si>
    <t>2014 год — 98,9[33]</t>
  </si>
  <si>
    <t>2015 год — 52,4[34]</t>
  </si>
  <si>
    <t>2016 год — 44,0[35]</t>
  </si>
  <si>
    <t>1982 год — 33,4[1]</t>
  </si>
  <si>
    <t>1983 год — 29,8[2]</t>
  </si>
  <si>
    <t>1984 год — 28,7[3]</t>
  </si>
  <si>
    <t>1985 год — 27,6[4]</t>
  </si>
  <si>
    <t>1986 год — 14,4[5]</t>
  </si>
  <si>
    <t>1987 год — 18,4[6]</t>
  </si>
  <si>
    <t>1988 год — 15,0[7]</t>
  </si>
  <si>
    <t>1989 год — 18,2[8]</t>
  </si>
  <si>
    <t>1990 год — 23,7[9]</t>
  </si>
  <si>
    <t>1991 год — 20,0[10]</t>
  </si>
  <si>
    <t>1992 год — 19,4[11]</t>
  </si>
  <si>
    <t>1993 год — 17,0[12]</t>
  </si>
  <si>
    <t>1994 год — 15,8[13]</t>
  </si>
  <si>
    <t>1995 год — 17,1[14]</t>
  </si>
  <si>
    <t>1996 год — 20,5[15]</t>
  </si>
  <si>
    <t>1997 год — 19,1[16]</t>
  </si>
  <si>
    <t>1998 год — 12,7[17]</t>
  </si>
  <si>
    <t>1999 год — 17,7[18]</t>
  </si>
  <si>
    <t>2000 год — 28,3[19]</t>
  </si>
  <si>
    <t>2001 год — 24,4[20]</t>
  </si>
  <si>
    <t>2002 год — 25,0[21]</t>
  </si>
  <si>
    <t>2003 год — 28,9[22]</t>
  </si>
  <si>
    <t>2004 год — 38,3[23]</t>
  </si>
  <si>
    <t>2005 год — 54,4[24]</t>
  </si>
  <si>
    <t>2006 год — 65,4[25]</t>
  </si>
  <si>
    <t>2007 год — 72,7[26]</t>
  </si>
  <si>
    <t>2008 год — 97,7[27]</t>
  </si>
  <si>
    <t>2009 год — 61,9[28]</t>
  </si>
  <si>
    <t>2010 год — 79,6[29]</t>
  </si>
  <si>
    <t>2011 год — 111,0[30]</t>
  </si>
  <si>
    <t>2012 год — 121,4[31]</t>
  </si>
  <si>
    <t>2013 год — 108,8[32]</t>
  </si>
  <si>
    <t>C.Г. Цены на нефть марки БРЕНТ</t>
  </si>
  <si>
    <r>
      <t>newsruss.ru</t>
    </r>
    <r>
      <rPr>
        <sz val="14"/>
        <color rgb="FF007700"/>
        <rFont val="Verdana"/>
        <family val="2"/>
        <charset val="204"/>
      </rPr>
      <t>›</t>
    </r>
    <r>
      <rPr>
        <sz val="14"/>
        <color rgb="FF007700"/>
        <rFont val="Arial"/>
        <family val="2"/>
        <charset val="204"/>
      </rPr>
      <t>doc/index.php/Нефть_в_2000-х_годах</t>
    </r>
  </si>
  <si>
    <t xml:space="preserve">    WKU</t>
  </si>
  <si>
    <t xml:space="preserve">    CNF</t>
  </si>
  <si>
    <t>Дата</t>
  </si>
  <si>
    <t>Долларов за баррель</t>
  </si>
  <si>
    <t>66.870000</t>
  </si>
  <si>
    <t>62.610000</t>
  </si>
  <si>
    <t>61.370000</t>
  </si>
  <si>
    <t>56.790000</t>
  </si>
  <si>
    <t>52.380000</t>
  </si>
  <si>
    <t>52.650000</t>
  </si>
  <si>
    <t>47.910000</t>
  </si>
  <si>
    <t>50.290000</t>
  </si>
  <si>
    <t>51.710000</t>
  </si>
  <si>
    <t>52.740000</t>
  </si>
  <si>
    <t>55.560000</t>
  </si>
  <si>
    <t>55.680000</t>
  </si>
  <si>
    <t>СУММА</t>
  </si>
  <si>
    <t>Среднее</t>
  </si>
  <si>
    <t>Среднегодовой курс доллара на 2017 год:</t>
  </si>
  <si>
    <t>Среднегодовой курс доллара на 2016 год:</t>
  </si>
  <si>
    <t>Среднегодовой курс доллара на 2015 год:</t>
  </si>
  <si>
    <t>Среднегодовой курс доллара на 2014 год:</t>
  </si>
  <si>
    <t>Среднегодовой курс доллара на 2013 год:</t>
  </si>
  <si>
    <t>Среднегодовой курс доллара на 2012 год:</t>
  </si>
  <si>
    <t>Среднегодовой курс доллара на 2011 год:</t>
  </si>
  <si>
    <t>Среднегодовой курс доллара на 2010 год:</t>
  </si>
  <si>
    <t>Среднегодовой курс доллара на 2009 год:</t>
  </si>
  <si>
    <t>Среднегодовой курс доллара на 2008 год:</t>
  </si>
  <si>
    <t>Среднегодовой курс доллара на 2007 год:</t>
  </si>
  <si>
    <t>kurs-dollar-euro.ru›Среднегодовые курсы валют</t>
  </si>
  <si>
    <t xml:space="preserve"> WKU</t>
  </si>
  <si>
    <t>WKU</t>
  </si>
  <si>
    <t xml:space="preserve">  F1</t>
  </si>
  <si>
    <t xml:space="preserve">   F2</t>
  </si>
  <si>
    <t>Валютный курс рубля</t>
  </si>
  <si>
    <t>руб / $</t>
  </si>
  <si>
    <t>CNF</t>
  </si>
  <si>
    <t>Цена нефти марки BRENT</t>
  </si>
  <si>
    <t>$ / барель</t>
  </si>
  <si>
    <t xml:space="preserve">    WW</t>
  </si>
  <si>
    <t xml:space="preserve"> млрд руб</t>
  </si>
  <si>
    <t xml:space="preserve">    IN</t>
  </si>
  <si>
    <t xml:space="preserve">      v</t>
  </si>
  <si>
    <t xml:space="preserve">      v1</t>
  </si>
  <si>
    <t xml:space="preserve"> qYGM</t>
  </si>
  <si>
    <t xml:space="preserve">    x</t>
  </si>
  <si>
    <t xml:space="preserve">    x1</t>
  </si>
  <si>
    <t xml:space="preserve">     x</t>
  </si>
  <si>
    <t xml:space="preserve">верс+CC56:CW66ия </t>
  </si>
  <si>
    <t xml:space="preserve">     x1</t>
  </si>
  <si>
    <t xml:space="preserve"> IPC</t>
  </si>
  <si>
    <t>прогн</t>
  </si>
  <si>
    <t xml:space="preserve">  Df</t>
  </si>
  <si>
    <t>сцен</t>
  </si>
  <si>
    <t>v</t>
  </si>
  <si>
    <t xml:space="preserve">    v</t>
  </si>
  <si>
    <t xml:space="preserve">      О</t>
  </si>
  <si>
    <t xml:space="preserve">                      И С Х О Д Н Ы Е     Д А Н Н Ы Е</t>
  </si>
  <si>
    <t xml:space="preserve">ч и с л о в ы е      р я д ы </t>
  </si>
  <si>
    <t xml:space="preserve">З   А  В   И   С   И   М   О   С   Т   И </t>
  </si>
  <si>
    <t>динамика ОФ в сопоставимых ценах</t>
  </si>
  <si>
    <t>R² = 0,9784</t>
  </si>
  <si>
    <t>y = 0,0055x + 56,572</t>
  </si>
  <si>
    <t>трудовая характеристика экономики</t>
  </si>
  <si>
    <t xml:space="preserve">  YG</t>
  </si>
  <si>
    <t>PDH</t>
  </si>
  <si>
    <t xml:space="preserve">Xt = XOt + NLt - SBt = XOt + CN1t </t>
  </si>
  <si>
    <t>ОШИБКА !!!  ГКС</t>
  </si>
  <si>
    <t xml:space="preserve"> WWPS = INS + YMS + EXS - IMS </t>
  </si>
  <si>
    <t xml:space="preserve">Следствие  Pw = (INS+YMS+EXS-IMS) / WWPo  </t>
  </si>
  <si>
    <t xml:space="preserve">     Dw = (WWP - STR)/(INS + YMS + EXS - IMS)</t>
  </si>
  <si>
    <t xml:space="preserve">У ГКС сделана грубая ошибка с WN. Потоки перепутаны с запасами </t>
  </si>
  <si>
    <r>
      <t xml:space="preserve">   DH = OT + </t>
    </r>
    <r>
      <rPr>
        <sz val="12"/>
        <color indexed="8"/>
        <rFont val="Calibri"/>
        <family val="2"/>
        <charset val="204"/>
      </rPr>
      <t>µ*</t>
    </r>
    <r>
      <rPr>
        <sz val="12"/>
        <color indexed="8"/>
        <rFont val="Arial"/>
        <family val="2"/>
        <charset val="204"/>
      </rPr>
      <t xml:space="preserve">WWP  = OT + PDN( WWP ) </t>
    </r>
  </si>
  <si>
    <r>
      <t>Экономически активное население = Рабочая сила = </t>
    </r>
    <r>
      <rPr>
        <b/>
        <sz val="12"/>
        <color indexed="62"/>
        <rFont val="Tahoma"/>
        <family val="2"/>
        <charset val="204"/>
      </rPr>
      <t>Занятые</t>
    </r>
    <r>
      <rPr>
        <b/>
        <sz val="12"/>
        <color indexed="8"/>
        <rFont val="Tahoma"/>
        <family val="2"/>
        <charset val="204"/>
      </rPr>
      <t> + </t>
    </r>
    <r>
      <rPr>
        <b/>
        <sz val="12"/>
        <color indexed="62"/>
        <rFont val="Tahoma"/>
        <family val="2"/>
        <charset val="204"/>
      </rPr>
      <t>Безработные</t>
    </r>
  </si>
  <si>
    <t xml:space="preserve">  bS = IMS / (YMS + INS )</t>
  </si>
  <si>
    <t>WWPS = INS+YDS+YGMS+YNKS+EXS-IMS</t>
  </si>
  <si>
    <t>WWP =Dn*INS+Dd*YDS+Dgm*YGMS+Dnk*YNKS+De*EXS-Dm*IMS</t>
  </si>
  <si>
    <t xml:space="preserve">Отчёт / </t>
  </si>
  <si>
    <t xml:space="preserve">Отчёт /  </t>
  </si>
  <si>
    <t>YGS = YG / Dg</t>
  </si>
  <si>
    <t>RXOSt = ^fOSt * FSt</t>
  </si>
  <si>
    <t>Коэф перевода инв во вводы ОФ</t>
  </si>
  <si>
    <t>pYGMt = Pgmt / Pgmt-1</t>
  </si>
  <si>
    <t>dWt = Dwt /Dwt-1</t>
  </si>
  <si>
    <t>dYGM</t>
  </si>
  <si>
    <t>dYGMt = Dgmt / Dgmt-1</t>
  </si>
  <si>
    <t xml:space="preserve">    A</t>
  </si>
  <si>
    <t>рабочая гип</t>
  </si>
  <si>
    <t>Выпуск в ОЦ</t>
  </si>
  <si>
    <t xml:space="preserve"> Pe</t>
  </si>
  <si>
    <t>Национальные счета России в 2011-2016 годах: Стат. сб./ Росстат. - М., 2017. - 263 c. эл. версия</t>
  </si>
  <si>
    <t>Оценка</t>
  </si>
  <si>
    <r>
      <t xml:space="preserve">       </t>
    </r>
    <r>
      <rPr>
        <sz val="14"/>
        <color indexed="8"/>
        <rFont val="Arial"/>
        <family val="2"/>
        <charset val="204"/>
      </rPr>
      <t xml:space="preserve"> F</t>
    </r>
  </si>
  <si>
    <t xml:space="preserve">  Pw</t>
  </si>
  <si>
    <t xml:space="preserve">  dW</t>
  </si>
  <si>
    <t xml:space="preserve"> pWW</t>
  </si>
  <si>
    <t xml:space="preserve"> Dww</t>
  </si>
  <si>
    <t>dWW</t>
  </si>
  <si>
    <r>
      <t xml:space="preserve">  </t>
    </r>
    <r>
      <rPr>
        <sz val="14"/>
        <color indexed="8"/>
        <rFont val="Arial"/>
        <family val="2"/>
        <charset val="204"/>
      </rPr>
      <t>FS</t>
    </r>
  </si>
  <si>
    <r>
      <t xml:space="preserve">   </t>
    </r>
    <r>
      <rPr>
        <sz val="14"/>
        <color indexed="8"/>
        <rFont val="Arial"/>
        <family val="2"/>
        <charset val="204"/>
      </rPr>
      <t>pF</t>
    </r>
  </si>
  <si>
    <r>
      <t xml:space="preserve">   </t>
    </r>
    <r>
      <rPr>
        <sz val="14"/>
        <color indexed="8"/>
        <rFont val="Arial"/>
        <family val="2"/>
        <charset val="204"/>
      </rPr>
      <t>dF</t>
    </r>
  </si>
  <si>
    <r>
      <t xml:space="preserve">  </t>
    </r>
    <r>
      <rPr>
        <sz val="14"/>
        <color indexed="8"/>
        <rFont val="Arial"/>
        <family val="2"/>
        <charset val="204"/>
      </rPr>
      <t xml:space="preserve"> Df</t>
    </r>
  </si>
  <si>
    <r>
      <t xml:space="preserve">   </t>
    </r>
    <r>
      <rPr>
        <sz val="14"/>
        <color indexed="8"/>
        <rFont val="Arial"/>
        <family val="2"/>
        <charset val="204"/>
      </rPr>
      <t xml:space="preserve"> ip</t>
    </r>
  </si>
  <si>
    <t>тср /чел</t>
  </si>
  <si>
    <t xml:space="preserve">    LZW</t>
  </si>
  <si>
    <t xml:space="preserve">  ПРОИЗВОДСТВЕННАЯ</t>
  </si>
  <si>
    <t xml:space="preserve">  ФУНКЦИЯ</t>
  </si>
  <si>
    <t xml:space="preserve"> (типа Кобба-Дугласа)</t>
  </si>
  <si>
    <t xml:space="preserve">  РОССИИ</t>
  </si>
  <si>
    <t xml:space="preserve"> ЭКОНОМИКИ</t>
  </si>
  <si>
    <t>Тренд</t>
  </si>
  <si>
    <t xml:space="preserve">   PОХS</t>
  </si>
  <si>
    <t>POXS</t>
  </si>
  <si>
    <t>ПРОИЗВОДИТЕЛЬНОСТЬ ТРУДА</t>
  </si>
  <si>
    <t>ТЫС РУБ/Ч</t>
  </si>
  <si>
    <t xml:space="preserve">   FОS</t>
  </si>
  <si>
    <t xml:space="preserve">  n1t = CN1t / XOt  </t>
  </si>
  <si>
    <t>X = XO + CN1 = XO*( 1+ n1 )</t>
  </si>
  <si>
    <t xml:space="preserve">   WK</t>
  </si>
  <si>
    <t xml:space="preserve">    М2</t>
  </si>
  <si>
    <t>руб/$</t>
  </si>
  <si>
    <t>трлн руб</t>
  </si>
  <si>
    <t>ИСТОЧНИК</t>
  </si>
  <si>
    <t>"Россия в цифрах 2018"</t>
  </si>
  <si>
    <t>Тренд1</t>
  </si>
  <si>
    <t>Тренд2</t>
  </si>
  <si>
    <t xml:space="preserve">б / р  </t>
  </si>
  <si>
    <t xml:space="preserve">  Pg</t>
  </si>
  <si>
    <t xml:space="preserve">    YG</t>
  </si>
  <si>
    <t xml:space="preserve">  Pnk</t>
  </si>
  <si>
    <t xml:space="preserve">    YNK</t>
  </si>
  <si>
    <t xml:space="preserve">   Dnk</t>
  </si>
  <si>
    <t xml:space="preserve">  Pm</t>
  </si>
  <si>
    <t xml:space="preserve">    IM</t>
  </si>
  <si>
    <t xml:space="preserve">    XO</t>
  </si>
  <si>
    <t xml:space="preserve"> Pm</t>
  </si>
  <si>
    <t xml:space="preserve">   pEX</t>
  </si>
  <si>
    <t xml:space="preserve">  Pe</t>
  </si>
  <si>
    <t xml:space="preserve">    EX</t>
  </si>
  <si>
    <t xml:space="preserve">   dEX</t>
  </si>
  <si>
    <t xml:space="preserve">     EX</t>
  </si>
  <si>
    <t xml:space="preserve">    ^М2</t>
  </si>
  <si>
    <t xml:space="preserve">  PPS 1</t>
  </si>
  <si>
    <t xml:space="preserve">  PPS 2</t>
  </si>
  <si>
    <t xml:space="preserve">    WK</t>
  </si>
  <si>
    <t>МОДИФИКАЦИЯ СЧЁТА  ТОВАРОВ И УСЛУГ ПУТЁМ ИЗМЕНЕНИЯ ЭКСПОРТА</t>
  </si>
  <si>
    <t>XO + NL1 - SB + IM = Z + IN +YD + YG + YNK + EXM + STR</t>
  </si>
  <si>
    <t>EXM = X + IM - Z - IN - YD - YG - YNK - STR</t>
  </si>
  <si>
    <t>EXMS = XS + IMS - ZS - INS - YDS - YGS - YNKS</t>
  </si>
  <si>
    <t>EXMS = WWPS + IMS - INS - YDS - YGS - YNKS</t>
  </si>
  <si>
    <t>Demt = EXMt / EXMSt</t>
  </si>
  <si>
    <t>Pemt = EXMSt / EXMSo</t>
  </si>
  <si>
    <t xml:space="preserve">     pX</t>
  </si>
  <si>
    <t xml:space="preserve">Px  </t>
  </si>
  <si>
    <t xml:space="preserve">    X</t>
  </si>
  <si>
    <t xml:space="preserve">    XS</t>
  </si>
  <si>
    <t xml:space="preserve"> pIM</t>
  </si>
  <si>
    <t xml:space="preserve">Pm  </t>
  </si>
  <si>
    <t xml:space="preserve">   IMS</t>
  </si>
  <si>
    <t xml:space="preserve">   pZ</t>
  </si>
  <si>
    <t xml:space="preserve">Pz  </t>
  </si>
  <si>
    <t xml:space="preserve">   Z</t>
  </si>
  <si>
    <t xml:space="preserve">  ZS</t>
  </si>
  <si>
    <t xml:space="preserve">  pIN</t>
  </si>
  <si>
    <t xml:space="preserve">Pn  </t>
  </si>
  <si>
    <t xml:space="preserve">  INS</t>
  </si>
  <si>
    <t xml:space="preserve"> pYD</t>
  </si>
  <si>
    <t xml:space="preserve">Pd  </t>
  </si>
  <si>
    <t xml:space="preserve"> YDS</t>
  </si>
  <si>
    <t xml:space="preserve"> pYG</t>
  </si>
  <si>
    <t xml:space="preserve"> YG</t>
  </si>
  <si>
    <t xml:space="preserve"> YGS</t>
  </si>
  <si>
    <t xml:space="preserve"> YNK</t>
  </si>
  <si>
    <t xml:space="preserve"> YNKS</t>
  </si>
  <si>
    <t xml:space="preserve">  STR</t>
  </si>
  <si>
    <t xml:space="preserve"> pEXM</t>
  </si>
  <si>
    <t xml:space="preserve">Pem  </t>
  </si>
  <si>
    <t xml:space="preserve">Dem  </t>
  </si>
  <si>
    <t xml:space="preserve">  EXM</t>
  </si>
  <si>
    <t xml:space="preserve"> EXMS</t>
  </si>
  <si>
    <t xml:space="preserve">   тренд</t>
  </si>
  <si>
    <t xml:space="preserve"> Pk</t>
  </si>
  <si>
    <t xml:space="preserve">   Xf</t>
  </si>
  <si>
    <t xml:space="preserve"> Pww</t>
  </si>
  <si>
    <t xml:space="preserve">  F</t>
  </si>
  <si>
    <t xml:space="preserve">   Df</t>
  </si>
  <si>
    <t xml:space="preserve"> IN</t>
  </si>
  <si>
    <t>WNО</t>
  </si>
  <si>
    <t xml:space="preserve"> PОk</t>
  </si>
  <si>
    <t>DОk</t>
  </si>
  <si>
    <t>WNO</t>
  </si>
  <si>
    <t>WNOS</t>
  </si>
  <si>
    <t>kWN</t>
  </si>
  <si>
    <r>
      <t xml:space="preserve">   X</t>
    </r>
    <r>
      <rPr>
        <b/>
        <sz val="14"/>
        <rFont val="Arial"/>
        <family val="2"/>
        <charset val="204"/>
      </rPr>
      <t>f</t>
    </r>
  </si>
  <si>
    <t xml:space="preserve">    fOT</t>
  </si>
  <si>
    <t xml:space="preserve">   fOS</t>
  </si>
  <si>
    <t>б / р</t>
  </si>
  <si>
    <t>МЛН ЧЕЛ</t>
  </si>
  <si>
    <t xml:space="preserve">   XO</t>
  </si>
  <si>
    <t>UOT</t>
  </si>
  <si>
    <t xml:space="preserve"> тср/чел </t>
  </si>
  <si>
    <t>RUO</t>
  </si>
  <si>
    <t>$/бар</t>
  </si>
  <si>
    <t>WK</t>
  </si>
  <si>
    <t>М2</t>
  </si>
  <si>
    <t xml:space="preserve">  PPS 3</t>
  </si>
  <si>
    <t>^WK</t>
  </si>
  <si>
    <t>базисный дефлятор КП НКО</t>
  </si>
  <si>
    <t>EXMS</t>
  </si>
  <si>
    <t>Dem</t>
  </si>
  <si>
    <t>EXM</t>
  </si>
  <si>
    <t>регрессия  расх на КП ГОС от WWP</t>
  </si>
  <si>
    <t xml:space="preserve">     DOx</t>
  </si>
  <si>
    <t xml:space="preserve">   DOx</t>
  </si>
  <si>
    <t>Отчёт /  YDSt = YDt / Ddt</t>
  </si>
  <si>
    <t>Отчёт /</t>
  </si>
  <si>
    <t>инвестициив ОК в СЦ</t>
  </si>
  <si>
    <t>^fOS</t>
  </si>
  <si>
    <t>Расчёт производных показателей</t>
  </si>
  <si>
    <t>Px = XS / Xo</t>
  </si>
  <si>
    <t>Pm = IMS / IMo</t>
  </si>
  <si>
    <t>Pem = EXMS / EXMo</t>
  </si>
  <si>
    <t>Pnk = YNKS / YNKo</t>
  </si>
  <si>
    <t>Pg = YGS / YGo</t>
  </si>
  <si>
    <t>Pww = WWS / WWo</t>
  </si>
  <si>
    <t>Pf = FS / Fo</t>
  </si>
  <si>
    <t>POS = XOS / LZ</t>
  </si>
  <si>
    <t>PWS = WWPS / LZ</t>
  </si>
  <si>
    <t>Отчёт / OT = 0,2718*XO - 0,103</t>
  </si>
  <si>
    <t>Баз. дефлятор произв ВВП</t>
  </si>
  <si>
    <t>POx = Px</t>
  </si>
  <si>
    <t>Pz = ZS / Zo</t>
  </si>
  <si>
    <t>баз. темп модиф экспорта</t>
  </si>
  <si>
    <t>Pеm</t>
  </si>
  <si>
    <t xml:space="preserve">Pe = EXS / EXo       </t>
  </si>
  <si>
    <t>Pk = WNS / WNo</t>
  </si>
  <si>
    <t>баз. темп вводов ОФ</t>
  </si>
  <si>
    <t>Pd = YDS / YDo</t>
  </si>
  <si>
    <t>баз. темп ОФ</t>
  </si>
  <si>
    <t>Pw = ^WWPS / WWPo</t>
  </si>
  <si>
    <t>баз.дефлятор выпуска в ЦП</t>
  </si>
  <si>
    <t>баз.дефлятор выпуска в ОЦ</t>
  </si>
  <si>
    <t>DOx = XO / XOS</t>
  </si>
  <si>
    <t>POk = WNOS / WNOo</t>
  </si>
  <si>
    <t>Отчёт / LZ = 3,6132*XOS + 52,885</t>
  </si>
  <si>
    <t>Отчёт / CN1 = n1*XO</t>
  </si>
  <si>
    <t>Отчёт / CN2 = n2*(XO+IM)</t>
  </si>
  <si>
    <t>численность занятых (всего)</t>
  </si>
  <si>
    <t>фондоотдача по выпуску в ОЦ</t>
  </si>
  <si>
    <t>производительность труда по выпуску в ОЦ</t>
  </si>
  <si>
    <t>производительность труда по ВВП</t>
  </si>
  <si>
    <t>чистые налоги на производство</t>
  </si>
  <si>
    <t>WNOS =1,0315*INS + 11,554</t>
  </si>
  <si>
    <t>Dk = 2,1159*Dn - 17,631</t>
  </si>
  <si>
    <t>kIN</t>
  </si>
  <si>
    <t>WN = WNOS*Dk</t>
  </si>
  <si>
    <t>WNS = WNOS + eS*XOS</t>
  </si>
  <si>
    <t xml:space="preserve"> WDCS = XOS - ZS </t>
  </si>
  <si>
    <t>валовая прибыль</t>
  </si>
  <si>
    <t>валовая добавленная стоимость</t>
  </si>
  <si>
    <t>валовая добавленная стоимость в СЦ  ( вариант 1 )</t>
  </si>
  <si>
    <t>регрессия ВНОК в СЦ</t>
  </si>
  <si>
    <t xml:space="preserve">валовое накопление </t>
  </si>
  <si>
    <t>регрессия дефлятора валового накопления</t>
  </si>
  <si>
    <t>регрессия оплаты труда от выпуска в ОЦ</t>
  </si>
  <si>
    <t>регрессия прочих дох населения от выпуска в ОЦ</t>
  </si>
  <si>
    <t>PDN</t>
  </si>
  <si>
    <t xml:space="preserve"> PDN</t>
  </si>
  <si>
    <t>Отчёт / OT = 0,0902*XO + 344</t>
  </si>
  <si>
    <t>произведенный ВВП</t>
  </si>
  <si>
    <t>^WWP = XO - Z + CN1</t>
  </si>
  <si>
    <t>WWP = IN + YD + YG + YNK + EXM - IM + STR</t>
  </si>
  <si>
    <t>ofWWP</t>
  </si>
  <si>
    <t>модифицированный использованный ВВП</t>
  </si>
  <si>
    <t>официальный использованный ВВП</t>
  </si>
  <si>
    <t>ofWWP = WN + YD + YG + YNK + EX - IM + STR</t>
  </si>
  <si>
    <t>регрессия баз темпа офиц экспорта от выпуска в ОЦ</t>
  </si>
  <si>
    <t>официальный экспорт</t>
  </si>
  <si>
    <t>ОТКЛОНЕНИЕ от произведенного ВВП</t>
  </si>
  <si>
    <t>DEL 2 = ofWWP - ^WWP</t>
  </si>
  <si>
    <t>DEL 1 = WWP - ^WWP</t>
  </si>
  <si>
    <t>регрессия баз дефл офиц экспорта от факторов</t>
  </si>
  <si>
    <r>
      <rPr>
        <sz val="12"/>
        <rFont val="Arial"/>
        <family val="2"/>
        <charset val="204"/>
      </rPr>
      <t>Отчёт</t>
    </r>
    <r>
      <rPr>
        <sz val="11"/>
        <rFont val="Arial"/>
        <family val="2"/>
        <charset val="204"/>
      </rPr>
      <t xml:space="preserve"> / WPR = ^WWP-OT-CN2 = XO-Z+CN1-OT-CN2</t>
    </r>
  </si>
  <si>
    <r>
      <rPr>
        <sz val="12"/>
        <rFont val="Arial"/>
        <family val="2"/>
        <charset val="204"/>
      </rPr>
      <t>Отчёт</t>
    </r>
    <r>
      <rPr>
        <sz val="11"/>
        <rFont val="Arial"/>
        <family val="2"/>
        <charset val="204"/>
      </rPr>
      <t xml:space="preserve"> / EX = Pe*De*EXo</t>
    </r>
  </si>
  <si>
    <t>DEL 1</t>
  </si>
  <si>
    <t>DEL 2</t>
  </si>
  <si>
    <t>EXM = WWP - IN - YD - YG - YNK + IM - STR</t>
  </si>
  <si>
    <t xml:space="preserve">    IMS</t>
  </si>
  <si>
    <t xml:space="preserve">    INS</t>
  </si>
  <si>
    <t xml:space="preserve">    YGS</t>
  </si>
  <si>
    <t xml:space="preserve">     POx</t>
  </si>
  <si>
    <t xml:space="preserve">   POx</t>
  </si>
  <si>
    <t xml:space="preserve">  YNKS</t>
  </si>
  <si>
    <t xml:space="preserve">   Dz</t>
  </si>
  <si>
    <t>DH = OT + PDH</t>
  </si>
  <si>
    <t xml:space="preserve">    qIM</t>
  </si>
  <si>
    <t>qIM</t>
  </si>
  <si>
    <t>прочие доходы населения</t>
  </si>
  <si>
    <t xml:space="preserve">  ip</t>
  </si>
  <si>
    <t>Янв</t>
  </si>
  <si>
    <t>Фев</t>
  </si>
  <si>
    <t>Мар</t>
  </si>
  <si>
    <t>Апр</t>
  </si>
  <si>
    <t>Май</t>
  </si>
  <si>
    <t>Июн</t>
  </si>
  <si>
    <t>Июл</t>
  </si>
  <si>
    <t>Авг</t>
  </si>
  <si>
    <t>Сен</t>
  </si>
  <si>
    <t>Окт</t>
  </si>
  <si>
    <t>Ноя</t>
  </si>
  <si>
    <t>Дек</t>
  </si>
  <si>
    <t>Уровень Инфляции в России, %</t>
  </si>
  <si>
    <t>Инфляция по месяцам. Инфляция по годам.</t>
  </si>
  <si>
    <t>Примечание:</t>
  </si>
  <si>
    <t>* Данные до 2002 года округлены до одного десятичного знака.</t>
  </si>
  <si>
    <t>** Красным цветом в таблице обозначена дефляция.</t>
  </si>
  <si>
    <t>*** Инфляция по месяцам складывается в годовую неалгебраически. Для расчета инфляции за произвольный период используйте Инфляционны</t>
  </si>
  <si>
    <t xml:space="preserve">  ^WWPS</t>
  </si>
  <si>
    <t xml:space="preserve"> FS</t>
  </si>
  <si>
    <t>^WWPS/LZ</t>
  </si>
  <si>
    <t xml:space="preserve">    FS / LZ</t>
  </si>
  <si>
    <t>по данным Банка России (ЦБ РФ)</t>
  </si>
  <si>
    <t xml:space="preserve">Институт "Центр развития" НИУ ВШЭ </t>
  </si>
  <si>
    <t>Министерство экономики от 12.04.2017</t>
  </si>
  <si>
    <t>ИНП РАН от 23.11.2017</t>
  </si>
  <si>
    <t>Модель Р1-4-0(2020-1)  от 23.08.2019</t>
  </si>
  <si>
    <t>ИСТОЧНИК ПРОГНОЗА</t>
  </si>
  <si>
    <t>Комплексный доклад РАН от 23.10.2017</t>
  </si>
  <si>
    <t>WWP = IN + Y +EXМ - IM + STR</t>
  </si>
  <si>
    <t>WWP = IN + YG + YD + YNG + EXМ - IM + STR</t>
  </si>
  <si>
    <t>EXMS = WWPS - INS - YDS - YGS - YNKS + IMS</t>
  </si>
  <si>
    <t>опора</t>
  </si>
  <si>
    <t>ОПОРА</t>
  </si>
  <si>
    <t>СЦЕН</t>
  </si>
  <si>
    <t xml:space="preserve">    Pg</t>
  </si>
  <si>
    <t xml:space="preserve">б/р  </t>
  </si>
  <si>
    <t>µ</t>
  </si>
  <si>
    <t>Национальные счета России в 2006-2013 годах: Стат. сб./ Росстат. - М., 2014.             эл. версия</t>
  </si>
  <si>
    <t>DBJ = 0,5355*WWP - 18298</t>
  </si>
  <si>
    <t>млрд</t>
  </si>
  <si>
    <t>RDH/100</t>
  </si>
  <si>
    <t xml:space="preserve"> RDH</t>
  </si>
  <si>
    <t xml:space="preserve">  Xft = 0,4*Pwt +0,5*Pwt-1 +0,1*Pwt-2  </t>
  </si>
  <si>
    <t xml:space="preserve"> сцен</t>
  </si>
  <si>
    <t>ТРЕНД1</t>
  </si>
  <si>
    <t>ТРЕНД2</t>
  </si>
  <si>
    <t>16.</t>
  </si>
  <si>
    <t>17.</t>
  </si>
  <si>
    <t>18.</t>
  </si>
  <si>
    <t>19.</t>
  </si>
  <si>
    <t>Национальные счета России в 2014-2018 годах: Стат. сб./ Росстат. - М., 2019. - 245 c. ISBN 978 - 5 - 89476 - 466 -5</t>
  </si>
  <si>
    <t>Инвестиции в России. 2019: Стат.сб./ Росстат.- М., 2019. - 228 с.   ISBN 978 - 5 - 89476 - 471 - 9</t>
  </si>
  <si>
    <t>ДЕНЕЖНАЯ МАССА М2</t>
  </si>
  <si>
    <t xml:space="preserve">КП </t>
  </si>
  <si>
    <t>ВВП в сц 1995</t>
  </si>
  <si>
    <t>Баз темп ВВП</t>
  </si>
  <si>
    <t xml:space="preserve">КОНТP СУММА </t>
  </si>
  <si>
    <t xml:space="preserve"> Pw</t>
  </si>
  <si>
    <t xml:space="preserve">произв </t>
  </si>
  <si>
    <t xml:space="preserve">исп </t>
  </si>
  <si>
    <t xml:space="preserve">               НАСТРОЙКА  ПАРАМЕТРОВ  МОДЕЛИ  Р1-4.0(2020-1)</t>
  </si>
  <si>
    <t>EXM = WWP- STR + IM -YGM -YNK -YD - IN</t>
  </si>
  <si>
    <t>ОЦЕНКА ЭКСПОРТА МОД</t>
  </si>
  <si>
    <t>EXMS = WWPS + IMS -YGMS -YNKS -YDS - INS</t>
  </si>
  <si>
    <t>ОЦЕНКА БАЗ ТЕМПА</t>
  </si>
  <si>
    <t>ОЦЕНКА БАЗ ДЕФЛЯТОРА</t>
  </si>
  <si>
    <t>Pem</t>
  </si>
  <si>
    <t xml:space="preserve">Pemt = EXMSt / EXMo </t>
  </si>
  <si>
    <t xml:space="preserve">   Pem</t>
  </si>
  <si>
    <t xml:space="preserve">  Dem</t>
  </si>
  <si>
    <t>ВАЛОВАЯ ДОБАВЛ. СТОИМОСТЬ</t>
  </si>
  <si>
    <t>ИСП</t>
  </si>
  <si>
    <t>МОДИФИЦИРОВАННЫЙ ЭКСПОРТ</t>
  </si>
  <si>
    <t>а</t>
  </si>
  <si>
    <t>КУРС ДОЛЛАРА</t>
  </si>
  <si>
    <t>РУБ/$</t>
  </si>
  <si>
    <t>k$</t>
  </si>
  <si>
    <t xml:space="preserve">   с.г.</t>
  </si>
  <si>
    <t>h1t = YGt /RBJt</t>
  </si>
  <si>
    <t xml:space="preserve"> Прогн</t>
  </si>
  <si>
    <r>
      <t xml:space="preserve">   </t>
    </r>
    <r>
      <rPr>
        <sz val="14"/>
        <color theme="1"/>
        <rFont val="Arial"/>
        <family val="2"/>
        <charset val="204"/>
      </rPr>
      <t xml:space="preserve">  FS</t>
    </r>
  </si>
  <si>
    <r>
      <t xml:space="preserve">    </t>
    </r>
    <r>
      <rPr>
        <sz val="16"/>
        <color theme="1"/>
        <rFont val="Arial"/>
        <family val="2"/>
        <charset val="204"/>
      </rPr>
      <t xml:space="preserve">  L</t>
    </r>
  </si>
  <si>
    <r>
      <t xml:space="preserve">          </t>
    </r>
    <r>
      <rPr>
        <b/>
        <sz val="16"/>
        <color theme="1"/>
        <rFont val="Arial"/>
        <family val="2"/>
        <charset val="204"/>
      </rPr>
      <t>ЭКОНОМИКИ РОССИИ</t>
    </r>
  </si>
  <si>
    <t xml:space="preserve">          ПРОИЗВОДСТВЕННАЯ ФУНКЦИЯ</t>
  </si>
  <si>
    <t xml:space="preserve">      </t>
  </si>
  <si>
    <t xml:space="preserve"> МЛН ЧЕЛ</t>
  </si>
  <si>
    <t>МЛРД РУБ</t>
  </si>
  <si>
    <t xml:space="preserve"> ^WWPS</t>
  </si>
  <si>
    <r>
      <t xml:space="preserve">                          </t>
    </r>
    <r>
      <rPr>
        <sz val="16"/>
        <color theme="1"/>
        <rFont val="Arial"/>
        <family val="2"/>
        <charset val="204"/>
      </rPr>
      <t xml:space="preserve">  в ценах 1995 год</t>
    </r>
    <r>
      <rPr>
        <sz val="14"/>
        <color theme="1"/>
        <rFont val="Arial"/>
        <family val="2"/>
        <charset val="204"/>
      </rPr>
      <t>а</t>
    </r>
  </si>
  <si>
    <r>
      <t xml:space="preserve">             </t>
    </r>
    <r>
      <rPr>
        <sz val="16"/>
        <color theme="1"/>
        <rFont val="Arial"/>
        <family val="2"/>
        <charset val="204"/>
      </rPr>
      <t>ВВП и ОСНОВНЫЕ ФОНДЫ</t>
    </r>
  </si>
  <si>
    <t xml:space="preserve">          ФУНКЦИЯ  (типа Кобба-Дугласа)</t>
  </si>
  <si>
    <r>
      <t xml:space="preserve">    </t>
    </r>
    <r>
      <rPr>
        <sz val="14"/>
        <rFont val="Arial"/>
        <family val="2"/>
        <charset val="204"/>
      </rPr>
      <t xml:space="preserve">  fOS</t>
    </r>
  </si>
  <si>
    <t xml:space="preserve">   СЦЕН</t>
  </si>
  <si>
    <t xml:space="preserve">      r</t>
  </si>
  <si>
    <t>POS = XOS /  LZ</t>
  </si>
  <si>
    <t xml:space="preserve">    POk</t>
  </si>
  <si>
    <t xml:space="preserve">  б/р</t>
  </si>
  <si>
    <t>FA</t>
  </si>
  <si>
    <t>Российский статистический ежегодник. 2018: Стат.сб./ Росстат. - М., 2019 -694c. ISBN 978 - 5 - 89476 - 456 - 6</t>
  </si>
  <si>
    <t>11.</t>
  </si>
  <si>
    <t>20.</t>
  </si>
  <si>
    <t>21.</t>
  </si>
  <si>
    <t>22.</t>
  </si>
  <si>
    <t xml:space="preserve"> тренд2</t>
  </si>
  <si>
    <r>
      <t xml:space="preserve">   </t>
    </r>
    <r>
      <rPr>
        <sz val="16"/>
        <color theme="1"/>
        <rFont val="Arial"/>
        <family val="2"/>
        <charset val="204"/>
      </rPr>
      <t xml:space="preserve">  б/р</t>
    </r>
  </si>
  <si>
    <t>тренд3</t>
  </si>
  <si>
    <t xml:space="preserve">  PDH</t>
  </si>
  <si>
    <t>ТРЕНД</t>
  </si>
  <si>
    <t xml:space="preserve">    FA</t>
  </si>
  <si>
    <t xml:space="preserve"> INS</t>
  </si>
  <si>
    <t xml:space="preserve">   руб/$</t>
  </si>
  <si>
    <t>счёт</t>
  </si>
  <si>
    <t>kMZ</t>
  </si>
  <si>
    <t>трлн р</t>
  </si>
  <si>
    <t>СЦЕН 1</t>
  </si>
  <si>
    <t>СЦЕН 2</t>
  </si>
  <si>
    <t>Сцен 1</t>
  </si>
  <si>
    <t>Сцен 2</t>
  </si>
  <si>
    <t xml:space="preserve">     FA</t>
  </si>
  <si>
    <t xml:space="preserve">   FA</t>
  </si>
  <si>
    <t xml:space="preserve">   EXS</t>
  </si>
  <si>
    <t xml:space="preserve">   EX</t>
  </si>
  <si>
    <t xml:space="preserve">   DJB</t>
  </si>
  <si>
    <t xml:space="preserve"> Dem</t>
  </si>
  <si>
    <t xml:space="preserve">  RDH</t>
  </si>
  <si>
    <t xml:space="preserve">  pW</t>
  </si>
  <si>
    <t xml:space="preserve">    Pn</t>
  </si>
  <si>
    <t xml:space="preserve">  pYD</t>
  </si>
  <si>
    <t xml:space="preserve">  pYG</t>
  </si>
  <si>
    <t xml:space="preserve">  Pynk</t>
  </si>
  <si>
    <t xml:space="preserve">  pEXM</t>
  </si>
  <si>
    <t xml:space="preserve">    Pem</t>
  </si>
  <si>
    <t xml:space="preserve">  LZ</t>
  </si>
  <si>
    <t xml:space="preserve"> BZ</t>
  </si>
  <si>
    <t xml:space="preserve">    XOS</t>
  </si>
  <si>
    <t xml:space="preserve">    Pe</t>
  </si>
  <si>
    <t xml:space="preserve"> *XOS</t>
  </si>
  <si>
    <t xml:space="preserve">    FS</t>
  </si>
  <si>
    <t xml:space="preserve">  fOS</t>
  </si>
  <si>
    <t xml:space="preserve">  pOS</t>
  </si>
  <si>
    <t xml:space="preserve">  pIM</t>
  </si>
  <si>
    <t xml:space="preserve">    WWS</t>
  </si>
  <si>
    <t xml:space="preserve"> б/р</t>
  </si>
  <si>
    <t xml:space="preserve">   kS</t>
  </si>
  <si>
    <t xml:space="preserve">  IN</t>
  </si>
  <si>
    <t xml:space="preserve">  FA</t>
  </si>
  <si>
    <t xml:space="preserve">    Dww</t>
  </si>
  <si>
    <t xml:space="preserve">    Df</t>
  </si>
  <si>
    <t xml:space="preserve">  koZ</t>
  </si>
  <si>
    <t xml:space="preserve">      РАСЧЁТНЫЙ  АЛГОРИТМ  МОДЕЛИ  Р1-4 -0.(2020 -1)</t>
  </si>
  <si>
    <r>
      <t>FSt = 9,2931t</t>
    </r>
    <r>
      <rPr>
        <b/>
        <vertAlign val="superscript"/>
        <sz val="14"/>
        <color theme="1"/>
        <rFont val="Arial"/>
        <family val="2"/>
        <charset val="204"/>
      </rPr>
      <t>2</t>
    </r>
    <r>
      <rPr>
        <b/>
        <sz val="14"/>
        <color theme="1"/>
        <rFont val="Arial"/>
        <family val="2"/>
        <charset val="204"/>
      </rPr>
      <t xml:space="preserve"> - 73,126t + 5393,1</t>
    </r>
  </si>
  <si>
    <t>Kвыб = 0,5373*Кобн + 0,0135</t>
  </si>
  <si>
    <t>pFt = 1 + Kобнt *pFt - Kвыбt</t>
  </si>
  <si>
    <t>Кобн  = WWSt / FSt</t>
  </si>
  <si>
    <t>Kвыб = WBSt / FSt-1</t>
  </si>
  <si>
    <t>FSt / FSt-1 = 1 + (WWSt / FSt)*(FSt / FSt-1) - WBSt / FSt-1</t>
  </si>
  <si>
    <t>FSt = FSt-1 + WWSt - WBSt</t>
  </si>
  <si>
    <t>WBS</t>
  </si>
  <si>
    <t>WBS = 0,5435*WWS + 70,941</t>
  </si>
  <si>
    <t>FSt = FSt-1 + WWSt - 0,5435*WWS - 70,941</t>
  </si>
  <si>
    <t>WWSt*(1 - 0,5435) = FSt - FSt-1 + 70,941</t>
  </si>
  <si>
    <t xml:space="preserve">WWSt = (FSt - FSt-1 + 70,942) / (1 - 0,5435) </t>
  </si>
  <si>
    <t>WWSt = (FSt - FSt-1 + 70,942) / 0,457</t>
  </si>
  <si>
    <t xml:space="preserve">WWSt = 2,191*(FSt - FSt-1 + 70,942) </t>
  </si>
  <si>
    <t>БЛОК 1 - ОСНОВНЫ ФОНДЫ // ВВОДЫ // ИНВЕСТИЦИИ</t>
  </si>
  <si>
    <t>IN = 0,1458*WWP + 2379,9</t>
  </si>
  <si>
    <t>WWt =0,9558*(0,7*INt+0,2*INt-1 + 0,1*INt-2) -1632,2</t>
  </si>
  <si>
    <t>WW = WWS*Dww</t>
  </si>
  <si>
    <t>0,7*INt + 0,2*INt-1 + 0,1*INt-2 = (WWt + 1632,2) / 0,9558</t>
  </si>
  <si>
    <t>0,7*INt = (WWt + 1632,2) / 0,9559 - 0,2*INt-1 - 0,1*INt-2</t>
  </si>
  <si>
    <t>INt = [(WWt + 1632,2) / 0,9559 - 0,2*INt-1 - 0,1*INt-2] / 0,7</t>
  </si>
  <si>
    <t>Dww = 0,1975*IPC + 11,04</t>
  </si>
  <si>
    <t xml:space="preserve">WWP = IN + YD + YG + YNK + EX - IM + STR </t>
  </si>
  <si>
    <t>Dn = 1,6567*IPC - 7,0242</t>
  </si>
  <si>
    <t>INS = IN / Dn</t>
  </si>
  <si>
    <t xml:space="preserve">Dd = 1,2605*IPC - 0,4807 </t>
  </si>
  <si>
    <t>YD = 0,5229*WWP - 378,17</t>
  </si>
  <si>
    <t xml:space="preserve">YDS = YD / Dd </t>
  </si>
  <si>
    <t>YG = 0,1814*WWP - 46,215</t>
  </si>
  <si>
    <t xml:space="preserve">Dg = 2,7818*IPC - 8,4488  </t>
  </si>
  <si>
    <t>Pnkt = Pnkt-1 * pYNKt</t>
  </si>
  <si>
    <t>pYNKt = 0,0061*t - 11,355</t>
  </si>
  <si>
    <t xml:space="preserve">YNKSt = YNKo * Pnkt </t>
  </si>
  <si>
    <t>YNKt = Dnkt*YNKSt</t>
  </si>
  <si>
    <t>Demt = 0,0265t2 + 0,6278t + 0,9441</t>
  </si>
  <si>
    <t>Pem = экспертный прогноз</t>
  </si>
  <si>
    <t>EXM = EXMo*Dem*Pem</t>
  </si>
  <si>
    <t xml:space="preserve">  XOS</t>
  </si>
  <si>
    <t>qIM = экспертный прогноз</t>
  </si>
  <si>
    <t>IMS = qIM*XOS</t>
  </si>
  <si>
    <t>FA = 0,25*WK+0,75*IPC</t>
  </si>
  <si>
    <t xml:space="preserve">Dm = 0,6044*FA-2,3458 </t>
  </si>
  <si>
    <t>IM = Dm*IMS</t>
  </si>
  <si>
    <t xml:space="preserve">WWPS = INS + YDS + YGS + YNKS + EXS - IMS </t>
  </si>
  <si>
    <t>Dw = WWP /  WWPS</t>
  </si>
  <si>
    <t xml:space="preserve">БЛОК 3 - ВВП // выпуск // промежуточное потребление // </t>
  </si>
  <si>
    <t>CN1 = n1*XO</t>
  </si>
  <si>
    <t>CN2 = n2*(XO+IM)</t>
  </si>
  <si>
    <t>X = WWP*(1-a)</t>
  </si>
  <si>
    <t>aS = экспертный прогноз</t>
  </si>
  <si>
    <t>WWP = X-Z</t>
  </si>
  <si>
    <t>WWPS = XS*(1 - aS)</t>
  </si>
  <si>
    <t>a = aS*Dz / Dx</t>
  </si>
  <si>
    <t>YD = 0,9446*DH - 4657</t>
  </si>
  <si>
    <t>M2 = 0,4832*WWP - 7,2803</t>
  </si>
  <si>
    <t>DBJ = -6E-06*EXM2 + 1,22*EXM - 888,87</t>
  </si>
  <si>
    <t xml:space="preserve"> qIM</t>
  </si>
  <si>
    <t xml:space="preserve">РOх = 1,0318*Рw -0,0328 </t>
  </si>
  <si>
    <t>XS = WWPS / (1 - aS)</t>
  </si>
  <si>
    <t>ZS = aS*XS</t>
  </si>
  <si>
    <t>XOS = PO*XOo</t>
  </si>
  <si>
    <t>XO + IM + CN1 = Z + Y + IN + EX + STR</t>
  </si>
  <si>
    <t>XO + CN1 = Z + Y + IN + EX - IM + STR</t>
  </si>
  <si>
    <t>XO + CN1 = Z + WWP</t>
  </si>
  <si>
    <t xml:space="preserve">  Dw</t>
  </si>
  <si>
    <t>X = WWP + Z</t>
  </si>
  <si>
    <t>X = XO+CN1 = XO*(1+n1)</t>
  </si>
  <si>
    <t>n1 = экспертный прогноз</t>
  </si>
  <si>
    <t>XO = X / (1+n1)</t>
  </si>
  <si>
    <t xml:space="preserve">БЛОК 4 -  // выпуск // промежуточное потребление // </t>
  </si>
  <si>
    <t>БЛОК 2 - ВВП // КП ДХ // КП ГОС // КП НКО // Экспорт // Импорт</t>
  </si>
  <si>
    <t xml:space="preserve">БЛОК 4 - ДОХОДы //бюджет //население //оплата труда// </t>
  </si>
  <si>
    <t>LZ =0,0071*WWPS + 52,535</t>
  </si>
  <si>
    <t>А = численность эк активного населения</t>
  </si>
  <si>
    <t>BZ = A - LZ</t>
  </si>
  <si>
    <t>DH = 0,1909*WWP + 37701</t>
  </si>
  <si>
    <t>IPC = экспертный прогноз</t>
  </si>
  <si>
    <t>RDH = DH / IPC</t>
  </si>
  <si>
    <t>PDH = -0,2007*WWP + 30064</t>
  </si>
  <si>
    <t>Dz = 0,894*Dx +0,0401</t>
  </si>
  <si>
    <t>Xf = 0,25*WK + 0,75*M2</t>
  </si>
  <si>
    <t>n2 = экспертный прогноз</t>
  </si>
  <si>
    <t>WPR = WWP - OT - CN2 = XO - Z - OT - CN2 +CN1</t>
  </si>
  <si>
    <t xml:space="preserve">    RC</t>
  </si>
  <si>
    <r>
      <t xml:space="preserve"> </t>
    </r>
    <r>
      <rPr>
        <sz val="14"/>
        <rFont val="Arial"/>
        <family val="2"/>
        <charset val="204"/>
      </rPr>
      <t xml:space="preserve"> прогн</t>
    </r>
  </si>
  <si>
    <t xml:space="preserve">    LZ</t>
  </si>
  <si>
    <t xml:space="preserve">   BZ</t>
  </si>
  <si>
    <t>УДК 31:331(470) ББК 65.051.5(2Рос) Р13</t>
  </si>
  <si>
    <t>Рабочая сила, занятость и безработица в России (по результатам выборочных обследований рабочей силы). 2018: Стат.сб./Росстат.  M., 2018.  142 c. ISBN 978-5-89476-451-1</t>
  </si>
  <si>
    <t xml:space="preserve">   RC</t>
  </si>
  <si>
    <t xml:space="preserve">   ^N</t>
  </si>
  <si>
    <t>RC</t>
  </si>
  <si>
    <t>регрессия денежной массы М2 от WWP</t>
  </si>
  <si>
    <t>рабочая сила = dA*N</t>
  </si>
  <si>
    <t>Dww = 0,1975*IPC +11,04</t>
  </si>
  <si>
    <t>Df = 1,1042*IPC - 0,3884</t>
  </si>
  <si>
    <t>YD = 0,8584*DH - 814,01</t>
  </si>
  <si>
    <t>регрессия КП ДХ от доходов населения</t>
  </si>
  <si>
    <t>регрессия доходов Конс Бюдж от ВВП</t>
  </si>
  <si>
    <t>регрессия КП ДХ от ВВП</t>
  </si>
  <si>
    <t>фактор дефлятора импорта</t>
  </si>
  <si>
    <t>регрессия  денежн дох населения от WWP</t>
  </si>
  <si>
    <t>регрессия оплаты труда от WWP</t>
  </si>
  <si>
    <t>WWt = 0,9558*( 0,7*INt + 0,2*INt-1 + 0,1*INt-2 ) - 1632,2</t>
  </si>
  <si>
    <t>регрессия вводов ОФ от инвестиций в ОК</t>
  </si>
  <si>
    <t>ОТ = 0,3889*WWP + 7900,7</t>
  </si>
  <si>
    <t>M2 = 0,4832*WWP - 7280,3</t>
  </si>
  <si>
    <t>FSt</t>
  </si>
  <si>
    <t>FSt = FSt-1 +WWSt - WBt</t>
  </si>
  <si>
    <t>регрессия выбытия от вводов ОФ в СЦ</t>
  </si>
  <si>
    <t>WBSt = 0,5435*WWSt +70,941</t>
  </si>
  <si>
    <t>зависимость от ОФ</t>
  </si>
  <si>
    <t>WWS = 2,191*(FSt - FSt-1 +70,942)</t>
  </si>
  <si>
    <t>FSt = 9,2931*t*t - 73,126*t + 5393,1</t>
  </si>
  <si>
    <t>оценка вводов ОФ</t>
  </si>
  <si>
    <t>WWt = WWSt*Dwwt</t>
  </si>
  <si>
    <t>оценка инвестиций в СЦ</t>
  </si>
  <si>
    <t>базисный темп затрат НКО</t>
  </si>
  <si>
    <t>экспертный прогноз</t>
  </si>
  <si>
    <t>базисный дефлятор пром потребления</t>
  </si>
  <si>
    <t>прогноз РОССТАТА</t>
  </si>
  <si>
    <t>RC = dA*N</t>
  </si>
  <si>
    <t>PDH = - 0,2007*WWP + 30064</t>
  </si>
  <si>
    <t>Dnk = 1,0711*IPC + 4</t>
  </si>
  <si>
    <t xml:space="preserve">  FS</t>
  </si>
  <si>
    <t>максимальная фондоотдача по выпуску</t>
  </si>
  <si>
    <t>OT = 0,3889*WWP + 7900,7</t>
  </si>
  <si>
    <t>вводы ОФ в СЦ 1995 г.</t>
  </si>
  <si>
    <t xml:space="preserve">Отчёт / Dww = 0,1975*IPC+11,04 </t>
  </si>
  <si>
    <t>INS = Dn/INS</t>
  </si>
  <si>
    <t>базисный дефлятор инвестиций</t>
  </si>
  <si>
    <t>базисный дефлятор ДХ</t>
  </si>
  <si>
    <t>конечное потребление ДХ</t>
  </si>
  <si>
    <t>конечное потребление ДХ в СЦ 1995 г.</t>
  </si>
  <si>
    <t>конечное потребление ГОС</t>
  </si>
  <si>
    <t xml:space="preserve">конечное потребление ГОС в СЦ </t>
  </si>
  <si>
    <t>годовой темп НКО</t>
  </si>
  <si>
    <t>базисный темп конечного потребления НКО</t>
  </si>
  <si>
    <t>конечное потребление НКО в СЦ</t>
  </si>
  <si>
    <t xml:space="preserve">конечное потребление НКО </t>
  </si>
  <si>
    <t>YDS = YD / Dd</t>
  </si>
  <si>
    <t>0,1814*WWP - 46,215</t>
  </si>
  <si>
    <t xml:space="preserve">YNKS = YNKo*Pnk  </t>
  </si>
  <si>
    <t>YNK = Dnk*YNKS</t>
  </si>
  <si>
    <t>EXM =EXMo*Dem*Ptm</t>
  </si>
  <si>
    <t>FA = 0,25*WK + 0,75*IPC</t>
  </si>
  <si>
    <t>WWP = IN+YD+YG+YNK+EX-IM+STR</t>
  </si>
  <si>
    <t>Pw =WWPS / WWPo</t>
  </si>
  <si>
    <t xml:space="preserve">экспорт модифицированный </t>
  </si>
  <si>
    <t>импорт в СЦ</t>
  </si>
  <si>
    <t>валовый внутренний продукт</t>
  </si>
  <si>
    <t>базисный темп ВВП</t>
  </si>
  <si>
    <t>базисный дефлятор ВВП</t>
  </si>
  <si>
    <t>M2</t>
  </si>
  <si>
    <t>RDH</t>
  </si>
  <si>
    <t>Отчёт /  XS = WWS / (1-aS)</t>
  </si>
  <si>
    <t>Отчёт /  Px = XS / Xo</t>
  </si>
  <si>
    <t>Отчёт /  XOS = Px*XOo</t>
  </si>
  <si>
    <t>Отчёт / ZS = aS*XS</t>
  </si>
  <si>
    <t>Отчёт /  Z = Dz*ZS</t>
  </si>
  <si>
    <t>Отчёт /  X = WWP + Z</t>
  </si>
  <si>
    <t>Отчёт /  XO =X / (1+n1)</t>
  </si>
  <si>
    <t>Отчёт /  Dx = X / XS</t>
  </si>
  <si>
    <t>Отчёт /  DOx = XO / XOS</t>
  </si>
  <si>
    <t>Отчёт /  a = aS*Dz / Dx</t>
  </si>
  <si>
    <t>Отчёт /  BZ = RS - LZ</t>
  </si>
  <si>
    <t>CN2 = n2*(XO + IM)</t>
  </si>
  <si>
    <t>WPR = WWP - OT - CN2</t>
  </si>
  <si>
    <t>Yg = 0,1814*WWP - 46,215</t>
  </si>
  <si>
    <t>YNKS = YNKo*Pnk</t>
  </si>
  <si>
    <t>Отчёт /  YNK = YNKS* Dnk</t>
  </si>
  <si>
    <t>Отчёт /  IMS = qIM*XOS</t>
  </si>
  <si>
    <t>Отчёт /  FA= 0,25*WK + 0,75*IPC</t>
  </si>
  <si>
    <t xml:space="preserve">Отчёт /  IM = Dm*IMS </t>
  </si>
  <si>
    <t>WWP = IN+YD+YG+YNK+EX-IM + STR</t>
  </si>
  <si>
    <t xml:space="preserve">WWPS = INS+YDS+YGS+YNKS+EXS-IMS </t>
  </si>
  <si>
    <t>Отчёт /  WWPS / WWPo</t>
  </si>
  <si>
    <t>Отчёт /  WWP / WWPS</t>
  </si>
  <si>
    <t>выпуск в СЦ</t>
  </si>
  <si>
    <t>базисный темп выпуска</t>
  </si>
  <si>
    <t>выпуск в основных СЦ</t>
  </si>
  <si>
    <t>промежуточное потребление в СЦ</t>
  </si>
  <si>
    <t>базисный дефлятор промежуточного потребления</t>
  </si>
  <si>
    <t>промежуточное поребление</t>
  </si>
  <si>
    <t>выпуск в рыночных ценах</t>
  </si>
  <si>
    <t>выпуск в основных ценах</t>
  </si>
  <si>
    <t>базисный дефлятор выпуска</t>
  </si>
  <si>
    <t>базисный дефлятор выпуска в основных ценах</t>
  </si>
  <si>
    <t>коэффициент промежуточного потребления</t>
  </si>
  <si>
    <t>доходы консолидированного бюджета</t>
  </si>
  <si>
    <t>денежная масса М2</t>
  </si>
  <si>
    <t>численность занятых</t>
  </si>
  <si>
    <t>реальные доходы населения</t>
  </si>
  <si>
    <t>оплата труда занятых</t>
  </si>
  <si>
    <t>денежные доходы населения (контроль)</t>
  </si>
  <si>
    <t>валовая прибыль экономики</t>
  </si>
  <si>
    <t>валовая добавленная стоимость экономики</t>
  </si>
  <si>
    <t>динамика ОФ в СЦ</t>
  </si>
  <si>
    <t>^WWS</t>
  </si>
  <si>
    <t>^Dww</t>
  </si>
  <si>
    <t>Таблица 1. Сценарии прогноза социально-экономического развития</t>
  </si>
  <si>
    <t>к соотв. периоду предыдущего года 2018 2019 2020 2021 2022 2023 2024</t>
  </si>
  <si>
    <t>Цена на нефть марки «Юралс» (мировые), долларов США за баррель</t>
  </si>
  <si>
    <t>базовый 70,0 62,2 57,0 56,0 55,0 54,0 53,0</t>
  </si>
  <si>
    <t>целевой 70,0 62,2 57,0 56,0 55,0 54,0 53,0</t>
  </si>
  <si>
    <t>консервативный 70,0 62,2 42,5 43,3 44,2 45,0 45,9</t>
  </si>
  <si>
    <t>Курс доллара среднегодовой, рублей за доллар США</t>
  </si>
  <si>
    <t>базовый 62,5 65,4 65,7 66,1 66,5 66,9 67,4</t>
  </si>
  <si>
    <t>целевой 62,5 65,4 65,1 65,4 65,9 66,2 66,7</t>
  </si>
  <si>
    <t>консервативный 62,5 65,4 68,7 69,3 69,8 70,1 70,5</t>
  </si>
  <si>
    <t>Индекс потребительских цен на конец года, в % к декабрю</t>
  </si>
  <si>
    <t>базовый 4,3 3,8 3,0 4,0 4,0 4,0 4,0</t>
  </si>
  <si>
    <t>целевой 4,3 3,8 4,0 4,0 4,0 4,0 4,0</t>
  </si>
  <si>
    <t>консервативный 4,3 3,8 3,2 4,0 4,0 4,0 4,0</t>
  </si>
  <si>
    <t>Валовой внутренний продукт, %</t>
  </si>
  <si>
    <t>базовый 2,3 1,3 1,7 3,1 3,2 3,3 3,3</t>
  </si>
  <si>
    <t>целевой 2,3 1,3 2,0 3,1 3,2 3,3 3,3</t>
  </si>
  <si>
    <t>консервативный 2,3 1,3 1,1 1,9 2,3 2,5 2,5</t>
  </si>
  <si>
    <t>Инвестиции в основной капитал, %</t>
  </si>
  <si>
    <t>базовый 4,3 2,0 5,0 6,5 5,8 5,6 5,3</t>
  </si>
  <si>
    <t>целевой 4,3 2,0 5,8 6,5 5,8 5,6 5,3</t>
  </si>
  <si>
    <t>консервативный 4,3 2,0 3,6 3,4 3,1 3,4 3,8</t>
  </si>
  <si>
    <t>Промышленность, %</t>
  </si>
  <si>
    <t>базовый 2,9 2,3 2,4 2,6 2,9 3,0 3,1</t>
  </si>
  <si>
    <t>целевой 2,9 2,3 2,8 2,8 3,0 3,2 3,3</t>
  </si>
  <si>
    <t>консервативный 2,9 2,3 1,7 1,8 2,0 2,2 2,2</t>
  </si>
  <si>
    <t>Реальные располагаемые доходы населения, %</t>
  </si>
  <si>
    <t>базовый 0,1 0,1 1,5 2,2 2,3 2,3 2,4</t>
  </si>
  <si>
    <t>целевой 0,1 0,1 1,5 2,2 2,3 2,3 2,4</t>
  </si>
  <si>
    <t>консервативный 0,1 0,1 1,1 1,4 1,7 1,7 1,9</t>
  </si>
  <si>
    <t>Реальная заработная плата, %</t>
  </si>
  <si>
    <t>базовый 8,5 1,5 2,3 2,3 2,5 2,5 2,6</t>
  </si>
  <si>
    <t>целевой 8,5 1,5 2,5 2,4 2,5 2,5 2,6</t>
  </si>
  <si>
    <t>консервативный 8,5 1,5 1,8 1,4 1,9 2,0 2,1</t>
  </si>
  <si>
    <t>Оборот розничной торговли, %</t>
  </si>
  <si>
    <t>базовый 2,8 1,3 0,6 2,2 2,5 2,6 2,7</t>
  </si>
  <si>
    <t>целевой 2,8 1,3 1,1 2,2 2,5 2,6 2,7</t>
  </si>
  <si>
    <t>консервативный 2,8 1,3 0,5 1,4 1,9 2,1 2,3</t>
  </si>
  <si>
    <t>Экспорт товаров, млрд долларов США</t>
  </si>
  <si>
    <t>базовый 443,1 406,8 405,7 426,2 447,7 478,2 515,6</t>
  </si>
  <si>
    <t>целевой 443,1 406,8 424,7 441,2 458,9 484,5 515,6</t>
  </si>
  <si>
    <t>консервативный 443,1 406,8 337,7 354,8 374,9 396,6 424,2</t>
  </si>
  <si>
    <t>Импорт товаров, млрд долл. США</t>
  </si>
  <si>
    <t>базовый 248,7 247,7 259,2 276,0 296,0 318,1 343,9</t>
  </si>
  <si>
    <t>целевой 248,7 247,7 260,7 278,2 299,1 321,8 348,6</t>
  </si>
  <si>
    <t xml:space="preserve">консервативный 248,7 247,7 246,9 261,3 278,7 299,8 324,6 </t>
  </si>
  <si>
    <t xml:space="preserve">Министерство экономического развития Российской Федерации </t>
  </si>
  <si>
    <t>Прогноз социально-экономического развития Российской Федерации на период до 2024 года.....</t>
  </si>
  <si>
    <t>консерв 2,3 1,3 1,1 1,9 2,3 2,5 2,5</t>
  </si>
  <si>
    <t>IN = 0,1331*WWP + 3765,2</t>
  </si>
  <si>
    <t>27,04,2020</t>
  </si>
  <si>
    <t>регрессия инвестиций от ВВП</t>
  </si>
  <si>
    <t>МИНЭКОНОМИКИ</t>
  </si>
  <si>
    <t xml:space="preserve">   qIM*10</t>
  </si>
  <si>
    <t>доля имп на вн рынке в СЦ</t>
  </si>
  <si>
    <t>RS</t>
  </si>
  <si>
    <t>FOS</t>
  </si>
  <si>
    <t>FOS = FS / XOS</t>
  </si>
  <si>
    <t>^FSt</t>
  </si>
  <si>
    <t xml:space="preserve">    ^FS</t>
  </si>
  <si>
    <t>FA = 0,7*INt + 0,2*INt-1 + 0,1*INt-2</t>
  </si>
  <si>
    <t>WWt = 0,9558*FA - 1632,2</t>
  </si>
  <si>
    <t>фактор вводов</t>
  </si>
  <si>
    <t>WWS = WW / Dww</t>
  </si>
  <si>
    <t xml:space="preserve">  IN = 0,1331*WWP + 3765,2</t>
  </si>
  <si>
    <t>вводы ОФ в текущих ценах</t>
  </si>
  <si>
    <t>WBS = 0,545*WWS+ 75,668</t>
  </si>
  <si>
    <t>выбытие ОФ в СЦ 1995 г.</t>
  </si>
  <si>
    <t>динамика ОФ в текущих рыночных ценах</t>
  </si>
  <si>
    <t>регрессия базисного дефлятора ОФ</t>
  </si>
  <si>
    <t>FSt = FSt-1 + WWSt - WBt</t>
  </si>
  <si>
    <t xml:space="preserve">Dz = 0,888*Dw -3,038 </t>
  </si>
  <si>
    <r>
      <t xml:space="preserve">                       </t>
    </r>
    <r>
      <rPr>
        <sz val="11"/>
        <rFont val="Arial Unicode MS"/>
        <family val="2"/>
        <charset val="204"/>
      </rPr>
      <t>ДИСПЕТЧЕР МОДЕЛИ Р1-4-0(2020 - 1)</t>
    </r>
  </si>
  <si>
    <t xml:space="preserve">  версия модели  21.05.2020</t>
  </si>
  <si>
    <t xml:space="preserve"> версия отчётности    Росстат - М, 2019</t>
  </si>
  <si>
    <t xml:space="preserve">  базисный год    1995 </t>
  </si>
  <si>
    <t xml:space="preserve">  диапазон отчётности  1995 - 2018</t>
  </si>
  <si>
    <t xml:space="preserve">  диапазон прогноза   2019 - 2035 гг</t>
  </si>
  <si>
    <t xml:space="preserve">  текущий сценарий   N 1</t>
  </si>
  <si>
    <t>N раздела</t>
  </si>
  <si>
    <t xml:space="preserve"> состоян</t>
  </si>
  <si>
    <t xml:space="preserve">   текстовое описание модели</t>
  </si>
  <si>
    <t xml:space="preserve">   настройка модели</t>
  </si>
  <si>
    <t xml:space="preserve">   фундаментальные характеристики экономики</t>
  </si>
  <si>
    <t xml:space="preserve">   архив сценариев исходных данных опорной траектории</t>
  </si>
  <si>
    <t xml:space="preserve">   архив сценариев исходных данных возмущённой траектории</t>
  </si>
  <si>
    <t xml:space="preserve">   контроль счёта</t>
  </si>
  <si>
    <t xml:space="preserve">   архив опорных траекторий</t>
  </si>
  <si>
    <t xml:space="preserve">   архив возмущённых траекторий</t>
  </si>
  <si>
    <t xml:space="preserve">   архив разности опорных и возмущённых траекторий </t>
  </si>
  <si>
    <t xml:space="preserve">   архив текстовых отчётов</t>
  </si>
  <si>
    <t xml:space="preserve">   выход</t>
  </si>
  <si>
    <t>**</t>
  </si>
  <si>
    <t xml:space="preserve">   отчётные показатели экономики России</t>
  </si>
  <si>
    <t>Dz = 0,888*Dw - 3,038</t>
  </si>
  <si>
    <t xml:space="preserve">баз дефлятор модифиц экспорта </t>
  </si>
  <si>
    <r>
      <t>Dеm = 0,0265*IPC</t>
    </r>
    <r>
      <rPr>
        <vertAlign val="superscript"/>
        <sz val="16"/>
        <color theme="1"/>
        <rFont val="Calibri"/>
        <family val="2"/>
        <charset val="204"/>
        <scheme val="minor"/>
      </rPr>
      <t>2</t>
    </r>
    <r>
      <rPr>
        <sz val="11"/>
        <color theme="1"/>
        <rFont val="Calibri"/>
        <family val="2"/>
        <charset val="204"/>
        <scheme val="minor"/>
      </rPr>
      <t xml:space="preserve"> + </t>
    </r>
    <r>
      <rPr>
        <sz val="14"/>
        <color theme="1"/>
        <rFont val="Arial"/>
        <family val="2"/>
        <charset val="204"/>
      </rPr>
      <t>0,6278*IPC + 0,9441</t>
    </r>
  </si>
  <si>
    <t>баз дефлятор мод экспорта</t>
  </si>
  <si>
    <t>числен населения России</t>
  </si>
  <si>
    <t>доля рабочей силы</t>
  </si>
  <si>
    <t>стат расхождение</t>
  </si>
  <si>
    <t xml:space="preserve">коэфф пром потребл в СЦ </t>
  </si>
  <si>
    <t>баз индекс потреб цен (д/д)</t>
  </si>
  <si>
    <t>индекс потреб цен (д/д)</t>
  </si>
  <si>
    <t xml:space="preserve">баз дефлятор инвестиций </t>
  </si>
  <si>
    <t>баз дефлятор вводов ОФ</t>
  </si>
  <si>
    <t xml:space="preserve">коэфф чист налогов на прод </t>
  </si>
  <si>
    <t>коэфф чист нал на произв и</t>
  </si>
  <si>
    <t>Решение системы  уравнений</t>
  </si>
  <si>
    <t>Отчёт /  Dz = 0,888*Dw - 3,038</t>
  </si>
  <si>
    <t>054.07.2020</t>
  </si>
  <si>
    <t>qEXM</t>
  </si>
  <si>
    <t>qEXMS</t>
  </si>
  <si>
    <t>экспорт модифицированный в СЦ</t>
  </si>
  <si>
    <t>Отчёт /  EXMS = qEXM*XOS</t>
  </si>
  <si>
    <t>Отчёт /  EXM = Dem*EXMS</t>
  </si>
  <si>
    <t>доля мод экспорта в XOS</t>
  </si>
  <si>
    <t xml:space="preserve">Dd = 0,026*+0,627*IPC + 0,945 </t>
  </si>
  <si>
    <t xml:space="preserve"> Pem</t>
  </si>
  <si>
    <t xml:space="preserve"> qINS</t>
  </si>
  <si>
    <t xml:space="preserve"> POx</t>
  </si>
  <si>
    <t>базисный темп мод экспорта</t>
  </si>
  <si>
    <t>базисный темп КП НКО</t>
  </si>
  <si>
    <t>INS = 0,156*XOS - 299,7</t>
  </si>
  <si>
    <t xml:space="preserve">  Dg</t>
  </si>
  <si>
    <t>CN</t>
  </si>
  <si>
    <t xml:space="preserve"> Dme</t>
  </si>
  <si>
    <t xml:space="preserve">                                                                                                                                                                     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</si>
</sst>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64" formatCode="0.0"/>
    <numFmt numFmtId="165" formatCode="0.000"/>
    <numFmt numFmtId="166" formatCode="0.0000"/>
    <numFmt numFmtId="167" formatCode="0.00000"/>
    <numFmt numFmtId="168" formatCode="#,##0.0"/>
    <numFmt numFmtId="169" formatCode="_-* #,##0&quot;р.&quot;_-;\-* #,##0&quot;р.&quot;_-;_-* &quot;-&quot;&quot;р.&quot;_-;_-@_-"/>
    <numFmt numFmtId="170" formatCode="_-* #,##0_р_._-;\-* #,##0_р_._-;_-* &quot;-&quot;_р_._-;_-@_-"/>
    <numFmt numFmtId="171" formatCode="_-* #,##0.00&quot;р.&quot;_-;\-* #,##0.00&quot;р.&quot;_-;_-* &quot;-&quot;??&quot;р.&quot;_-;_-@_-"/>
    <numFmt numFmtId="172" formatCode="_-* #,##0.00_р_._-;\-* #,##0.00_р_._-;_-* &quot;-&quot;??_р_._-;_-@_-"/>
  </numFmts>
  <fonts count="151">
    <font>
      <sz val="11"/>
      <color theme="1"/>
      <name val="Calibri"/>
      <family val="2"/>
      <charset val="204"/>
      <scheme val="minor"/>
    </font>
    <font>
      <sz val="16"/>
      <name val="Arial"/>
      <family val="2"/>
      <charset val="204"/>
    </font>
    <font>
      <sz val="12"/>
      <name val="Arial"/>
      <family val="2"/>
      <charset val="204"/>
    </font>
    <font>
      <sz val="10"/>
      <name val="Arial"/>
      <family val="2"/>
      <charset val="204"/>
    </font>
    <font>
      <sz val="14"/>
      <name val="Arial"/>
      <family val="2"/>
    </font>
    <font>
      <sz val="12"/>
      <name val="Arial"/>
      <family val="2"/>
    </font>
    <font>
      <sz val="11"/>
      <name val="Arial"/>
      <family val="2"/>
      <charset val="204"/>
    </font>
    <font>
      <sz val="10"/>
      <name val="Arial"/>
      <family val="2"/>
    </font>
    <font>
      <sz val="11"/>
      <name val="Arial"/>
      <family val="2"/>
      <charset val="204"/>
    </font>
    <font>
      <sz val="12"/>
      <name val="Arial"/>
      <family val="2"/>
      <charset val="204"/>
    </font>
    <font>
      <sz val="11"/>
      <name val="Times New Roman"/>
      <family val="1"/>
      <charset val="204"/>
    </font>
    <font>
      <sz val="12"/>
      <name val="Times New Roman"/>
      <family val="1"/>
      <charset val="204"/>
    </font>
    <font>
      <sz val="9"/>
      <name val="Arial"/>
      <family val="2"/>
    </font>
    <font>
      <sz val="9"/>
      <name val="Arial"/>
      <family val="2"/>
      <charset val="204"/>
    </font>
    <font>
      <sz val="14"/>
      <name val="Arial"/>
      <family val="2"/>
      <charset val="204"/>
    </font>
    <font>
      <sz val="14"/>
      <name val="Arial"/>
      <family val="2"/>
      <charset val="204"/>
    </font>
    <font>
      <sz val="8"/>
      <name val="Arial"/>
      <family val="2"/>
    </font>
    <font>
      <i/>
      <sz val="11"/>
      <name val="Times New Roman"/>
      <family val="1"/>
      <charset val="204"/>
    </font>
    <font>
      <b/>
      <sz val="11"/>
      <name val="Times New Roman"/>
      <family val="1"/>
      <charset val="204"/>
    </font>
    <font>
      <sz val="14"/>
      <name val="Calibri"/>
      <family val="2"/>
      <charset val="204"/>
    </font>
    <font>
      <sz val="11"/>
      <color indexed="8"/>
      <name val="Calibri"/>
      <family val="2"/>
      <charset val="204"/>
    </font>
    <font>
      <sz val="16"/>
      <name val="Calibri"/>
      <family val="2"/>
      <charset val="204"/>
    </font>
    <font>
      <sz val="12"/>
      <color indexed="8"/>
      <name val="Calibri"/>
      <family val="2"/>
      <charset val="204"/>
    </font>
    <font>
      <b/>
      <sz val="12"/>
      <name val="Arial"/>
      <family val="2"/>
      <charset val="204"/>
    </font>
    <font>
      <vertAlign val="superscript"/>
      <sz val="12"/>
      <name val="Arial"/>
      <family val="2"/>
      <charset val="204"/>
    </font>
    <font>
      <sz val="12"/>
      <name val="Arial Cyr"/>
      <charset val="204"/>
    </font>
    <font>
      <sz val="9"/>
      <name val="Arial Cyr"/>
      <charset val="204"/>
    </font>
    <font>
      <vertAlign val="superscript"/>
      <sz val="12"/>
      <name val="Arial Cyr"/>
      <charset val="204"/>
    </font>
    <font>
      <vertAlign val="superscript"/>
      <sz val="9"/>
      <name val="Arial Cyr"/>
      <charset val="204"/>
    </font>
    <font>
      <sz val="12"/>
      <name val="Arial Cyr"/>
      <family val="2"/>
      <charset val="204"/>
    </font>
    <font>
      <sz val="14"/>
      <color indexed="8"/>
      <name val="Calibri"/>
      <family val="2"/>
      <charset val="204"/>
    </font>
    <font>
      <sz val="12"/>
      <color indexed="8"/>
      <name val="Calibri"/>
      <family val="2"/>
      <charset val="204"/>
    </font>
    <font>
      <sz val="12"/>
      <name val="Calibri"/>
      <family val="2"/>
      <charset val="204"/>
    </font>
    <font>
      <sz val="12"/>
      <color indexed="8"/>
      <name val="Arial"/>
      <family val="2"/>
      <charset val="204"/>
    </font>
    <font>
      <sz val="14"/>
      <color indexed="8"/>
      <name val="Arial"/>
      <family val="2"/>
      <charset val="204"/>
    </font>
    <font>
      <sz val="11"/>
      <color indexed="8"/>
      <name val="Times New Roman"/>
      <family val="1"/>
      <charset val="204"/>
    </font>
    <font>
      <sz val="10"/>
      <color indexed="8"/>
      <name val="Calibri"/>
      <family val="2"/>
    </font>
    <font>
      <sz val="12"/>
      <color indexed="8"/>
      <name val="Calibri"/>
      <family val="2"/>
    </font>
    <font>
      <sz val="16"/>
      <color indexed="8"/>
      <name val="Calibri"/>
      <family val="2"/>
    </font>
    <font>
      <sz val="14"/>
      <color indexed="8"/>
      <name val="Calibri"/>
      <family val="2"/>
    </font>
    <font>
      <sz val="12"/>
      <color indexed="8"/>
      <name val="Calibri"/>
      <family val="2"/>
    </font>
    <font>
      <sz val="9"/>
      <color indexed="8"/>
      <name val="Calibri"/>
      <family val="2"/>
    </font>
    <font>
      <sz val="16"/>
      <color indexed="8"/>
      <name val="Calibri"/>
      <family val="2"/>
      <charset val="204"/>
    </font>
    <font>
      <sz val="16"/>
      <color indexed="8"/>
      <name val="Times New Roman"/>
      <family val="1"/>
      <charset val="204"/>
    </font>
    <font>
      <sz val="18"/>
      <color indexed="8"/>
      <name val="Times New Roman"/>
      <family val="1"/>
      <charset val="204"/>
    </font>
    <font>
      <sz val="14"/>
      <color indexed="8"/>
      <name val="Times New Roman"/>
      <family val="1"/>
      <charset val="204"/>
    </font>
    <font>
      <sz val="8"/>
      <name val="Calibri"/>
      <family val="2"/>
      <charset val="204"/>
    </font>
    <font>
      <sz val="14"/>
      <name val="Times New Roman"/>
      <family val="1"/>
      <charset val="204"/>
    </font>
    <font>
      <sz val="12"/>
      <color indexed="8"/>
      <name val="Times New Roman"/>
      <family val="1"/>
      <charset val="204"/>
    </font>
    <font>
      <sz val="10"/>
      <color indexed="8"/>
      <name val="Arial"/>
      <family val="2"/>
      <charset val="204"/>
    </font>
    <font>
      <sz val="10"/>
      <color indexed="8"/>
      <name val="Times New Roman"/>
      <family val="1"/>
      <charset val="204"/>
    </font>
    <font>
      <sz val="12"/>
      <color indexed="8"/>
      <name val="Arial"/>
      <family val="2"/>
      <charset val="204"/>
    </font>
    <font>
      <sz val="16"/>
      <name val="Arial"/>
      <family val="2"/>
    </font>
    <font>
      <b/>
      <sz val="12"/>
      <name val="Arial"/>
      <family val="2"/>
    </font>
    <font>
      <b/>
      <sz val="14"/>
      <name val="Arial"/>
      <family val="2"/>
    </font>
    <font>
      <sz val="7"/>
      <name val="Arial"/>
      <family val="2"/>
    </font>
    <font>
      <b/>
      <sz val="11"/>
      <name val="Arial"/>
      <family val="2"/>
      <charset val="204"/>
    </font>
    <font>
      <vertAlign val="superscript"/>
      <sz val="11"/>
      <name val="Arial"/>
      <family val="2"/>
      <charset val="204"/>
    </font>
    <font>
      <b/>
      <sz val="10"/>
      <name val="Arial"/>
      <family val="2"/>
    </font>
    <font>
      <sz val="10"/>
      <name val="Arial CYR"/>
    </font>
    <font>
      <sz val="10"/>
      <name val="Arial Cyr"/>
      <charset val="204"/>
    </font>
    <font>
      <i/>
      <sz val="12"/>
      <name val="Arial"/>
      <family val="2"/>
    </font>
    <font>
      <u/>
      <sz val="6.6"/>
      <color theme="10"/>
      <name val="Calibri"/>
      <family val="2"/>
      <charset val="204"/>
    </font>
    <font>
      <sz val="14"/>
      <color theme="1"/>
      <name val="Calibri"/>
      <family val="2"/>
      <charset val="204"/>
      <scheme val="minor"/>
    </font>
    <font>
      <b/>
      <sz val="14"/>
      <color theme="1"/>
      <name val="Calibri"/>
      <family val="2"/>
      <charset val="204"/>
      <scheme val="minor"/>
    </font>
    <font>
      <b/>
      <sz val="16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1"/>
      <color theme="1"/>
      <name val="Arial"/>
      <family val="2"/>
      <charset val="204"/>
    </font>
    <font>
      <sz val="16"/>
      <color theme="1"/>
      <name val="Calibri"/>
      <family val="2"/>
      <charset val="204"/>
      <scheme val="minor"/>
    </font>
    <font>
      <sz val="14"/>
      <color theme="1"/>
      <name val="Arial"/>
      <family val="2"/>
      <charset val="204"/>
    </font>
    <font>
      <sz val="12"/>
      <color theme="1"/>
      <name val="Arial"/>
      <family val="2"/>
      <charset val="204"/>
    </font>
    <font>
      <sz val="14"/>
      <color theme="1"/>
      <name val="Lucida Bright"/>
      <family val="1"/>
    </font>
    <font>
      <sz val="14"/>
      <color theme="1"/>
      <name val="Times New Roman"/>
      <family val="1"/>
      <charset val="204"/>
    </font>
    <font>
      <sz val="20"/>
      <color theme="1"/>
      <name val="Calibri"/>
      <family val="2"/>
      <charset val="204"/>
      <scheme val="minor"/>
    </font>
    <font>
      <b/>
      <sz val="10"/>
      <color rgb="FF1A1A1A"/>
      <name val="Arial"/>
      <family val="2"/>
      <charset val="204"/>
    </font>
    <font>
      <sz val="10"/>
      <color rgb="FF1A1A1A"/>
      <name val="Arial"/>
      <family val="2"/>
      <charset val="204"/>
    </font>
    <font>
      <sz val="12"/>
      <color rgb="FF1A1A1A"/>
      <name val="Arial"/>
      <family val="2"/>
      <charset val="204"/>
    </font>
    <font>
      <u/>
      <sz val="12"/>
      <color theme="10"/>
      <name val="Calibri"/>
      <family val="2"/>
      <charset val="204"/>
    </font>
    <font>
      <sz val="8"/>
      <name val="Arial"/>
      <family val="2"/>
      <charset val="204"/>
    </font>
    <font>
      <b/>
      <i/>
      <sz val="10"/>
      <name val="Arial Cyr"/>
      <family val="2"/>
      <charset val="204"/>
    </font>
    <font>
      <b/>
      <sz val="10"/>
      <name val="Arial Cyr"/>
      <family val="2"/>
      <charset val="204"/>
    </font>
    <font>
      <sz val="8"/>
      <name val="Arial Cyr"/>
      <charset val="204"/>
    </font>
    <font>
      <b/>
      <sz val="8"/>
      <name val="Arial Cyr"/>
      <charset val="204"/>
    </font>
    <font>
      <b/>
      <sz val="8"/>
      <name val="Arial"/>
      <family val="2"/>
      <charset val="204"/>
    </font>
    <font>
      <b/>
      <vertAlign val="superscript"/>
      <sz val="8"/>
      <name val="Arial"/>
      <family val="2"/>
      <charset val="204"/>
    </font>
    <font>
      <vertAlign val="superscript"/>
      <sz val="8"/>
      <name val="Arial"/>
      <family val="2"/>
      <charset val="204"/>
    </font>
    <font>
      <vertAlign val="superscript"/>
      <sz val="8"/>
      <name val="Arial Cyr"/>
      <charset val="204"/>
    </font>
    <font>
      <sz val="8"/>
      <name val="Arial Cyr"/>
      <family val="2"/>
      <charset val="204"/>
    </font>
    <font>
      <sz val="10"/>
      <name val="Arial"/>
      <family val="2"/>
      <charset val="204"/>
    </font>
    <font>
      <sz val="10"/>
      <color rgb="FF000000"/>
      <name val="Arial"/>
      <family val="2"/>
      <charset val="204"/>
    </font>
    <font>
      <sz val="16"/>
      <color theme="1"/>
      <name val="Arial"/>
      <family val="2"/>
      <charset val="204"/>
    </font>
    <font>
      <sz val="16"/>
      <name val="Times New Roman"/>
      <family val="1"/>
      <charset val="204"/>
    </font>
    <font>
      <sz val="10"/>
      <color theme="1"/>
      <name val="Arial"/>
      <family val="2"/>
      <charset val="204"/>
    </font>
    <font>
      <sz val="8"/>
      <color theme="1"/>
      <name val="Arial"/>
      <family val="2"/>
      <charset val="204"/>
    </font>
    <font>
      <sz val="18"/>
      <color theme="1"/>
      <name val="Arial"/>
      <family val="2"/>
      <charset val="204"/>
    </font>
    <font>
      <sz val="9"/>
      <color theme="1"/>
      <name val="Arial"/>
      <family val="2"/>
      <charset val="204"/>
    </font>
    <font>
      <sz val="10"/>
      <color rgb="FF000000"/>
      <name val="Arial"/>
      <family val="2"/>
      <charset val="204"/>
    </font>
    <font>
      <sz val="16"/>
      <color theme="1"/>
      <name val="Arial Rounded MT Bold"/>
      <family val="2"/>
    </font>
    <font>
      <b/>
      <sz val="10"/>
      <name val="Arial"/>
      <family val="2"/>
      <charset val="204"/>
    </font>
    <font>
      <sz val="18"/>
      <color rgb="FF000000"/>
      <name val="Arial"/>
      <family val="2"/>
      <charset val="204"/>
    </font>
    <font>
      <sz val="16"/>
      <color indexed="8"/>
      <name val="Arial"/>
      <family val="2"/>
      <charset val="204"/>
    </font>
    <font>
      <b/>
      <sz val="14"/>
      <color rgb="FF007700"/>
      <name val="Arial"/>
      <family val="2"/>
      <charset val="204"/>
    </font>
    <font>
      <sz val="14"/>
      <color rgb="FF007700"/>
      <name val="Verdana"/>
      <family val="2"/>
      <charset val="204"/>
    </font>
    <font>
      <sz val="14"/>
      <color rgb="FF007700"/>
      <name val="Arial"/>
      <family val="2"/>
      <charset val="204"/>
    </font>
    <font>
      <sz val="20"/>
      <color theme="1"/>
      <name val="Arial"/>
      <family val="2"/>
      <charset val="204"/>
    </font>
    <font>
      <sz val="14"/>
      <name val="Berlin Sans FB Demi"/>
      <family val="2"/>
    </font>
    <font>
      <sz val="14"/>
      <color theme="1"/>
      <name val="Berlin Sans FB Demi"/>
      <family val="2"/>
    </font>
    <font>
      <sz val="14"/>
      <color rgb="FF000000"/>
      <name val="Arial"/>
      <family val="2"/>
      <charset val="204"/>
    </font>
    <font>
      <b/>
      <sz val="12"/>
      <color rgb="FF000000"/>
      <name val="Tahoma"/>
      <family val="2"/>
      <charset val="204"/>
    </font>
    <font>
      <b/>
      <sz val="12"/>
      <color indexed="62"/>
      <name val="Tahoma"/>
      <family val="2"/>
      <charset val="204"/>
    </font>
    <font>
      <b/>
      <sz val="12"/>
      <color indexed="8"/>
      <name val="Tahoma"/>
      <family val="2"/>
      <charset val="204"/>
    </font>
    <font>
      <sz val="22"/>
      <name val="Arial"/>
      <family val="2"/>
      <charset val="204"/>
    </font>
    <font>
      <b/>
      <sz val="14"/>
      <color theme="1"/>
      <name val="Arial"/>
      <family val="2"/>
      <charset val="204"/>
    </font>
    <font>
      <b/>
      <sz val="12"/>
      <color theme="1"/>
      <name val="Arial"/>
      <family val="2"/>
      <charset val="204"/>
    </font>
    <font>
      <sz val="12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2"/>
      <color rgb="FF000000"/>
      <name val="Arial"/>
      <family val="2"/>
      <charset val="204"/>
    </font>
    <font>
      <sz val="10"/>
      <color theme="1"/>
      <name val="Calibri"/>
      <family val="2"/>
      <charset val="204"/>
      <scheme val="minor"/>
    </font>
    <font>
      <b/>
      <sz val="16"/>
      <name val="Arial"/>
      <family val="2"/>
      <charset val="204"/>
    </font>
    <font>
      <b/>
      <sz val="14"/>
      <name val="Arial"/>
      <family val="2"/>
      <charset val="204"/>
    </font>
    <font>
      <sz val="14"/>
      <color rgb="FF5C5455"/>
      <name val="Arial"/>
      <family val="2"/>
      <charset val="204"/>
    </font>
    <font>
      <b/>
      <sz val="16"/>
      <color theme="1"/>
      <name val="Arial Rounded MT Bold"/>
      <family val="2"/>
    </font>
    <font>
      <b/>
      <sz val="18"/>
      <color theme="1"/>
      <name val="Calibri"/>
      <family val="2"/>
      <charset val="204"/>
      <scheme val="minor"/>
    </font>
    <font>
      <sz val="11"/>
      <color indexed="8"/>
      <name val="Arial"/>
      <family val="2"/>
      <charset val="204"/>
    </font>
    <font>
      <b/>
      <sz val="11"/>
      <color theme="1"/>
      <name val="Arial"/>
      <family val="2"/>
      <charset val="204"/>
    </font>
    <font>
      <sz val="18"/>
      <name val="Arial"/>
      <family val="2"/>
      <charset val="204"/>
    </font>
    <font>
      <sz val="18"/>
      <color rgb="FF2E2A28"/>
      <name val="Arial"/>
      <family val="2"/>
      <charset val="204"/>
    </font>
    <font>
      <b/>
      <sz val="20"/>
      <color theme="1"/>
      <name val="Arial"/>
      <family val="2"/>
      <charset val="204"/>
    </font>
    <font>
      <sz val="11"/>
      <name val="Arial"/>
      <family val="2"/>
    </font>
    <font>
      <b/>
      <sz val="16"/>
      <color theme="1"/>
      <name val="Arial"/>
      <family val="2"/>
      <charset val="204"/>
    </font>
    <font>
      <sz val="18"/>
      <color indexed="8"/>
      <name val="Calibri"/>
      <family val="2"/>
      <charset val="204"/>
    </font>
    <font>
      <b/>
      <sz val="18"/>
      <name val="Arial"/>
      <family val="2"/>
      <charset val="204"/>
    </font>
    <font>
      <b/>
      <sz val="14"/>
      <color theme="1"/>
      <name val="Arial Rounded MT Bold"/>
      <family val="2"/>
      <charset val="204"/>
    </font>
    <font>
      <sz val="14"/>
      <color theme="1"/>
      <name val="Arial Rounded MT Bold"/>
      <family val="2"/>
    </font>
    <font>
      <b/>
      <sz val="14"/>
      <color theme="1"/>
      <name val="Arial Rounded MT Bold"/>
      <family val="2"/>
    </font>
    <font>
      <sz val="16"/>
      <color rgb="FF2E2A28"/>
      <name val="Arial"/>
      <family val="2"/>
      <charset val="204"/>
    </font>
    <font>
      <sz val="16"/>
      <color theme="1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  <font>
      <b/>
      <vertAlign val="superscript"/>
      <sz val="14"/>
      <color theme="1"/>
      <name val="Arial"/>
      <family val="2"/>
      <charset val="204"/>
    </font>
    <font>
      <sz val="11"/>
      <color rgb="FF333333"/>
      <name val="Arial"/>
      <family val="2"/>
      <charset val="204"/>
    </font>
    <font>
      <sz val="16"/>
      <color indexed="8"/>
      <name val="Arial Black"/>
      <family val="2"/>
      <charset val="204"/>
    </font>
    <font>
      <vertAlign val="superscript"/>
      <sz val="16"/>
      <color theme="1"/>
      <name val="Calibri"/>
      <family val="2"/>
      <charset val="204"/>
      <scheme val="minor"/>
    </font>
    <font>
      <sz val="18"/>
      <color theme="1"/>
      <name val="Calibri"/>
      <family val="2"/>
      <charset val="204"/>
      <scheme val="minor"/>
    </font>
    <font>
      <sz val="22"/>
      <color theme="1"/>
      <name val="Calibri"/>
      <family val="2"/>
      <charset val="204"/>
      <scheme val="minor"/>
    </font>
    <font>
      <sz val="11"/>
      <name val="Arial Unicode MS"/>
      <family val="2"/>
      <charset val="204"/>
    </font>
    <font>
      <sz val="11"/>
      <color rgb="FF92D050"/>
      <name val="Calibri"/>
      <family val="2"/>
      <charset val="204"/>
      <scheme val="minor"/>
    </font>
    <font>
      <sz val="11"/>
      <color rgb="FF92D050"/>
      <name val="Arial Unicode MS"/>
      <family val="2"/>
      <charset val="204"/>
    </font>
    <font>
      <sz val="12"/>
      <color rgb="FF000000"/>
      <name val="Times New Roman"/>
      <family val="1"/>
      <charset val="204"/>
    </font>
    <font>
      <sz val="16"/>
      <color rgb="FF000000"/>
      <name val="Times New Roman"/>
      <family val="1"/>
      <charset val="204"/>
    </font>
    <font>
      <sz val="12"/>
      <color indexed="8"/>
      <name val="Arial Unicode MS"/>
      <family val="2"/>
      <charset val="204"/>
    </font>
    <font>
      <sz val="11"/>
      <color theme="0"/>
      <name val="Calibri"/>
      <family val="2"/>
      <charset val="204"/>
      <scheme val="minor"/>
    </font>
  </fonts>
  <fills count="33">
    <fill>
      <patternFill patternType="none"/>
    </fill>
    <fill>
      <patternFill patternType="gray125"/>
    </fill>
    <fill>
      <patternFill patternType="solid">
        <fgColor indexed="11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3F3F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/>
      </patternFill>
    </fill>
  </fills>
  <borders count="115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64"/>
      </right>
      <top style="thin">
        <color indexed="8"/>
      </top>
      <bottom/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64"/>
      </bottom>
      <diagonal/>
    </border>
    <border>
      <left style="thin">
        <color indexed="8"/>
      </left>
      <right style="thin">
        <color indexed="64"/>
      </right>
      <top/>
      <bottom style="thin">
        <color indexed="64"/>
      </bottom>
      <diagonal/>
    </border>
    <border>
      <left style="thin">
        <color indexed="8"/>
      </left>
      <right/>
      <top style="medium">
        <color indexed="64"/>
      </top>
      <bottom style="thin">
        <color indexed="8"/>
      </bottom>
      <diagonal/>
    </border>
    <border>
      <left style="thin">
        <color indexed="8"/>
      </left>
      <right style="medium">
        <color indexed="64"/>
      </right>
      <top style="medium">
        <color indexed="64"/>
      </top>
      <bottom style="thin">
        <color indexed="8"/>
      </bottom>
      <diagonal/>
    </border>
    <border>
      <left style="thin">
        <color indexed="8"/>
      </left>
      <right style="medium">
        <color indexed="64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 style="medium">
        <color indexed="64"/>
      </bottom>
      <diagonal/>
    </border>
    <border>
      <left style="thin">
        <color indexed="8"/>
      </left>
      <right style="medium">
        <color indexed="64"/>
      </right>
      <top style="thin">
        <color indexed="8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8"/>
      </bottom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 style="thin">
        <color indexed="64"/>
      </left>
      <right/>
      <top style="thin">
        <color indexed="64"/>
      </top>
      <bottom style="thin">
        <color indexed="8"/>
      </bottom>
      <diagonal/>
    </border>
    <border>
      <left style="thin">
        <color indexed="64"/>
      </left>
      <right/>
      <top style="thin">
        <color indexed="8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8"/>
      </bottom>
      <diagonal/>
    </border>
    <border>
      <left style="medium">
        <color indexed="64"/>
      </left>
      <right/>
      <top style="thin">
        <color indexed="8"/>
      </top>
      <bottom style="thin">
        <color indexed="8"/>
      </bottom>
      <diagonal/>
    </border>
    <border>
      <left style="medium">
        <color indexed="64"/>
      </left>
      <right/>
      <top style="thin">
        <color indexed="8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8"/>
      </right>
      <top/>
      <bottom style="thin">
        <color indexed="8"/>
      </bottom>
      <diagonal/>
    </border>
    <border>
      <left style="medium">
        <color indexed="64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64"/>
      </right>
      <top style="thin">
        <color indexed="8"/>
      </top>
      <bottom/>
      <diagonal/>
    </border>
    <border>
      <left style="medium">
        <color indexed="64"/>
      </left>
      <right/>
      <top style="thin">
        <color indexed="8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/>
      <diagonal/>
    </border>
    <border>
      <left style="thin">
        <color indexed="23"/>
      </left>
      <right style="thin">
        <color indexed="23"/>
      </right>
      <top/>
      <bottom/>
      <diagonal/>
    </border>
    <border>
      <left style="thin">
        <color indexed="23"/>
      </left>
      <right style="thin">
        <color indexed="23"/>
      </right>
      <top/>
      <bottom style="thin">
        <color indexed="23"/>
      </bottom>
      <diagonal/>
    </border>
    <border>
      <left style="thin">
        <color indexed="23"/>
      </left>
      <right/>
      <top style="thin">
        <color indexed="23"/>
      </top>
      <bottom/>
      <diagonal/>
    </border>
    <border>
      <left/>
      <right style="thin">
        <color indexed="23"/>
      </right>
      <top style="thin">
        <color indexed="23"/>
      </top>
      <bottom/>
      <diagonal/>
    </border>
    <border>
      <left style="thin">
        <color indexed="23"/>
      </left>
      <right/>
      <top/>
      <bottom style="thin">
        <color indexed="23"/>
      </bottom>
      <diagonal/>
    </border>
    <border>
      <left/>
      <right style="thin">
        <color indexed="23"/>
      </right>
      <top/>
      <bottom style="thin">
        <color indexed="23"/>
      </bottom>
      <diagonal/>
    </border>
    <border>
      <left style="medium">
        <color rgb="FF006666"/>
      </left>
      <right style="medium">
        <color rgb="FF006666"/>
      </right>
      <top style="medium">
        <color rgb="FF006666"/>
      </top>
      <bottom style="medium">
        <color rgb="FF006666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64"/>
      </right>
      <top style="thin">
        <color indexed="8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auto="1"/>
      </left>
      <right/>
      <top/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auto="1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auto="1"/>
      </left>
      <right style="thin">
        <color indexed="64"/>
      </right>
      <top/>
      <bottom/>
      <diagonal/>
    </border>
    <border>
      <left style="thin">
        <color auto="1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</borders>
  <cellStyleXfs count="15">
    <xf numFmtId="0" fontId="0" fillId="0" borderId="0"/>
    <xf numFmtId="0" fontId="62" fillId="0" borderId="0" applyNumberFormat="0" applyFill="0" applyBorder="0" applyAlignment="0" applyProtection="0">
      <alignment vertical="top"/>
      <protection locked="0"/>
    </xf>
    <xf numFmtId="0" fontId="96" fillId="0" borderId="0">
      <protection locked="0"/>
    </xf>
    <xf numFmtId="9" fontId="3" fillId="0" borderId="0"/>
    <xf numFmtId="171" fontId="3" fillId="0" borderId="0"/>
    <xf numFmtId="169" fontId="3" fillId="0" borderId="0"/>
    <xf numFmtId="172" fontId="3" fillId="0" borderId="0"/>
    <xf numFmtId="170" fontId="3" fillId="0" borderId="0"/>
    <xf numFmtId="0" fontId="59" fillId="0" borderId="0"/>
    <xf numFmtId="0" fontId="89" fillId="0" borderId="0">
      <protection locked="0"/>
    </xf>
    <xf numFmtId="0" fontId="59" fillId="0" borderId="0"/>
    <xf numFmtId="0" fontId="89" fillId="0" borderId="0">
      <protection locked="0"/>
    </xf>
    <xf numFmtId="0" fontId="60" fillId="0" borderId="0"/>
    <xf numFmtId="0" fontId="60" fillId="0" borderId="0"/>
    <xf numFmtId="0" fontId="150" fillId="32" borderId="0" applyNumberFormat="0" applyBorder="0" applyAlignment="0" applyProtection="0"/>
  </cellStyleXfs>
  <cellXfs count="2774">
    <xf numFmtId="0" fontId="0" fillId="0" borderId="0" xfId="0"/>
    <xf numFmtId="0" fontId="0" fillId="2" borderId="0" xfId="0" applyFill="1"/>
    <xf numFmtId="0" fontId="0" fillId="3" borderId="0" xfId="0" applyFill="1"/>
    <xf numFmtId="0" fontId="0" fillId="0" borderId="2" xfId="0" applyBorder="1"/>
    <xf numFmtId="0" fontId="2" fillId="4" borderId="3" xfId="0" applyFont="1" applyFill="1" applyBorder="1"/>
    <xf numFmtId="0" fontId="2" fillId="4" borderId="4" xfId="0" applyFont="1" applyFill="1" applyBorder="1"/>
    <xf numFmtId="0" fontId="0" fillId="4" borderId="0" xfId="0" applyFill="1"/>
    <xf numFmtId="0" fontId="2" fillId="4" borderId="5" xfId="0" applyFont="1" applyFill="1" applyBorder="1"/>
    <xf numFmtId="0" fontId="2" fillId="4" borderId="6" xfId="0" applyFont="1" applyFill="1" applyBorder="1"/>
    <xf numFmtId="0" fontId="2" fillId="4" borderId="0" xfId="0" applyFont="1" applyFill="1" applyBorder="1"/>
    <xf numFmtId="0" fontId="2" fillId="4" borderId="7" xfId="0" applyFont="1" applyFill="1" applyBorder="1"/>
    <xf numFmtId="0" fontId="3" fillId="4" borderId="0" xfId="0" applyFont="1" applyFill="1"/>
    <xf numFmtId="0" fontId="0" fillId="0" borderId="7" xfId="0" applyBorder="1"/>
    <xf numFmtId="0" fontId="0" fillId="4" borderId="0" xfId="0" applyFill="1" applyBorder="1"/>
    <xf numFmtId="0" fontId="0" fillId="4" borderId="7" xfId="0" applyFill="1" applyBorder="1"/>
    <xf numFmtId="0" fontId="5" fillId="5" borderId="8" xfId="0" applyFont="1" applyFill="1" applyBorder="1"/>
    <xf numFmtId="0" fontId="0" fillId="5" borderId="9" xfId="0" applyFill="1" applyBorder="1"/>
    <xf numFmtId="0" fontId="6" fillId="4" borderId="4" xfId="0" applyFont="1" applyFill="1" applyBorder="1"/>
    <xf numFmtId="0" fontId="6" fillId="4" borderId="0" xfId="0" applyFont="1" applyFill="1" applyBorder="1"/>
    <xf numFmtId="0" fontId="6" fillId="4" borderId="7" xfId="0" applyFont="1" applyFill="1" applyBorder="1"/>
    <xf numFmtId="0" fontId="0" fillId="0" borderId="0" xfId="0" applyBorder="1"/>
    <xf numFmtId="0" fontId="2" fillId="0" borderId="0" xfId="0" applyFont="1"/>
    <xf numFmtId="0" fontId="2" fillId="4" borderId="0" xfId="0" applyFont="1" applyFill="1"/>
    <xf numFmtId="0" fontId="2" fillId="4" borderId="2" xfId="0" applyFont="1" applyFill="1" applyBorder="1"/>
    <xf numFmtId="0" fontId="0" fillId="0" borderId="0" xfId="0" applyFill="1"/>
    <xf numFmtId="0" fontId="0" fillId="4" borderId="2" xfId="0" applyFill="1" applyBorder="1"/>
    <xf numFmtId="0" fontId="0" fillId="5" borderId="19" xfId="0" applyFill="1" applyBorder="1"/>
    <xf numFmtId="0" fontId="0" fillId="0" borderId="9" xfId="0" applyBorder="1"/>
    <xf numFmtId="0" fontId="0" fillId="6" borderId="22" xfId="0" applyFill="1" applyBorder="1"/>
    <xf numFmtId="0" fontId="7" fillId="0" borderId="0" xfId="0" applyFont="1"/>
    <xf numFmtId="164" fontId="0" fillId="0" borderId="0" xfId="0" applyNumberFormat="1"/>
    <xf numFmtId="0" fontId="0" fillId="4" borderId="4" xfId="0" applyFill="1" applyBorder="1"/>
    <xf numFmtId="2" fontId="0" fillId="0" borderId="0" xfId="0" applyNumberFormat="1"/>
    <xf numFmtId="2" fontId="0" fillId="0" borderId="0" xfId="0" applyNumberFormat="1" applyFill="1" applyBorder="1"/>
    <xf numFmtId="0" fontId="6" fillId="5" borderId="0" xfId="0" applyFont="1" applyFill="1"/>
    <xf numFmtId="165" fontId="0" fillId="0" borderId="0" xfId="0" applyNumberFormat="1"/>
    <xf numFmtId="0" fontId="3" fillId="0" borderId="0" xfId="0" applyFont="1"/>
    <xf numFmtId="0" fontId="6" fillId="6" borderId="23" xfId="0" applyFont="1" applyFill="1" applyBorder="1"/>
    <xf numFmtId="0" fontId="2" fillId="5" borderId="0" xfId="0" applyFont="1" applyFill="1"/>
    <xf numFmtId="0" fontId="0" fillId="5" borderId="0" xfId="0" applyFill="1"/>
    <xf numFmtId="0" fontId="2" fillId="5" borderId="22" xfId="0" applyFont="1" applyFill="1" applyBorder="1"/>
    <xf numFmtId="0" fontId="0" fillId="4" borderId="19" xfId="0" applyFill="1" applyBorder="1"/>
    <xf numFmtId="0" fontId="0" fillId="6" borderId="9" xfId="0" applyFill="1" applyBorder="1"/>
    <xf numFmtId="0" fontId="0" fillId="0" borderId="27" xfId="0" applyBorder="1"/>
    <xf numFmtId="0" fontId="9" fillId="5" borderId="0" xfId="0" applyFont="1" applyFill="1"/>
    <xf numFmtId="0" fontId="11" fillId="5" borderId="0" xfId="0" applyFont="1" applyFill="1"/>
    <xf numFmtId="0" fontId="11" fillId="4" borderId="0" xfId="0" applyFont="1" applyFill="1"/>
    <xf numFmtId="0" fontId="0" fillId="8" borderId="8" xfId="0" applyFill="1" applyBorder="1"/>
    <xf numFmtId="0" fontId="0" fillId="8" borderId="19" xfId="0" applyFill="1" applyBorder="1"/>
    <xf numFmtId="0" fontId="0" fillId="10" borderId="0" xfId="0" applyFill="1"/>
    <xf numFmtId="0" fontId="8" fillId="4" borderId="0" xfId="0" applyFont="1" applyFill="1"/>
    <xf numFmtId="0" fontId="8" fillId="0" borderId="0" xfId="0" applyFont="1"/>
    <xf numFmtId="0" fontId="8" fillId="0" borderId="0" xfId="0" applyFont="1" applyFill="1"/>
    <xf numFmtId="0" fontId="2" fillId="5" borderId="28" xfId="0" applyFont="1" applyFill="1" applyBorder="1"/>
    <xf numFmtId="0" fontId="6" fillId="4" borderId="21" xfId="0" applyFont="1" applyFill="1" applyBorder="1"/>
    <xf numFmtId="0" fontId="2" fillId="0" borderId="0" xfId="0" applyFont="1" applyFill="1"/>
    <xf numFmtId="0" fontId="9" fillId="4" borderId="30" xfId="0" applyFont="1" applyFill="1" applyBorder="1"/>
    <xf numFmtId="0" fontId="2" fillId="6" borderId="31" xfId="0" applyFont="1" applyFill="1" applyBorder="1"/>
    <xf numFmtId="0" fontId="0" fillId="6" borderId="31" xfId="0" applyFill="1" applyBorder="1"/>
    <xf numFmtId="14" fontId="3" fillId="4" borderId="17" xfId="0" applyNumberFormat="1" applyFont="1" applyFill="1" applyBorder="1"/>
    <xf numFmtId="0" fontId="2" fillId="6" borderId="30" xfId="0" applyFont="1" applyFill="1" applyBorder="1"/>
    <xf numFmtId="0" fontId="2" fillId="6" borderId="23" xfId="0" applyFont="1" applyFill="1" applyBorder="1"/>
    <xf numFmtId="0" fontId="0" fillId="4" borderId="31" xfId="0" applyFill="1" applyBorder="1"/>
    <xf numFmtId="14" fontId="13" fillId="4" borderId="17" xfId="0" applyNumberFormat="1" applyFont="1" applyFill="1" applyBorder="1"/>
    <xf numFmtId="165" fontId="2" fillId="4" borderId="5" xfId="0" applyNumberFormat="1" applyFont="1" applyFill="1" applyBorder="1"/>
    <xf numFmtId="165" fontId="2" fillId="4" borderId="7" xfId="0" applyNumberFormat="1" applyFont="1" applyFill="1" applyBorder="1"/>
    <xf numFmtId="2" fontId="2" fillId="4" borderId="12" xfId="0" applyNumberFormat="1" applyFont="1" applyFill="1" applyBorder="1"/>
    <xf numFmtId="165" fontId="2" fillId="4" borderId="13" xfId="0" applyNumberFormat="1" applyFont="1" applyFill="1" applyBorder="1"/>
    <xf numFmtId="0" fontId="2" fillId="6" borderId="17" xfId="0" applyFont="1" applyFill="1" applyBorder="1"/>
    <xf numFmtId="0" fontId="0" fillId="5" borderId="8" xfId="0" applyFill="1" applyBorder="1"/>
    <xf numFmtId="0" fontId="0" fillId="0" borderId="0" xfId="0" applyFill="1" applyBorder="1"/>
    <xf numFmtId="165" fontId="0" fillId="0" borderId="0" xfId="0" applyNumberFormat="1" applyFill="1" applyBorder="1"/>
    <xf numFmtId="164" fontId="0" fillId="0" borderId="0" xfId="0" applyNumberFormat="1" applyBorder="1"/>
    <xf numFmtId="0" fontId="9" fillId="5" borderId="31" xfId="0" applyFont="1" applyFill="1" applyBorder="1"/>
    <xf numFmtId="0" fontId="2" fillId="5" borderId="0" xfId="0" applyFont="1" applyFill="1" applyBorder="1"/>
    <xf numFmtId="164" fontId="0" fillId="0" borderId="0" xfId="0" applyNumberFormat="1" applyFill="1" applyBorder="1"/>
    <xf numFmtId="0" fontId="8" fillId="9" borderId="21" xfId="0" applyFont="1" applyFill="1" applyBorder="1"/>
    <xf numFmtId="0" fontId="2" fillId="5" borderId="31" xfId="0" applyFont="1" applyFill="1" applyBorder="1"/>
    <xf numFmtId="164" fontId="0" fillId="0" borderId="3" xfId="0" applyNumberFormat="1" applyBorder="1"/>
    <xf numFmtId="164" fontId="0" fillId="0" borderId="4" xfId="0" applyNumberFormat="1" applyBorder="1"/>
    <xf numFmtId="0" fontId="0" fillId="0" borderId="5" xfId="0" applyBorder="1"/>
    <xf numFmtId="0" fontId="0" fillId="0" borderId="13" xfId="0" applyBorder="1"/>
    <xf numFmtId="0" fontId="2" fillId="6" borderId="0" xfId="0" applyFont="1" applyFill="1"/>
    <xf numFmtId="0" fontId="8" fillId="8" borderId="0" xfId="0" applyFont="1" applyFill="1"/>
    <xf numFmtId="0" fontId="8" fillId="5" borderId="31" xfId="0" applyFont="1" applyFill="1" applyBorder="1"/>
    <xf numFmtId="0" fontId="8" fillId="5" borderId="0" xfId="0" applyFont="1" applyFill="1"/>
    <xf numFmtId="0" fontId="8" fillId="0" borderId="0" xfId="0" applyFont="1" applyFill="1" applyBorder="1"/>
    <xf numFmtId="0" fontId="2" fillId="0" borderId="0" xfId="0" applyFont="1" applyFill="1" applyBorder="1"/>
    <xf numFmtId="166" fontId="0" fillId="0" borderId="0" xfId="0" applyNumberFormat="1" applyFill="1" applyBorder="1"/>
    <xf numFmtId="0" fontId="30" fillId="0" borderId="0" xfId="0" applyFont="1"/>
    <xf numFmtId="0" fontId="2" fillId="10" borderId="0" xfId="0" applyFont="1" applyFill="1"/>
    <xf numFmtId="0" fontId="9" fillId="6" borderId="31" xfId="0" applyFont="1" applyFill="1" applyBorder="1"/>
    <xf numFmtId="0" fontId="31" fillId="5" borderId="0" xfId="0" applyFont="1" applyFill="1"/>
    <xf numFmtId="0" fontId="31" fillId="4" borderId="0" xfId="0" applyFont="1" applyFill="1"/>
    <xf numFmtId="165" fontId="8" fillId="4" borderId="7" xfId="0" applyNumberFormat="1" applyFont="1" applyFill="1" applyBorder="1"/>
    <xf numFmtId="14" fontId="3" fillId="4" borderId="30" xfId="0" applyNumberFormat="1" applyFont="1" applyFill="1" applyBorder="1"/>
    <xf numFmtId="2" fontId="2" fillId="4" borderId="0" xfId="0" applyNumberFormat="1" applyFont="1" applyFill="1" applyBorder="1"/>
    <xf numFmtId="2" fontId="2" fillId="4" borderId="7" xfId="0" applyNumberFormat="1" applyFont="1" applyFill="1" applyBorder="1"/>
    <xf numFmtId="165" fontId="9" fillId="4" borderId="6" xfId="0" applyNumberFormat="1" applyFont="1" applyFill="1" applyBorder="1"/>
    <xf numFmtId="2" fontId="2" fillId="4" borderId="13" xfId="0" applyNumberFormat="1" applyFont="1" applyFill="1" applyBorder="1"/>
    <xf numFmtId="2" fontId="2" fillId="4" borderId="5" xfId="0" applyNumberFormat="1" applyFont="1" applyFill="1" applyBorder="1"/>
    <xf numFmtId="0" fontId="0" fillId="6" borderId="23" xfId="0" applyFill="1" applyBorder="1"/>
    <xf numFmtId="2" fontId="0" fillId="4" borderId="6" xfId="0" applyNumberFormat="1" applyFill="1" applyBorder="1"/>
    <xf numFmtId="2" fontId="0" fillId="4" borderId="12" xfId="0" applyNumberFormat="1" applyFill="1" applyBorder="1"/>
    <xf numFmtId="165" fontId="0" fillId="4" borderId="7" xfId="0" applyNumberFormat="1" applyFill="1" applyBorder="1"/>
    <xf numFmtId="0" fontId="2" fillId="10" borderId="23" xfId="0" applyFont="1" applyFill="1" applyBorder="1"/>
    <xf numFmtId="0" fontId="2" fillId="10" borderId="17" xfId="0" applyFont="1" applyFill="1" applyBorder="1"/>
    <xf numFmtId="0" fontId="3" fillId="5" borderId="31" xfId="0" applyFont="1" applyFill="1" applyBorder="1"/>
    <xf numFmtId="0" fontId="8" fillId="5" borderId="30" xfId="0" applyFont="1" applyFill="1" applyBorder="1"/>
    <xf numFmtId="0" fontId="8" fillId="5" borderId="23" xfId="0" applyFont="1" applyFill="1" applyBorder="1"/>
    <xf numFmtId="0" fontId="8" fillId="5" borderId="17" xfId="0" applyFont="1" applyFill="1" applyBorder="1"/>
    <xf numFmtId="165" fontId="2" fillId="4" borderId="0" xfId="0" applyNumberFormat="1" applyFont="1" applyFill="1" applyBorder="1"/>
    <xf numFmtId="166" fontId="2" fillId="4" borderId="3" xfId="0" applyNumberFormat="1" applyFont="1" applyFill="1" applyBorder="1"/>
    <xf numFmtId="166" fontId="2" fillId="4" borderId="6" xfId="0" applyNumberFormat="1" applyFont="1" applyFill="1" applyBorder="1"/>
    <xf numFmtId="0" fontId="31" fillId="6" borderId="6" xfId="0" applyFont="1" applyFill="1" applyBorder="1"/>
    <xf numFmtId="0" fontId="31" fillId="6" borderId="12" xfId="0" applyFont="1" applyFill="1" applyBorder="1"/>
    <xf numFmtId="165" fontId="31" fillId="4" borderId="7" xfId="0" applyNumberFormat="1" applyFont="1" applyFill="1" applyBorder="1"/>
    <xf numFmtId="0" fontId="0" fillId="4" borderId="30" xfId="0" applyFill="1" applyBorder="1"/>
    <xf numFmtId="0" fontId="0" fillId="0" borderId="31" xfId="0" applyBorder="1"/>
    <xf numFmtId="165" fontId="9" fillId="4" borderId="7" xfId="0" applyNumberFormat="1" applyFont="1" applyFill="1" applyBorder="1"/>
    <xf numFmtId="0" fontId="0" fillId="4" borderId="6" xfId="0" applyFill="1" applyBorder="1"/>
    <xf numFmtId="0" fontId="0" fillId="4" borderId="12" xfId="0" applyFill="1" applyBorder="1"/>
    <xf numFmtId="0" fontId="0" fillId="4" borderId="9" xfId="0" applyFill="1" applyBorder="1"/>
    <xf numFmtId="0" fontId="2" fillId="5" borderId="17" xfId="0" applyFont="1" applyFill="1" applyBorder="1"/>
    <xf numFmtId="0" fontId="9" fillId="6" borderId="30" xfId="0" applyFont="1" applyFill="1" applyBorder="1"/>
    <xf numFmtId="0" fontId="31" fillId="6" borderId="23" xfId="0" applyFont="1" applyFill="1" applyBorder="1"/>
    <xf numFmtId="0" fontId="0" fillId="0" borderId="12" xfId="0" applyBorder="1"/>
    <xf numFmtId="0" fontId="0" fillId="4" borderId="5" xfId="0" applyFill="1" applyBorder="1"/>
    <xf numFmtId="0" fontId="2" fillId="4" borderId="31" xfId="0" applyFont="1" applyFill="1" applyBorder="1"/>
    <xf numFmtId="0" fontId="2" fillId="5" borderId="8" xfId="0" applyFont="1" applyFill="1" applyBorder="1"/>
    <xf numFmtId="0" fontId="31" fillId="4" borderId="4" xfId="0" applyFont="1" applyFill="1" applyBorder="1"/>
    <xf numFmtId="0" fontId="31" fillId="4" borderId="5" xfId="0" applyFont="1" applyFill="1" applyBorder="1"/>
    <xf numFmtId="0" fontId="31" fillId="4" borderId="0" xfId="0" applyFont="1" applyFill="1" applyBorder="1"/>
    <xf numFmtId="0" fontId="31" fillId="4" borderId="7" xfId="0" applyFont="1" applyFill="1" applyBorder="1"/>
    <xf numFmtId="165" fontId="31" fillId="4" borderId="0" xfId="0" applyNumberFormat="1" applyFont="1" applyFill="1" applyBorder="1"/>
    <xf numFmtId="2" fontId="33" fillId="4" borderId="7" xfId="0" applyNumberFormat="1" applyFont="1" applyFill="1" applyBorder="1"/>
    <xf numFmtId="0" fontId="34" fillId="0" borderId="0" xfId="0" applyFont="1"/>
    <xf numFmtId="2" fontId="31" fillId="4" borderId="7" xfId="0" applyNumberFormat="1" applyFont="1" applyFill="1" applyBorder="1"/>
    <xf numFmtId="0" fontId="8" fillId="6" borderId="30" xfId="0" applyFont="1" applyFill="1" applyBorder="1"/>
    <xf numFmtId="0" fontId="8" fillId="6" borderId="23" xfId="0" applyFont="1" applyFill="1" applyBorder="1"/>
    <xf numFmtId="0" fontId="8" fillId="6" borderId="17" xfId="0" applyFont="1" applyFill="1" applyBorder="1"/>
    <xf numFmtId="2" fontId="2" fillId="8" borderId="23" xfId="0" applyNumberFormat="1" applyFont="1" applyFill="1" applyBorder="1"/>
    <xf numFmtId="0" fontId="8" fillId="6" borderId="31" xfId="0" applyFont="1" applyFill="1" applyBorder="1"/>
    <xf numFmtId="0" fontId="9" fillId="6" borderId="23" xfId="0" applyFont="1" applyFill="1" applyBorder="1"/>
    <xf numFmtId="0" fontId="9" fillId="6" borderId="17" xfId="0" applyFont="1" applyFill="1" applyBorder="1"/>
    <xf numFmtId="2" fontId="2" fillId="12" borderId="7" xfId="0" applyNumberFormat="1" applyFont="1" applyFill="1" applyBorder="1"/>
    <xf numFmtId="2" fontId="2" fillId="12" borderId="0" xfId="0" applyNumberFormat="1" applyFont="1" applyFill="1" applyBorder="1"/>
    <xf numFmtId="2" fontId="2" fillId="12" borderId="13" xfId="0" applyNumberFormat="1" applyFont="1" applyFill="1" applyBorder="1"/>
    <xf numFmtId="0" fontId="31" fillId="12" borderId="12" xfId="0" applyFont="1" applyFill="1" applyBorder="1"/>
    <xf numFmtId="0" fontId="31" fillId="12" borderId="2" xfId="0" applyFont="1" applyFill="1" applyBorder="1"/>
    <xf numFmtId="0" fontId="3" fillId="3" borderId="30" xfId="0" applyFont="1" applyFill="1" applyBorder="1"/>
    <xf numFmtId="0" fontId="0" fillId="2" borderId="30" xfId="0" applyFill="1" applyBorder="1"/>
    <xf numFmtId="0" fontId="16" fillId="4" borderId="30" xfId="0" applyFont="1" applyFill="1" applyBorder="1"/>
    <xf numFmtId="0" fontId="5" fillId="4" borderId="3" xfId="0" applyFont="1" applyFill="1" applyBorder="1"/>
    <xf numFmtId="0" fontId="5" fillId="4" borderId="5" xfId="0" applyFont="1" applyFill="1" applyBorder="1"/>
    <xf numFmtId="0" fontId="7" fillId="2" borderId="0" xfId="0" applyFont="1" applyFill="1"/>
    <xf numFmtId="0" fontId="0" fillId="4" borderId="8" xfId="0" applyFill="1" applyBorder="1"/>
    <xf numFmtId="0" fontId="0" fillId="4" borderId="18" xfId="0" applyFill="1" applyBorder="1"/>
    <xf numFmtId="0" fontId="5" fillId="5" borderId="0" xfId="0" applyFont="1" applyFill="1"/>
    <xf numFmtId="0" fontId="7" fillId="4" borderId="0" xfId="0" applyFont="1" applyFill="1"/>
    <xf numFmtId="0" fontId="4" fillId="5" borderId="0" xfId="0" applyFont="1" applyFill="1"/>
    <xf numFmtId="0" fontId="30" fillId="5" borderId="0" xfId="0" applyFont="1" applyFill="1"/>
    <xf numFmtId="0" fontId="4" fillId="4" borderId="0" xfId="0" applyFont="1" applyFill="1"/>
    <xf numFmtId="166" fontId="2" fillId="12" borderId="5" xfId="0" applyNumberFormat="1" applyFont="1" applyFill="1" applyBorder="1"/>
    <xf numFmtId="166" fontId="2" fillId="12" borderId="3" xfId="0" applyNumberFormat="1" applyFont="1" applyFill="1" applyBorder="1"/>
    <xf numFmtId="166" fontId="2" fillId="12" borderId="4" xfId="0" applyNumberFormat="1" applyFont="1" applyFill="1" applyBorder="1"/>
    <xf numFmtId="166" fontId="2" fillId="12" borderId="7" xfId="0" applyNumberFormat="1" applyFont="1" applyFill="1" applyBorder="1"/>
    <xf numFmtId="166" fontId="2" fillId="12" borderId="6" xfId="0" applyNumberFormat="1" applyFont="1" applyFill="1" applyBorder="1"/>
    <xf numFmtId="166" fontId="2" fillId="12" borderId="0" xfId="0" applyNumberFormat="1" applyFont="1" applyFill="1" applyBorder="1"/>
    <xf numFmtId="166" fontId="31" fillId="12" borderId="6" xfId="0" applyNumberFormat="1" applyFont="1" applyFill="1" applyBorder="1"/>
    <xf numFmtId="166" fontId="31" fillId="12" borderId="0" xfId="0" applyNumberFormat="1" applyFont="1" applyFill="1" applyBorder="1"/>
    <xf numFmtId="166" fontId="2" fillId="12" borderId="13" xfId="0" applyNumberFormat="1" applyFont="1" applyFill="1" applyBorder="1"/>
    <xf numFmtId="0" fontId="31" fillId="4" borderId="30" xfId="0" applyFont="1" applyFill="1" applyBorder="1"/>
    <xf numFmtId="164" fontId="2" fillId="4" borderId="3" xfId="0" applyNumberFormat="1" applyFont="1" applyFill="1" applyBorder="1"/>
    <xf numFmtId="164" fontId="2" fillId="4" borderId="6" xfId="0" applyNumberFormat="1" applyFont="1" applyFill="1" applyBorder="1"/>
    <xf numFmtId="164" fontId="2" fillId="12" borderId="0" xfId="0" applyNumberFormat="1" applyFont="1" applyFill="1" applyBorder="1"/>
    <xf numFmtId="0" fontId="9" fillId="5" borderId="23" xfId="0" applyFont="1" applyFill="1" applyBorder="1"/>
    <xf numFmtId="0" fontId="9" fillId="5" borderId="17" xfId="0" applyFont="1" applyFill="1" applyBorder="1"/>
    <xf numFmtId="0" fontId="5" fillId="12" borderId="31" xfId="0" applyFont="1" applyFill="1" applyBorder="1"/>
    <xf numFmtId="0" fontId="5" fillId="12" borderId="5" xfId="0" applyFont="1" applyFill="1" applyBorder="1"/>
    <xf numFmtId="0" fontId="5" fillId="12" borderId="4" xfId="0" applyFont="1" applyFill="1" applyBorder="1"/>
    <xf numFmtId="165" fontId="31" fillId="8" borderId="0" xfId="0" applyNumberFormat="1" applyFont="1" applyFill="1"/>
    <xf numFmtId="165" fontId="31" fillId="0" borderId="0" xfId="0" applyNumberFormat="1" applyFont="1"/>
    <xf numFmtId="167" fontId="0" fillId="0" borderId="0" xfId="0" applyNumberFormat="1" applyFill="1" applyBorder="1"/>
    <xf numFmtId="0" fontId="0" fillId="3" borderId="17" xfId="0" applyFill="1" applyBorder="1"/>
    <xf numFmtId="166" fontId="0" fillId="0" borderId="2" xfId="0" applyNumberFormat="1" applyFill="1" applyBorder="1"/>
    <xf numFmtId="164" fontId="2" fillId="5" borderId="4" xfId="0" applyNumberFormat="1" applyFont="1" applyFill="1" applyBorder="1"/>
    <xf numFmtId="164" fontId="2" fillId="5" borderId="0" xfId="0" applyNumberFormat="1" applyFont="1" applyFill="1" applyBorder="1"/>
    <xf numFmtId="0" fontId="8" fillId="0" borderId="14" xfId="0" applyFont="1" applyBorder="1"/>
    <xf numFmtId="14" fontId="3" fillId="0" borderId="16" xfId="0" applyNumberFormat="1" applyFont="1" applyBorder="1"/>
    <xf numFmtId="0" fontId="0" fillId="10" borderId="15" xfId="0" applyFill="1" applyBorder="1"/>
    <xf numFmtId="0" fontId="0" fillId="10" borderId="16" xfId="0" applyFill="1" applyBorder="1"/>
    <xf numFmtId="0" fontId="0" fillId="4" borderId="27" xfId="0" applyFill="1" applyBorder="1"/>
    <xf numFmtId="0" fontId="0" fillId="9" borderId="19" xfId="0" applyFill="1" applyBorder="1"/>
    <xf numFmtId="0" fontId="0" fillId="13" borderId="8" xfId="0" applyFill="1" applyBorder="1"/>
    <xf numFmtId="0" fontId="0" fillId="13" borderId="19" xfId="0" applyFill="1" applyBorder="1"/>
    <xf numFmtId="0" fontId="0" fillId="13" borderId="9" xfId="0" applyFill="1" applyBorder="1"/>
    <xf numFmtId="0" fontId="8" fillId="0" borderId="0" xfId="0" applyFont="1" applyBorder="1"/>
    <xf numFmtId="0" fontId="3" fillId="0" borderId="21" xfId="0" applyFont="1" applyBorder="1"/>
    <xf numFmtId="0" fontId="5" fillId="4" borderId="14" xfId="0" applyFont="1" applyFill="1" applyBorder="1"/>
    <xf numFmtId="0" fontId="5" fillId="4" borderId="15" xfId="0" applyFont="1" applyFill="1" applyBorder="1"/>
    <xf numFmtId="0" fontId="2" fillId="0" borderId="15" xfId="0" applyFont="1" applyBorder="1"/>
    <xf numFmtId="0" fontId="0" fillId="0" borderId="15" xfId="0" applyBorder="1"/>
    <xf numFmtId="0" fontId="0" fillId="0" borderId="16" xfId="0" applyBorder="1"/>
    <xf numFmtId="14" fontId="3" fillId="0" borderId="0" xfId="0" applyNumberFormat="1" applyFont="1"/>
    <xf numFmtId="0" fontId="14" fillId="10" borderId="0" xfId="0" applyFont="1" applyFill="1"/>
    <xf numFmtId="164" fontId="2" fillId="0" borderId="0" xfId="0" applyNumberFormat="1" applyFont="1"/>
    <xf numFmtId="2" fontId="2" fillId="6" borderId="23" xfId="0" applyNumberFormat="1" applyFont="1" applyFill="1" applyBorder="1"/>
    <xf numFmtId="2" fontId="2" fillId="0" borderId="0" xfId="0" applyNumberFormat="1" applyFont="1" applyFill="1"/>
    <xf numFmtId="165" fontId="2" fillId="0" borderId="0" xfId="0" applyNumberFormat="1" applyFont="1"/>
    <xf numFmtId="164" fontId="8" fillId="6" borderId="0" xfId="0" applyNumberFormat="1" applyFont="1" applyFill="1" applyBorder="1"/>
    <xf numFmtId="2" fontId="8" fillId="0" borderId="0" xfId="0" applyNumberFormat="1" applyFont="1" applyBorder="1"/>
    <xf numFmtId="2" fontId="2" fillId="0" borderId="0" xfId="0" applyNumberFormat="1" applyFont="1"/>
    <xf numFmtId="1" fontId="2" fillId="6" borderId="23" xfId="0" applyNumberFormat="1" applyFont="1" applyFill="1" applyBorder="1"/>
    <xf numFmtId="1" fontId="2" fillId="0" borderId="0" xfId="0" applyNumberFormat="1" applyFont="1"/>
    <xf numFmtId="14" fontId="3" fillId="4" borderId="0" xfId="0" applyNumberFormat="1" applyFont="1" applyFill="1" applyBorder="1"/>
    <xf numFmtId="165" fontId="2" fillId="6" borderId="23" xfId="0" applyNumberFormat="1" applyFont="1" applyFill="1" applyBorder="1"/>
    <xf numFmtId="165" fontId="0" fillId="5" borderId="0" xfId="0" applyNumberFormat="1" applyFill="1"/>
    <xf numFmtId="164" fontId="2" fillId="6" borderId="23" xfId="0" applyNumberFormat="1" applyFont="1" applyFill="1" applyBorder="1"/>
    <xf numFmtId="165" fontId="2" fillId="0" borderId="0" xfId="0" applyNumberFormat="1" applyFont="1" applyFill="1"/>
    <xf numFmtId="2" fontId="8" fillId="0" borderId="0" xfId="0" applyNumberFormat="1" applyFont="1" applyFill="1"/>
    <xf numFmtId="165" fontId="2" fillId="0" borderId="0" xfId="0" applyNumberFormat="1" applyFont="1" applyFill="1" applyBorder="1"/>
    <xf numFmtId="164" fontId="8" fillId="6" borderId="8" xfId="0" applyNumberFormat="1" applyFont="1" applyFill="1" applyBorder="1"/>
    <xf numFmtId="164" fontId="8" fillId="6" borderId="31" xfId="0" applyNumberFormat="1" applyFont="1" applyFill="1" applyBorder="1"/>
    <xf numFmtId="164" fontId="2" fillId="6" borderId="31" xfId="0" applyNumberFormat="1" applyFont="1" applyFill="1" applyBorder="1"/>
    <xf numFmtId="164" fontId="8" fillId="5" borderId="0" xfId="0" applyNumberFormat="1" applyFont="1" applyFill="1"/>
    <xf numFmtId="14" fontId="3" fillId="4" borderId="2" xfId="0" applyNumberFormat="1" applyFont="1" applyFill="1" applyBorder="1"/>
    <xf numFmtId="0" fontId="14" fillId="10" borderId="2" xfId="0" applyFont="1" applyFill="1" applyBorder="1"/>
    <xf numFmtId="0" fontId="8" fillId="5" borderId="2" xfId="0" applyFont="1" applyFill="1" applyBorder="1"/>
    <xf numFmtId="0" fontId="0" fillId="8" borderId="9" xfId="0" applyFill="1" applyBorder="1"/>
    <xf numFmtId="164" fontId="8" fillId="0" borderId="0" xfId="0" applyNumberFormat="1" applyFont="1"/>
    <xf numFmtId="0" fontId="14" fillId="0" borderId="14" xfId="0" applyFont="1" applyBorder="1"/>
    <xf numFmtId="0" fontId="0" fillId="9" borderId="0" xfId="0" applyFill="1"/>
    <xf numFmtId="0" fontId="6" fillId="4" borderId="3" xfId="0" applyFont="1" applyFill="1" applyBorder="1"/>
    <xf numFmtId="0" fontId="6" fillId="4" borderId="8" xfId="0" applyFont="1" applyFill="1" applyBorder="1"/>
    <xf numFmtId="14" fontId="3" fillId="4" borderId="9" xfId="0" applyNumberFormat="1" applyFont="1" applyFill="1" applyBorder="1"/>
    <xf numFmtId="0" fontId="6" fillId="4" borderId="6" xfId="0" applyFont="1" applyFill="1" applyBorder="1"/>
    <xf numFmtId="0" fontId="6" fillId="8" borderId="8" xfId="0" applyFont="1" applyFill="1" applyBorder="1"/>
    <xf numFmtId="0" fontId="6" fillId="8" borderId="19" xfId="0" applyFont="1" applyFill="1" applyBorder="1"/>
    <xf numFmtId="164" fontId="2" fillId="6" borderId="0" xfId="0" applyNumberFormat="1" applyFont="1" applyFill="1"/>
    <xf numFmtId="0" fontId="6" fillId="5" borderId="0" xfId="0" applyFont="1" applyFill="1" applyBorder="1"/>
    <xf numFmtId="2" fontId="8" fillId="0" borderId="0" xfId="0" applyNumberFormat="1" applyFont="1"/>
    <xf numFmtId="0" fontId="6" fillId="5" borderId="6" xfId="0" applyFont="1" applyFill="1" applyBorder="1"/>
    <xf numFmtId="0" fontId="6" fillId="0" borderId="0" xfId="0" applyFont="1"/>
    <xf numFmtId="165" fontId="8" fillId="0" borderId="8" xfId="0" applyNumberFormat="1" applyFont="1" applyFill="1" applyBorder="1"/>
    <xf numFmtId="165" fontId="8" fillId="0" borderId="0" xfId="0" applyNumberFormat="1" applyFont="1" applyFill="1" applyBorder="1"/>
    <xf numFmtId="164" fontId="8" fillId="6" borderId="23" xfId="0" applyNumberFormat="1" applyFont="1" applyFill="1" applyBorder="1"/>
    <xf numFmtId="164" fontId="8" fillId="0" borderId="0" xfId="0" applyNumberFormat="1" applyFont="1" applyFill="1" applyBorder="1"/>
    <xf numFmtId="2" fontId="8" fillId="0" borderId="0" xfId="0" applyNumberFormat="1" applyFont="1" applyFill="1" applyBorder="1"/>
    <xf numFmtId="1" fontId="8" fillId="0" borderId="0" xfId="0" applyNumberFormat="1" applyFont="1" applyFill="1" applyBorder="1"/>
    <xf numFmtId="164" fontId="6" fillId="5" borderId="0" xfId="0" applyNumberFormat="1" applyFont="1" applyFill="1"/>
    <xf numFmtId="165" fontId="8" fillId="6" borderId="23" xfId="0" applyNumberFormat="1" applyFont="1" applyFill="1" applyBorder="1"/>
    <xf numFmtId="1" fontId="8" fillId="14" borderId="19" xfId="0" applyNumberFormat="1" applyFont="1" applyFill="1" applyBorder="1"/>
    <xf numFmtId="0" fontId="6" fillId="0" borderId="15" xfId="0" applyFont="1" applyFill="1" applyBorder="1"/>
    <xf numFmtId="0" fontId="6" fillId="0" borderId="16" xfId="0" applyFont="1" applyFill="1" applyBorder="1"/>
    <xf numFmtId="0" fontId="0" fillId="6" borderId="36" xfId="0" applyFill="1" applyBorder="1"/>
    <xf numFmtId="1" fontId="8" fillId="0" borderId="0" xfId="0" applyNumberFormat="1" applyFont="1"/>
    <xf numFmtId="0" fontId="8" fillId="8" borderId="19" xfId="0" applyFont="1" applyFill="1" applyBorder="1"/>
    <xf numFmtId="0" fontId="8" fillId="8" borderId="9" xfId="0" applyFont="1" applyFill="1" applyBorder="1"/>
    <xf numFmtId="165" fontId="8" fillId="0" borderId="0" xfId="0" applyNumberFormat="1" applyFont="1"/>
    <xf numFmtId="2" fontId="8" fillId="6" borderId="23" xfId="0" applyNumberFormat="1" applyFont="1" applyFill="1" applyBorder="1"/>
    <xf numFmtId="0" fontId="8" fillId="2" borderId="0" xfId="0" applyFont="1" applyFill="1"/>
    <xf numFmtId="0" fontId="6" fillId="5" borderId="3" xfId="0" applyFont="1" applyFill="1" applyBorder="1"/>
    <xf numFmtId="0" fontId="6" fillId="5" borderId="4" xfId="0" applyFont="1" applyFill="1" applyBorder="1"/>
    <xf numFmtId="0" fontId="6" fillId="5" borderId="5" xfId="0" applyFont="1" applyFill="1" applyBorder="1"/>
    <xf numFmtId="0" fontId="6" fillId="5" borderId="7" xfId="0" applyFont="1" applyFill="1" applyBorder="1"/>
    <xf numFmtId="0" fontId="0" fillId="6" borderId="7" xfId="0" applyFill="1" applyBorder="1"/>
    <xf numFmtId="0" fontId="6" fillId="4" borderId="19" xfId="0" applyFont="1" applyFill="1" applyBorder="1"/>
    <xf numFmtId="0" fontId="6" fillId="4" borderId="9" xfId="0" applyFont="1" applyFill="1" applyBorder="1"/>
    <xf numFmtId="0" fontId="6" fillId="4" borderId="16" xfId="0" applyFont="1" applyFill="1" applyBorder="1"/>
    <xf numFmtId="0" fontId="14" fillId="10" borderId="14" xfId="0" applyFont="1" applyFill="1" applyBorder="1"/>
    <xf numFmtId="164" fontId="33" fillId="0" borderId="0" xfId="0" applyNumberFormat="1" applyFont="1"/>
    <xf numFmtId="165" fontId="33" fillId="0" borderId="0" xfId="0" applyNumberFormat="1" applyFont="1"/>
    <xf numFmtId="0" fontId="33" fillId="4" borderId="0" xfId="0" applyFont="1" applyFill="1"/>
    <xf numFmtId="0" fontId="31" fillId="0" borderId="0" xfId="0" applyFont="1"/>
    <xf numFmtId="0" fontId="0" fillId="10" borderId="14" xfId="0" applyFill="1" applyBorder="1"/>
    <xf numFmtId="0" fontId="14" fillId="10" borderId="15" xfId="0" applyFont="1" applyFill="1" applyBorder="1"/>
    <xf numFmtId="0" fontId="3" fillId="6" borderId="31" xfId="0" applyFont="1" applyFill="1" applyBorder="1"/>
    <xf numFmtId="165" fontId="2" fillId="8" borderId="0" xfId="0" applyNumberFormat="1" applyFont="1" applyFill="1"/>
    <xf numFmtId="164" fontId="2" fillId="8" borderId="0" xfId="0" applyNumberFormat="1" applyFont="1" applyFill="1"/>
    <xf numFmtId="166" fontId="2" fillId="0" borderId="0" xfId="0" applyNumberFormat="1" applyFont="1"/>
    <xf numFmtId="0" fontId="3" fillId="0" borderId="31" xfId="0" applyFont="1" applyFill="1" applyBorder="1"/>
    <xf numFmtId="2" fontId="8" fillId="4" borderId="6" xfId="0" applyNumberFormat="1" applyFont="1" applyFill="1" applyBorder="1"/>
    <xf numFmtId="2" fontId="8" fillId="4" borderId="12" xfId="0" applyNumberFormat="1" applyFont="1" applyFill="1" applyBorder="1"/>
    <xf numFmtId="0" fontId="31" fillId="4" borderId="31" xfId="0" applyFont="1" applyFill="1" applyBorder="1"/>
    <xf numFmtId="0" fontId="33" fillId="0" borderId="0" xfId="0" applyFont="1"/>
    <xf numFmtId="166" fontId="33" fillId="0" borderId="0" xfId="0" applyNumberFormat="1" applyFont="1"/>
    <xf numFmtId="0" fontId="0" fillId="8" borderId="4" xfId="0" applyFill="1" applyBorder="1"/>
    <xf numFmtId="0" fontId="2" fillId="5" borderId="9" xfId="0" applyFont="1" applyFill="1" applyBorder="1"/>
    <xf numFmtId="0" fontId="0" fillId="4" borderId="32" xfId="0" applyFill="1" applyBorder="1"/>
    <xf numFmtId="1" fontId="2" fillId="4" borderId="3" xfId="0" applyNumberFormat="1" applyFont="1" applyFill="1" applyBorder="1"/>
    <xf numFmtId="1" fontId="2" fillId="4" borderId="6" xfId="0" applyNumberFormat="1" applyFont="1" applyFill="1" applyBorder="1"/>
    <xf numFmtId="1" fontId="2" fillId="4" borderId="7" xfId="0" applyNumberFormat="1" applyFont="1" applyFill="1" applyBorder="1"/>
    <xf numFmtId="0" fontId="0" fillId="0" borderId="3" xfId="0" applyBorder="1"/>
    <xf numFmtId="0" fontId="0" fillId="0" borderId="4" xfId="0" applyBorder="1"/>
    <xf numFmtId="0" fontId="0" fillId="0" borderId="6" xfId="0" applyBorder="1"/>
    <xf numFmtId="0" fontId="0" fillId="0" borderId="30" xfId="0" applyBorder="1"/>
    <xf numFmtId="0" fontId="0" fillId="0" borderId="23" xfId="0" applyBorder="1"/>
    <xf numFmtId="0" fontId="0" fillId="0" borderId="17" xfId="0" applyBorder="1"/>
    <xf numFmtId="164" fontId="8" fillId="4" borderId="3" xfId="0" applyNumberFormat="1" applyFont="1" applyFill="1" applyBorder="1"/>
    <xf numFmtId="164" fontId="8" fillId="4" borderId="6" xfId="0" applyNumberFormat="1" applyFont="1" applyFill="1" applyBorder="1"/>
    <xf numFmtId="0" fontId="0" fillId="4" borderId="35" xfId="0" applyFill="1" applyBorder="1"/>
    <xf numFmtId="0" fontId="0" fillId="4" borderId="10" xfId="0" applyFill="1" applyBorder="1"/>
    <xf numFmtId="0" fontId="0" fillId="4" borderId="34" xfId="0" applyFill="1" applyBorder="1"/>
    <xf numFmtId="0" fontId="0" fillId="4" borderId="21" xfId="0" applyFill="1" applyBorder="1"/>
    <xf numFmtId="0" fontId="0" fillId="4" borderId="23" xfId="0" applyFill="1" applyBorder="1"/>
    <xf numFmtId="0" fontId="0" fillId="4" borderId="17" xfId="0" applyFill="1" applyBorder="1"/>
    <xf numFmtId="0" fontId="17" fillId="13" borderId="31" xfId="0" applyFont="1" applyFill="1" applyBorder="1" applyAlignment="1">
      <alignment horizontal="center" vertical="top" wrapText="1"/>
    </xf>
    <xf numFmtId="0" fontId="18" fillId="13" borderId="31" xfId="0" applyFont="1" applyFill="1" applyBorder="1" applyAlignment="1">
      <alignment horizontal="center" wrapText="1"/>
    </xf>
    <xf numFmtId="165" fontId="8" fillId="4" borderId="13" xfId="0" applyNumberFormat="1" applyFont="1" applyFill="1" applyBorder="1"/>
    <xf numFmtId="164" fontId="8" fillId="4" borderId="30" xfId="0" applyNumberFormat="1" applyFont="1" applyFill="1" applyBorder="1"/>
    <xf numFmtId="164" fontId="8" fillId="4" borderId="23" xfId="0" applyNumberFormat="1" applyFont="1" applyFill="1" applyBorder="1"/>
    <xf numFmtId="2" fontId="8" fillId="4" borderId="23" xfId="0" applyNumberFormat="1" applyFont="1" applyFill="1" applyBorder="1"/>
    <xf numFmtId="2" fontId="8" fillId="4" borderId="17" xfId="0" applyNumberFormat="1" applyFont="1" applyFill="1" applyBorder="1"/>
    <xf numFmtId="0" fontId="3" fillId="6" borderId="6" xfId="0" applyFont="1" applyFill="1" applyBorder="1"/>
    <xf numFmtId="0" fontId="0" fillId="4" borderId="13" xfId="0" applyFill="1" applyBorder="1"/>
    <xf numFmtId="0" fontId="0" fillId="4" borderId="3" xfId="0" applyFill="1" applyBorder="1"/>
    <xf numFmtId="0" fontId="3" fillId="4" borderId="31" xfId="0" applyFont="1" applyFill="1" applyBorder="1"/>
    <xf numFmtId="0" fontId="14" fillId="11" borderId="31" xfId="0" applyFont="1" applyFill="1" applyBorder="1"/>
    <xf numFmtId="164" fontId="31" fillId="4" borderId="5" xfId="0" applyNumberFormat="1" applyFont="1" applyFill="1" applyBorder="1"/>
    <xf numFmtId="2" fontId="31" fillId="4" borderId="5" xfId="0" applyNumberFormat="1" applyFont="1" applyFill="1" applyBorder="1"/>
    <xf numFmtId="165" fontId="31" fillId="4" borderId="5" xfId="0" applyNumberFormat="1" applyFont="1" applyFill="1" applyBorder="1"/>
    <xf numFmtId="164" fontId="31" fillId="4" borderId="7" xfId="0" applyNumberFormat="1" applyFont="1" applyFill="1" applyBorder="1"/>
    <xf numFmtId="1" fontId="31" fillId="4" borderId="7" xfId="0" applyNumberFormat="1" applyFont="1" applyFill="1" applyBorder="1"/>
    <xf numFmtId="164" fontId="31" fillId="4" borderId="3" xfId="0" applyNumberFormat="1" applyFont="1" applyFill="1" applyBorder="1"/>
    <xf numFmtId="164" fontId="31" fillId="4" borderId="4" xfId="0" applyNumberFormat="1" applyFont="1" applyFill="1" applyBorder="1"/>
    <xf numFmtId="164" fontId="31" fillId="4" borderId="6" xfId="0" applyNumberFormat="1" applyFont="1" applyFill="1" applyBorder="1"/>
    <xf numFmtId="164" fontId="31" fillId="4" borderId="0" xfId="0" applyNumberFormat="1" applyFont="1" applyFill="1" applyBorder="1"/>
    <xf numFmtId="165" fontId="32" fillId="4" borderId="3" xfId="0" applyNumberFormat="1" applyFont="1" applyFill="1" applyBorder="1"/>
    <xf numFmtId="165" fontId="32" fillId="4" borderId="6" xfId="0" applyNumberFormat="1" applyFont="1" applyFill="1" applyBorder="1"/>
    <xf numFmtId="0" fontId="32" fillId="6" borderId="23" xfId="0" applyFont="1" applyFill="1" applyBorder="1"/>
    <xf numFmtId="0" fontId="32" fillId="6" borderId="30" xfId="0" applyFont="1" applyFill="1" applyBorder="1"/>
    <xf numFmtId="165" fontId="32" fillId="4" borderId="7" xfId="0" applyNumberFormat="1" applyFont="1" applyFill="1" applyBorder="1"/>
    <xf numFmtId="165" fontId="32" fillId="4" borderId="13" xfId="0" applyNumberFormat="1" applyFont="1" applyFill="1" applyBorder="1"/>
    <xf numFmtId="165" fontId="32" fillId="4" borderId="12" xfId="0" applyNumberFormat="1" applyFont="1" applyFill="1" applyBorder="1"/>
    <xf numFmtId="0" fontId="1" fillId="6" borderId="31" xfId="0" applyFont="1" applyFill="1" applyBorder="1"/>
    <xf numFmtId="165" fontId="2" fillId="4" borderId="30" xfId="0" applyNumberFormat="1" applyFont="1" applyFill="1" applyBorder="1"/>
    <xf numFmtId="165" fontId="32" fillId="4" borderId="30" xfId="0" applyNumberFormat="1" applyFont="1" applyFill="1" applyBorder="1"/>
    <xf numFmtId="165" fontId="2" fillId="4" borderId="23" xfId="0" applyNumberFormat="1" applyFont="1" applyFill="1" applyBorder="1"/>
    <xf numFmtId="165" fontId="32" fillId="4" borderId="23" xfId="0" applyNumberFormat="1" applyFont="1" applyFill="1" applyBorder="1"/>
    <xf numFmtId="165" fontId="2" fillId="4" borderId="17" xfId="0" applyNumberFormat="1" applyFont="1" applyFill="1" applyBorder="1"/>
    <xf numFmtId="165" fontId="32" fillId="4" borderId="17" xfId="0" applyNumberFormat="1" applyFont="1" applyFill="1" applyBorder="1"/>
    <xf numFmtId="14" fontId="0" fillId="0" borderId="0" xfId="0" applyNumberFormat="1"/>
    <xf numFmtId="0" fontId="1" fillId="10" borderId="0" xfId="0" applyFont="1" applyFill="1"/>
    <xf numFmtId="0" fontId="0" fillId="0" borderId="8" xfId="0" applyBorder="1"/>
    <xf numFmtId="164" fontId="8" fillId="4" borderId="17" xfId="0" applyNumberFormat="1" applyFont="1" applyFill="1" applyBorder="1"/>
    <xf numFmtId="168" fontId="7" fillId="0" borderId="31" xfId="0" applyNumberFormat="1" applyFont="1" applyBorder="1" applyAlignment="1">
      <alignment horizontal="right" wrapText="1"/>
    </xf>
    <xf numFmtId="168" fontId="7" fillId="0" borderId="31" xfId="0" applyNumberFormat="1" applyFont="1" applyFill="1" applyBorder="1" applyAlignment="1">
      <alignment horizontal="right" wrapText="1"/>
    </xf>
    <xf numFmtId="168" fontId="7" fillId="0" borderId="23" xfId="0" applyNumberFormat="1" applyFont="1" applyFill="1" applyBorder="1" applyAlignment="1">
      <alignment horizontal="right" wrapText="1"/>
    </xf>
    <xf numFmtId="165" fontId="9" fillId="4" borderId="12" xfId="0" applyNumberFormat="1" applyFont="1" applyFill="1" applyBorder="1"/>
    <xf numFmtId="14" fontId="2" fillId="4" borderId="30" xfId="0" applyNumberFormat="1" applyFont="1" applyFill="1" applyBorder="1"/>
    <xf numFmtId="165" fontId="31" fillId="4" borderId="4" xfId="0" applyNumberFormat="1" applyFont="1" applyFill="1" applyBorder="1"/>
    <xf numFmtId="165" fontId="31" fillId="4" borderId="2" xfId="0" applyNumberFormat="1" applyFont="1" applyFill="1" applyBorder="1"/>
    <xf numFmtId="165" fontId="35" fillId="4" borderId="5" xfId="0" applyNumberFormat="1" applyFont="1" applyFill="1" applyBorder="1"/>
    <xf numFmtId="165" fontId="35" fillId="4" borderId="7" xfId="0" applyNumberFormat="1" applyFont="1" applyFill="1" applyBorder="1"/>
    <xf numFmtId="165" fontId="11" fillId="4" borderId="7" xfId="0" applyNumberFormat="1" applyFont="1" applyFill="1" applyBorder="1"/>
    <xf numFmtId="166" fontId="11" fillId="4" borderId="7" xfId="0" applyNumberFormat="1" applyFont="1" applyFill="1" applyBorder="1"/>
    <xf numFmtId="165" fontId="11" fillId="4" borderId="13" xfId="0" applyNumberFormat="1" applyFont="1" applyFill="1" applyBorder="1"/>
    <xf numFmtId="14" fontId="6" fillId="4" borderId="17" xfId="0" applyNumberFormat="1" applyFont="1" applyFill="1" applyBorder="1"/>
    <xf numFmtId="1" fontId="0" fillId="0" borderId="0" xfId="0" applyNumberFormat="1"/>
    <xf numFmtId="166" fontId="31" fillId="4" borderId="0" xfId="0" applyNumberFormat="1" applyFont="1" applyFill="1" applyBorder="1"/>
    <xf numFmtId="165" fontId="14" fillId="4" borderId="3" xfId="0" applyNumberFormat="1" applyFont="1" applyFill="1" applyBorder="1"/>
    <xf numFmtId="165" fontId="14" fillId="4" borderId="6" xfId="0" applyNumberFormat="1" applyFont="1" applyFill="1" applyBorder="1"/>
    <xf numFmtId="165" fontId="30" fillId="4" borderId="7" xfId="0" applyNumberFormat="1" applyFont="1" applyFill="1" applyBorder="1"/>
    <xf numFmtId="165" fontId="14" fillId="4" borderId="7" xfId="0" applyNumberFormat="1" applyFont="1" applyFill="1" applyBorder="1"/>
    <xf numFmtId="0" fontId="2" fillId="3" borderId="23" xfId="0" applyFont="1" applyFill="1" applyBorder="1"/>
    <xf numFmtId="165" fontId="30" fillId="4" borderId="23" xfId="0" applyNumberFormat="1" applyFont="1" applyFill="1" applyBorder="1"/>
    <xf numFmtId="164" fontId="8" fillId="4" borderId="7" xfId="0" applyNumberFormat="1" applyFont="1" applyFill="1" applyBorder="1"/>
    <xf numFmtId="2" fontId="2" fillId="0" borderId="5" xfId="0" applyNumberFormat="1" applyFont="1" applyFill="1" applyBorder="1"/>
    <xf numFmtId="2" fontId="8" fillId="0" borderId="7" xfId="0" applyNumberFormat="1" applyFont="1" applyFill="1" applyBorder="1"/>
    <xf numFmtId="2" fontId="2" fillId="0" borderId="7" xfId="0" applyNumberFormat="1" applyFont="1" applyFill="1" applyBorder="1"/>
    <xf numFmtId="2" fontId="2" fillId="0" borderId="13" xfId="0" applyNumberFormat="1" applyFont="1" applyFill="1" applyBorder="1"/>
    <xf numFmtId="164" fontId="31" fillId="0" borderId="0" xfId="0" applyNumberFormat="1" applyFont="1"/>
    <xf numFmtId="0" fontId="31" fillId="0" borderId="0" xfId="0" applyFont="1" applyFill="1"/>
    <xf numFmtId="1" fontId="6" fillId="0" borderId="0" xfId="0" applyNumberFormat="1" applyFont="1"/>
    <xf numFmtId="165" fontId="31" fillId="8" borderId="0" xfId="0" applyNumberFormat="1" applyFont="1" applyFill="1" applyBorder="1"/>
    <xf numFmtId="166" fontId="31" fillId="8" borderId="0" xfId="0" applyNumberFormat="1" applyFont="1" applyFill="1" applyBorder="1"/>
    <xf numFmtId="0" fontId="31" fillId="8" borderId="0" xfId="0" applyFont="1" applyFill="1"/>
    <xf numFmtId="166" fontId="31" fillId="0" borderId="0" xfId="0" applyNumberFormat="1" applyFont="1"/>
    <xf numFmtId="0" fontId="31" fillId="8" borderId="0" xfId="0" applyFont="1" applyFill="1" applyBorder="1"/>
    <xf numFmtId="166" fontId="31" fillId="8" borderId="0" xfId="0" applyNumberFormat="1" applyFont="1" applyFill="1"/>
    <xf numFmtId="167" fontId="31" fillId="8" borderId="0" xfId="0" applyNumberFormat="1" applyFont="1" applyFill="1"/>
    <xf numFmtId="167" fontId="31" fillId="0" borderId="0" xfId="0" applyNumberFormat="1" applyFont="1"/>
    <xf numFmtId="165" fontId="31" fillId="4" borderId="0" xfId="0" applyNumberFormat="1" applyFont="1" applyFill="1"/>
    <xf numFmtId="166" fontId="31" fillId="4" borderId="0" xfId="0" applyNumberFormat="1" applyFont="1" applyFill="1"/>
    <xf numFmtId="167" fontId="31" fillId="4" borderId="0" xfId="0" applyNumberFormat="1" applyFont="1" applyFill="1"/>
    <xf numFmtId="165" fontId="31" fillId="3" borderId="2" xfId="0" applyNumberFormat="1" applyFont="1" applyFill="1" applyBorder="1"/>
    <xf numFmtId="0" fontId="31" fillId="3" borderId="2" xfId="0" applyFont="1" applyFill="1" applyBorder="1"/>
    <xf numFmtId="166" fontId="31" fillId="3" borderId="2" xfId="0" applyNumberFormat="1" applyFont="1" applyFill="1" applyBorder="1"/>
    <xf numFmtId="167" fontId="31" fillId="3" borderId="2" xfId="0" applyNumberFormat="1" applyFont="1" applyFill="1" applyBorder="1"/>
    <xf numFmtId="164" fontId="31" fillId="0" borderId="0" xfId="0" applyNumberFormat="1" applyFont="1" applyFill="1" applyBorder="1"/>
    <xf numFmtId="0" fontId="34" fillId="2" borderId="0" xfId="0" applyFont="1" applyFill="1"/>
    <xf numFmtId="167" fontId="33" fillId="0" borderId="0" xfId="0" applyNumberFormat="1" applyFont="1"/>
    <xf numFmtId="0" fontId="2" fillId="10" borderId="31" xfId="0" applyFont="1" applyFill="1" applyBorder="1"/>
    <xf numFmtId="0" fontId="31" fillId="10" borderId="30" xfId="0" applyFont="1" applyFill="1" applyBorder="1"/>
    <xf numFmtId="0" fontId="9" fillId="10" borderId="23" xfId="0" applyFont="1" applyFill="1" applyBorder="1"/>
    <xf numFmtId="0" fontId="36" fillId="0" borderId="31" xfId="0" applyFont="1" applyBorder="1"/>
    <xf numFmtId="0" fontId="0" fillId="3" borderId="30" xfId="0" applyFill="1" applyBorder="1"/>
    <xf numFmtId="0" fontId="0" fillId="3" borderId="23" xfId="0" applyFill="1" applyBorder="1"/>
    <xf numFmtId="0" fontId="37" fillId="3" borderId="0" xfId="0" applyFont="1" applyFill="1"/>
    <xf numFmtId="0" fontId="39" fillId="0" borderId="0" xfId="0" applyFont="1"/>
    <xf numFmtId="1" fontId="0" fillId="0" borderId="6" xfId="0" applyNumberFormat="1" applyBorder="1"/>
    <xf numFmtId="0" fontId="37" fillId="0" borderId="0" xfId="0" applyFont="1"/>
    <xf numFmtId="0" fontId="2" fillId="13" borderId="31" xfId="0" applyFont="1" applyFill="1" applyBorder="1" applyAlignment="1">
      <alignment vertical="center" wrapText="1"/>
    </xf>
    <xf numFmtId="0" fontId="2" fillId="13" borderId="31" xfId="0" applyFont="1" applyFill="1" applyBorder="1" applyAlignment="1">
      <alignment horizontal="center" vertical="center" wrapText="1"/>
    </xf>
    <xf numFmtId="0" fontId="2" fillId="0" borderId="0" xfId="0" applyFont="1" applyAlignment="1">
      <alignment horizontal="left" vertical="center" wrapText="1"/>
    </xf>
    <xf numFmtId="0" fontId="2" fillId="0" borderId="0" xfId="0" applyFont="1" applyAlignment="1">
      <alignment horizontal="right" vertical="center"/>
    </xf>
    <xf numFmtId="164" fontId="2" fillId="0" borderId="0" xfId="0" applyNumberFormat="1" applyFont="1" applyAlignment="1">
      <alignment horizontal="right" vertical="center"/>
    </xf>
    <xf numFmtId="0" fontId="40" fillId="0" borderId="0" xfId="0" applyFont="1" applyAlignment="1">
      <alignment horizontal="center" vertical="center" readingOrder="1"/>
    </xf>
    <xf numFmtId="0" fontId="41" fillId="0" borderId="0" xfId="0" applyFont="1"/>
    <xf numFmtId="0" fontId="41" fillId="3" borderId="0" xfId="0" applyFont="1" applyFill="1"/>
    <xf numFmtId="0" fontId="13" fillId="3" borderId="0" xfId="0" applyFont="1" applyFill="1" applyAlignment="1">
      <alignment horizontal="left" vertical="center" wrapText="1"/>
    </xf>
    <xf numFmtId="0" fontId="13" fillId="0" borderId="0" xfId="0" applyFont="1" applyAlignment="1">
      <alignment horizontal="right" vertical="center"/>
    </xf>
    <xf numFmtId="164" fontId="37" fillId="0" borderId="0" xfId="0" applyNumberFormat="1" applyFont="1"/>
    <xf numFmtId="0" fontId="36" fillId="0" borderId="8" xfId="0" applyFont="1" applyBorder="1"/>
    <xf numFmtId="0" fontId="36" fillId="0" borderId="17" xfId="0" applyFont="1" applyBorder="1"/>
    <xf numFmtId="1" fontId="0" fillId="0" borderId="5" xfId="0" applyNumberFormat="1" applyBorder="1"/>
    <xf numFmtId="164" fontId="0" fillId="0" borderId="6" xfId="0" applyNumberFormat="1" applyBorder="1"/>
    <xf numFmtId="1" fontId="0" fillId="0" borderId="7" xfId="0" applyNumberFormat="1" applyBorder="1"/>
    <xf numFmtId="0" fontId="2" fillId="0" borderId="0" xfId="0" applyFont="1" applyFill="1" applyAlignment="1">
      <alignment horizontal="right" vertical="center"/>
    </xf>
    <xf numFmtId="0" fontId="13" fillId="0" borderId="0" xfId="0" applyFont="1" applyFill="1" applyAlignment="1">
      <alignment horizontal="right" vertical="center"/>
    </xf>
    <xf numFmtId="0" fontId="25" fillId="0" borderId="0" xfId="0" applyFont="1" applyAlignment="1">
      <alignment horizontal="left" vertical="center" wrapText="1"/>
    </xf>
    <xf numFmtId="0" fontId="25" fillId="0" borderId="0" xfId="0" applyFont="1" applyAlignment="1">
      <alignment horizontal="right"/>
    </xf>
    <xf numFmtId="0" fontId="26" fillId="3" borderId="0" xfId="0" applyFont="1" applyFill="1" applyAlignment="1">
      <alignment horizontal="left" vertical="center" wrapText="1"/>
    </xf>
    <xf numFmtId="0" fontId="26" fillId="0" borderId="0" xfId="0" applyFont="1" applyAlignment="1">
      <alignment horizontal="right"/>
    </xf>
    <xf numFmtId="164" fontId="2" fillId="0" borderId="0" xfId="0" applyNumberFormat="1" applyFont="1" applyFill="1" applyAlignment="1">
      <alignment horizontal="right" vertical="center"/>
    </xf>
    <xf numFmtId="164" fontId="13" fillId="0" borderId="0" xfId="0" applyNumberFormat="1" applyFont="1" applyFill="1" applyAlignment="1">
      <alignment horizontal="right" vertical="center"/>
    </xf>
    <xf numFmtId="0" fontId="25" fillId="0" borderId="0" xfId="0" applyFont="1"/>
    <xf numFmtId="0" fontId="26" fillId="0" borderId="0" xfId="0" applyFont="1"/>
    <xf numFmtId="2" fontId="9" fillId="4" borderId="3" xfId="0" applyNumberFormat="1" applyFont="1" applyFill="1" applyBorder="1"/>
    <xf numFmtId="2" fontId="9" fillId="4" borderId="6" xfId="0" applyNumberFormat="1" applyFont="1" applyFill="1" applyBorder="1"/>
    <xf numFmtId="14" fontId="6" fillId="4" borderId="30" xfId="0" applyNumberFormat="1" applyFont="1" applyFill="1" applyBorder="1"/>
    <xf numFmtId="0" fontId="14" fillId="4" borderId="6" xfId="0" applyFont="1" applyFill="1" applyBorder="1"/>
    <xf numFmtId="0" fontId="14" fillId="4" borderId="7" xfId="0" applyFont="1" applyFill="1" applyBorder="1"/>
    <xf numFmtId="165" fontId="14" fillId="4" borderId="5" xfId="0" applyNumberFormat="1" applyFont="1" applyFill="1" applyBorder="1"/>
    <xf numFmtId="0" fontId="14" fillId="4" borderId="5" xfId="0" applyFont="1" applyFill="1" applyBorder="1"/>
    <xf numFmtId="0" fontId="14" fillId="4" borderId="12" xfId="0" applyFont="1" applyFill="1" applyBorder="1"/>
    <xf numFmtId="165" fontId="14" fillId="4" borderId="0" xfId="0" applyNumberFormat="1" applyFont="1" applyFill="1" applyBorder="1"/>
    <xf numFmtId="0" fontId="5" fillId="0" borderId="0" xfId="0" applyFont="1"/>
    <xf numFmtId="0" fontId="5" fillId="8" borderId="0" xfId="0" applyFont="1" applyFill="1"/>
    <xf numFmtId="165" fontId="5" fillId="8" borderId="0" xfId="0" applyNumberFormat="1" applyFont="1" applyFill="1"/>
    <xf numFmtId="165" fontId="5" fillId="0" borderId="0" xfId="0" applyNumberFormat="1" applyFont="1" applyFill="1"/>
    <xf numFmtId="0" fontId="5" fillId="8" borderId="9" xfId="0" applyFont="1" applyFill="1" applyBorder="1"/>
    <xf numFmtId="0" fontId="5" fillId="5" borderId="19" xfId="0" applyFont="1" applyFill="1" applyBorder="1"/>
    <xf numFmtId="0" fontId="2" fillId="9" borderId="23" xfId="0" applyFont="1" applyFill="1" applyBorder="1"/>
    <xf numFmtId="0" fontId="2" fillId="5" borderId="26" xfId="0" applyFont="1" applyFill="1" applyBorder="1"/>
    <xf numFmtId="0" fontId="2" fillId="5" borderId="25" xfId="0" applyFont="1" applyFill="1" applyBorder="1"/>
    <xf numFmtId="165" fontId="5" fillId="0" borderId="0" xfId="0" applyNumberFormat="1" applyFont="1"/>
    <xf numFmtId="165" fontId="5" fillId="4" borderId="0" xfId="0" applyNumberFormat="1" applyFont="1" applyFill="1"/>
    <xf numFmtId="164" fontId="5" fillId="0" borderId="0" xfId="0" applyNumberFormat="1" applyFont="1"/>
    <xf numFmtId="2" fontId="5" fillId="0" borderId="0" xfId="0" applyNumberFormat="1" applyFont="1"/>
    <xf numFmtId="1" fontId="5" fillId="0" borderId="0" xfId="0" applyNumberFormat="1" applyFont="1"/>
    <xf numFmtId="1" fontId="5" fillId="0" borderId="2" xfId="0" applyNumberFormat="1" applyFont="1" applyBorder="1"/>
    <xf numFmtId="164" fontId="5" fillId="8" borderId="0" xfId="0" applyNumberFormat="1" applyFont="1" applyFill="1"/>
    <xf numFmtId="164" fontId="29" fillId="0" borderId="0" xfId="0" applyNumberFormat="1" applyFont="1"/>
    <xf numFmtId="164" fontId="5" fillId="0" borderId="0" xfId="0" applyNumberFormat="1" applyFont="1" applyFill="1"/>
    <xf numFmtId="166" fontId="5" fillId="0" borderId="0" xfId="0" applyNumberFormat="1" applyFont="1" applyFill="1"/>
    <xf numFmtId="0" fontId="2" fillId="4" borderId="14" xfId="0" applyFont="1" applyFill="1" applyBorder="1"/>
    <xf numFmtId="164" fontId="31" fillId="0" borderId="0" xfId="0" applyNumberFormat="1" applyFont="1" applyFill="1"/>
    <xf numFmtId="0" fontId="2" fillId="3" borderId="0" xfId="0" applyFont="1" applyFill="1"/>
    <xf numFmtId="0" fontId="44" fillId="0" borderId="0" xfId="0" applyFont="1" applyFill="1"/>
    <xf numFmtId="0" fontId="42" fillId="0" borderId="0" xfId="0" applyFont="1" applyFill="1"/>
    <xf numFmtId="2" fontId="5" fillId="8" borderId="0" xfId="0" applyNumberFormat="1" applyFont="1" applyFill="1"/>
    <xf numFmtId="2" fontId="5" fillId="0" borderId="0" xfId="0" applyNumberFormat="1" applyFont="1" applyFill="1"/>
    <xf numFmtId="165" fontId="33" fillId="6" borderId="0" xfId="0" applyNumberFormat="1" applyFont="1" applyFill="1"/>
    <xf numFmtId="165" fontId="33" fillId="8" borderId="0" xfId="0" applyNumberFormat="1" applyFont="1" applyFill="1"/>
    <xf numFmtId="0" fontId="33" fillId="8" borderId="0" xfId="0" applyFont="1" applyFill="1"/>
    <xf numFmtId="164" fontId="33" fillId="8" borderId="0" xfId="0" applyNumberFormat="1" applyFont="1" applyFill="1"/>
    <xf numFmtId="164" fontId="33" fillId="0" borderId="0" xfId="0" applyNumberFormat="1" applyFont="1" applyFill="1"/>
    <xf numFmtId="165" fontId="33" fillId="0" borderId="0" xfId="0" applyNumberFormat="1" applyFont="1" applyFill="1"/>
    <xf numFmtId="2" fontId="33" fillId="0" borderId="0" xfId="0" applyNumberFormat="1" applyFont="1" applyFill="1"/>
    <xf numFmtId="165" fontId="33" fillId="4" borderId="0" xfId="0" applyNumberFormat="1" applyFont="1" applyFill="1"/>
    <xf numFmtId="164" fontId="5" fillId="4" borderId="0" xfId="0" applyNumberFormat="1" applyFont="1" applyFill="1"/>
    <xf numFmtId="165" fontId="47" fillId="4" borderId="3" xfId="0" applyNumberFormat="1" applyFont="1" applyFill="1" applyBorder="1"/>
    <xf numFmtId="165" fontId="47" fillId="4" borderId="6" xfId="0" applyNumberFormat="1" applyFont="1" applyFill="1" applyBorder="1"/>
    <xf numFmtId="165" fontId="34" fillId="4" borderId="6" xfId="0" applyNumberFormat="1" applyFont="1" applyFill="1" applyBorder="1"/>
    <xf numFmtId="2" fontId="14" fillId="4" borderId="0" xfId="0" applyNumberFormat="1" applyFont="1" applyFill="1" applyBorder="1"/>
    <xf numFmtId="2" fontId="14" fillId="4" borderId="7" xfId="0" applyNumberFormat="1" applyFont="1" applyFill="1" applyBorder="1"/>
    <xf numFmtId="165" fontId="14" fillId="4" borderId="13" xfId="0" applyNumberFormat="1" applyFont="1" applyFill="1" applyBorder="1"/>
    <xf numFmtId="2" fontId="0" fillId="0" borderId="0" xfId="0" applyNumberFormat="1" applyBorder="1"/>
    <xf numFmtId="2" fontId="0" fillId="0" borderId="4" xfId="0" applyNumberFormat="1" applyBorder="1"/>
    <xf numFmtId="2" fontId="0" fillId="0" borderId="2" xfId="0" applyNumberFormat="1" applyBorder="1"/>
    <xf numFmtId="1" fontId="0" fillId="0" borderId="13" xfId="0" applyNumberFormat="1" applyBorder="1"/>
    <xf numFmtId="2" fontId="33" fillId="8" borderId="0" xfId="0" applyNumberFormat="1" applyFont="1" applyFill="1"/>
    <xf numFmtId="0" fontId="22" fillId="0" borderId="0" xfId="0" applyFont="1"/>
    <xf numFmtId="165" fontId="47" fillId="4" borderId="7" xfId="0" applyNumberFormat="1" applyFont="1" applyFill="1" applyBorder="1"/>
    <xf numFmtId="165" fontId="47" fillId="4" borderId="13" xfId="0" applyNumberFormat="1" applyFont="1" applyFill="1" applyBorder="1"/>
    <xf numFmtId="0" fontId="47" fillId="4" borderId="6" xfId="0" applyFont="1" applyFill="1" applyBorder="1"/>
    <xf numFmtId="0" fontId="47" fillId="4" borderId="4" xfId="0" applyFont="1" applyFill="1" applyBorder="1"/>
    <xf numFmtId="0" fontId="47" fillId="4" borderId="5" xfId="0" applyFont="1" applyFill="1" applyBorder="1"/>
    <xf numFmtId="0" fontId="47" fillId="4" borderId="0" xfId="0" applyFont="1" applyFill="1" applyBorder="1"/>
    <xf numFmtId="165" fontId="47" fillId="4" borderId="0" xfId="0" applyNumberFormat="1" applyFont="1" applyFill="1" applyBorder="1"/>
    <xf numFmtId="0" fontId="47" fillId="4" borderId="7" xfId="0" applyFont="1" applyFill="1" applyBorder="1"/>
    <xf numFmtId="0" fontId="47" fillId="4" borderId="2" xfId="0" applyFont="1" applyFill="1" applyBorder="1"/>
    <xf numFmtId="0" fontId="45" fillId="4" borderId="0" xfId="0" applyFont="1" applyFill="1" applyBorder="1"/>
    <xf numFmtId="0" fontId="45" fillId="0" borderId="0" xfId="0" applyFont="1"/>
    <xf numFmtId="0" fontId="45" fillId="0" borderId="8" xfId="0" applyFont="1" applyBorder="1"/>
    <xf numFmtId="0" fontId="47" fillId="6" borderId="30" xfId="0" applyFont="1" applyFill="1" applyBorder="1"/>
    <xf numFmtId="2" fontId="47" fillId="4" borderId="30" xfId="0" applyNumberFormat="1" applyFont="1" applyFill="1" applyBorder="1"/>
    <xf numFmtId="2" fontId="47" fillId="4" borderId="3" xfId="0" applyNumberFormat="1" applyFont="1" applyFill="1" applyBorder="1"/>
    <xf numFmtId="0" fontId="47" fillId="6" borderId="23" xfId="0" applyFont="1" applyFill="1" applyBorder="1"/>
    <xf numFmtId="2" fontId="47" fillId="4" borderId="23" xfId="0" applyNumberFormat="1" applyFont="1" applyFill="1" applyBorder="1"/>
    <xf numFmtId="2" fontId="47" fillId="4" borderId="6" xfId="0" applyNumberFormat="1" applyFont="1" applyFill="1" applyBorder="1"/>
    <xf numFmtId="2" fontId="47" fillId="4" borderId="7" xfId="0" applyNumberFormat="1" applyFont="1" applyFill="1" applyBorder="1"/>
    <xf numFmtId="0" fontId="47" fillId="6" borderId="17" xfId="0" applyFont="1" applyFill="1" applyBorder="1"/>
    <xf numFmtId="2" fontId="47" fillId="4" borderId="17" xfId="0" applyNumberFormat="1" applyFont="1" applyFill="1" applyBorder="1"/>
    <xf numFmtId="0" fontId="47" fillId="4" borderId="12" xfId="0" applyFont="1" applyFill="1" applyBorder="1"/>
    <xf numFmtId="0" fontId="35" fillId="6" borderId="31" xfId="0" applyFont="1" applyFill="1" applyBorder="1"/>
    <xf numFmtId="2" fontId="47" fillId="4" borderId="0" xfId="0" applyNumberFormat="1" applyFont="1" applyFill="1" applyBorder="1"/>
    <xf numFmtId="2" fontId="47" fillId="4" borderId="13" xfId="0" applyNumberFormat="1" applyFont="1" applyFill="1" applyBorder="1"/>
    <xf numFmtId="2" fontId="14" fillId="4" borderId="3" xfId="0" applyNumberFormat="1" applyFont="1" applyFill="1" applyBorder="1"/>
    <xf numFmtId="2" fontId="14" fillId="4" borderId="5" xfId="0" applyNumberFormat="1" applyFont="1" applyFill="1" applyBorder="1"/>
    <xf numFmtId="2" fontId="14" fillId="4" borderId="6" xfId="0" applyNumberFormat="1" applyFont="1" applyFill="1" applyBorder="1"/>
    <xf numFmtId="2" fontId="14" fillId="4" borderId="13" xfId="0" applyNumberFormat="1" applyFont="1" applyFill="1" applyBorder="1"/>
    <xf numFmtId="164" fontId="2" fillId="6" borderId="8" xfId="0" applyNumberFormat="1" applyFont="1" applyFill="1" applyBorder="1"/>
    <xf numFmtId="164" fontId="2" fillId="5" borderId="0" xfId="0" applyNumberFormat="1" applyFont="1" applyFill="1"/>
    <xf numFmtId="0" fontId="2" fillId="5" borderId="2" xfId="0" applyFont="1" applyFill="1" applyBorder="1"/>
    <xf numFmtId="14" fontId="10" fillId="0" borderId="0" xfId="0" applyNumberFormat="1" applyFont="1"/>
    <xf numFmtId="14" fontId="10" fillId="4" borderId="0" xfId="0" applyNumberFormat="1" applyFont="1" applyFill="1" applyBorder="1"/>
    <xf numFmtId="14" fontId="35" fillId="0" borderId="0" xfId="0" applyNumberFormat="1" applyFont="1"/>
    <xf numFmtId="0" fontId="10" fillId="0" borderId="0" xfId="0" applyFont="1"/>
    <xf numFmtId="14" fontId="10" fillId="4" borderId="2" xfId="0" applyNumberFormat="1" applyFont="1" applyFill="1" applyBorder="1"/>
    <xf numFmtId="0" fontId="11" fillId="6" borderId="30" xfId="0" applyFont="1" applyFill="1" applyBorder="1"/>
    <xf numFmtId="165" fontId="11" fillId="4" borderId="3" xfId="0" applyNumberFormat="1" applyFont="1" applyFill="1" applyBorder="1"/>
    <xf numFmtId="0" fontId="11" fillId="6" borderId="23" xfId="0" applyFont="1" applyFill="1" applyBorder="1"/>
    <xf numFmtId="165" fontId="11" fillId="4" borderId="6" xfId="0" applyNumberFormat="1" applyFont="1" applyFill="1" applyBorder="1"/>
    <xf numFmtId="2" fontId="10" fillId="4" borderId="6" xfId="0" applyNumberFormat="1" applyFont="1" applyFill="1" applyBorder="1"/>
    <xf numFmtId="0" fontId="48" fillId="6" borderId="6" xfId="0" applyFont="1" applyFill="1" applyBorder="1"/>
    <xf numFmtId="2" fontId="35" fillId="4" borderId="6" xfId="0" applyNumberFormat="1" applyFont="1" applyFill="1" applyBorder="1"/>
    <xf numFmtId="0" fontId="48" fillId="6" borderId="12" xfId="0" applyFont="1" applyFill="1" applyBorder="1"/>
    <xf numFmtId="2" fontId="35" fillId="4" borderId="12" xfId="0" applyNumberFormat="1" applyFont="1" applyFill="1" applyBorder="1"/>
    <xf numFmtId="2" fontId="45" fillId="4" borderId="6" xfId="0" applyNumberFormat="1" applyFont="1" applyFill="1" applyBorder="1"/>
    <xf numFmtId="2" fontId="45" fillId="4" borderId="12" xfId="0" applyNumberFormat="1" applyFont="1" applyFill="1" applyBorder="1"/>
    <xf numFmtId="1" fontId="47" fillId="4" borderId="3" xfId="0" applyNumberFormat="1" applyFont="1" applyFill="1" applyBorder="1"/>
    <xf numFmtId="1" fontId="47" fillId="4" borderId="6" xfId="0" applyNumberFormat="1" applyFont="1" applyFill="1" applyBorder="1"/>
    <xf numFmtId="1" fontId="47" fillId="4" borderId="7" xfId="0" applyNumberFormat="1" applyFont="1" applyFill="1" applyBorder="1"/>
    <xf numFmtId="14" fontId="3" fillId="5" borderId="30" xfId="0" applyNumberFormat="1" applyFont="1" applyFill="1" applyBorder="1"/>
    <xf numFmtId="1" fontId="5" fillId="0" borderId="0" xfId="0" applyNumberFormat="1" applyFont="1" applyFill="1"/>
    <xf numFmtId="165" fontId="2" fillId="5" borderId="0" xfId="0" applyNumberFormat="1" applyFont="1" applyFill="1"/>
    <xf numFmtId="2" fontId="2" fillId="5" borderId="0" xfId="0" applyNumberFormat="1" applyFont="1" applyFill="1"/>
    <xf numFmtId="2" fontId="2" fillId="5" borderId="3" xfId="0" applyNumberFormat="1" applyFont="1" applyFill="1" applyBorder="1"/>
    <xf numFmtId="2" fontId="8" fillId="5" borderId="6" xfId="0" applyNumberFormat="1" applyFont="1" applyFill="1" applyBorder="1"/>
    <xf numFmtId="2" fontId="2" fillId="5" borderId="6" xfId="0" applyNumberFormat="1" applyFont="1" applyFill="1" applyBorder="1"/>
    <xf numFmtId="2" fontId="2" fillId="5" borderId="12" xfId="0" applyNumberFormat="1" applyFont="1" applyFill="1" applyBorder="1"/>
    <xf numFmtId="165" fontId="2" fillId="5" borderId="0" xfId="0" applyNumberFormat="1" applyFont="1" applyFill="1" applyBorder="1"/>
    <xf numFmtId="165" fontId="2" fillId="5" borderId="7" xfId="0" applyNumberFormat="1" applyFont="1" applyFill="1" applyBorder="1"/>
    <xf numFmtId="0" fontId="14" fillId="5" borderId="0" xfId="0" applyFont="1" applyFill="1"/>
    <xf numFmtId="166" fontId="34" fillId="4" borderId="23" xfId="0" applyNumberFormat="1" applyFont="1" applyFill="1" applyBorder="1"/>
    <xf numFmtId="165" fontId="14" fillId="4" borderId="2" xfId="0" applyNumberFormat="1" applyFont="1" applyFill="1" applyBorder="1"/>
    <xf numFmtId="165" fontId="30" fillId="4" borderId="30" xfId="0" applyNumberFormat="1" applyFont="1" applyFill="1" applyBorder="1"/>
    <xf numFmtId="164" fontId="47" fillId="4" borderId="0" xfId="0" applyNumberFormat="1" applyFont="1" applyFill="1" applyBorder="1"/>
    <xf numFmtId="0" fontId="14" fillId="4" borderId="30" xfId="0" applyFont="1" applyFill="1" applyBorder="1"/>
    <xf numFmtId="166" fontId="2" fillId="0" borderId="0" xfId="0" applyNumberFormat="1" applyFont="1" applyFill="1" applyBorder="1"/>
    <xf numFmtId="0" fontId="51" fillId="0" borderId="0" xfId="0" applyFont="1"/>
    <xf numFmtId="0" fontId="63" fillId="0" borderId="0" xfId="0" applyFont="1"/>
    <xf numFmtId="0" fontId="0" fillId="15" borderId="0" xfId="0" applyFill="1"/>
    <xf numFmtId="164" fontId="14" fillId="4" borderId="3" xfId="0" applyNumberFormat="1" applyFont="1" applyFill="1" applyBorder="1"/>
    <xf numFmtId="0" fontId="0" fillId="15" borderId="2" xfId="0" applyFill="1" applyBorder="1"/>
    <xf numFmtId="2" fontId="14" fillId="15" borderId="7" xfId="0" applyNumberFormat="1" applyFont="1" applyFill="1" applyBorder="1"/>
    <xf numFmtId="2" fontId="2" fillId="15" borderId="7" xfId="0" applyNumberFormat="1" applyFont="1" applyFill="1" applyBorder="1"/>
    <xf numFmtId="164" fontId="2" fillId="15" borderId="3" xfId="0" applyNumberFormat="1" applyFont="1" applyFill="1" applyBorder="1"/>
    <xf numFmtId="164" fontId="2" fillId="15" borderId="6" xfId="0" applyNumberFormat="1" applyFont="1" applyFill="1" applyBorder="1"/>
    <xf numFmtId="166" fontId="31" fillId="15" borderId="6" xfId="0" applyNumberFormat="1" applyFont="1" applyFill="1" applyBorder="1"/>
    <xf numFmtId="0" fontId="31" fillId="15" borderId="12" xfId="0" applyFont="1" applyFill="1" applyBorder="1"/>
    <xf numFmtId="165" fontId="2" fillId="5" borderId="5" xfId="0" applyNumberFormat="1" applyFont="1" applyFill="1" applyBorder="1"/>
    <xf numFmtId="165" fontId="2" fillId="5" borderId="13" xfId="0" applyNumberFormat="1" applyFont="1" applyFill="1" applyBorder="1"/>
    <xf numFmtId="165" fontId="2" fillId="15" borderId="4" xfId="0" applyNumberFormat="1" applyFont="1" applyFill="1" applyBorder="1"/>
    <xf numFmtId="165" fontId="2" fillId="15" borderId="0" xfId="0" applyNumberFormat="1" applyFont="1" applyFill="1" applyBorder="1"/>
    <xf numFmtId="165" fontId="33" fillId="15" borderId="0" xfId="0" applyNumberFormat="1" applyFont="1" applyFill="1" applyBorder="1"/>
    <xf numFmtId="165" fontId="33" fillId="15" borderId="2" xfId="0" applyNumberFormat="1" applyFont="1" applyFill="1" applyBorder="1"/>
    <xf numFmtId="166" fontId="2" fillId="15" borderId="5" xfId="0" applyNumberFormat="1" applyFont="1" applyFill="1" applyBorder="1"/>
    <xf numFmtId="166" fontId="2" fillId="15" borderId="7" xfId="0" applyNumberFormat="1" applyFont="1" applyFill="1" applyBorder="1"/>
    <xf numFmtId="0" fontId="63" fillId="0" borderId="0" xfId="0" applyNumberFormat="1" applyFont="1"/>
    <xf numFmtId="0" fontId="64" fillId="0" borderId="0" xfId="0" applyFont="1"/>
    <xf numFmtId="0" fontId="64" fillId="0" borderId="0" xfId="0" applyNumberFormat="1" applyFont="1"/>
    <xf numFmtId="0" fontId="65" fillId="0" borderId="0" xfId="0" applyFont="1"/>
    <xf numFmtId="0" fontId="63" fillId="16" borderId="8" xfId="0" applyFont="1" applyFill="1" applyBorder="1"/>
    <xf numFmtId="0" fontId="63" fillId="16" borderId="19" xfId="0" applyFont="1" applyFill="1" applyBorder="1"/>
    <xf numFmtId="0" fontId="63" fillId="16" borderId="4" xfId="0" applyFont="1" applyFill="1" applyBorder="1"/>
    <xf numFmtId="1" fontId="0" fillId="15" borderId="35" xfId="0" applyNumberFormat="1" applyFill="1" applyBorder="1"/>
    <xf numFmtId="165" fontId="0" fillId="15" borderId="11" xfId="0" applyNumberFormat="1" applyFill="1" applyBorder="1"/>
    <xf numFmtId="1" fontId="0" fillId="15" borderId="32" xfId="0" applyNumberFormat="1" applyFill="1" applyBorder="1"/>
    <xf numFmtId="165" fontId="0" fillId="15" borderId="41" xfId="0" applyNumberFormat="1" applyFill="1" applyBorder="1"/>
    <xf numFmtId="1" fontId="0" fillId="15" borderId="34" xfId="0" applyNumberFormat="1" applyFill="1" applyBorder="1"/>
    <xf numFmtId="165" fontId="0" fillId="15" borderId="29" xfId="0" applyNumberFormat="1" applyFill="1" applyBorder="1"/>
    <xf numFmtId="0" fontId="63" fillId="17" borderId="0" xfId="0" applyFont="1" applyFill="1"/>
    <xf numFmtId="0" fontId="0" fillId="17" borderId="0" xfId="0" applyFill="1"/>
    <xf numFmtId="0" fontId="63" fillId="16" borderId="5" xfId="0" applyFont="1" applyFill="1" applyBorder="1"/>
    <xf numFmtId="0" fontId="0" fillId="0" borderId="14" xfId="0" applyBorder="1"/>
    <xf numFmtId="165" fontId="0" fillId="17" borderId="0" xfId="0" applyNumberFormat="1" applyFill="1"/>
    <xf numFmtId="0" fontId="63" fillId="17" borderId="3" xfId="0" applyFont="1" applyFill="1" applyBorder="1"/>
    <xf numFmtId="0" fontId="0" fillId="17" borderId="5" xfId="0" applyFill="1" applyBorder="1"/>
    <xf numFmtId="0" fontId="63" fillId="17" borderId="12" xfId="0" applyFont="1" applyFill="1" applyBorder="1"/>
    <xf numFmtId="0" fontId="0" fillId="17" borderId="13" xfId="0" applyFill="1" applyBorder="1"/>
    <xf numFmtId="165" fontId="0" fillId="0" borderId="5" xfId="0" applyNumberFormat="1" applyBorder="1"/>
    <xf numFmtId="165" fontId="0" fillId="0" borderId="7" xfId="0" applyNumberFormat="1" applyBorder="1"/>
    <xf numFmtId="165" fontId="0" fillId="0" borderId="13" xfId="0" applyNumberFormat="1" applyBorder="1"/>
    <xf numFmtId="164" fontId="8" fillId="0" borderId="15" xfId="0" applyNumberFormat="1" applyFont="1" applyFill="1" applyBorder="1"/>
    <xf numFmtId="2" fontId="67" fillId="0" borderId="0" xfId="0" applyNumberFormat="1" applyFont="1"/>
    <xf numFmtId="0" fontId="68" fillId="0" borderId="0" xfId="0" applyFont="1"/>
    <xf numFmtId="0" fontId="52" fillId="0" borderId="0" xfId="0" applyFont="1"/>
    <xf numFmtId="164" fontId="4" fillId="0" borderId="45" xfId="0" applyNumberFormat="1" applyFont="1" applyBorder="1" applyAlignment="1">
      <alignment horizontal="center" wrapText="1"/>
    </xf>
    <xf numFmtId="164" fontId="4" fillId="0" borderId="46" xfId="0" applyNumberFormat="1" applyFont="1" applyBorder="1" applyAlignment="1">
      <alignment horizontal="center" wrapText="1"/>
    </xf>
    <xf numFmtId="164" fontId="4" fillId="0" borderId="47" xfId="0" applyNumberFormat="1" applyFont="1" applyBorder="1" applyAlignment="1">
      <alignment horizontal="center" wrapText="1"/>
    </xf>
    <xf numFmtId="164" fontId="4" fillId="0" borderId="49" xfId="0" applyNumberFormat="1" applyFont="1" applyBorder="1" applyAlignment="1">
      <alignment horizontal="center" wrapText="1"/>
    </xf>
    <xf numFmtId="164" fontId="4" fillId="0" borderId="31" xfId="0" applyNumberFormat="1" applyFont="1" applyBorder="1" applyAlignment="1">
      <alignment horizontal="center"/>
    </xf>
    <xf numFmtId="164" fontId="4" fillId="16" borderId="3" xfId="0" applyNumberFormat="1" applyFont="1" applyFill="1" applyBorder="1"/>
    <xf numFmtId="164" fontId="4" fillId="16" borderId="6" xfId="0" applyNumberFormat="1" applyFont="1" applyFill="1" applyBorder="1"/>
    <xf numFmtId="164" fontId="4" fillId="16" borderId="12" xfId="0" applyNumberFormat="1" applyFont="1" applyFill="1" applyBorder="1"/>
    <xf numFmtId="165" fontId="5" fillId="0" borderId="30" xfId="0" applyNumberFormat="1" applyFont="1" applyFill="1" applyBorder="1"/>
    <xf numFmtId="165" fontId="5" fillId="0" borderId="23" xfId="0" applyNumberFormat="1" applyFont="1" applyFill="1" applyBorder="1"/>
    <xf numFmtId="165" fontId="5" fillId="0" borderId="17" xfId="0" applyNumberFormat="1" applyFont="1" applyFill="1" applyBorder="1"/>
    <xf numFmtId="165" fontId="5" fillId="0" borderId="6" xfId="0" applyNumberFormat="1" applyFont="1" applyFill="1" applyBorder="1"/>
    <xf numFmtId="165" fontId="5" fillId="0" borderId="12" xfId="0" applyNumberFormat="1" applyFont="1" applyFill="1" applyBorder="1"/>
    <xf numFmtId="0" fontId="69" fillId="0" borderId="0" xfId="0" applyFont="1"/>
    <xf numFmtId="0" fontId="5" fillId="13" borderId="42" xfId="0" applyFont="1" applyFill="1" applyBorder="1" applyAlignment="1">
      <alignment horizontal="center" vertical="center" wrapText="1"/>
    </xf>
    <xf numFmtId="0" fontId="5" fillId="13" borderId="30" xfId="0" applyFont="1" applyFill="1" applyBorder="1" applyAlignment="1">
      <alignment horizontal="center" vertical="center"/>
    </xf>
    <xf numFmtId="0" fontId="5" fillId="13" borderId="43" xfId="0" applyFont="1" applyFill="1" applyBorder="1" applyAlignment="1">
      <alignment horizontal="center" vertical="center" wrapText="1"/>
    </xf>
    <xf numFmtId="0" fontId="5" fillId="13" borderId="52" xfId="0" applyFont="1" applyFill="1" applyBorder="1" applyAlignment="1">
      <alignment horizontal="center" vertical="center" wrapText="1"/>
    </xf>
    <xf numFmtId="1" fontId="33" fillId="0" borderId="0" xfId="0" applyNumberFormat="1" applyFont="1"/>
    <xf numFmtId="1" fontId="5" fillId="8" borderId="0" xfId="0" applyNumberFormat="1" applyFont="1" applyFill="1"/>
    <xf numFmtId="0" fontId="5" fillId="13" borderId="0" xfId="0" applyFont="1" applyFill="1" applyBorder="1" applyAlignment="1">
      <alignment horizontal="center" vertical="center" wrapText="1"/>
    </xf>
    <xf numFmtId="0" fontId="30" fillId="0" borderId="0" xfId="0" applyFont="1" applyFill="1" applyBorder="1"/>
    <xf numFmtId="164" fontId="4" fillId="0" borderId="42" xfId="0" applyNumberFormat="1" applyFont="1" applyBorder="1" applyAlignment="1">
      <alignment horizontal="center" wrapText="1"/>
    </xf>
    <xf numFmtId="164" fontId="4" fillId="0" borderId="53" xfId="0" applyNumberFormat="1" applyFont="1" applyBorder="1" applyAlignment="1">
      <alignment horizontal="center" wrapText="1"/>
    </xf>
    <xf numFmtId="164" fontId="4" fillId="0" borderId="54" xfId="0" applyNumberFormat="1" applyFont="1" applyBorder="1" applyAlignment="1">
      <alignment horizontal="center" wrapText="1"/>
    </xf>
    <xf numFmtId="164" fontId="4" fillId="0" borderId="55" xfId="0" applyNumberFormat="1" applyFont="1" applyBorder="1" applyAlignment="1">
      <alignment horizontal="center" wrapText="1"/>
    </xf>
    <xf numFmtId="164" fontId="4" fillId="0" borderId="56" xfId="0" applyNumberFormat="1" applyFont="1" applyBorder="1" applyAlignment="1">
      <alignment horizontal="center" wrapText="1"/>
    </xf>
    <xf numFmtId="164" fontId="4" fillId="0" borderId="57" xfId="0" applyNumberFormat="1" applyFont="1" applyBorder="1" applyAlignment="1">
      <alignment horizontal="center" wrapText="1"/>
    </xf>
    <xf numFmtId="164" fontId="4" fillId="0" borderId="58" xfId="0" applyNumberFormat="1" applyFont="1" applyBorder="1" applyAlignment="1">
      <alignment horizontal="center" wrapText="1"/>
    </xf>
    <xf numFmtId="164" fontId="4" fillId="0" borderId="59" xfId="0" applyNumberFormat="1" applyFont="1" applyBorder="1" applyAlignment="1">
      <alignment horizontal="center" wrapText="1"/>
    </xf>
    <xf numFmtId="164" fontId="4" fillId="0" borderId="60" xfId="0" applyNumberFormat="1" applyFont="1" applyBorder="1" applyAlignment="1">
      <alignment horizontal="center" wrapText="1"/>
    </xf>
    <xf numFmtId="164" fontId="4" fillId="0" borderId="61" xfId="0" applyNumberFormat="1" applyFont="1" applyBorder="1" applyAlignment="1">
      <alignment horizontal="center" wrapText="1"/>
    </xf>
    <xf numFmtId="164" fontId="4" fillId="0" borderId="8" xfId="0" applyNumberFormat="1" applyFont="1" applyBorder="1" applyAlignment="1">
      <alignment horizontal="center"/>
    </xf>
    <xf numFmtId="164" fontId="4" fillId="0" borderId="27" xfId="0" applyNumberFormat="1" applyFont="1" applyBorder="1" applyAlignment="1">
      <alignment horizontal="center"/>
    </xf>
    <xf numFmtId="164" fontId="4" fillId="0" borderId="22" xfId="0" applyNumberFormat="1" applyFont="1" applyBorder="1" applyAlignment="1">
      <alignment horizontal="center" wrapText="1"/>
    </xf>
    <xf numFmtId="164" fontId="4" fillId="0" borderId="28" xfId="0" applyNumberFormat="1" applyFont="1" applyBorder="1" applyAlignment="1">
      <alignment horizontal="center" wrapText="1"/>
    </xf>
    <xf numFmtId="1" fontId="4" fillId="0" borderId="45" xfId="0" applyNumberFormat="1" applyFont="1" applyBorder="1" applyAlignment="1">
      <alignment horizontal="center" wrapText="1"/>
    </xf>
    <xf numFmtId="1" fontId="4" fillId="0" borderId="42" xfId="0" applyNumberFormat="1" applyFont="1" applyBorder="1" applyAlignment="1">
      <alignment horizontal="center" wrapText="1"/>
    </xf>
    <xf numFmtId="1" fontId="4" fillId="0" borderId="62" xfId="0" applyNumberFormat="1" applyFont="1" applyBorder="1" applyAlignment="1">
      <alignment horizontal="center" wrapText="1"/>
    </xf>
    <xf numFmtId="1" fontId="4" fillId="0" borderId="63" xfId="0" applyNumberFormat="1" applyFont="1" applyBorder="1" applyAlignment="1">
      <alignment horizontal="center" wrapText="1"/>
    </xf>
    <xf numFmtId="1" fontId="4" fillId="0" borderId="64" xfId="0" applyNumberFormat="1" applyFont="1" applyBorder="1" applyAlignment="1">
      <alignment horizontal="center" wrapText="1"/>
    </xf>
    <xf numFmtId="0" fontId="14" fillId="13" borderId="0" xfId="0" applyFont="1" applyFill="1" applyBorder="1" applyAlignment="1">
      <alignment horizontal="center" vertical="center" wrapText="1"/>
    </xf>
    <xf numFmtId="0" fontId="4" fillId="0" borderId="0" xfId="0" applyFont="1"/>
    <xf numFmtId="0" fontId="54" fillId="0" borderId="0" xfId="0" applyFont="1" applyAlignment="1">
      <alignment horizontal="center"/>
    </xf>
    <xf numFmtId="0" fontId="4" fillId="13" borderId="48" xfId="0" applyFont="1" applyFill="1" applyBorder="1" applyAlignment="1">
      <alignment horizontal="center" vertical="top" wrapText="1"/>
    </xf>
    <xf numFmtId="0" fontId="4" fillId="13" borderId="72" xfId="0" applyFont="1" applyFill="1" applyBorder="1" applyAlignment="1">
      <alignment horizontal="center" vertical="top" wrapText="1"/>
    </xf>
    <xf numFmtId="0" fontId="4" fillId="0" borderId="44" xfId="0" applyFont="1" applyBorder="1" applyAlignment="1">
      <alignment horizontal="center" wrapText="1"/>
    </xf>
    <xf numFmtId="0" fontId="4" fillId="0" borderId="48" xfId="0" applyFont="1" applyBorder="1" applyAlignment="1">
      <alignment horizontal="center" wrapText="1"/>
    </xf>
    <xf numFmtId="0" fontId="4" fillId="0" borderId="31" xfId="0" applyFont="1" applyBorder="1" applyAlignment="1">
      <alignment horizontal="center"/>
    </xf>
    <xf numFmtId="0" fontId="4" fillId="0" borderId="31" xfId="0" applyFont="1" applyFill="1" applyBorder="1" applyAlignment="1">
      <alignment horizontal="center" wrapText="1"/>
    </xf>
    <xf numFmtId="0" fontId="4" fillId="0" borderId="0" xfId="0" applyFont="1" applyAlignment="1">
      <alignment wrapText="1"/>
    </xf>
    <xf numFmtId="0" fontId="4" fillId="0" borderId="30" xfId="0" applyFont="1" applyFill="1" applyBorder="1" applyAlignment="1">
      <alignment horizontal="center" wrapText="1"/>
    </xf>
    <xf numFmtId="0" fontId="4" fillId="0" borderId="30" xfId="0" applyFont="1" applyBorder="1" applyAlignment="1">
      <alignment horizontal="center"/>
    </xf>
    <xf numFmtId="0" fontId="4" fillId="0" borderId="65" xfId="0" applyFont="1" applyFill="1" applyBorder="1" applyAlignment="1">
      <alignment horizontal="center" wrapText="1"/>
    </xf>
    <xf numFmtId="0" fontId="4" fillId="0" borderId="54" xfId="0" applyFont="1" applyBorder="1" applyAlignment="1">
      <alignment horizontal="center" wrapText="1"/>
    </xf>
    <xf numFmtId="0" fontId="4" fillId="0" borderId="67" xfId="0" applyFont="1" applyBorder="1" applyAlignment="1">
      <alignment horizontal="center" wrapText="1"/>
    </xf>
    <xf numFmtId="0" fontId="4" fillId="0" borderId="55" xfId="0" applyFont="1" applyBorder="1" applyAlignment="1">
      <alignment horizontal="center" wrapText="1"/>
    </xf>
    <xf numFmtId="0" fontId="4" fillId="0" borderId="68" xfId="0" applyFont="1" applyBorder="1" applyAlignment="1">
      <alignment horizontal="center" wrapText="1"/>
    </xf>
    <xf numFmtId="0" fontId="4" fillId="0" borderId="73" xfId="0" applyFont="1" applyBorder="1" applyAlignment="1">
      <alignment horizontal="center" wrapText="1"/>
    </xf>
    <xf numFmtId="0" fontId="4" fillId="0" borderId="40" xfId="0" applyFont="1" applyBorder="1" applyAlignment="1">
      <alignment horizontal="center" wrapText="1"/>
    </xf>
    <xf numFmtId="0" fontId="4" fillId="0" borderId="74" xfId="0" applyFont="1" applyBorder="1" applyAlignment="1">
      <alignment horizontal="center" wrapText="1"/>
    </xf>
    <xf numFmtId="0" fontId="4" fillId="0" borderId="69" xfId="0" applyFont="1" applyBorder="1" applyAlignment="1">
      <alignment horizontal="center"/>
    </xf>
    <xf numFmtId="0" fontId="4" fillId="0" borderId="40" xfId="0" applyFont="1" applyBorder="1" applyAlignment="1">
      <alignment horizontal="center"/>
    </xf>
    <xf numFmtId="0" fontId="4" fillId="0" borderId="70" xfId="0" applyFont="1" applyBorder="1" applyAlignment="1">
      <alignment horizontal="center"/>
    </xf>
    <xf numFmtId="0" fontId="4" fillId="0" borderId="71" xfId="0" applyFont="1" applyBorder="1" applyAlignment="1">
      <alignment horizontal="center"/>
    </xf>
    <xf numFmtId="164" fontId="69" fillId="0" borderId="0" xfId="0" applyNumberFormat="1" applyFont="1"/>
    <xf numFmtId="1" fontId="69" fillId="0" borderId="0" xfId="0" applyNumberFormat="1" applyFont="1"/>
    <xf numFmtId="165" fontId="33" fillId="0" borderId="0" xfId="0" applyNumberFormat="1" applyFont="1" applyFill="1" applyBorder="1"/>
    <xf numFmtId="0" fontId="0" fillId="16" borderId="0" xfId="0" applyFill="1"/>
    <xf numFmtId="0" fontId="71" fillId="0" borderId="3" xfId="0" applyFont="1" applyBorder="1"/>
    <xf numFmtId="0" fontId="71" fillId="0" borderId="4" xfId="0" applyFont="1" applyBorder="1"/>
    <xf numFmtId="0" fontId="71" fillId="0" borderId="5" xfId="0" applyFont="1" applyBorder="1"/>
    <xf numFmtId="0" fontId="71" fillId="0" borderId="6" xfId="0" applyFont="1" applyBorder="1"/>
    <xf numFmtId="0" fontId="71" fillId="0" borderId="0" xfId="0" applyFont="1" applyBorder="1"/>
    <xf numFmtId="0" fontId="71" fillId="0" borderId="7" xfId="0" applyFont="1" applyBorder="1"/>
    <xf numFmtId="0" fontId="71" fillId="16" borderId="0" xfId="0" applyFont="1" applyFill="1" applyBorder="1"/>
    <xf numFmtId="0" fontId="71" fillId="16" borderId="7" xfId="0" applyFont="1" applyFill="1" applyBorder="1"/>
    <xf numFmtId="0" fontId="72" fillId="0" borderId="3" xfId="0" applyFont="1" applyBorder="1"/>
    <xf numFmtId="0" fontId="72" fillId="0" borderId="4" xfId="0" applyFont="1" applyBorder="1"/>
    <xf numFmtId="0" fontId="72" fillId="0" borderId="6" xfId="0" applyFont="1" applyBorder="1"/>
    <xf numFmtId="0" fontId="72" fillId="0" borderId="0" xfId="0" applyFont="1" applyBorder="1"/>
    <xf numFmtId="0" fontId="0" fillId="16" borderId="0" xfId="0" applyFill="1" applyBorder="1"/>
    <xf numFmtId="0" fontId="72" fillId="16" borderId="0" xfId="0" applyFont="1" applyFill="1" applyBorder="1"/>
    <xf numFmtId="0" fontId="72" fillId="16" borderId="7" xfId="0" applyFont="1" applyFill="1" applyBorder="1"/>
    <xf numFmtId="0" fontId="72" fillId="0" borderId="7" xfId="0" applyFont="1" applyBorder="1"/>
    <xf numFmtId="0" fontId="72" fillId="0" borderId="12" xfId="0" applyFont="1" applyBorder="1"/>
    <xf numFmtId="0" fontId="72" fillId="0" borderId="2" xfId="0" applyFont="1" applyBorder="1"/>
    <xf numFmtId="0" fontId="55" fillId="0" borderId="0" xfId="0" applyFont="1"/>
    <xf numFmtId="0" fontId="55" fillId="13" borderId="42" xfId="0" applyFont="1" applyFill="1" applyBorder="1" applyAlignment="1">
      <alignment horizontal="center" vertical="center" wrapText="1"/>
    </xf>
    <xf numFmtId="0" fontId="55" fillId="13" borderId="30" xfId="0" applyFont="1" applyFill="1" applyBorder="1" applyAlignment="1">
      <alignment horizontal="center" vertical="center"/>
    </xf>
    <xf numFmtId="0" fontId="55" fillId="13" borderId="43" xfId="0" applyFont="1" applyFill="1" applyBorder="1" applyAlignment="1">
      <alignment horizontal="center" vertical="center" wrapText="1"/>
    </xf>
    <xf numFmtId="0" fontId="55" fillId="13" borderId="52" xfId="0" applyFont="1" applyFill="1" applyBorder="1" applyAlignment="1">
      <alignment horizontal="center" vertical="center" wrapText="1"/>
    </xf>
    <xf numFmtId="0" fontId="55" fillId="0" borderId="44" xfId="0" applyFont="1" applyBorder="1" applyAlignment="1">
      <alignment horizontal="center" wrapText="1"/>
    </xf>
    <xf numFmtId="1" fontId="55" fillId="0" borderId="45" xfId="0" applyNumberFormat="1" applyFont="1" applyBorder="1" applyAlignment="1">
      <alignment horizontal="center" wrapText="1"/>
    </xf>
    <xf numFmtId="0" fontId="55" fillId="0" borderId="48" xfId="0" applyFont="1" applyBorder="1" applyAlignment="1">
      <alignment horizontal="center" wrapText="1"/>
    </xf>
    <xf numFmtId="1" fontId="55" fillId="0" borderId="42" xfId="0" applyNumberFormat="1" applyFont="1" applyBorder="1" applyAlignment="1">
      <alignment horizontal="center" wrapText="1"/>
    </xf>
    <xf numFmtId="0" fontId="55" fillId="0" borderId="31" xfId="0" applyFont="1" applyFill="1" applyBorder="1" applyAlignment="1">
      <alignment horizontal="center" wrapText="1"/>
    </xf>
    <xf numFmtId="0" fontId="55" fillId="0" borderId="75" xfId="0" applyFont="1" applyBorder="1" applyAlignment="1">
      <alignment horizontal="center" wrapText="1"/>
    </xf>
    <xf numFmtId="1" fontId="55" fillId="0" borderId="50" xfId="0" applyNumberFormat="1" applyFont="1" applyBorder="1" applyAlignment="1">
      <alignment horizontal="center" wrapText="1"/>
    </xf>
    <xf numFmtId="0" fontId="55" fillId="0" borderId="51" xfId="0" applyFont="1" applyBorder="1" applyAlignment="1">
      <alignment horizontal="center" wrapText="1"/>
    </xf>
    <xf numFmtId="0" fontId="55" fillId="0" borderId="31" xfId="0" applyFont="1" applyBorder="1" applyAlignment="1">
      <alignment horizontal="center" wrapText="1"/>
    </xf>
    <xf numFmtId="0" fontId="55" fillId="13" borderId="48" xfId="0" applyFont="1" applyFill="1" applyBorder="1" applyAlignment="1">
      <alignment horizontal="center" vertical="top" wrapText="1"/>
    </xf>
    <xf numFmtId="0" fontId="55" fillId="13" borderId="72" xfId="0" applyFont="1" applyFill="1" applyBorder="1" applyAlignment="1">
      <alignment horizontal="center" vertical="top" wrapText="1"/>
    </xf>
    <xf numFmtId="0" fontId="73" fillId="0" borderId="0" xfId="0" applyFont="1"/>
    <xf numFmtId="0" fontId="5" fillId="0" borderId="55" xfId="0" applyFont="1" applyBorder="1" applyAlignment="1">
      <alignment horizontal="center" wrapText="1"/>
    </xf>
    <xf numFmtId="0" fontId="25" fillId="0" borderId="31" xfId="0" applyFont="1" applyBorder="1" applyAlignment="1">
      <alignment horizontal="center"/>
    </xf>
    <xf numFmtId="164" fontId="25" fillId="0" borderId="31" xfId="0" applyNumberFormat="1" applyFont="1" applyBorder="1" applyAlignment="1">
      <alignment horizontal="center"/>
    </xf>
    <xf numFmtId="0" fontId="2" fillId="0" borderId="31" xfId="0" applyFont="1" applyBorder="1" applyAlignment="1">
      <alignment horizontal="center"/>
    </xf>
    <xf numFmtId="164" fontId="5" fillId="0" borderId="31" xfId="0" applyNumberFormat="1" applyFont="1" applyFill="1" applyBorder="1" applyAlignment="1">
      <alignment horizontal="center"/>
    </xf>
    <xf numFmtId="164" fontId="5" fillId="0" borderId="31" xfId="0" applyNumberFormat="1" applyFont="1" applyBorder="1" applyAlignment="1">
      <alignment horizontal="center"/>
    </xf>
    <xf numFmtId="1" fontId="5" fillId="0" borderId="31" xfId="0" applyNumberFormat="1" applyFont="1" applyBorder="1" applyAlignment="1">
      <alignment horizontal="center"/>
    </xf>
    <xf numFmtId="1" fontId="5" fillId="0" borderId="8" xfId="0" applyNumberFormat="1" applyFont="1" applyBorder="1" applyAlignment="1">
      <alignment horizontal="center"/>
    </xf>
    <xf numFmtId="0" fontId="0" fillId="0" borderId="19" xfId="0" applyBorder="1"/>
    <xf numFmtId="2" fontId="63" fillId="0" borderId="0" xfId="0" applyNumberFormat="1" applyFont="1"/>
    <xf numFmtId="2" fontId="63" fillId="0" borderId="13" xfId="0" applyNumberFormat="1" applyFont="1" applyBorder="1"/>
    <xf numFmtId="2" fontId="2" fillId="15" borderId="5" xfId="0" applyNumberFormat="1" applyFont="1" applyFill="1" applyBorder="1"/>
    <xf numFmtId="0" fontId="3" fillId="3" borderId="3" xfId="0" applyFont="1" applyFill="1" applyBorder="1"/>
    <xf numFmtId="0" fontId="2" fillId="4" borderId="8" xfId="0" applyFont="1" applyFill="1" applyBorder="1"/>
    <xf numFmtId="0" fontId="9" fillId="4" borderId="27" xfId="0" applyFont="1" applyFill="1" applyBorder="1"/>
    <xf numFmtId="14" fontId="3" fillId="4" borderId="28" xfId="0" applyNumberFormat="1" applyFont="1" applyFill="1" applyBorder="1"/>
    <xf numFmtId="0" fontId="31" fillId="4" borderId="8" xfId="0" applyFont="1" applyFill="1" applyBorder="1"/>
    <xf numFmtId="0" fontId="0" fillId="0" borderId="0" xfId="0" applyAlignment="1">
      <alignment wrapText="1"/>
    </xf>
    <xf numFmtId="0" fontId="0" fillId="0" borderId="0" xfId="0" applyAlignment="1">
      <alignment horizontal="center"/>
    </xf>
    <xf numFmtId="0" fontId="58" fillId="13" borderId="76" xfId="0" applyFont="1" applyFill="1" applyBorder="1" applyAlignment="1">
      <alignment horizontal="center" vertical="top" wrapText="1"/>
    </xf>
    <xf numFmtId="0" fontId="58" fillId="13" borderId="77" xfId="0" applyFont="1" applyFill="1" applyBorder="1" applyAlignment="1">
      <alignment horizontal="center" vertical="top" wrapText="1"/>
    </xf>
    <xf numFmtId="0" fontId="58" fillId="13" borderId="78" xfId="0" applyFont="1" applyFill="1" applyBorder="1" applyAlignment="1">
      <alignment horizontal="center" vertical="top" wrapText="1"/>
    </xf>
    <xf numFmtId="0" fontId="58" fillId="13" borderId="1" xfId="0" applyFont="1" applyFill="1" applyBorder="1" applyAlignment="1">
      <alignment horizontal="center" vertical="top" wrapText="1"/>
    </xf>
    <xf numFmtId="0" fontId="3" fillId="0" borderId="1" xfId="0" applyFont="1" applyBorder="1" applyAlignment="1">
      <alignment horizontal="center" vertical="top" wrapText="1"/>
    </xf>
    <xf numFmtId="164" fontId="3" fillId="0" borderId="1" xfId="0" applyNumberFormat="1" applyFont="1" applyBorder="1" applyAlignment="1">
      <alignment horizontal="right" wrapText="1"/>
    </xf>
    <xf numFmtId="0" fontId="3" fillId="0" borderId="1" xfId="0" applyFont="1" applyBorder="1" applyAlignment="1">
      <alignment horizontal="right" wrapText="1"/>
    </xf>
    <xf numFmtId="164" fontId="59" fillId="0" borderId="1" xfId="0" applyNumberFormat="1" applyFont="1" applyBorder="1" applyAlignment="1">
      <alignment horizontal="right" wrapText="1"/>
    </xf>
    <xf numFmtId="0" fontId="74" fillId="0" borderId="0" xfId="0" applyFont="1" applyAlignment="1">
      <alignment horizontal="center"/>
    </xf>
    <xf numFmtId="0" fontId="74" fillId="19" borderId="83" xfId="0" applyFont="1" applyFill="1" applyBorder="1" applyAlignment="1">
      <alignment wrapText="1"/>
    </xf>
    <xf numFmtId="0" fontId="74" fillId="19" borderId="83" xfId="0" applyFont="1" applyFill="1" applyBorder="1" applyAlignment="1">
      <alignment horizontal="center" wrapText="1"/>
    </xf>
    <xf numFmtId="0" fontId="75" fillId="0" borderId="0" xfId="0" applyFont="1"/>
    <xf numFmtId="0" fontId="76" fillId="19" borderId="83" xfId="0" applyFont="1" applyFill="1" applyBorder="1" applyAlignment="1">
      <alignment wrapText="1"/>
    </xf>
    <xf numFmtId="0" fontId="76" fillId="19" borderId="83" xfId="0" applyFont="1" applyFill="1" applyBorder="1" applyAlignment="1">
      <alignment horizontal="center" wrapText="1"/>
    </xf>
    <xf numFmtId="0" fontId="77" fillId="0" borderId="0" xfId="1" applyFont="1" applyAlignment="1" applyProtection="1"/>
    <xf numFmtId="0" fontId="66" fillId="0" borderId="0" xfId="0" applyFont="1"/>
    <xf numFmtId="168" fontId="5" fillId="0" borderId="31" xfId="0" applyNumberFormat="1" applyFont="1" applyBorder="1" applyAlignment="1">
      <alignment horizontal="right" wrapText="1"/>
    </xf>
    <xf numFmtId="168" fontId="61" fillId="0" borderId="31" xfId="0" applyNumberFormat="1" applyFont="1" applyBorder="1" applyAlignment="1">
      <alignment horizontal="right" wrapText="1"/>
    </xf>
    <xf numFmtId="168" fontId="5" fillId="0" borderId="23" xfId="0" applyNumberFormat="1" applyFont="1" applyFill="1" applyBorder="1" applyAlignment="1">
      <alignment horizontal="right" wrapText="1"/>
    </xf>
    <xf numFmtId="168" fontId="5" fillId="0" borderId="31" xfId="0" applyNumberFormat="1" applyFont="1" applyFill="1" applyBorder="1" applyAlignment="1">
      <alignment horizontal="right" wrapText="1"/>
    </xf>
    <xf numFmtId="0" fontId="5" fillId="0" borderId="31" xfId="0" applyFont="1" applyBorder="1" applyAlignment="1">
      <alignment vertical="top" wrapText="1"/>
    </xf>
    <xf numFmtId="0" fontId="61" fillId="0" borderId="31" xfId="0" applyFont="1" applyBorder="1" applyAlignment="1">
      <alignment wrapText="1"/>
    </xf>
    <xf numFmtId="0" fontId="61" fillId="0" borderId="31" xfId="0" applyFont="1" applyBorder="1" applyAlignment="1">
      <alignment vertical="top" wrapText="1"/>
    </xf>
    <xf numFmtId="0" fontId="18" fillId="16" borderId="31" xfId="0" applyFont="1" applyFill="1" applyBorder="1" applyAlignment="1">
      <alignment horizontal="center" wrapText="1"/>
    </xf>
    <xf numFmtId="165" fontId="66" fillId="0" borderId="17" xfId="0" applyNumberFormat="1" applyFont="1" applyBorder="1"/>
    <xf numFmtId="0" fontId="63" fillId="4" borderId="6" xfId="0" applyFont="1" applyFill="1" applyBorder="1"/>
    <xf numFmtId="0" fontId="63" fillId="4" borderId="12" xfId="0" applyFont="1" applyFill="1" applyBorder="1"/>
    <xf numFmtId="0" fontId="66" fillId="0" borderId="7" xfId="0" applyFont="1" applyBorder="1"/>
    <xf numFmtId="165" fontId="66" fillId="0" borderId="7" xfId="0" applyNumberFormat="1" applyFont="1" applyBorder="1"/>
    <xf numFmtId="1" fontId="30" fillId="4" borderId="30" xfId="0" applyNumberFormat="1" applyFont="1" applyFill="1" applyBorder="1"/>
    <xf numFmtId="1" fontId="30" fillId="4" borderId="23" xfId="0" applyNumberFormat="1" applyFont="1" applyFill="1" applyBorder="1"/>
    <xf numFmtId="1" fontId="30" fillId="4" borderId="3" xfId="0" applyNumberFormat="1" applyFont="1" applyFill="1" applyBorder="1"/>
    <xf numFmtId="1" fontId="30" fillId="4" borderId="6" xfId="0" applyNumberFormat="1" applyFont="1" applyFill="1" applyBorder="1"/>
    <xf numFmtId="1" fontId="63" fillId="4" borderId="6" xfId="0" applyNumberFormat="1" applyFont="1" applyFill="1" applyBorder="1"/>
    <xf numFmtId="1" fontId="63" fillId="0" borderId="0" xfId="0" applyNumberFormat="1" applyFont="1"/>
    <xf numFmtId="0" fontId="52" fillId="0" borderId="0" xfId="0" applyFont="1" applyAlignment="1">
      <alignment horizontal="center"/>
    </xf>
    <xf numFmtId="0" fontId="1" fillId="0" borderId="0" xfId="0" applyFont="1"/>
    <xf numFmtId="0" fontId="1" fillId="0" borderId="0" xfId="0" applyFont="1" applyAlignment="1">
      <alignment horizontal="center"/>
    </xf>
    <xf numFmtId="165" fontId="14" fillId="15" borderId="6" xfId="0" applyNumberFormat="1" applyFont="1" applyFill="1" applyBorder="1"/>
    <xf numFmtId="165" fontId="14" fillId="15" borderId="0" xfId="0" applyNumberFormat="1" applyFont="1" applyFill="1" applyBorder="1"/>
    <xf numFmtId="165" fontId="14" fillId="15" borderId="12" xfId="0" applyNumberFormat="1" applyFont="1" applyFill="1" applyBorder="1"/>
    <xf numFmtId="0" fontId="0" fillId="15" borderId="0" xfId="0" applyFill="1" applyBorder="1"/>
    <xf numFmtId="1" fontId="14" fillId="15" borderId="3" xfId="0" applyNumberFormat="1" applyFont="1" applyFill="1" applyBorder="1"/>
    <xf numFmtId="1" fontId="14" fillId="15" borderId="6" xfId="0" applyNumberFormat="1" applyFont="1" applyFill="1" applyBorder="1"/>
    <xf numFmtId="1" fontId="14" fillId="15" borderId="4" xfId="0" applyNumberFormat="1" applyFont="1" applyFill="1" applyBorder="1"/>
    <xf numFmtId="1" fontId="14" fillId="15" borderId="0" xfId="0" applyNumberFormat="1" applyFont="1" applyFill="1" applyBorder="1"/>
    <xf numFmtId="0" fontId="34" fillId="20" borderId="30" xfId="0" applyFont="1" applyFill="1" applyBorder="1"/>
    <xf numFmtId="0" fontId="34" fillId="20" borderId="23" xfId="0" applyFont="1" applyFill="1" applyBorder="1"/>
    <xf numFmtId="0" fontId="14" fillId="20" borderId="31" xfId="0" applyFont="1" applyFill="1" applyBorder="1"/>
    <xf numFmtId="165" fontId="14" fillId="15" borderId="3" xfId="0" applyNumberFormat="1" applyFont="1" applyFill="1" applyBorder="1"/>
    <xf numFmtId="0" fontId="0" fillId="15" borderId="4" xfId="0" applyFill="1" applyBorder="1"/>
    <xf numFmtId="165" fontId="14" fillId="15" borderId="4" xfId="0" applyNumberFormat="1" applyFont="1" applyFill="1" applyBorder="1"/>
    <xf numFmtId="0" fontId="0" fillId="15" borderId="5" xfId="0" applyFill="1" applyBorder="1"/>
    <xf numFmtId="0" fontId="0" fillId="15" borderId="7" xfId="0" applyFill="1" applyBorder="1"/>
    <xf numFmtId="0" fontId="8" fillId="15" borderId="0" xfId="0" applyFont="1" applyFill="1" applyBorder="1"/>
    <xf numFmtId="165" fontId="14" fillId="15" borderId="30" xfId="0" applyNumberFormat="1" applyFont="1" applyFill="1" applyBorder="1"/>
    <xf numFmtId="165" fontId="14" fillId="15" borderId="23" xfId="0" applyNumberFormat="1" applyFont="1" applyFill="1" applyBorder="1"/>
    <xf numFmtId="165" fontId="14" fillId="15" borderId="17" xfId="0" applyNumberFormat="1" applyFont="1" applyFill="1" applyBorder="1"/>
    <xf numFmtId="0" fontId="0" fillId="15" borderId="6" xfId="0" applyFill="1" applyBorder="1"/>
    <xf numFmtId="0" fontId="0" fillId="15" borderId="12" xfId="0" applyFill="1" applyBorder="1"/>
    <xf numFmtId="0" fontId="70" fillId="0" borderId="0" xfId="0" applyFont="1"/>
    <xf numFmtId="0" fontId="63" fillId="0" borderId="12" xfId="0" applyFont="1" applyBorder="1"/>
    <xf numFmtId="0" fontId="63" fillId="0" borderId="13" xfId="0" applyFont="1" applyBorder="1"/>
    <xf numFmtId="165" fontId="14" fillId="15" borderId="7" xfId="0" applyNumberFormat="1" applyFont="1" applyFill="1" applyBorder="1"/>
    <xf numFmtId="0" fontId="63" fillId="15" borderId="0" xfId="0" applyFont="1" applyFill="1" applyBorder="1"/>
    <xf numFmtId="0" fontId="50" fillId="0" borderId="19" xfId="0" applyFont="1" applyBorder="1"/>
    <xf numFmtId="0" fontId="66" fillId="15" borderId="6" xfId="0" applyFont="1" applyFill="1" applyBorder="1"/>
    <xf numFmtId="0" fontId="2" fillId="15" borderId="12" xfId="0" applyFont="1" applyFill="1" applyBorder="1"/>
    <xf numFmtId="0" fontId="0" fillId="15" borderId="3" xfId="0" applyFill="1" applyBorder="1"/>
    <xf numFmtId="0" fontId="36" fillId="15" borderId="4" xfId="0" applyFont="1" applyFill="1" applyBorder="1"/>
    <xf numFmtId="2" fontId="0" fillId="15" borderId="0" xfId="0" applyNumberFormat="1" applyFill="1" applyBorder="1"/>
    <xf numFmtId="2" fontId="0" fillId="15" borderId="2" xfId="0" applyNumberFormat="1" applyFill="1" applyBorder="1"/>
    <xf numFmtId="0" fontId="0" fillId="15" borderId="13" xfId="0" applyFill="1" applyBorder="1"/>
    <xf numFmtId="14" fontId="78" fillId="4" borderId="17" xfId="0" applyNumberFormat="1" applyFont="1" applyFill="1" applyBorder="1"/>
    <xf numFmtId="164" fontId="0" fillId="0" borderId="7" xfId="0" applyNumberFormat="1" applyBorder="1"/>
    <xf numFmtId="1" fontId="0" fillId="0" borderId="12" xfId="0" applyNumberFormat="1" applyBorder="1"/>
    <xf numFmtId="164" fontId="0" fillId="0" borderId="13" xfId="0" applyNumberFormat="1" applyBorder="1"/>
    <xf numFmtId="0" fontId="2" fillId="16" borderId="0" xfId="0" applyFont="1" applyFill="1"/>
    <xf numFmtId="2" fontId="2" fillId="15" borderId="6" xfId="0" applyNumberFormat="1" applyFont="1" applyFill="1" applyBorder="1"/>
    <xf numFmtId="165" fontId="2" fillId="15" borderId="2" xfId="0" applyNumberFormat="1" applyFont="1" applyFill="1" applyBorder="1"/>
    <xf numFmtId="2" fontId="0" fillId="15" borderId="7" xfId="0" applyNumberFormat="1" applyFill="1" applyBorder="1"/>
    <xf numFmtId="165" fontId="8" fillId="0" borderId="15" xfId="0" applyNumberFormat="1" applyFont="1" applyFill="1" applyBorder="1"/>
    <xf numFmtId="165" fontId="2" fillId="15" borderId="30" xfId="0" applyNumberFormat="1" applyFont="1" applyFill="1" applyBorder="1"/>
    <xf numFmtId="165" fontId="2" fillId="15" borderId="23" xfId="0" applyNumberFormat="1" applyFont="1" applyFill="1" applyBorder="1"/>
    <xf numFmtId="2" fontId="2" fillId="15" borderId="23" xfId="0" applyNumberFormat="1" applyFont="1" applyFill="1" applyBorder="1"/>
    <xf numFmtId="2" fontId="2" fillId="15" borderId="17" xfId="0" applyNumberFormat="1" applyFont="1" applyFill="1" applyBorder="1"/>
    <xf numFmtId="0" fontId="47" fillId="20" borderId="30" xfId="0" applyFont="1" applyFill="1" applyBorder="1"/>
    <xf numFmtId="0" fontId="47" fillId="20" borderId="23" xfId="0" applyFont="1" applyFill="1" applyBorder="1"/>
    <xf numFmtId="0" fontId="47" fillId="20" borderId="17" xfId="0" applyFont="1" applyFill="1" applyBorder="1"/>
    <xf numFmtId="0" fontId="14" fillId="20" borderId="30" xfId="0" applyFont="1" applyFill="1" applyBorder="1"/>
    <xf numFmtId="0" fontId="2" fillId="20" borderId="30" xfId="0" applyFont="1" applyFill="1" applyBorder="1"/>
    <xf numFmtId="1" fontId="47" fillId="4" borderId="23" xfId="0" applyNumberFormat="1" applyFont="1" applyFill="1" applyBorder="1"/>
    <xf numFmtId="0" fontId="14" fillId="0" borderId="0" xfId="0" applyFont="1" applyFill="1"/>
    <xf numFmtId="0" fontId="2" fillId="20" borderId="23" xfId="0" applyFont="1" applyFill="1" applyBorder="1"/>
    <xf numFmtId="0" fontId="2" fillId="20" borderId="6" xfId="0" applyFont="1" applyFill="1" applyBorder="1"/>
    <xf numFmtId="0" fontId="2" fillId="20" borderId="17" xfId="0" applyFont="1" applyFill="1" applyBorder="1"/>
    <xf numFmtId="0" fontId="14" fillId="20" borderId="23" xfId="0" applyFont="1" applyFill="1" applyBorder="1"/>
    <xf numFmtId="165" fontId="2" fillId="20" borderId="30" xfId="0" applyNumberFormat="1" applyFont="1" applyFill="1" applyBorder="1"/>
    <xf numFmtId="165" fontId="2" fillId="20" borderId="23" xfId="0" applyNumberFormat="1" applyFont="1" applyFill="1" applyBorder="1"/>
    <xf numFmtId="0" fontId="2" fillId="20" borderId="31" xfId="0" applyFont="1" applyFill="1" applyBorder="1"/>
    <xf numFmtId="0" fontId="2" fillId="15" borderId="0" xfId="0" applyFont="1" applyFill="1"/>
    <xf numFmtId="0" fontId="50" fillId="0" borderId="9" xfId="0" applyFont="1" applyBorder="1"/>
    <xf numFmtId="0" fontId="2" fillId="20" borderId="5" xfId="0" applyFont="1" applyFill="1" applyBorder="1"/>
    <xf numFmtId="0" fontId="9" fillId="20" borderId="13" xfId="0" applyFont="1" applyFill="1" applyBorder="1"/>
    <xf numFmtId="0" fontId="14" fillId="20" borderId="0" xfId="0" applyFont="1" applyFill="1"/>
    <xf numFmtId="165" fontId="2" fillId="15" borderId="7" xfId="0" applyNumberFormat="1" applyFont="1" applyFill="1" applyBorder="1"/>
    <xf numFmtId="0" fontId="66" fillId="15" borderId="0" xfId="0" applyFont="1" applyFill="1" applyBorder="1"/>
    <xf numFmtId="0" fontId="66" fillId="15" borderId="7" xfId="0" applyFont="1" applyFill="1" applyBorder="1"/>
    <xf numFmtId="165" fontId="2" fillId="15" borderId="17" xfId="0" applyNumberFormat="1" applyFont="1" applyFill="1" applyBorder="1"/>
    <xf numFmtId="0" fontId="0" fillId="22" borderId="8" xfId="0" applyFill="1" applyBorder="1"/>
    <xf numFmtId="0" fontId="9" fillId="20" borderId="17" xfId="0" applyFont="1" applyFill="1" applyBorder="1"/>
    <xf numFmtId="0" fontId="2" fillId="20" borderId="0" xfId="0" applyFont="1" applyFill="1"/>
    <xf numFmtId="0" fontId="0" fillId="22" borderId="31" xfId="0" applyFill="1" applyBorder="1"/>
    <xf numFmtId="0" fontId="69" fillId="15" borderId="4" xfId="0" applyFont="1" applyFill="1" applyBorder="1"/>
    <xf numFmtId="0" fontId="69" fillId="15" borderId="0" xfId="0" applyFont="1" applyFill="1" applyBorder="1"/>
    <xf numFmtId="0" fontId="0" fillId="16" borderId="3" xfId="0" applyFill="1" applyBorder="1"/>
    <xf numFmtId="0" fontId="69" fillId="16" borderId="4" xfId="0" applyFont="1" applyFill="1" applyBorder="1"/>
    <xf numFmtId="0" fontId="0" fillId="16" borderId="4" xfId="0" applyFill="1" applyBorder="1"/>
    <xf numFmtId="0" fontId="0" fillId="16" borderId="5" xfId="0" applyFill="1" applyBorder="1"/>
    <xf numFmtId="0" fontId="69" fillId="15" borderId="2" xfId="0" applyFont="1" applyFill="1" applyBorder="1"/>
    <xf numFmtId="14" fontId="0" fillId="0" borderId="28" xfId="0" applyNumberFormat="1" applyBorder="1"/>
    <xf numFmtId="0" fontId="2" fillId="20" borderId="13" xfId="0" applyFont="1" applyFill="1" applyBorder="1"/>
    <xf numFmtId="1" fontId="2" fillId="15" borderId="30" xfId="0" applyNumberFormat="1" applyFont="1" applyFill="1" applyBorder="1"/>
    <xf numFmtId="1" fontId="2" fillId="15" borderId="23" xfId="0" applyNumberFormat="1" applyFont="1" applyFill="1" applyBorder="1"/>
    <xf numFmtId="165" fontId="69" fillId="16" borderId="27" xfId="0" applyNumberFormat="1" applyFont="1" applyFill="1" applyBorder="1"/>
    <xf numFmtId="165" fontId="69" fillId="16" borderId="22" xfId="0" applyNumberFormat="1" applyFont="1" applyFill="1" applyBorder="1"/>
    <xf numFmtId="165" fontId="69" fillId="16" borderId="28" xfId="0" applyNumberFormat="1" applyFont="1" applyFill="1" applyBorder="1"/>
    <xf numFmtId="2" fontId="2" fillId="15" borderId="30" xfId="0" applyNumberFormat="1" applyFont="1" applyFill="1" applyBorder="1"/>
    <xf numFmtId="165" fontId="2" fillId="15" borderId="5" xfId="0" applyNumberFormat="1" applyFont="1" applyFill="1" applyBorder="1"/>
    <xf numFmtId="0" fontId="14" fillId="20" borderId="17" xfId="0" applyFont="1" applyFill="1" applyBorder="1"/>
    <xf numFmtId="0" fontId="70" fillId="0" borderId="7" xfId="0" applyFont="1" applyBorder="1"/>
    <xf numFmtId="2" fontId="70" fillId="0" borderId="7" xfId="0" applyNumberFormat="1" applyFont="1" applyBorder="1"/>
    <xf numFmtId="2" fontId="70" fillId="0" borderId="13" xfId="0" applyNumberFormat="1" applyFont="1" applyBorder="1"/>
    <xf numFmtId="0" fontId="66" fillId="0" borderId="27" xfId="0" applyFont="1" applyBorder="1"/>
    <xf numFmtId="0" fontId="70" fillId="15" borderId="23" xfId="0" applyFont="1" applyFill="1" applyBorder="1"/>
    <xf numFmtId="0" fontId="70" fillId="15" borderId="7" xfId="0" applyFont="1" applyFill="1" applyBorder="1"/>
    <xf numFmtId="0" fontId="70" fillId="15" borderId="3" xfId="0" applyFont="1" applyFill="1" applyBorder="1"/>
    <xf numFmtId="0" fontId="0" fillId="20" borderId="31" xfId="0" applyFill="1" applyBorder="1"/>
    <xf numFmtId="164" fontId="47" fillId="4" borderId="7" xfId="0" applyNumberFormat="1" applyFont="1" applyFill="1" applyBorder="1"/>
    <xf numFmtId="0" fontId="3" fillId="15" borderId="17" xfId="0" applyFont="1" applyFill="1" applyBorder="1"/>
    <xf numFmtId="164" fontId="47" fillId="4" borderId="13" xfId="0" applyNumberFormat="1" applyFont="1" applyFill="1" applyBorder="1"/>
    <xf numFmtId="2" fontId="47" fillId="4" borderId="2" xfId="0" applyNumberFormat="1" applyFont="1" applyFill="1" applyBorder="1"/>
    <xf numFmtId="1" fontId="47" fillId="4" borderId="0" xfId="0" applyNumberFormat="1" applyFont="1" applyFill="1" applyBorder="1"/>
    <xf numFmtId="1" fontId="47" fillId="4" borderId="13" xfId="0" applyNumberFormat="1" applyFont="1" applyFill="1" applyBorder="1"/>
    <xf numFmtId="1" fontId="47" fillId="4" borderId="12" xfId="0" applyNumberFormat="1" applyFont="1" applyFill="1" applyBorder="1"/>
    <xf numFmtId="1" fontId="47" fillId="4" borderId="30" xfId="0" applyNumberFormat="1" applyFont="1" applyFill="1" applyBorder="1"/>
    <xf numFmtId="164" fontId="47" fillId="4" borderId="5" xfId="0" applyNumberFormat="1" applyFont="1" applyFill="1" applyBorder="1"/>
    <xf numFmtId="1" fontId="47" fillId="4" borderId="17" xfId="0" applyNumberFormat="1" applyFont="1" applyFill="1" applyBorder="1"/>
    <xf numFmtId="0" fontId="47" fillId="4" borderId="13" xfId="0" applyFont="1" applyFill="1" applyBorder="1"/>
    <xf numFmtId="0" fontId="0" fillId="20" borderId="17" xfId="0" applyFill="1" applyBorder="1"/>
    <xf numFmtId="0" fontId="63" fillId="15" borderId="4" xfId="0" applyFont="1" applyFill="1" applyBorder="1"/>
    <xf numFmtId="0" fontId="63" fillId="15" borderId="2" xfId="0" applyFont="1" applyFill="1" applyBorder="1"/>
    <xf numFmtId="0" fontId="70" fillId="15" borderId="2" xfId="0" applyFont="1" applyFill="1" applyBorder="1"/>
    <xf numFmtId="0" fontId="0" fillId="23" borderId="0" xfId="0" applyFill="1"/>
    <xf numFmtId="0" fontId="81" fillId="13" borderId="60" xfId="0" applyFont="1" applyFill="1" applyBorder="1" applyAlignment="1">
      <alignment vertical="top" wrapText="1"/>
    </xf>
    <xf numFmtId="0" fontId="82" fillId="13" borderId="60" xfId="0" applyFont="1" applyFill="1" applyBorder="1" applyAlignment="1">
      <alignment horizontal="center" vertical="top" wrapText="1"/>
    </xf>
    <xf numFmtId="0" fontId="83" fillId="13" borderId="46" xfId="0" applyFont="1" applyFill="1" applyBorder="1" applyAlignment="1">
      <alignment horizontal="center" vertical="top" wrapText="1"/>
    </xf>
    <xf numFmtId="0" fontId="83" fillId="13" borderId="85" xfId="0" applyFont="1" applyFill="1" applyBorder="1" applyAlignment="1">
      <alignment horizontal="center" vertical="top" wrapText="1"/>
    </xf>
    <xf numFmtId="0" fontId="83" fillId="13" borderId="44" xfId="0" applyFont="1" applyFill="1" applyBorder="1" applyAlignment="1">
      <alignment horizontal="center" vertical="top" wrapText="1"/>
    </xf>
    <xf numFmtId="0" fontId="83" fillId="13" borderId="48" xfId="0" applyFont="1" applyFill="1" applyBorder="1" applyAlignment="1">
      <alignment horizontal="center" vertical="top" wrapText="1"/>
    </xf>
    <xf numFmtId="0" fontId="83" fillId="13" borderId="86" xfId="0" applyFont="1" applyFill="1" applyBorder="1" applyAlignment="1">
      <alignment horizontal="center" vertical="top" wrapText="1"/>
    </xf>
    <xf numFmtId="0" fontId="83" fillId="6" borderId="61" xfId="0" applyFont="1" applyFill="1" applyBorder="1" applyAlignment="1">
      <alignment wrapText="1"/>
    </xf>
    <xf numFmtId="164" fontId="83" fillId="6" borderId="6" xfId="0" applyNumberFormat="1" applyFont="1" applyFill="1" applyBorder="1" applyAlignment="1">
      <alignment horizontal="right" wrapText="1"/>
    </xf>
    <xf numFmtId="164" fontId="82" fillId="6" borderId="30" xfId="0" applyNumberFormat="1" applyFont="1" applyFill="1" applyBorder="1"/>
    <xf numFmtId="164" fontId="82" fillId="6" borderId="5" xfId="0" applyNumberFormat="1" applyFont="1" applyFill="1" applyBorder="1"/>
    <xf numFmtId="164" fontId="82" fillId="6" borderId="4" xfId="0" applyNumberFormat="1" applyFont="1" applyFill="1" applyBorder="1"/>
    <xf numFmtId="0" fontId="78" fillId="0" borderId="6" xfId="0" applyFont="1" applyFill="1" applyBorder="1" applyAlignment="1">
      <alignment wrapText="1"/>
    </xf>
    <xf numFmtId="164" fontId="78" fillId="0" borderId="6" xfId="0" applyNumberFormat="1" applyFont="1" applyFill="1" applyBorder="1" applyAlignment="1">
      <alignment horizontal="right" wrapText="1"/>
    </xf>
    <xf numFmtId="164" fontId="81" fillId="0" borderId="23" xfId="0" applyNumberFormat="1" applyFont="1" applyFill="1" applyBorder="1" applyAlignment="1">
      <alignment wrapText="1"/>
    </xf>
    <xf numFmtId="164" fontId="81" fillId="0" borderId="7" xfId="0" applyNumberFormat="1" applyFont="1" applyFill="1" applyBorder="1" applyAlignment="1">
      <alignment wrapText="1"/>
    </xf>
    <xf numFmtId="164" fontId="81" fillId="0" borderId="0" xfId="0" applyNumberFormat="1" applyFont="1" applyFill="1" applyBorder="1" applyAlignment="1">
      <alignment wrapText="1"/>
    </xf>
    <xf numFmtId="0" fontId="16" fillId="6" borderId="6" xfId="0" applyFont="1" applyFill="1" applyBorder="1" applyAlignment="1">
      <alignment horizontal="left" wrapText="1" indent="1"/>
    </xf>
    <xf numFmtId="164" fontId="16" fillId="6" borderId="6" xfId="0" applyNumberFormat="1" applyFont="1" applyFill="1" applyBorder="1" applyAlignment="1">
      <alignment horizontal="right" wrapText="1"/>
    </xf>
    <xf numFmtId="164" fontId="81" fillId="6" borderId="23" xfId="0" applyNumberFormat="1" applyFont="1" applyFill="1" applyBorder="1"/>
    <xf numFmtId="164" fontId="81" fillId="6" borderId="7" xfId="0" applyNumberFormat="1" applyFont="1" applyFill="1" applyBorder="1"/>
    <xf numFmtId="164" fontId="81" fillId="6" borderId="0" xfId="0" applyNumberFormat="1" applyFont="1" applyFill="1" applyBorder="1"/>
    <xf numFmtId="0" fontId="16" fillId="0" borderId="6" xfId="0" applyFont="1" applyFill="1" applyBorder="1" applyAlignment="1">
      <alignment horizontal="left" wrapText="1" indent="2"/>
    </xf>
    <xf numFmtId="164" fontId="16" fillId="0" borderId="6" xfId="0" applyNumberFormat="1" applyFont="1" applyFill="1" applyBorder="1" applyAlignment="1">
      <alignment horizontal="right" wrapText="1"/>
    </xf>
    <xf numFmtId="164" fontId="81" fillId="0" borderId="23" xfId="0" applyNumberFormat="1" applyFont="1" applyFill="1" applyBorder="1"/>
    <xf numFmtId="164" fontId="81" fillId="0" borderId="7" xfId="0" applyNumberFormat="1" applyFont="1" applyFill="1" applyBorder="1"/>
    <xf numFmtId="164" fontId="81" fillId="0" borderId="0" xfId="0" applyNumberFormat="1" applyFont="1" applyFill="1" applyBorder="1"/>
    <xf numFmtId="164" fontId="81" fillId="0" borderId="23" xfId="0" applyNumberFormat="1" applyFont="1" applyFill="1" applyBorder="1" applyAlignment="1">
      <alignment horizontal="right"/>
    </xf>
    <xf numFmtId="0" fontId="16" fillId="4" borderId="6" xfId="0" applyFont="1" applyFill="1" applyBorder="1" applyAlignment="1">
      <alignment horizontal="left" wrapText="1" indent="1"/>
    </xf>
    <xf numFmtId="164" fontId="87" fillId="0" borderId="6" xfId="0" applyNumberFormat="1" applyFont="1" applyFill="1" applyBorder="1" applyAlignment="1">
      <alignment horizontal="right" wrapText="1"/>
    </xf>
    <xf numFmtId="0" fontId="78" fillId="6" borderId="12" xfId="0" applyFont="1" applyFill="1" applyBorder="1" applyAlignment="1">
      <alignment wrapText="1"/>
    </xf>
    <xf numFmtId="164" fontId="78" fillId="6" borderId="12" xfId="0" applyNumberFormat="1" applyFont="1" applyFill="1" applyBorder="1" applyAlignment="1">
      <alignment horizontal="right" wrapText="1"/>
    </xf>
    <xf numFmtId="164" fontId="81" fillId="6" borderId="17" xfId="0" applyNumberFormat="1" applyFont="1" applyFill="1" applyBorder="1"/>
    <xf numFmtId="164" fontId="81" fillId="6" borderId="13" xfId="0" applyNumberFormat="1" applyFont="1" applyFill="1" applyBorder="1"/>
    <xf numFmtId="164" fontId="81" fillId="6" borderId="2" xfId="0" applyNumberFormat="1" applyFont="1" applyFill="1" applyBorder="1"/>
    <xf numFmtId="0" fontId="78" fillId="0" borderId="0" xfId="0" applyFont="1" applyFill="1" applyBorder="1" applyAlignment="1">
      <alignment wrapText="1"/>
    </xf>
    <xf numFmtId="0" fontId="86" fillId="0" borderId="0" xfId="0" applyFont="1" applyFill="1" applyBorder="1" applyAlignment="1">
      <alignment vertical="top"/>
    </xf>
    <xf numFmtId="0" fontId="88" fillId="0" borderId="0" xfId="0" applyFont="1" applyFill="1"/>
    <xf numFmtId="0" fontId="86" fillId="0" borderId="0" xfId="0" applyFont="1" applyFill="1" applyBorder="1" applyAlignment="1"/>
    <xf numFmtId="164" fontId="0" fillId="0" borderId="0" xfId="0" applyNumberFormat="1" applyFill="1"/>
    <xf numFmtId="165" fontId="81" fillId="0" borderId="23" xfId="0" applyNumberFormat="1" applyFont="1" applyFill="1" applyBorder="1"/>
    <xf numFmtId="165" fontId="81" fillId="6" borderId="23" xfId="0" applyNumberFormat="1" applyFont="1" applyFill="1" applyBorder="1"/>
    <xf numFmtId="165" fontId="82" fillId="6" borderId="30" xfId="0" applyNumberFormat="1" applyFont="1" applyFill="1" applyBorder="1"/>
    <xf numFmtId="0" fontId="14" fillId="18" borderId="17" xfId="0" applyFont="1" applyFill="1" applyBorder="1"/>
    <xf numFmtId="0" fontId="8" fillId="21" borderId="19" xfId="0" applyFont="1" applyFill="1" applyBorder="1"/>
    <xf numFmtId="1" fontId="8" fillId="0" borderId="0" xfId="0" applyNumberFormat="1" applyFont="1" applyFill="1"/>
    <xf numFmtId="1" fontId="33" fillId="8" borderId="0" xfId="0" applyNumberFormat="1" applyFont="1" applyFill="1"/>
    <xf numFmtId="1" fontId="33" fillId="8" borderId="0" xfId="0" applyNumberFormat="1" applyFont="1" applyFill="1" applyBorder="1"/>
    <xf numFmtId="164" fontId="33" fillId="8" borderId="0" xfId="0" applyNumberFormat="1" applyFont="1" applyFill="1" applyBorder="1"/>
    <xf numFmtId="165" fontId="33" fillId="8" borderId="0" xfId="0" applyNumberFormat="1" applyFont="1" applyFill="1" applyBorder="1"/>
    <xf numFmtId="164" fontId="33" fillId="6" borderId="0" xfId="0" applyNumberFormat="1" applyFont="1" applyFill="1"/>
    <xf numFmtId="1" fontId="8" fillId="0" borderId="3" xfId="0" applyNumberFormat="1" applyFont="1" applyFill="1" applyBorder="1"/>
    <xf numFmtId="1" fontId="8" fillId="0" borderId="6" xfId="0" applyNumberFormat="1" applyFont="1" applyFill="1" applyBorder="1"/>
    <xf numFmtId="1" fontId="8" fillId="0" borderId="12" xfId="0" applyNumberFormat="1" applyFont="1" applyFill="1" applyBorder="1"/>
    <xf numFmtId="1" fontId="8" fillId="0" borderId="4" xfId="0" applyNumberFormat="1" applyFont="1" applyFill="1" applyBorder="1"/>
    <xf numFmtId="1" fontId="8" fillId="0" borderId="2" xfId="0" applyNumberFormat="1" applyFont="1" applyFill="1" applyBorder="1"/>
    <xf numFmtId="164" fontId="0" fillId="16" borderId="0" xfId="0" applyNumberFormat="1" applyFill="1"/>
    <xf numFmtId="14" fontId="78" fillId="4" borderId="30" xfId="0" applyNumberFormat="1" applyFont="1" applyFill="1" applyBorder="1"/>
    <xf numFmtId="164" fontId="0" fillId="16" borderId="2" xfId="0" applyNumberFormat="1" applyFill="1" applyBorder="1"/>
    <xf numFmtId="1" fontId="0" fillId="0" borderId="2" xfId="0" applyNumberFormat="1" applyBorder="1"/>
    <xf numFmtId="164" fontId="0" fillId="16" borderId="5" xfId="0" applyNumberFormat="1" applyFill="1" applyBorder="1"/>
    <xf numFmtId="164" fontId="0" fillId="16" borderId="7" xfId="0" applyNumberFormat="1" applyFill="1" applyBorder="1"/>
    <xf numFmtId="164" fontId="0" fillId="16" borderId="13" xfId="0" applyNumberFormat="1" applyFill="1" applyBorder="1"/>
    <xf numFmtId="1" fontId="0" fillId="16" borderId="0" xfId="0" applyNumberFormat="1" applyFill="1"/>
    <xf numFmtId="1" fontId="0" fillId="16" borderId="2" xfId="0" applyNumberFormat="1" applyFill="1" applyBorder="1"/>
    <xf numFmtId="0" fontId="90" fillId="0" borderId="0" xfId="0" applyFont="1"/>
    <xf numFmtId="0" fontId="33" fillId="0" borderId="0" xfId="0" applyFont="1" applyFill="1"/>
    <xf numFmtId="0" fontId="14" fillId="18" borderId="23" xfId="0" applyFont="1" applyFill="1" applyBorder="1"/>
    <xf numFmtId="1" fontId="14" fillId="4" borderId="7" xfId="0" applyNumberFormat="1" applyFont="1" applyFill="1" applyBorder="1"/>
    <xf numFmtId="2" fontId="70" fillId="0" borderId="0" xfId="0" applyNumberFormat="1" applyFont="1"/>
    <xf numFmtId="2" fontId="6" fillId="0" borderId="0" xfId="0" applyNumberFormat="1" applyFont="1" applyBorder="1"/>
    <xf numFmtId="2" fontId="22" fillId="0" borderId="0" xfId="0" applyNumberFormat="1" applyFont="1"/>
    <xf numFmtId="2" fontId="6" fillId="0" borderId="0" xfId="0" applyNumberFormat="1" applyFont="1" applyFill="1"/>
    <xf numFmtId="0" fontId="6" fillId="0" borderId="14" xfId="0" applyFont="1" applyBorder="1"/>
    <xf numFmtId="2" fontId="6" fillId="5" borderId="0" xfId="0" applyNumberFormat="1" applyFont="1" applyFill="1" applyBorder="1"/>
    <xf numFmtId="165" fontId="6" fillId="0" borderId="0" xfId="0" applyNumberFormat="1" applyFont="1" applyBorder="1"/>
    <xf numFmtId="2" fontId="6" fillId="5" borderId="6" xfId="0" applyNumberFormat="1" applyFont="1" applyFill="1" applyBorder="1"/>
    <xf numFmtId="2" fontId="6" fillId="0" borderId="7" xfId="0" applyNumberFormat="1" applyFont="1" applyFill="1" applyBorder="1"/>
    <xf numFmtId="164" fontId="6" fillId="0" borderId="0" xfId="0" applyNumberFormat="1" applyFont="1"/>
    <xf numFmtId="2" fontId="6" fillId="0" borderId="0" xfId="0" applyNumberFormat="1" applyFont="1"/>
    <xf numFmtId="165" fontId="6" fillId="0" borderId="15" xfId="0" applyNumberFormat="1" applyFont="1" applyFill="1" applyBorder="1"/>
    <xf numFmtId="164" fontId="6" fillId="0" borderId="0" xfId="0" applyNumberFormat="1" applyFont="1" applyFill="1" applyBorder="1"/>
    <xf numFmtId="2" fontId="6" fillId="0" borderId="0" xfId="0" applyNumberFormat="1" applyFont="1" applyFill="1" applyBorder="1"/>
    <xf numFmtId="1" fontId="6" fillId="0" borderId="0" xfId="0" applyNumberFormat="1" applyFont="1" applyFill="1" applyBorder="1"/>
    <xf numFmtId="165" fontId="6" fillId="0" borderId="0" xfId="0" applyNumberFormat="1" applyFont="1" applyFill="1" applyBorder="1"/>
    <xf numFmtId="165" fontId="6" fillId="0" borderId="8" xfId="0" applyNumberFormat="1" applyFont="1" applyFill="1" applyBorder="1"/>
    <xf numFmtId="164" fontId="6" fillId="0" borderId="15" xfId="0" applyNumberFormat="1" applyFont="1" applyFill="1" applyBorder="1"/>
    <xf numFmtId="1" fontId="6" fillId="14" borderId="19" xfId="0" applyNumberFormat="1" applyFont="1" applyFill="1" applyBorder="1"/>
    <xf numFmtId="165" fontId="2" fillId="15" borderId="0" xfId="0" applyNumberFormat="1" applyFont="1" applyFill="1"/>
    <xf numFmtId="0" fontId="0" fillId="18" borderId="0" xfId="0" applyFill="1"/>
    <xf numFmtId="0" fontId="6" fillId="6" borderId="30" xfId="0" applyFont="1" applyFill="1" applyBorder="1"/>
    <xf numFmtId="1" fontId="6" fillId="0" borderId="3" xfId="0" applyNumberFormat="1" applyFont="1" applyFill="1" applyBorder="1"/>
    <xf numFmtId="1" fontId="6" fillId="0" borderId="4" xfId="0" applyNumberFormat="1" applyFont="1" applyFill="1" applyBorder="1"/>
    <xf numFmtId="1" fontId="6" fillId="0" borderId="2" xfId="0" applyNumberFormat="1" applyFont="1" applyFill="1" applyBorder="1"/>
    <xf numFmtId="1" fontId="6" fillId="0" borderId="6" xfId="0" applyNumberFormat="1" applyFont="1" applyFill="1" applyBorder="1"/>
    <xf numFmtId="0" fontId="6" fillId="6" borderId="17" xfId="0" applyFont="1" applyFill="1" applyBorder="1"/>
    <xf numFmtId="1" fontId="6" fillId="0" borderId="12" xfId="0" applyNumberFormat="1" applyFont="1" applyFill="1" applyBorder="1"/>
    <xf numFmtId="165" fontId="69" fillId="15" borderId="23" xfId="0" applyNumberFormat="1" applyFont="1" applyFill="1" applyBorder="1"/>
    <xf numFmtId="0" fontId="63" fillId="15" borderId="23" xfId="0" applyFont="1" applyFill="1" applyBorder="1"/>
    <xf numFmtId="0" fontId="63" fillId="15" borderId="6" xfId="0" applyFont="1" applyFill="1" applyBorder="1"/>
    <xf numFmtId="166" fontId="8" fillId="0" borderId="0" xfId="0" applyNumberFormat="1" applyFont="1" applyFill="1" applyBorder="1"/>
    <xf numFmtId="166" fontId="0" fillId="16" borderId="0" xfId="0" applyNumberFormat="1" applyFill="1"/>
    <xf numFmtId="0" fontId="2" fillId="20" borderId="87" xfId="0" applyFont="1" applyFill="1" applyBorder="1"/>
    <xf numFmtId="165" fontId="2" fillId="24" borderId="27" xfId="0" applyNumberFormat="1" applyFont="1" applyFill="1" applyBorder="1"/>
    <xf numFmtId="165" fontId="2" fillId="24" borderId="22" xfId="0" applyNumberFormat="1" applyFont="1" applyFill="1" applyBorder="1"/>
    <xf numFmtId="165" fontId="2" fillId="24" borderId="25" xfId="0" applyNumberFormat="1" applyFont="1" applyFill="1" applyBorder="1"/>
    <xf numFmtId="0" fontId="0" fillId="22" borderId="88" xfId="0" applyFill="1" applyBorder="1"/>
    <xf numFmtId="0" fontId="2" fillId="20" borderId="24" xfId="0" applyFont="1" applyFill="1" applyBorder="1"/>
    <xf numFmtId="14" fontId="0" fillId="4" borderId="26" xfId="0" applyNumberFormat="1" applyFill="1" applyBorder="1"/>
    <xf numFmtId="0" fontId="70" fillId="22" borderId="8" xfId="0" applyFont="1" applyFill="1" applyBorder="1"/>
    <xf numFmtId="165" fontId="69" fillId="4" borderId="24" xfId="0" applyNumberFormat="1" applyFont="1" applyFill="1" applyBorder="1"/>
    <xf numFmtId="165" fontId="69" fillId="4" borderId="22" xfId="0" applyNumberFormat="1" applyFont="1" applyFill="1" applyBorder="1"/>
    <xf numFmtId="0" fontId="2" fillId="20" borderId="69" xfId="0" applyFont="1" applyFill="1" applyBorder="1"/>
    <xf numFmtId="0" fontId="2" fillId="20" borderId="9" xfId="0" applyFont="1" applyFill="1" applyBorder="1"/>
    <xf numFmtId="0" fontId="0" fillId="15" borderId="31" xfId="0" applyFill="1" applyBorder="1"/>
    <xf numFmtId="0" fontId="36" fillId="15" borderId="31" xfId="0" applyFont="1" applyFill="1" applyBorder="1"/>
    <xf numFmtId="0" fontId="37" fillId="3" borderId="5" xfId="0" applyFont="1" applyFill="1" applyBorder="1"/>
    <xf numFmtId="0" fontId="37" fillId="3" borderId="6" xfId="0" applyFont="1" applyFill="1" applyBorder="1"/>
    <xf numFmtId="0" fontId="37" fillId="3" borderId="7" xfId="0" applyFont="1" applyFill="1" applyBorder="1"/>
    <xf numFmtId="0" fontId="37" fillId="3" borderId="0" xfId="0" applyFont="1" applyFill="1" applyBorder="1"/>
    <xf numFmtId="0" fontId="38" fillId="0" borderId="0" xfId="0" applyFont="1" applyBorder="1" applyAlignment="1">
      <alignment horizontal="center" vertical="center" readingOrder="1"/>
    </xf>
    <xf numFmtId="0" fontId="37" fillId="0" borderId="0" xfId="0" applyFont="1" applyBorder="1"/>
    <xf numFmtId="2" fontId="37" fillId="0" borderId="7" xfId="0" applyNumberFormat="1" applyFont="1" applyBorder="1"/>
    <xf numFmtId="0" fontId="37" fillId="0" borderId="2" xfId="0" applyFont="1" applyBorder="1"/>
    <xf numFmtId="0" fontId="36" fillId="0" borderId="30" xfId="0" applyFont="1" applyBorder="1"/>
    <xf numFmtId="0" fontId="36" fillId="15" borderId="8" xfId="0" applyFont="1" applyFill="1" applyBorder="1"/>
    <xf numFmtId="0" fontId="36" fillId="15" borderId="9" xfId="0" applyFont="1" applyFill="1" applyBorder="1"/>
    <xf numFmtId="0" fontId="14" fillId="20" borderId="6" xfId="0" applyFont="1" applyFill="1" applyBorder="1"/>
    <xf numFmtId="0" fontId="70" fillId="15" borderId="13" xfId="0" applyFont="1" applyFill="1" applyBorder="1"/>
    <xf numFmtId="0" fontId="70" fillId="22" borderId="31" xfId="0" applyFont="1" applyFill="1" applyBorder="1"/>
    <xf numFmtId="0" fontId="70" fillId="0" borderId="27" xfId="0" applyFont="1" applyBorder="1"/>
    <xf numFmtId="14" fontId="67" fillId="0" borderId="22" xfId="0" applyNumberFormat="1" applyFont="1" applyBorder="1"/>
    <xf numFmtId="0" fontId="0" fillId="0" borderId="8" xfId="0" applyFill="1" applyBorder="1"/>
    <xf numFmtId="0" fontId="0" fillId="0" borderId="31" xfId="0" applyFill="1" applyBorder="1"/>
    <xf numFmtId="0" fontId="2" fillId="15" borderId="13" xfId="0" applyFont="1" applyFill="1" applyBorder="1"/>
    <xf numFmtId="0" fontId="1" fillId="15" borderId="0" xfId="0" applyFont="1" applyFill="1"/>
    <xf numFmtId="0" fontId="70" fillId="15" borderId="27" xfId="0" applyFont="1" applyFill="1" applyBorder="1"/>
    <xf numFmtId="14" fontId="92" fillId="15" borderId="22" xfId="0" applyNumberFormat="1" applyFont="1" applyFill="1" applyBorder="1"/>
    <xf numFmtId="1" fontId="70" fillId="0" borderId="0" xfId="0" applyNumberFormat="1" applyFont="1"/>
    <xf numFmtId="1" fontId="70" fillId="0" borderId="2" xfId="0" applyNumberFormat="1" applyFont="1" applyBorder="1"/>
    <xf numFmtId="0" fontId="69" fillId="15" borderId="30" xfId="0" applyFont="1" applyFill="1" applyBorder="1"/>
    <xf numFmtId="2" fontId="14" fillId="15" borderId="23" xfId="0" applyNumberFormat="1" applyFont="1" applyFill="1" applyBorder="1"/>
    <xf numFmtId="2" fontId="14" fillId="15" borderId="17" xfId="0" applyNumberFormat="1" applyFont="1" applyFill="1" applyBorder="1"/>
    <xf numFmtId="2" fontId="14" fillId="15" borderId="12" xfId="0" applyNumberFormat="1" applyFont="1" applyFill="1" applyBorder="1"/>
    <xf numFmtId="165" fontId="70" fillId="4" borderId="23" xfId="0" applyNumberFormat="1" applyFont="1" applyFill="1" applyBorder="1"/>
    <xf numFmtId="1" fontId="2" fillId="15" borderId="7" xfId="0" applyNumberFormat="1" applyFont="1" applyFill="1" applyBorder="1"/>
    <xf numFmtId="0" fontId="67" fillId="0" borderId="0" xfId="0" applyFont="1"/>
    <xf numFmtId="0" fontId="92" fillId="0" borderId="0" xfId="0" applyFont="1"/>
    <xf numFmtId="14" fontId="93" fillId="0" borderId="22" xfId="0" applyNumberFormat="1" applyFont="1" applyBorder="1"/>
    <xf numFmtId="1" fontId="70" fillId="4" borderId="23" xfId="0" applyNumberFormat="1" applyFont="1" applyFill="1" applyBorder="1"/>
    <xf numFmtId="1" fontId="2" fillId="15" borderId="5" xfId="0" applyNumberFormat="1" applyFont="1" applyFill="1" applyBorder="1"/>
    <xf numFmtId="1" fontId="2" fillId="4" borderId="5" xfId="0" applyNumberFormat="1" applyFont="1" applyFill="1" applyBorder="1"/>
    <xf numFmtId="2" fontId="70" fillId="4" borderId="23" xfId="0" applyNumberFormat="1" applyFont="1" applyFill="1" applyBorder="1"/>
    <xf numFmtId="0" fontId="0" fillId="0" borderId="12" xfId="0" applyFill="1" applyBorder="1"/>
    <xf numFmtId="0" fontId="0" fillId="0" borderId="2" xfId="0" applyFill="1" applyBorder="1"/>
    <xf numFmtId="0" fontId="0" fillId="0" borderId="13" xfId="0" applyFill="1" applyBorder="1"/>
    <xf numFmtId="164" fontId="69" fillId="15" borderId="0" xfId="0" applyNumberFormat="1" applyFont="1" applyFill="1" applyBorder="1"/>
    <xf numFmtId="2" fontId="69" fillId="15" borderId="7" xfId="0" applyNumberFormat="1" applyFont="1" applyFill="1" applyBorder="1"/>
    <xf numFmtId="164" fontId="69" fillId="15" borderId="7" xfId="0" applyNumberFormat="1" applyFont="1" applyFill="1" applyBorder="1"/>
    <xf numFmtId="164" fontId="69" fillId="15" borderId="13" xfId="0" applyNumberFormat="1" applyFont="1" applyFill="1" applyBorder="1"/>
    <xf numFmtId="0" fontId="94" fillId="0" borderId="0" xfId="0" applyFont="1"/>
    <xf numFmtId="164" fontId="67" fillId="0" borderId="0" xfId="0" applyNumberFormat="1" applyFont="1"/>
    <xf numFmtId="166" fontId="67" fillId="0" borderId="0" xfId="0" applyNumberFormat="1" applyFont="1"/>
    <xf numFmtId="164" fontId="67" fillId="16" borderId="0" xfId="0" applyNumberFormat="1" applyFont="1" applyFill="1"/>
    <xf numFmtId="166" fontId="67" fillId="16" borderId="0" xfId="0" applyNumberFormat="1" applyFont="1" applyFill="1"/>
    <xf numFmtId="0" fontId="63" fillId="0" borderId="27" xfId="0" applyFont="1" applyBorder="1"/>
    <xf numFmtId="14" fontId="92" fillId="0" borderId="22" xfId="0" applyNumberFormat="1" applyFont="1" applyBorder="1"/>
    <xf numFmtId="14" fontId="92" fillId="0" borderId="28" xfId="0" applyNumberFormat="1" applyFont="1" applyBorder="1"/>
    <xf numFmtId="0" fontId="67" fillId="0" borderId="27" xfId="0" applyFont="1" applyBorder="1"/>
    <xf numFmtId="2" fontId="2" fillId="15" borderId="3" xfId="0" applyNumberFormat="1" applyFont="1" applyFill="1" applyBorder="1"/>
    <xf numFmtId="0" fontId="70" fillId="22" borderId="88" xfId="0" applyFont="1" applyFill="1" applyBorder="1"/>
    <xf numFmtId="0" fontId="67" fillId="15" borderId="30" xfId="0" applyFont="1" applyFill="1" applyBorder="1"/>
    <xf numFmtId="14" fontId="0" fillId="15" borderId="17" xfId="0" applyNumberFormat="1" applyFill="1" applyBorder="1"/>
    <xf numFmtId="2" fontId="5" fillId="0" borderId="0" xfId="0" applyNumberFormat="1" applyFont="1" applyFill="1" applyBorder="1"/>
    <xf numFmtId="0" fontId="67" fillId="3" borderId="0" xfId="0" applyFont="1" applyFill="1"/>
    <xf numFmtId="0" fontId="69" fillId="3" borderId="0" xfId="0" applyFont="1" applyFill="1"/>
    <xf numFmtId="165" fontId="70" fillId="0" borderId="0" xfId="0" applyNumberFormat="1" applyFont="1" applyFill="1"/>
    <xf numFmtId="0" fontId="69" fillId="15" borderId="3" xfId="0" applyFont="1" applyFill="1" applyBorder="1"/>
    <xf numFmtId="0" fontId="69" fillId="15" borderId="5" xfId="0" applyFont="1" applyFill="1" applyBorder="1"/>
    <xf numFmtId="0" fontId="69" fillId="15" borderId="6" xfId="0" applyFont="1" applyFill="1" applyBorder="1"/>
    <xf numFmtId="0" fontId="69" fillId="15" borderId="7" xfId="0" applyFont="1" applyFill="1" applyBorder="1"/>
    <xf numFmtId="0" fontId="69" fillId="15" borderId="12" xfId="0" applyFont="1" applyFill="1" applyBorder="1"/>
    <xf numFmtId="164" fontId="69" fillId="15" borderId="2" xfId="0" applyNumberFormat="1" applyFont="1" applyFill="1" applyBorder="1"/>
    <xf numFmtId="165" fontId="2" fillId="25" borderId="23" xfId="0" applyNumberFormat="1" applyFont="1" applyFill="1" applyBorder="1"/>
    <xf numFmtId="165" fontId="2" fillId="25" borderId="17" xfId="0" applyNumberFormat="1" applyFont="1" applyFill="1" applyBorder="1"/>
    <xf numFmtId="165" fontId="2" fillId="25" borderId="30" xfId="0" applyNumberFormat="1" applyFont="1" applyFill="1" applyBorder="1"/>
    <xf numFmtId="166" fontId="69" fillId="0" borderId="0" xfId="0" applyNumberFormat="1" applyFont="1"/>
    <xf numFmtId="164" fontId="90" fillId="0" borderId="0" xfId="0" applyNumberFormat="1" applyFont="1"/>
    <xf numFmtId="2" fontId="70" fillId="0" borderId="0" xfId="0" applyNumberFormat="1" applyFont="1" applyFill="1"/>
    <xf numFmtId="0" fontId="69" fillId="16" borderId="0" xfId="0" applyFont="1" applyFill="1"/>
    <xf numFmtId="0" fontId="70" fillId="15" borderId="0" xfId="0" applyFont="1" applyFill="1" applyBorder="1"/>
    <xf numFmtId="2" fontId="0" fillId="15" borderId="13" xfId="0" applyNumberFormat="1" applyFill="1" applyBorder="1"/>
    <xf numFmtId="0" fontId="39" fillId="0" borderId="3" xfId="0" applyFont="1" applyBorder="1"/>
    <xf numFmtId="1" fontId="37" fillId="0" borderId="6" xfId="0" applyNumberFormat="1" applyFont="1" applyBorder="1"/>
    <xf numFmtId="1" fontId="37" fillId="0" borderId="12" xfId="0" applyNumberFormat="1" applyFont="1" applyBorder="1"/>
    <xf numFmtId="0" fontId="67" fillId="15" borderId="0" xfId="0" applyFont="1" applyFill="1" applyBorder="1"/>
    <xf numFmtId="2" fontId="0" fillId="0" borderId="6" xfId="0" applyNumberFormat="1" applyBorder="1"/>
    <xf numFmtId="2" fontId="69" fillId="0" borderId="0" xfId="0" applyNumberFormat="1" applyFont="1"/>
    <xf numFmtId="0" fontId="0" fillId="16" borderId="2" xfId="0" applyFill="1" applyBorder="1"/>
    <xf numFmtId="14" fontId="95" fillId="0" borderId="22" xfId="0" applyNumberFormat="1" applyFont="1" applyBorder="1"/>
    <xf numFmtId="0" fontId="70" fillId="0" borderId="3" xfId="0" applyFont="1" applyBorder="1"/>
    <xf numFmtId="0" fontId="70" fillId="15" borderId="30" xfId="0" applyFont="1" applyFill="1" applyBorder="1"/>
    <xf numFmtId="0" fontId="70" fillId="0" borderId="6" xfId="0" applyFont="1" applyBorder="1"/>
    <xf numFmtId="165" fontId="69" fillId="4" borderId="23" xfId="0" applyNumberFormat="1" applyFont="1" applyFill="1" applyBorder="1"/>
    <xf numFmtId="0" fontId="9" fillId="5" borderId="9" xfId="0" applyFont="1" applyFill="1" applyBorder="1"/>
    <xf numFmtId="165" fontId="8" fillId="0" borderId="8" xfId="0" applyNumberFormat="1" applyFont="1" applyBorder="1"/>
    <xf numFmtId="165" fontId="8" fillId="0" borderId="19" xfId="0" applyNumberFormat="1" applyFont="1" applyBorder="1"/>
    <xf numFmtId="0" fontId="8" fillId="8" borderId="4" xfId="0" applyFont="1" applyFill="1" applyBorder="1"/>
    <xf numFmtId="166" fontId="8" fillId="0" borderId="8" xfId="0" applyNumberFormat="1" applyFont="1" applyBorder="1"/>
    <xf numFmtId="166" fontId="8" fillId="0" borderId="19" xfId="0" applyNumberFormat="1" applyFont="1" applyBorder="1"/>
    <xf numFmtId="1" fontId="14" fillId="15" borderId="30" xfId="0" applyNumberFormat="1" applyFont="1" applyFill="1" applyBorder="1"/>
    <xf numFmtId="165" fontId="69" fillId="4" borderId="7" xfId="0" applyNumberFormat="1" applyFont="1" applyFill="1" applyBorder="1"/>
    <xf numFmtId="1" fontId="14" fillId="15" borderId="23" xfId="0" applyNumberFormat="1" applyFont="1" applyFill="1" applyBorder="1"/>
    <xf numFmtId="1" fontId="14" fillId="15" borderId="22" xfId="0" applyNumberFormat="1" applyFont="1" applyFill="1" applyBorder="1"/>
    <xf numFmtId="1" fontId="14" fillId="15" borderId="25" xfId="0" applyNumberFormat="1" applyFont="1" applyFill="1" applyBorder="1"/>
    <xf numFmtId="165" fontId="14" fillId="15" borderId="2" xfId="0" applyNumberFormat="1" applyFont="1" applyFill="1" applyBorder="1"/>
    <xf numFmtId="0" fontId="66" fillId="22" borderId="8" xfId="0" applyFont="1" applyFill="1" applyBorder="1"/>
    <xf numFmtId="165" fontId="14" fillId="15" borderId="5" xfId="0" applyNumberFormat="1" applyFont="1" applyFill="1" applyBorder="1"/>
    <xf numFmtId="0" fontId="63" fillId="15" borderId="17" xfId="0" applyFont="1" applyFill="1" applyBorder="1"/>
    <xf numFmtId="2" fontId="70" fillId="15" borderId="7" xfId="0" applyNumberFormat="1" applyFont="1" applyFill="1" applyBorder="1"/>
    <xf numFmtId="0" fontId="70" fillId="8" borderId="0" xfId="0" applyFont="1" applyFill="1"/>
    <xf numFmtId="165" fontId="70" fillId="8" borderId="0" xfId="0" applyNumberFormat="1" applyFont="1" applyFill="1"/>
    <xf numFmtId="164" fontId="70" fillId="8" borderId="0" xfId="0" applyNumberFormat="1" applyFont="1" applyFill="1"/>
    <xf numFmtId="2" fontId="70" fillId="8" borderId="0" xfId="0" applyNumberFormat="1" applyFont="1" applyFill="1"/>
    <xf numFmtId="2" fontId="33" fillId="0" borderId="0" xfId="0" applyNumberFormat="1" applyFont="1"/>
    <xf numFmtId="165" fontId="14" fillId="4" borderId="17" xfId="0" applyNumberFormat="1" applyFont="1" applyFill="1" applyBorder="1"/>
    <xf numFmtId="2" fontId="70" fillId="17" borderId="0" xfId="0" applyNumberFormat="1" applyFont="1" applyFill="1"/>
    <xf numFmtId="166" fontId="33" fillId="0" borderId="0" xfId="0" applyNumberFormat="1" applyFont="1" applyFill="1"/>
    <xf numFmtId="14" fontId="92" fillId="0" borderId="17" xfId="0" applyNumberFormat="1" applyFont="1" applyBorder="1"/>
    <xf numFmtId="0" fontId="34" fillId="4" borderId="30" xfId="0" applyFont="1" applyFill="1" applyBorder="1"/>
    <xf numFmtId="165" fontId="69" fillId="4" borderId="25" xfId="0" applyNumberFormat="1" applyFont="1" applyFill="1" applyBorder="1"/>
    <xf numFmtId="0" fontId="63" fillId="0" borderId="17" xfId="0" applyFont="1" applyBorder="1"/>
    <xf numFmtId="14" fontId="0" fillId="0" borderId="22" xfId="0" applyNumberFormat="1" applyBorder="1"/>
    <xf numFmtId="14" fontId="34" fillId="0" borderId="30" xfId="0" applyNumberFormat="1" applyFont="1" applyBorder="1"/>
    <xf numFmtId="1" fontId="14" fillId="15" borderId="17" xfId="0" applyNumberFormat="1" applyFont="1" applyFill="1" applyBorder="1"/>
    <xf numFmtId="165" fontId="2" fillId="20" borderId="17" xfId="0" applyNumberFormat="1" applyFont="1" applyFill="1" applyBorder="1"/>
    <xf numFmtId="165" fontId="1" fillId="4" borderId="3" xfId="0" applyNumberFormat="1" applyFont="1" applyFill="1" applyBorder="1"/>
    <xf numFmtId="0" fontId="42" fillId="4" borderId="4" xfId="0" applyFont="1" applyFill="1" applyBorder="1"/>
    <xf numFmtId="165" fontId="1" fillId="4" borderId="4" xfId="0" applyNumberFormat="1" applyFont="1" applyFill="1" applyBorder="1"/>
    <xf numFmtId="0" fontId="42" fillId="4" borderId="5" xfId="0" applyFont="1" applyFill="1" applyBorder="1"/>
    <xf numFmtId="165" fontId="1" fillId="4" borderId="6" xfId="0" applyNumberFormat="1" applyFont="1" applyFill="1" applyBorder="1"/>
    <xf numFmtId="0" fontId="42" fillId="4" borderId="0" xfId="0" applyFont="1" applyFill="1" applyBorder="1"/>
    <xf numFmtId="165" fontId="1" fillId="4" borderId="0" xfId="0" applyNumberFormat="1" applyFont="1" applyFill="1" applyBorder="1"/>
    <xf numFmtId="0" fontId="42" fillId="4" borderId="7" xfId="0" applyFont="1" applyFill="1" applyBorder="1"/>
    <xf numFmtId="165" fontId="42" fillId="4" borderId="0" xfId="0" applyNumberFormat="1" applyFont="1" applyFill="1" applyBorder="1"/>
    <xf numFmtId="165" fontId="1" fillId="4" borderId="7" xfId="0" applyNumberFormat="1" applyFont="1" applyFill="1" applyBorder="1"/>
    <xf numFmtId="0" fontId="42" fillId="4" borderId="6" xfId="0" applyFont="1" applyFill="1" applyBorder="1"/>
    <xf numFmtId="0" fontId="42" fillId="4" borderId="12" xfId="0" applyFont="1" applyFill="1" applyBorder="1"/>
    <xf numFmtId="0" fontId="42" fillId="4" borderId="2" xfId="0" applyFont="1" applyFill="1" applyBorder="1"/>
    <xf numFmtId="0" fontId="0" fillId="0" borderId="21" xfId="0" applyBorder="1"/>
    <xf numFmtId="0" fontId="14" fillId="9" borderId="35" xfId="0" applyFont="1" applyFill="1" applyBorder="1"/>
    <xf numFmtId="0" fontId="15" fillId="9" borderId="10" xfId="0" applyFont="1" applyFill="1" applyBorder="1"/>
    <xf numFmtId="0" fontId="14" fillId="9" borderId="10" xfId="0" applyFont="1" applyFill="1" applyBorder="1"/>
    <xf numFmtId="0" fontId="14" fillId="9" borderId="11" xfId="0" applyFont="1" applyFill="1" applyBorder="1"/>
    <xf numFmtId="0" fontId="0" fillId="5" borderId="38" xfId="0" applyFill="1" applyBorder="1"/>
    <xf numFmtId="0" fontId="8" fillId="5" borderId="90" xfId="0" applyFont="1" applyFill="1" applyBorder="1"/>
    <xf numFmtId="0" fontId="8" fillId="16" borderId="91" xfId="0" applyFont="1" applyFill="1" applyBorder="1"/>
    <xf numFmtId="164" fontId="70" fillId="0" borderId="0" xfId="0" applyNumberFormat="1" applyFont="1"/>
    <xf numFmtId="0" fontId="67" fillId="4" borderId="31" xfId="0" applyFont="1" applyFill="1" applyBorder="1"/>
    <xf numFmtId="0" fontId="5" fillId="16" borderId="9" xfId="0" applyFont="1" applyFill="1" applyBorder="1"/>
    <xf numFmtId="0" fontId="5" fillId="16" borderId="19" xfId="0" applyFont="1" applyFill="1" applyBorder="1"/>
    <xf numFmtId="0" fontId="5" fillId="16" borderId="2" xfId="0" applyFont="1" applyFill="1" applyBorder="1"/>
    <xf numFmtId="0" fontId="2" fillId="16" borderId="9" xfId="0" applyFont="1" applyFill="1" applyBorder="1"/>
    <xf numFmtId="0" fontId="70" fillId="4" borderId="14" xfId="0" applyFont="1" applyFill="1" applyBorder="1"/>
    <xf numFmtId="0" fontId="70" fillId="4" borderId="15" xfId="0" applyFont="1" applyFill="1" applyBorder="1"/>
    <xf numFmtId="0" fontId="70" fillId="4" borderId="16" xfId="0" applyFont="1" applyFill="1" applyBorder="1"/>
    <xf numFmtId="0" fontId="70" fillId="6" borderId="0" xfId="0" applyFont="1" applyFill="1"/>
    <xf numFmtId="1" fontId="70" fillId="8" borderId="0" xfId="0" applyNumberFormat="1" applyFont="1" applyFill="1"/>
    <xf numFmtId="1" fontId="70" fillId="0" borderId="0" xfId="0" applyNumberFormat="1" applyFont="1" applyBorder="1"/>
    <xf numFmtId="0" fontId="6" fillId="15" borderId="0" xfId="0" applyFont="1" applyFill="1" applyBorder="1"/>
    <xf numFmtId="0" fontId="2" fillId="4" borderId="92" xfId="0" applyFont="1" applyFill="1" applyBorder="1"/>
    <xf numFmtId="0" fontId="0" fillId="15" borderId="92" xfId="0" applyFill="1" applyBorder="1"/>
    <xf numFmtId="1" fontId="70" fillId="0" borderId="0" xfId="0" applyNumberFormat="1" applyFont="1" applyFill="1" applyBorder="1"/>
    <xf numFmtId="0" fontId="70" fillId="0" borderId="0" xfId="0" applyNumberFormat="1" applyFont="1"/>
    <xf numFmtId="17" fontId="70" fillId="0" borderId="0" xfId="0" applyNumberFormat="1" applyFont="1"/>
    <xf numFmtId="165" fontId="70" fillId="0" borderId="0" xfId="0" applyNumberFormat="1" applyFont="1"/>
    <xf numFmtId="164" fontId="70" fillId="0" borderId="0" xfId="0" applyNumberFormat="1" applyFont="1" applyFill="1"/>
    <xf numFmtId="0" fontId="14" fillId="20" borderId="0" xfId="0" applyFont="1" applyFill="1" applyBorder="1"/>
    <xf numFmtId="0" fontId="0" fillId="4" borderId="31" xfId="0" applyFill="1" applyBorder="1" applyAlignment="1">
      <alignment horizontal="center"/>
    </xf>
    <xf numFmtId="0" fontId="70" fillId="0" borderId="31" xfId="0" applyFont="1" applyBorder="1"/>
    <xf numFmtId="165" fontId="31" fillId="0" borderId="92" xfId="0" applyNumberFormat="1" applyFont="1" applyBorder="1"/>
    <xf numFmtId="164" fontId="70" fillId="0" borderId="0" xfId="0" applyNumberFormat="1" applyFont="1" applyBorder="1"/>
    <xf numFmtId="0" fontId="63" fillId="15" borderId="7" xfId="0" applyFont="1" applyFill="1" applyBorder="1"/>
    <xf numFmtId="0" fontId="63" fillId="15" borderId="12" xfId="0" applyFont="1" applyFill="1" applyBorder="1"/>
    <xf numFmtId="0" fontId="63" fillId="15" borderId="13" xfId="0" applyFont="1" applyFill="1" applyBorder="1"/>
    <xf numFmtId="0" fontId="2" fillId="16" borderId="31" xfId="0" applyFont="1" applyFill="1" applyBorder="1"/>
    <xf numFmtId="1" fontId="70" fillId="17" borderId="0" xfId="0" applyNumberFormat="1" applyFont="1" applyFill="1"/>
    <xf numFmtId="1" fontId="70" fillId="0" borderId="0" xfId="0" applyNumberFormat="1" applyFont="1" applyFill="1"/>
    <xf numFmtId="164" fontId="5" fillId="0" borderId="4" xfId="0" applyNumberFormat="1" applyFont="1" applyFill="1" applyBorder="1"/>
    <xf numFmtId="1" fontId="5" fillId="0" borderId="4" xfId="0" applyNumberFormat="1" applyFont="1" applyFill="1" applyBorder="1"/>
    <xf numFmtId="1" fontId="70" fillId="0" borderId="4" xfId="0" applyNumberFormat="1" applyFont="1" applyFill="1" applyBorder="1"/>
    <xf numFmtId="164" fontId="5" fillId="0" borderId="2" xfId="0" applyNumberFormat="1" applyFont="1" applyFill="1" applyBorder="1"/>
    <xf numFmtId="1" fontId="70" fillId="0" borderId="2" xfId="0" applyNumberFormat="1" applyFont="1" applyFill="1" applyBorder="1"/>
    <xf numFmtId="166" fontId="70" fillId="0" borderId="0" xfId="0" applyNumberFormat="1" applyFont="1" applyFill="1"/>
    <xf numFmtId="0" fontId="11" fillId="0" borderId="0" xfId="0" applyFont="1" applyFill="1"/>
    <xf numFmtId="0" fontId="66" fillId="8" borderId="0" xfId="0" applyFont="1" applyFill="1"/>
    <xf numFmtId="164" fontId="66" fillId="0" borderId="0" xfId="0" applyNumberFormat="1" applyFont="1"/>
    <xf numFmtId="165" fontId="66" fillId="0" borderId="0" xfId="0" applyNumberFormat="1" applyFont="1"/>
    <xf numFmtId="0" fontId="0" fillId="0" borderId="92" xfId="0" applyBorder="1"/>
    <xf numFmtId="0" fontId="45" fillId="20" borderId="30" xfId="0" applyFont="1" applyFill="1" applyBorder="1"/>
    <xf numFmtId="0" fontId="45" fillId="20" borderId="23" xfId="0" applyFont="1" applyFill="1" applyBorder="1"/>
    <xf numFmtId="0" fontId="45" fillId="20" borderId="17" xfId="0" applyFont="1" applyFill="1" applyBorder="1"/>
    <xf numFmtId="2" fontId="97" fillId="0" borderId="0" xfId="0" applyNumberFormat="1" applyFont="1"/>
    <xf numFmtId="0" fontId="30" fillId="0" borderId="9" xfId="0" applyFont="1" applyBorder="1"/>
    <xf numFmtId="2" fontId="14" fillId="15" borderId="92" xfId="0" applyNumberFormat="1" applyFont="1" applyFill="1" applyBorder="1"/>
    <xf numFmtId="2" fontId="14" fillId="15" borderId="13" xfId="0" applyNumberFormat="1" applyFont="1" applyFill="1" applyBorder="1"/>
    <xf numFmtId="2" fontId="14" fillId="0" borderId="0" xfId="0" applyNumberFormat="1" applyFont="1" applyFill="1" applyBorder="1"/>
    <xf numFmtId="0" fontId="14" fillId="20" borderId="92" xfId="0" applyFont="1" applyFill="1" applyBorder="1"/>
    <xf numFmtId="0" fontId="14" fillId="20" borderId="9" xfId="0" applyFont="1" applyFill="1" applyBorder="1"/>
    <xf numFmtId="0" fontId="14" fillId="4" borderId="27" xfId="0" applyFont="1" applyFill="1" applyBorder="1"/>
    <xf numFmtId="165" fontId="14" fillId="15" borderId="92" xfId="0" applyNumberFormat="1" applyFont="1" applyFill="1" applyBorder="1"/>
    <xf numFmtId="14" fontId="98" fillId="4" borderId="28" xfId="0" applyNumberFormat="1" applyFont="1" applyFill="1" applyBorder="1"/>
    <xf numFmtId="1" fontId="14" fillId="15" borderId="92" xfId="0" applyNumberFormat="1" applyFont="1" applyFill="1" applyBorder="1"/>
    <xf numFmtId="14" fontId="67" fillId="4" borderId="17" xfId="0" applyNumberFormat="1" applyFont="1" applyFill="1" applyBorder="1"/>
    <xf numFmtId="165" fontId="30" fillId="15" borderId="30" xfId="0" applyNumberFormat="1" applyFont="1" applyFill="1" applyBorder="1"/>
    <xf numFmtId="165" fontId="30" fillId="15" borderId="23" xfId="0" applyNumberFormat="1" applyFont="1" applyFill="1" applyBorder="1"/>
    <xf numFmtId="14" fontId="13" fillId="4" borderId="28" xfId="0" applyNumberFormat="1" applyFont="1" applyFill="1" applyBorder="1"/>
    <xf numFmtId="0" fontId="2" fillId="20" borderId="31" xfId="0" applyFont="1" applyFill="1" applyBorder="1" applyAlignment="1">
      <alignment horizontal="center"/>
    </xf>
    <xf numFmtId="0" fontId="70" fillId="20" borderId="31" xfId="0" applyFont="1" applyFill="1" applyBorder="1" applyAlignment="1">
      <alignment horizontal="center"/>
    </xf>
    <xf numFmtId="14" fontId="3" fillId="4" borderId="93" xfId="0" applyNumberFormat="1" applyFont="1" applyFill="1" applyBorder="1"/>
    <xf numFmtId="0" fontId="8" fillId="15" borderId="7" xfId="0" applyFont="1" applyFill="1" applyBorder="1"/>
    <xf numFmtId="0" fontId="8" fillId="15" borderId="13" xfId="0" applyFont="1" applyFill="1" applyBorder="1"/>
    <xf numFmtId="1" fontId="69" fillId="15" borderId="4" xfId="0" applyNumberFormat="1" applyFont="1" applyFill="1" applyBorder="1"/>
    <xf numFmtId="1" fontId="69" fillId="15" borderId="0" xfId="0" applyNumberFormat="1" applyFont="1" applyFill="1" applyBorder="1"/>
    <xf numFmtId="0" fontId="67" fillId="4" borderId="5" xfId="0" applyFont="1" applyFill="1" applyBorder="1"/>
    <xf numFmtId="1" fontId="14" fillId="15" borderId="7" xfId="0" applyNumberFormat="1" applyFont="1" applyFill="1" applyBorder="1"/>
    <xf numFmtId="0" fontId="99" fillId="0" borderId="0" xfId="0" applyFont="1"/>
    <xf numFmtId="1" fontId="91" fillId="4" borderId="3" xfId="0" applyNumberFormat="1" applyFont="1" applyFill="1" applyBorder="1"/>
    <xf numFmtId="1" fontId="91" fillId="4" borderId="4" xfId="0" applyNumberFormat="1" applyFont="1" applyFill="1" applyBorder="1"/>
    <xf numFmtId="0" fontId="1" fillId="4" borderId="5" xfId="0" applyFont="1" applyFill="1" applyBorder="1"/>
    <xf numFmtId="1" fontId="91" fillId="4" borderId="6" xfId="0" applyNumberFormat="1" applyFont="1" applyFill="1" applyBorder="1"/>
    <xf numFmtId="1" fontId="91" fillId="4" borderId="0" xfId="0" applyNumberFormat="1" applyFont="1" applyFill="1" applyBorder="1"/>
    <xf numFmtId="0" fontId="1" fillId="4" borderId="7" xfId="0" applyFont="1" applyFill="1" applyBorder="1"/>
    <xf numFmtId="1" fontId="1" fillId="4" borderId="7" xfId="0" applyNumberFormat="1" applyFont="1" applyFill="1" applyBorder="1"/>
    <xf numFmtId="1" fontId="1" fillId="4" borderId="6" xfId="0" applyNumberFormat="1" applyFont="1" applyFill="1" applyBorder="1"/>
    <xf numFmtId="0" fontId="1" fillId="4" borderId="6" xfId="0" applyFont="1" applyFill="1" applyBorder="1"/>
    <xf numFmtId="0" fontId="1" fillId="20" borderId="17" xfId="0" applyFont="1" applyFill="1" applyBorder="1"/>
    <xf numFmtId="0" fontId="1" fillId="20" borderId="3" xfId="0" applyFont="1" applyFill="1" applyBorder="1"/>
    <xf numFmtId="0" fontId="1" fillId="20" borderId="6" xfId="0" applyFont="1" applyFill="1" applyBorder="1"/>
    <xf numFmtId="0" fontId="1" fillId="20" borderId="12" xfId="0" applyFont="1" applyFill="1" applyBorder="1"/>
    <xf numFmtId="0" fontId="1" fillId="20" borderId="92" xfId="0" applyFont="1" applyFill="1" applyBorder="1"/>
    <xf numFmtId="1" fontId="1" fillId="4" borderId="23" xfId="0" applyNumberFormat="1" applyFont="1" applyFill="1" applyBorder="1"/>
    <xf numFmtId="0" fontId="91" fillId="20" borderId="30" xfId="0" applyFont="1" applyFill="1" applyBorder="1"/>
    <xf numFmtId="0" fontId="91" fillId="20" borderId="23" xfId="0" applyFont="1" applyFill="1" applyBorder="1"/>
    <xf numFmtId="0" fontId="91" fillId="20" borderId="17" xfId="0" applyFont="1" applyFill="1" applyBorder="1"/>
    <xf numFmtId="2" fontId="34" fillId="0" borderId="0" xfId="0" applyNumberFormat="1" applyFont="1" applyFill="1" applyBorder="1"/>
    <xf numFmtId="0" fontId="0" fillId="15" borderId="31" xfId="0" applyFill="1" applyBorder="1" applyAlignment="1">
      <alignment horizontal="center"/>
    </xf>
    <xf numFmtId="165" fontId="43" fillId="4" borderId="4" xfId="0" applyNumberFormat="1" applyFont="1" applyFill="1" applyBorder="1"/>
    <xf numFmtId="0" fontId="43" fillId="4" borderId="5" xfId="0" applyFont="1" applyFill="1" applyBorder="1"/>
    <xf numFmtId="165" fontId="43" fillId="4" borderId="0" xfId="0" applyNumberFormat="1" applyFont="1" applyFill="1" applyBorder="1"/>
    <xf numFmtId="0" fontId="43" fillId="4" borderId="7" xfId="0" applyFont="1" applyFill="1" applyBorder="1"/>
    <xf numFmtId="165" fontId="43" fillId="4" borderId="7" xfId="0" applyNumberFormat="1" applyFont="1" applyFill="1" applyBorder="1"/>
    <xf numFmtId="0" fontId="43" fillId="4" borderId="6" xfId="0" applyFont="1" applyFill="1" applyBorder="1"/>
    <xf numFmtId="0" fontId="43" fillId="4" borderId="12" xfId="0" applyFont="1" applyFill="1" applyBorder="1"/>
    <xf numFmtId="165" fontId="43" fillId="4" borderId="2" xfId="0" applyNumberFormat="1" applyFont="1" applyFill="1" applyBorder="1"/>
    <xf numFmtId="165" fontId="43" fillId="4" borderId="13" xfId="0" applyNumberFormat="1" applyFont="1" applyFill="1" applyBorder="1"/>
    <xf numFmtId="0" fontId="43" fillId="20" borderId="23" xfId="0" applyFont="1" applyFill="1" applyBorder="1"/>
    <xf numFmtId="0" fontId="43" fillId="20" borderId="17" xfId="0" applyFont="1" applyFill="1" applyBorder="1"/>
    <xf numFmtId="165" fontId="91" fillId="4" borderId="30" xfId="0" applyNumberFormat="1" applyFont="1" applyFill="1" applyBorder="1"/>
    <xf numFmtId="165" fontId="91" fillId="4" borderId="23" xfId="0" applyNumberFormat="1" applyFont="1" applyFill="1" applyBorder="1"/>
    <xf numFmtId="2" fontId="1" fillId="4" borderId="3" xfId="0" applyNumberFormat="1" applyFont="1" applyFill="1" applyBorder="1"/>
    <xf numFmtId="0" fontId="68" fillId="15" borderId="4" xfId="0" applyFont="1" applyFill="1" applyBorder="1"/>
    <xf numFmtId="2" fontId="1" fillId="15" borderId="4" xfId="0" applyNumberFormat="1" applyFont="1" applyFill="1" applyBorder="1"/>
    <xf numFmtId="0" fontId="68" fillId="15" borderId="5" xfId="0" applyFont="1" applyFill="1" applyBorder="1"/>
    <xf numFmtId="2" fontId="1" fillId="4" borderId="92" xfId="0" applyNumberFormat="1" applyFont="1" applyFill="1" applyBorder="1"/>
    <xf numFmtId="0" fontId="68" fillId="15" borderId="0" xfId="0" applyFont="1" applyFill="1" applyBorder="1"/>
    <xf numFmtId="2" fontId="1" fillId="15" borderId="0" xfId="0" applyNumberFormat="1" applyFont="1" applyFill="1" applyBorder="1"/>
    <xf numFmtId="0" fontId="68" fillId="15" borderId="7" xfId="0" applyFont="1" applyFill="1" applyBorder="1"/>
    <xf numFmtId="0" fontId="1" fillId="4" borderId="92" xfId="0" applyFont="1" applyFill="1" applyBorder="1"/>
    <xf numFmtId="2" fontId="90" fillId="15" borderId="0" xfId="0" applyNumberFormat="1" applyFont="1" applyFill="1" applyBorder="1"/>
    <xf numFmtId="165" fontId="1" fillId="15" borderId="0" xfId="0" applyNumberFormat="1" applyFont="1" applyFill="1" applyBorder="1"/>
    <xf numFmtId="1" fontId="91" fillId="15" borderId="0" xfId="0" applyNumberFormat="1" applyFont="1" applyFill="1" applyBorder="1"/>
    <xf numFmtId="0" fontId="1" fillId="4" borderId="12" xfId="0" applyFont="1" applyFill="1" applyBorder="1"/>
    <xf numFmtId="2" fontId="90" fillId="15" borderId="2" xfId="0" applyNumberFormat="1" applyFont="1" applyFill="1" applyBorder="1"/>
    <xf numFmtId="165" fontId="1" fillId="15" borderId="2" xfId="0" applyNumberFormat="1" applyFont="1" applyFill="1" applyBorder="1"/>
    <xf numFmtId="0" fontId="68" fillId="15" borderId="2" xfId="0" applyFont="1" applyFill="1" applyBorder="1"/>
    <xf numFmtId="0" fontId="1" fillId="20" borderId="23" xfId="0" applyFont="1" applyFill="1" applyBorder="1"/>
    <xf numFmtId="2" fontId="90" fillId="15" borderId="7" xfId="0" applyNumberFormat="1" applyFont="1" applyFill="1" applyBorder="1"/>
    <xf numFmtId="2" fontId="90" fillId="15" borderId="13" xfId="0" applyNumberFormat="1" applyFont="1" applyFill="1" applyBorder="1"/>
    <xf numFmtId="2" fontId="1" fillId="15" borderId="3" xfId="0" applyNumberFormat="1" applyFont="1" applyFill="1" applyBorder="1"/>
    <xf numFmtId="2" fontId="1" fillId="15" borderId="5" xfId="0" applyNumberFormat="1" applyFont="1" applyFill="1" applyBorder="1"/>
    <xf numFmtId="2" fontId="1" fillId="15" borderId="92" xfId="0" applyNumberFormat="1" applyFont="1" applyFill="1" applyBorder="1"/>
    <xf numFmtId="2" fontId="1" fillId="15" borderId="7" xfId="0" applyNumberFormat="1" applyFont="1" applyFill="1" applyBorder="1"/>
    <xf numFmtId="2" fontId="1" fillId="15" borderId="12" xfId="0" applyNumberFormat="1" applyFont="1" applyFill="1" applyBorder="1"/>
    <xf numFmtId="2" fontId="1" fillId="15" borderId="13" xfId="0" applyNumberFormat="1" applyFont="1" applyFill="1" applyBorder="1"/>
    <xf numFmtId="0" fontId="100" fillId="4" borderId="92" xfId="0" applyFont="1" applyFill="1" applyBorder="1"/>
    <xf numFmtId="0" fontId="100" fillId="4" borderId="12" xfId="0" applyFont="1" applyFill="1" applyBorder="1"/>
    <xf numFmtId="165" fontId="100" fillId="4" borderId="3" xfId="0" applyNumberFormat="1" applyFont="1" applyFill="1" applyBorder="1"/>
    <xf numFmtId="165" fontId="100" fillId="4" borderId="5" xfId="0" applyNumberFormat="1" applyFont="1" applyFill="1" applyBorder="1"/>
    <xf numFmtId="166" fontId="100" fillId="15" borderId="7" xfId="0" applyNumberFormat="1" applyFont="1" applyFill="1" applyBorder="1"/>
    <xf numFmtId="166" fontId="100" fillId="15" borderId="13" xfId="0" applyNumberFormat="1" applyFont="1" applyFill="1" applyBorder="1"/>
    <xf numFmtId="165" fontId="100" fillId="4" borderId="92" xfId="0" applyNumberFormat="1" applyFont="1" applyFill="1" applyBorder="1"/>
    <xf numFmtId="165" fontId="100" fillId="4" borderId="7" xfId="0" applyNumberFormat="1" applyFont="1" applyFill="1" applyBorder="1"/>
    <xf numFmtId="0" fontId="2" fillId="15" borderId="92" xfId="0" applyFont="1" applyFill="1" applyBorder="1"/>
    <xf numFmtId="0" fontId="1" fillId="18" borderId="92" xfId="0" applyFont="1" applyFill="1" applyBorder="1"/>
    <xf numFmtId="0" fontId="1" fillId="18" borderId="17" xfId="0" applyFont="1" applyFill="1" applyBorder="1"/>
    <xf numFmtId="1" fontId="1" fillId="15" borderId="92" xfId="0" applyNumberFormat="1" applyFont="1" applyFill="1" applyBorder="1"/>
    <xf numFmtId="0" fontId="67" fillId="0" borderId="9" xfId="0" applyFont="1" applyFill="1" applyBorder="1"/>
    <xf numFmtId="0" fontId="70" fillId="0" borderId="31" xfId="0" applyFont="1" applyFill="1" applyBorder="1"/>
    <xf numFmtId="0" fontId="70" fillId="0" borderId="88" xfId="0" applyFont="1" applyFill="1" applyBorder="1"/>
    <xf numFmtId="0" fontId="0" fillId="0" borderId="84" xfId="0" applyFill="1" applyBorder="1"/>
    <xf numFmtId="2" fontId="90" fillId="4" borderId="22" xfId="0" applyNumberFormat="1" applyFont="1" applyFill="1" applyBorder="1"/>
    <xf numFmtId="0" fontId="1" fillId="20" borderId="9" xfId="0" applyFont="1" applyFill="1" applyBorder="1" applyAlignment="1">
      <alignment horizontal="center"/>
    </xf>
    <xf numFmtId="0" fontId="14" fillId="20" borderId="69" xfId="0" applyFont="1" applyFill="1" applyBorder="1"/>
    <xf numFmtId="0" fontId="1" fillId="20" borderId="31" xfId="0" applyFont="1" applyFill="1" applyBorder="1" applyAlignment="1">
      <alignment horizontal="center"/>
    </xf>
    <xf numFmtId="0" fontId="90" fillId="20" borderId="31" xfId="0" applyFont="1" applyFill="1" applyBorder="1" applyAlignment="1">
      <alignment horizontal="center"/>
    </xf>
    <xf numFmtId="0" fontId="1" fillId="20" borderId="30" xfId="0" applyFont="1" applyFill="1" applyBorder="1"/>
    <xf numFmtId="164" fontId="90" fillId="15" borderId="0" xfId="0" applyNumberFormat="1" applyFont="1" applyFill="1"/>
    <xf numFmtId="0" fontId="2" fillId="15" borderId="94" xfId="0" applyFont="1" applyFill="1" applyBorder="1"/>
    <xf numFmtId="0" fontId="1" fillId="4" borderId="94" xfId="0" applyFont="1" applyFill="1" applyBorder="1"/>
    <xf numFmtId="2" fontId="1" fillId="15" borderId="94" xfId="0" applyNumberFormat="1" applyFont="1" applyFill="1" applyBorder="1"/>
    <xf numFmtId="1" fontId="1" fillId="20" borderId="30" xfId="0" applyNumberFormat="1" applyFont="1" applyFill="1" applyBorder="1"/>
    <xf numFmtId="1" fontId="1" fillId="20" borderId="23" xfId="0" applyNumberFormat="1" applyFont="1" applyFill="1" applyBorder="1"/>
    <xf numFmtId="1" fontId="1" fillId="20" borderId="17" xfId="0" applyNumberFormat="1" applyFont="1" applyFill="1" applyBorder="1"/>
    <xf numFmtId="2" fontId="69" fillId="0" borderId="31" xfId="0" applyNumberFormat="1" applyFont="1" applyBorder="1" applyAlignment="1">
      <alignment horizontal="center"/>
    </xf>
    <xf numFmtId="2" fontId="1" fillId="15" borderId="30" xfId="0" applyNumberFormat="1" applyFont="1" applyFill="1" applyBorder="1"/>
    <xf numFmtId="2" fontId="1" fillId="15" borderId="23" xfId="0" applyNumberFormat="1" applyFont="1" applyFill="1" applyBorder="1"/>
    <xf numFmtId="2" fontId="1" fillId="15" borderId="17" xfId="0" applyNumberFormat="1" applyFont="1" applyFill="1" applyBorder="1"/>
    <xf numFmtId="2" fontId="90" fillId="4" borderId="28" xfId="0" applyNumberFormat="1" applyFont="1" applyFill="1" applyBorder="1"/>
    <xf numFmtId="2" fontId="14" fillId="15" borderId="30" xfId="0" applyNumberFormat="1" applyFont="1" applyFill="1" applyBorder="1"/>
    <xf numFmtId="2" fontId="14" fillId="15" borderId="5" xfId="0" applyNumberFormat="1" applyFont="1" applyFill="1" applyBorder="1"/>
    <xf numFmtId="2" fontId="14" fillId="4" borderId="30" xfId="0" applyNumberFormat="1" applyFont="1" applyFill="1" applyBorder="1"/>
    <xf numFmtId="2" fontId="69" fillId="4" borderId="23" xfId="0" applyNumberFormat="1" applyFont="1" applyFill="1" applyBorder="1"/>
    <xf numFmtId="2" fontId="14" fillId="4" borderId="23" xfId="0" applyNumberFormat="1" applyFont="1" applyFill="1" applyBorder="1"/>
    <xf numFmtId="165" fontId="14" fillId="4" borderId="23" xfId="0" applyNumberFormat="1" applyFont="1" applyFill="1" applyBorder="1"/>
    <xf numFmtId="0" fontId="69" fillId="15" borderId="13" xfId="0" applyFont="1" applyFill="1" applyBorder="1"/>
    <xf numFmtId="2" fontId="14" fillId="4" borderId="17" xfId="0" applyNumberFormat="1" applyFont="1" applyFill="1" applyBorder="1"/>
    <xf numFmtId="2" fontId="1" fillId="4" borderId="0" xfId="0" applyNumberFormat="1" applyFont="1" applyFill="1" applyBorder="1"/>
    <xf numFmtId="164" fontId="1" fillId="4" borderId="0" xfId="0" applyNumberFormat="1" applyFont="1" applyFill="1" applyBorder="1"/>
    <xf numFmtId="2" fontId="1" fillId="4" borderId="6" xfId="0" applyNumberFormat="1" applyFont="1" applyFill="1" applyBorder="1"/>
    <xf numFmtId="2" fontId="1" fillId="4" borderId="7" xfId="0" applyNumberFormat="1" applyFont="1" applyFill="1" applyBorder="1"/>
    <xf numFmtId="0" fontId="1" fillId="4" borderId="0" xfId="0" applyFont="1" applyFill="1" applyBorder="1"/>
    <xf numFmtId="164" fontId="1" fillId="4" borderId="7" xfId="0" applyNumberFormat="1" applyFont="1" applyFill="1" applyBorder="1"/>
    <xf numFmtId="165" fontId="1" fillId="4" borderId="13" xfId="0" applyNumberFormat="1" applyFont="1" applyFill="1" applyBorder="1"/>
    <xf numFmtId="0" fontId="1" fillId="4" borderId="2" xfId="0" applyFont="1" applyFill="1" applyBorder="1"/>
    <xf numFmtId="2" fontId="1" fillId="4" borderId="13" xfId="0" applyNumberFormat="1" applyFont="1" applyFill="1" applyBorder="1"/>
    <xf numFmtId="164" fontId="1" fillId="4" borderId="13" xfId="0" applyNumberFormat="1" applyFont="1" applyFill="1" applyBorder="1"/>
    <xf numFmtId="2" fontId="1" fillId="4" borderId="2" xfId="0" applyNumberFormat="1" applyFont="1" applyFill="1" applyBorder="1"/>
    <xf numFmtId="0" fontId="90" fillId="16" borderId="94" xfId="0" applyFont="1" applyFill="1" applyBorder="1"/>
    <xf numFmtId="0" fontId="0" fillId="16" borderId="13" xfId="0" applyFill="1" applyBorder="1"/>
    <xf numFmtId="0" fontId="101" fillId="20" borderId="8" xfId="0" applyFont="1" applyFill="1" applyBorder="1" applyAlignment="1">
      <alignment vertical="top"/>
    </xf>
    <xf numFmtId="0" fontId="63" fillId="20" borderId="19" xfId="0" applyFont="1" applyFill="1" applyBorder="1"/>
    <xf numFmtId="0" fontId="0" fillId="20" borderId="9" xfId="0" applyFill="1" applyBorder="1"/>
    <xf numFmtId="164" fontId="69" fillId="15" borderId="6" xfId="0" applyNumberFormat="1" applyFont="1" applyFill="1" applyBorder="1"/>
    <xf numFmtId="17" fontId="90" fillId="0" borderId="0" xfId="0" applyNumberFormat="1" applyFont="1"/>
    <xf numFmtId="0" fontId="90" fillId="16" borderId="0" xfId="0" applyFont="1" applyFill="1"/>
    <xf numFmtId="0" fontId="68" fillId="0" borderId="31" xfId="0" applyFont="1" applyBorder="1"/>
    <xf numFmtId="0" fontId="90" fillId="20" borderId="0" xfId="0" applyFont="1" applyFill="1"/>
    <xf numFmtId="0" fontId="0" fillId="20" borderId="0" xfId="0" applyFill="1"/>
    <xf numFmtId="0" fontId="104" fillId="16" borderId="0" xfId="0" applyFont="1" applyFill="1"/>
    <xf numFmtId="2" fontId="69" fillId="15" borderId="23" xfId="0" applyNumberFormat="1" applyFont="1" applyFill="1" applyBorder="1"/>
    <xf numFmtId="0" fontId="0" fillId="0" borderId="31" xfId="0" applyFill="1" applyBorder="1" applyAlignment="1">
      <alignment horizontal="center"/>
    </xf>
    <xf numFmtId="0" fontId="0" fillId="0" borderId="12" xfId="0" applyFill="1" applyBorder="1" applyAlignment="1">
      <alignment horizontal="center"/>
    </xf>
    <xf numFmtId="2" fontId="69" fillId="15" borderId="17" xfId="0" applyNumberFormat="1" applyFont="1" applyFill="1" applyBorder="1"/>
    <xf numFmtId="0" fontId="63" fillId="20" borderId="31" xfId="0" applyFont="1" applyFill="1" applyBorder="1"/>
    <xf numFmtId="0" fontId="45" fillId="4" borderId="35" xfId="0" applyFont="1" applyFill="1" applyBorder="1"/>
    <xf numFmtId="0" fontId="63" fillId="4" borderId="10" xfId="0" applyFont="1" applyFill="1" applyBorder="1"/>
    <xf numFmtId="0" fontId="63" fillId="4" borderId="11" xfId="0" applyFont="1" applyFill="1" applyBorder="1"/>
    <xf numFmtId="0" fontId="45" fillId="4" borderId="32" xfId="0" applyFont="1" applyFill="1" applyBorder="1"/>
    <xf numFmtId="0" fontId="63" fillId="4" borderId="0" xfId="0" applyFont="1" applyFill="1" applyBorder="1"/>
    <xf numFmtId="0" fontId="63" fillId="4" borderId="41" xfId="0" applyFont="1" applyFill="1" applyBorder="1"/>
    <xf numFmtId="0" fontId="45" fillId="4" borderId="34" xfId="0" applyFont="1" applyFill="1" applyBorder="1"/>
    <xf numFmtId="0" fontId="63" fillId="4" borderId="21" xfId="0" applyFont="1" applyFill="1" applyBorder="1"/>
    <xf numFmtId="0" fontId="63" fillId="4" borderId="29" xfId="0" applyFont="1" applyFill="1" applyBorder="1"/>
    <xf numFmtId="0" fontId="63" fillId="4" borderId="0" xfId="0" applyFont="1" applyFill="1"/>
    <xf numFmtId="0" fontId="1" fillId="20" borderId="31" xfId="0" applyFont="1" applyFill="1" applyBorder="1"/>
    <xf numFmtId="0" fontId="90" fillId="20" borderId="31" xfId="0" applyFont="1" applyFill="1" applyBorder="1"/>
    <xf numFmtId="2" fontId="90" fillId="15" borderId="3" xfId="0" applyNumberFormat="1" applyFont="1" applyFill="1" applyBorder="1"/>
    <xf numFmtId="2" fontId="90" fillId="15" borderId="6" xfId="0" applyNumberFormat="1" applyFont="1" applyFill="1" applyBorder="1"/>
    <xf numFmtId="164" fontId="90" fillId="15" borderId="0" xfId="0" applyNumberFormat="1" applyFont="1" applyFill="1" applyBorder="1"/>
    <xf numFmtId="164" fontId="90" fillId="15" borderId="7" xfId="0" applyNumberFormat="1" applyFont="1" applyFill="1" applyBorder="1"/>
    <xf numFmtId="2" fontId="90" fillId="15" borderId="12" xfId="0" applyNumberFormat="1" applyFont="1" applyFill="1" applyBorder="1"/>
    <xf numFmtId="164" fontId="90" fillId="15" borderId="2" xfId="0" applyNumberFormat="1" applyFont="1" applyFill="1" applyBorder="1"/>
    <xf numFmtId="164" fontId="90" fillId="15" borderId="13" xfId="0" applyNumberFormat="1" applyFont="1" applyFill="1" applyBorder="1"/>
    <xf numFmtId="2" fontId="1" fillId="4" borderId="94" xfId="0" applyNumberFormat="1" applyFont="1" applyFill="1" applyBorder="1"/>
    <xf numFmtId="164" fontId="1" fillId="4" borderId="30" xfId="0" applyNumberFormat="1" applyFont="1" applyFill="1" applyBorder="1"/>
    <xf numFmtId="164" fontId="1" fillId="4" borderId="23" xfId="0" applyNumberFormat="1" applyFont="1" applyFill="1" applyBorder="1"/>
    <xf numFmtId="164" fontId="1" fillId="4" borderId="17" xfId="0" applyNumberFormat="1" applyFont="1" applyFill="1" applyBorder="1"/>
    <xf numFmtId="164" fontId="90" fillId="15" borderId="94" xfId="0" applyNumberFormat="1" applyFont="1" applyFill="1" applyBorder="1"/>
    <xf numFmtId="0" fontId="90" fillId="15" borderId="4" xfId="0" applyFont="1" applyFill="1" applyBorder="1"/>
    <xf numFmtId="2" fontId="1" fillId="4" borderId="5" xfId="0" applyNumberFormat="1" applyFont="1" applyFill="1" applyBorder="1"/>
    <xf numFmtId="0" fontId="1" fillId="4" borderId="13" xfId="0" applyFont="1" applyFill="1" applyBorder="1"/>
    <xf numFmtId="0" fontId="0" fillId="15" borderId="94" xfId="0" applyFill="1" applyBorder="1"/>
    <xf numFmtId="0" fontId="90" fillId="0" borderId="8" xfId="0" applyFont="1" applyBorder="1"/>
    <xf numFmtId="0" fontId="2" fillId="20" borderId="88" xfId="0" applyFont="1" applyFill="1" applyBorder="1"/>
    <xf numFmtId="0" fontId="0" fillId="0" borderId="22" xfId="0" applyFill="1" applyBorder="1"/>
    <xf numFmtId="164" fontId="69" fillId="15" borderId="23" xfId="0" applyNumberFormat="1" applyFont="1" applyFill="1" applyBorder="1"/>
    <xf numFmtId="0" fontId="2" fillId="20" borderId="65" xfId="0" applyFont="1" applyFill="1" applyBorder="1"/>
    <xf numFmtId="0" fontId="1" fillId="20" borderId="66" xfId="0" applyFont="1" applyFill="1" applyBorder="1"/>
    <xf numFmtId="0" fontId="0" fillId="0" borderId="70" xfId="0" applyFill="1" applyBorder="1" applyAlignment="1">
      <alignment horizontal="center"/>
    </xf>
    <xf numFmtId="0" fontId="0" fillId="0" borderId="37" xfId="0" applyFill="1" applyBorder="1" applyAlignment="1">
      <alignment horizontal="center"/>
    </xf>
    <xf numFmtId="2" fontId="69" fillId="15" borderId="30" xfId="0" applyNumberFormat="1" applyFont="1" applyFill="1" applyBorder="1"/>
    <xf numFmtId="1" fontId="1" fillId="4" borderId="30" xfId="0" applyNumberFormat="1" applyFont="1" applyFill="1" applyBorder="1"/>
    <xf numFmtId="0" fontId="47" fillId="20" borderId="92" xfId="0" applyFont="1" applyFill="1" applyBorder="1"/>
    <xf numFmtId="0" fontId="47" fillId="20" borderId="94" xfId="0" applyFont="1" applyFill="1" applyBorder="1"/>
    <xf numFmtId="0" fontId="47" fillId="20" borderId="3" xfId="0" applyFont="1" applyFill="1" applyBorder="1"/>
    <xf numFmtId="1" fontId="47" fillId="4" borderId="92" xfId="0" applyNumberFormat="1" applyFont="1" applyFill="1" applyBorder="1"/>
    <xf numFmtId="1" fontId="47" fillId="4" borderId="94" xfId="0" applyNumberFormat="1" applyFont="1" applyFill="1" applyBorder="1"/>
    <xf numFmtId="1" fontId="14" fillId="4" borderId="30" xfId="0" applyNumberFormat="1" applyFont="1" applyFill="1" applyBorder="1"/>
    <xf numFmtId="1" fontId="14" fillId="4" borderId="23" xfId="0" applyNumberFormat="1" applyFont="1" applyFill="1" applyBorder="1"/>
    <xf numFmtId="1" fontId="14" fillId="4" borderId="17" xfId="0" applyNumberFormat="1" applyFont="1" applyFill="1" applyBorder="1"/>
    <xf numFmtId="0" fontId="47" fillId="15" borderId="0" xfId="0" applyFont="1" applyFill="1" applyBorder="1"/>
    <xf numFmtId="165" fontId="47" fillId="15" borderId="0" xfId="0" applyNumberFormat="1" applyFont="1" applyFill="1" applyBorder="1"/>
    <xf numFmtId="165" fontId="47" fillId="15" borderId="2" xfId="0" applyNumberFormat="1" applyFont="1" applyFill="1" applyBorder="1"/>
    <xf numFmtId="2" fontId="69" fillId="15" borderId="0" xfId="0" applyNumberFormat="1" applyFont="1" applyFill="1" applyBorder="1"/>
    <xf numFmtId="1" fontId="69" fillId="15" borderId="30" xfId="0" applyNumberFormat="1" applyFont="1" applyFill="1" applyBorder="1"/>
    <xf numFmtId="0" fontId="69" fillId="4" borderId="31" xfId="0" applyFont="1" applyFill="1" applyBorder="1"/>
    <xf numFmtId="0" fontId="47" fillId="4" borderId="17" xfId="0" applyFont="1" applyFill="1" applyBorder="1"/>
    <xf numFmtId="0" fontId="90" fillId="4" borderId="27" xfId="0" applyFont="1" applyFill="1" applyBorder="1"/>
    <xf numFmtId="2" fontId="8" fillId="16" borderId="0" xfId="0" applyNumberFormat="1" applyFont="1" applyFill="1" applyBorder="1"/>
    <xf numFmtId="165" fontId="1" fillId="4" borderId="2" xfId="0" applyNumberFormat="1" applyFont="1" applyFill="1" applyBorder="1"/>
    <xf numFmtId="165" fontId="100" fillId="4" borderId="23" xfId="0" applyNumberFormat="1" applyFont="1" applyFill="1" applyBorder="1"/>
    <xf numFmtId="165" fontId="100" fillId="4" borderId="17" xfId="0" applyNumberFormat="1" applyFont="1" applyFill="1" applyBorder="1"/>
    <xf numFmtId="0" fontId="5" fillId="15" borderId="14" xfId="0" applyFont="1" applyFill="1" applyBorder="1"/>
    <xf numFmtId="0" fontId="5" fillId="15" borderId="15" xfId="0" applyFont="1" applyFill="1" applyBorder="1"/>
    <xf numFmtId="0" fontId="0" fillId="15" borderId="15" xfId="0" applyFill="1" applyBorder="1"/>
    <xf numFmtId="0" fontId="0" fillId="15" borderId="16" xfId="0" applyFill="1" applyBorder="1"/>
    <xf numFmtId="0" fontId="105" fillId="15" borderId="15" xfId="0" applyFont="1" applyFill="1" applyBorder="1"/>
    <xf numFmtId="0" fontId="106" fillId="15" borderId="15" xfId="0" applyFont="1" applyFill="1" applyBorder="1"/>
    <xf numFmtId="0" fontId="2" fillId="10" borderId="92" xfId="0" applyFont="1" applyFill="1" applyBorder="1"/>
    <xf numFmtId="0" fontId="3" fillId="0" borderId="36" xfId="0" applyFont="1" applyBorder="1"/>
    <xf numFmtId="0" fontId="1" fillId="0" borderId="15" xfId="0" applyFont="1" applyBorder="1"/>
    <xf numFmtId="0" fontId="68" fillId="0" borderId="15" xfId="0" applyFont="1" applyBorder="1"/>
    <xf numFmtId="165" fontId="14" fillId="15" borderId="19" xfId="0" applyNumberFormat="1" applyFont="1" applyFill="1" applyBorder="1"/>
    <xf numFmtId="165" fontId="2" fillId="15" borderId="19" xfId="0" applyNumberFormat="1" applyFont="1" applyFill="1" applyBorder="1"/>
    <xf numFmtId="165" fontId="2" fillId="15" borderId="9" xfId="0" applyNumberFormat="1" applyFont="1" applyFill="1" applyBorder="1"/>
    <xf numFmtId="0" fontId="0" fillId="15" borderId="19" xfId="0" applyFill="1" applyBorder="1"/>
    <xf numFmtId="0" fontId="63" fillId="15" borderId="19" xfId="0" applyFont="1" applyFill="1" applyBorder="1"/>
    <xf numFmtId="0" fontId="69" fillId="15" borderId="19" xfId="0" applyFont="1" applyFill="1" applyBorder="1"/>
    <xf numFmtId="0" fontId="69" fillId="0" borderId="19" xfId="0" applyFont="1" applyBorder="1"/>
    <xf numFmtId="165" fontId="14" fillId="15" borderId="94" xfId="0" applyNumberFormat="1" applyFont="1" applyFill="1" applyBorder="1"/>
    <xf numFmtId="0" fontId="67" fillId="0" borderId="23" xfId="0" applyFont="1" applyBorder="1"/>
    <xf numFmtId="0" fontId="67" fillId="15" borderId="3" xfId="0" applyFont="1" applyFill="1" applyBorder="1"/>
    <xf numFmtId="0" fontId="67" fillId="15" borderId="4" xfId="0" applyFont="1" applyFill="1" applyBorder="1"/>
    <xf numFmtId="0" fontId="67" fillId="15" borderId="92" xfId="0" applyFont="1" applyFill="1" applyBorder="1"/>
    <xf numFmtId="0" fontId="67" fillId="15" borderId="94" xfId="0" applyFont="1" applyFill="1" applyBorder="1"/>
    <xf numFmtId="0" fontId="67" fillId="15" borderId="2" xfId="0" applyFont="1" applyFill="1" applyBorder="1"/>
    <xf numFmtId="1" fontId="0" fillId="15" borderId="92" xfId="0" applyNumberFormat="1" applyFill="1" applyBorder="1"/>
    <xf numFmtId="1" fontId="0" fillId="15" borderId="94" xfId="0" applyNumberFormat="1" applyFill="1" applyBorder="1"/>
    <xf numFmtId="1" fontId="70" fillId="15" borderId="3" xfId="0" applyNumberFormat="1" applyFont="1" applyFill="1" applyBorder="1"/>
    <xf numFmtId="1" fontId="70" fillId="15" borderId="92" xfId="0" applyNumberFormat="1" applyFont="1" applyFill="1" applyBorder="1"/>
    <xf numFmtId="2" fontId="70" fillId="15" borderId="5" xfId="0" applyNumberFormat="1" applyFont="1" applyFill="1" applyBorder="1"/>
    <xf numFmtId="0" fontId="34" fillId="0" borderId="0" xfId="0" applyFont="1" applyBorder="1"/>
    <xf numFmtId="0" fontId="37" fillId="0" borderId="0" xfId="0" applyFont="1" applyFill="1" applyBorder="1"/>
    <xf numFmtId="0" fontId="69" fillId="0" borderId="4" xfId="0" applyFont="1" applyBorder="1"/>
    <xf numFmtId="0" fontId="0" fillId="15" borderId="17" xfId="0" applyFill="1" applyBorder="1"/>
    <xf numFmtId="1" fontId="69" fillId="16" borderId="0" xfId="0" applyNumberFormat="1" applyFont="1" applyFill="1"/>
    <xf numFmtId="0" fontId="90" fillId="15" borderId="31" xfId="0" applyFont="1" applyFill="1" applyBorder="1" applyAlignment="1">
      <alignment horizontal="center"/>
    </xf>
    <xf numFmtId="0" fontId="66" fillId="4" borderId="0" xfId="0" applyFont="1" applyFill="1"/>
    <xf numFmtId="0" fontId="2" fillId="4" borderId="19" xfId="0" applyFont="1" applyFill="1" applyBorder="1"/>
    <xf numFmtId="0" fontId="108" fillId="0" borderId="0" xfId="0" applyFont="1"/>
    <xf numFmtId="0" fontId="66" fillId="0" borderId="2" xfId="0" applyFont="1" applyBorder="1"/>
    <xf numFmtId="164" fontId="8" fillId="6" borderId="7" xfId="0" applyNumberFormat="1" applyFont="1" applyFill="1" applyBorder="1"/>
    <xf numFmtId="0" fontId="2" fillId="5" borderId="7" xfId="0" applyFont="1" applyFill="1" applyBorder="1"/>
    <xf numFmtId="0" fontId="6" fillId="0" borderId="35" xfId="0" applyFont="1" applyFill="1" applyBorder="1"/>
    <xf numFmtId="0" fontId="6" fillId="0" borderId="10" xfId="0" applyFont="1" applyFill="1" applyBorder="1"/>
    <xf numFmtId="0" fontId="6" fillId="0" borderId="11" xfId="0" applyFont="1" applyFill="1" applyBorder="1"/>
    <xf numFmtId="0" fontId="6" fillId="4" borderId="32" xfId="0" applyFont="1" applyFill="1" applyBorder="1"/>
    <xf numFmtId="0" fontId="6" fillId="4" borderId="41" xfId="0" applyFont="1" applyFill="1" applyBorder="1"/>
    <xf numFmtId="0" fontId="6" fillId="4" borderId="34" xfId="0" applyFont="1" applyFill="1" applyBorder="1"/>
    <xf numFmtId="0" fontId="0" fillId="0" borderId="29" xfId="0" applyBorder="1"/>
    <xf numFmtId="0" fontId="0" fillId="9" borderId="5" xfId="0" applyFill="1" applyBorder="1"/>
    <xf numFmtId="0" fontId="0" fillId="9" borderId="7" xfId="0" applyFill="1" applyBorder="1"/>
    <xf numFmtId="0" fontId="0" fillId="9" borderId="13" xfId="0" applyFill="1" applyBorder="1"/>
    <xf numFmtId="0" fontId="6" fillId="15" borderId="3" xfId="0" applyFont="1" applyFill="1" applyBorder="1"/>
    <xf numFmtId="0" fontId="8" fillId="15" borderId="4" xfId="0" applyFont="1" applyFill="1" applyBorder="1"/>
    <xf numFmtId="0" fontId="8" fillId="15" borderId="92" xfId="0" applyFont="1" applyFill="1" applyBorder="1"/>
    <xf numFmtId="0" fontId="6" fillId="15" borderId="92" xfId="0" applyFont="1" applyFill="1" applyBorder="1"/>
    <xf numFmtId="0" fontId="6" fillId="15" borderId="94" xfId="0" applyFont="1" applyFill="1" applyBorder="1"/>
    <xf numFmtId="0" fontId="14" fillId="0" borderId="30" xfId="0" applyFont="1" applyFill="1" applyBorder="1"/>
    <xf numFmtId="0" fontId="14" fillId="0" borderId="23" xfId="0" applyFont="1" applyFill="1" applyBorder="1"/>
    <xf numFmtId="165" fontId="2" fillId="0" borderId="19" xfId="0" applyNumberFormat="1" applyFont="1" applyBorder="1"/>
    <xf numFmtId="165" fontId="2" fillId="0" borderId="9" xfId="0" applyNumberFormat="1" applyFont="1" applyBorder="1"/>
    <xf numFmtId="14" fontId="67" fillId="4" borderId="31" xfId="0" applyNumberFormat="1" applyFont="1" applyFill="1" applyBorder="1"/>
    <xf numFmtId="0" fontId="2" fillId="5" borderId="97" xfId="0" applyFont="1" applyFill="1" applyBorder="1"/>
    <xf numFmtId="166" fontId="2" fillId="6" borderId="0" xfId="0" applyNumberFormat="1" applyFont="1" applyFill="1"/>
    <xf numFmtId="0" fontId="0" fillId="8" borderId="5" xfId="0" applyFill="1" applyBorder="1"/>
    <xf numFmtId="0" fontId="104" fillId="9" borderId="7" xfId="0" applyFont="1" applyFill="1" applyBorder="1"/>
    <xf numFmtId="0" fontId="111" fillId="20" borderId="9" xfId="0" applyFont="1" applyFill="1" applyBorder="1" applyAlignment="1">
      <alignment horizontal="center"/>
    </xf>
    <xf numFmtId="0" fontId="70" fillId="0" borderId="2" xfId="0" applyFont="1" applyBorder="1"/>
    <xf numFmtId="0" fontId="70" fillId="20" borderId="31" xfId="0" applyFont="1" applyFill="1" applyBorder="1"/>
    <xf numFmtId="0" fontId="70" fillId="20" borderId="30" xfId="0" applyFont="1" applyFill="1" applyBorder="1"/>
    <xf numFmtId="0" fontId="70" fillId="20" borderId="23" xfId="0" applyFont="1" applyFill="1" applyBorder="1"/>
    <xf numFmtId="0" fontId="70" fillId="20" borderId="17" xfId="0" applyFont="1" applyFill="1" applyBorder="1"/>
    <xf numFmtId="2" fontId="63" fillId="15" borderId="0" xfId="0" applyNumberFormat="1" applyFont="1" applyFill="1"/>
    <xf numFmtId="164" fontId="33" fillId="16" borderId="97" xfId="0" applyNumberFormat="1" applyFont="1" applyFill="1" applyBorder="1"/>
    <xf numFmtId="165" fontId="31" fillId="15" borderId="97" xfId="0" applyNumberFormat="1" applyFont="1" applyFill="1" applyBorder="1"/>
    <xf numFmtId="165" fontId="31" fillId="15" borderId="17" xfId="0" applyNumberFormat="1" applyFont="1" applyFill="1" applyBorder="1"/>
    <xf numFmtId="164" fontId="33" fillId="15" borderId="5" xfId="0" applyNumberFormat="1" applyFont="1" applyFill="1" applyBorder="1"/>
    <xf numFmtId="164" fontId="33" fillId="15" borderId="7" xfId="0" applyNumberFormat="1" applyFont="1" applyFill="1" applyBorder="1"/>
    <xf numFmtId="164" fontId="33" fillId="16" borderId="7" xfId="0" applyNumberFormat="1" applyFont="1" applyFill="1" applyBorder="1"/>
    <xf numFmtId="165" fontId="31" fillId="15" borderId="7" xfId="0" applyNumberFormat="1" applyFont="1" applyFill="1" applyBorder="1"/>
    <xf numFmtId="165" fontId="31" fillId="15" borderId="13" xfId="0" applyNumberFormat="1" applyFont="1" applyFill="1" applyBorder="1"/>
    <xf numFmtId="14" fontId="12" fillId="4" borderId="97" xfId="0" applyNumberFormat="1" applyFont="1" applyFill="1" applyBorder="1"/>
    <xf numFmtId="1" fontId="33" fillId="15" borderId="27" xfId="0" applyNumberFormat="1" applyFont="1" applyFill="1" applyBorder="1"/>
    <xf numFmtId="1" fontId="33" fillId="15" borderId="22" xfId="0" applyNumberFormat="1" applyFont="1" applyFill="1" applyBorder="1"/>
    <xf numFmtId="1" fontId="33" fillId="15" borderId="28" xfId="0" applyNumberFormat="1" applyFont="1" applyFill="1" applyBorder="1"/>
    <xf numFmtId="165" fontId="31" fillId="0" borderId="97" xfId="0" applyNumberFormat="1" applyFont="1" applyBorder="1"/>
    <xf numFmtId="165" fontId="31" fillId="0" borderId="17" xfId="0" applyNumberFormat="1" applyFont="1" applyBorder="1"/>
    <xf numFmtId="165" fontId="31" fillId="15" borderId="30" xfId="0" applyNumberFormat="1" applyFont="1" applyFill="1" applyBorder="1"/>
    <xf numFmtId="164" fontId="31" fillId="15" borderId="7" xfId="0" applyNumberFormat="1" applyFont="1" applyFill="1" applyBorder="1"/>
    <xf numFmtId="165" fontId="31" fillId="15" borderId="3" xfId="0" applyNumberFormat="1" applyFont="1" applyFill="1" applyBorder="1"/>
    <xf numFmtId="165" fontId="31" fillId="15" borderId="92" xfId="0" applyNumberFormat="1" applyFont="1" applyFill="1" applyBorder="1"/>
    <xf numFmtId="165" fontId="31" fillId="15" borderId="94" xfId="0" applyNumberFormat="1" applyFont="1" applyFill="1" applyBorder="1"/>
    <xf numFmtId="0" fontId="70" fillId="15" borderId="22" xfId="0" applyFont="1" applyFill="1" applyBorder="1"/>
    <xf numFmtId="0" fontId="70" fillId="15" borderId="28" xfId="0" applyFont="1" applyFill="1" applyBorder="1"/>
    <xf numFmtId="164" fontId="31" fillId="16" borderId="30" xfId="0" applyNumberFormat="1" applyFont="1" applyFill="1" applyBorder="1"/>
    <xf numFmtId="164" fontId="31" fillId="0" borderId="97" xfId="0" applyNumberFormat="1" applyFont="1" applyFill="1" applyBorder="1"/>
    <xf numFmtId="164" fontId="31" fillId="0" borderId="17" xfId="0" applyNumberFormat="1" applyFont="1" applyFill="1" applyBorder="1"/>
    <xf numFmtId="164" fontId="33" fillId="16" borderId="30" xfId="0" applyNumberFormat="1" applyFont="1" applyFill="1" applyBorder="1"/>
    <xf numFmtId="165" fontId="31" fillId="0" borderId="30" xfId="0" applyNumberFormat="1" applyFont="1" applyBorder="1"/>
    <xf numFmtId="165" fontId="31" fillId="0" borderId="98" xfId="0" applyNumberFormat="1" applyFont="1" applyBorder="1"/>
    <xf numFmtId="0" fontId="3" fillId="15" borderId="31" xfId="0" applyFont="1" applyFill="1" applyBorder="1" applyAlignment="1">
      <alignment horizontal="center"/>
    </xf>
    <xf numFmtId="164" fontId="14" fillId="4" borderId="30" xfId="0" applyNumberFormat="1" applyFont="1" applyFill="1" applyBorder="1"/>
    <xf numFmtId="164" fontId="14" fillId="4" borderId="97" xfId="0" applyNumberFormat="1" applyFont="1" applyFill="1" applyBorder="1"/>
    <xf numFmtId="164" fontId="14" fillId="4" borderId="99" xfId="0" applyNumberFormat="1" applyFont="1" applyFill="1" applyBorder="1"/>
    <xf numFmtId="1" fontId="69" fillId="15" borderId="5" xfId="0" applyNumberFormat="1" applyFont="1" applyFill="1" applyBorder="1"/>
    <xf numFmtId="1" fontId="69" fillId="15" borderId="7" xfId="0" applyNumberFormat="1" applyFont="1" applyFill="1" applyBorder="1"/>
    <xf numFmtId="0" fontId="1" fillId="20" borderId="99" xfId="0" applyFont="1" applyFill="1" applyBorder="1"/>
    <xf numFmtId="2" fontId="14" fillId="15" borderId="94" xfId="0" applyNumberFormat="1" applyFont="1" applyFill="1" applyBorder="1"/>
    <xf numFmtId="165" fontId="14" fillId="4" borderId="92" xfId="0" applyNumberFormat="1" applyFont="1" applyFill="1" applyBorder="1"/>
    <xf numFmtId="0" fontId="14" fillId="20" borderId="94" xfId="0" applyFont="1" applyFill="1" applyBorder="1"/>
    <xf numFmtId="165" fontId="14" fillId="4" borderId="94" xfId="0" applyNumberFormat="1" applyFont="1" applyFill="1" applyBorder="1"/>
    <xf numFmtId="0" fontId="6" fillId="15" borderId="31" xfId="0" applyFont="1" applyFill="1" applyBorder="1" applyAlignment="1">
      <alignment horizontal="center"/>
    </xf>
    <xf numFmtId="165" fontId="14" fillId="4" borderId="97" xfId="0" applyNumberFormat="1" applyFont="1" applyFill="1" applyBorder="1"/>
    <xf numFmtId="165" fontId="14" fillId="4" borderId="99" xfId="0" applyNumberFormat="1" applyFont="1" applyFill="1" applyBorder="1"/>
    <xf numFmtId="14" fontId="3" fillId="4" borderId="97" xfId="0" applyNumberFormat="1" applyFont="1" applyFill="1" applyBorder="1"/>
    <xf numFmtId="14" fontId="3" fillId="4" borderId="99" xfId="0" applyNumberFormat="1" applyFont="1" applyFill="1" applyBorder="1"/>
    <xf numFmtId="0" fontId="9" fillId="0" borderId="9" xfId="0" applyFont="1" applyFill="1" applyBorder="1"/>
    <xf numFmtId="0" fontId="9" fillId="0" borderId="31" xfId="0" applyFont="1" applyFill="1" applyBorder="1"/>
    <xf numFmtId="0" fontId="0" fillId="4" borderId="31" xfId="0" applyFont="1" applyFill="1" applyBorder="1" applyAlignment="1">
      <alignment horizontal="center"/>
    </xf>
    <xf numFmtId="0" fontId="112" fillId="0" borderId="0" xfId="0" applyFont="1"/>
    <xf numFmtId="0" fontId="33" fillId="26" borderId="30" xfId="0" applyFont="1" applyFill="1" applyBorder="1"/>
    <xf numFmtId="0" fontId="33" fillId="26" borderId="23" xfId="0" applyFont="1" applyFill="1" applyBorder="1"/>
    <xf numFmtId="0" fontId="33" fillId="26" borderId="17" xfId="0" applyFont="1" applyFill="1" applyBorder="1"/>
    <xf numFmtId="0" fontId="2" fillId="26" borderId="31" xfId="0" applyFont="1" applyFill="1" applyBorder="1"/>
    <xf numFmtId="0" fontId="0" fillId="26" borderId="31" xfId="0" applyFill="1" applyBorder="1"/>
    <xf numFmtId="0" fontId="33" fillId="0" borderId="31" xfId="0" applyFont="1" applyBorder="1"/>
    <xf numFmtId="0" fontId="69" fillId="0" borderId="31" xfId="0" applyFont="1" applyBorder="1"/>
    <xf numFmtId="0" fontId="70" fillId="3" borderId="30" xfId="0" applyFont="1" applyFill="1" applyBorder="1"/>
    <xf numFmtId="0" fontId="70" fillId="3" borderId="23" xfId="0" applyFont="1" applyFill="1" applyBorder="1"/>
    <xf numFmtId="0" fontId="69" fillId="0" borderId="31" xfId="0" applyFont="1" applyBorder="1" applyAlignment="1">
      <alignment horizontal="center"/>
    </xf>
    <xf numFmtId="0" fontId="69" fillId="0" borderId="31" xfId="0" applyFont="1" applyBorder="1" applyAlignment="1">
      <alignment horizontal="right"/>
    </xf>
    <xf numFmtId="1" fontId="70" fillId="0" borderId="6" xfId="0" applyNumberFormat="1" applyFont="1" applyBorder="1"/>
    <xf numFmtId="0" fontId="70" fillId="0" borderId="0" xfId="0" applyFont="1" applyBorder="1"/>
    <xf numFmtId="165" fontId="70" fillId="0" borderId="0" xfId="0" applyNumberFormat="1" applyFont="1" applyBorder="1"/>
    <xf numFmtId="2" fontId="70" fillId="0" borderId="32" xfId="0" applyNumberFormat="1" applyFont="1" applyBorder="1"/>
    <xf numFmtId="2" fontId="70" fillId="0" borderId="41" xfId="0" applyNumberFormat="1" applyFont="1" applyBorder="1"/>
    <xf numFmtId="165" fontId="70" fillId="0" borderId="0" xfId="0" applyNumberFormat="1" applyFont="1" applyFill="1" applyBorder="1"/>
    <xf numFmtId="0" fontId="70" fillId="0" borderId="9" xfId="0" applyFont="1" applyBorder="1"/>
    <xf numFmtId="0" fontId="70" fillId="3" borderId="97" xfId="0" applyFont="1" applyFill="1" applyBorder="1"/>
    <xf numFmtId="0" fontId="70" fillId="0" borderId="2" xfId="0" applyFont="1" applyFill="1" applyBorder="1"/>
    <xf numFmtId="0" fontId="70" fillId="0" borderId="0" xfId="0" applyFont="1" applyFill="1" applyBorder="1"/>
    <xf numFmtId="14" fontId="0" fillId="0" borderId="34" xfId="0" applyNumberFormat="1" applyBorder="1"/>
    <xf numFmtId="1" fontId="70" fillId="0" borderId="92" xfId="0" applyNumberFormat="1" applyFont="1" applyBorder="1"/>
    <xf numFmtId="0" fontId="70" fillId="3" borderId="99" xfId="0" applyFont="1" applyFill="1" applyBorder="1"/>
    <xf numFmtId="0" fontId="70" fillId="0" borderId="94" xfId="0" applyFont="1" applyBorder="1"/>
    <xf numFmtId="0" fontId="70" fillId="0" borderId="31" xfId="0" applyFont="1" applyBorder="1" applyAlignment="1">
      <alignment horizontal="right"/>
    </xf>
    <xf numFmtId="0" fontId="33" fillId="0" borderId="30" xfId="0" applyFont="1" applyBorder="1"/>
    <xf numFmtId="0" fontId="33" fillId="0" borderId="30" xfId="0" applyFont="1" applyBorder="1" applyAlignment="1">
      <alignment horizontal="left"/>
    </xf>
    <xf numFmtId="2" fontId="70" fillId="0" borderId="35" xfId="0" applyNumberFormat="1" applyFont="1" applyBorder="1"/>
    <xf numFmtId="2" fontId="70" fillId="0" borderId="11" xfId="0" applyNumberFormat="1" applyFont="1" applyBorder="1"/>
    <xf numFmtId="2" fontId="70" fillId="0" borderId="34" xfId="0" applyNumberFormat="1" applyFont="1" applyBorder="1"/>
    <xf numFmtId="2" fontId="70" fillId="0" borderId="29" xfId="0" applyNumberFormat="1" applyFont="1" applyBorder="1"/>
    <xf numFmtId="2" fontId="70" fillId="23" borderId="0" xfId="0" applyNumberFormat="1" applyFont="1" applyFill="1" applyBorder="1"/>
    <xf numFmtId="2" fontId="70" fillId="23" borderId="7" xfId="0" applyNumberFormat="1" applyFont="1" applyFill="1" applyBorder="1"/>
    <xf numFmtId="2" fontId="70" fillId="23" borderId="13" xfId="0" applyNumberFormat="1" applyFont="1" applyFill="1" applyBorder="1"/>
    <xf numFmtId="0" fontId="33" fillId="15" borderId="31" xfId="0" applyFont="1" applyFill="1" applyBorder="1"/>
    <xf numFmtId="0" fontId="70" fillId="15" borderId="6" xfId="0" applyFont="1" applyFill="1" applyBorder="1"/>
    <xf numFmtId="0" fontId="70" fillId="15" borderId="6" xfId="0" applyFont="1" applyFill="1" applyBorder="1" applyAlignment="1">
      <alignment horizontal="left"/>
    </xf>
    <xf numFmtId="0" fontId="70" fillId="15" borderId="0" xfId="0" applyFont="1" applyFill="1" applyBorder="1" applyAlignment="1">
      <alignment horizontal="left"/>
    </xf>
    <xf numFmtId="0" fontId="70" fillId="15" borderId="7" xfId="0" applyFont="1" applyFill="1" applyBorder="1" applyAlignment="1">
      <alignment horizontal="left"/>
    </xf>
    <xf numFmtId="0" fontId="92" fillId="26" borderId="31" xfId="0" applyFont="1" applyFill="1" applyBorder="1"/>
    <xf numFmtId="0" fontId="70" fillId="26" borderId="23" xfId="0" applyFont="1" applyFill="1" applyBorder="1"/>
    <xf numFmtId="0" fontId="70" fillId="26" borderId="99" xfId="0" applyFont="1" applyFill="1" applyBorder="1"/>
    <xf numFmtId="2" fontId="70" fillId="23" borderId="94" xfId="0" applyNumberFormat="1" applyFont="1" applyFill="1" applyBorder="1"/>
    <xf numFmtId="0" fontId="113" fillId="15" borderId="6" xfId="0" applyFont="1" applyFill="1" applyBorder="1" applyAlignment="1">
      <alignment horizontal="left"/>
    </xf>
    <xf numFmtId="0" fontId="113" fillId="15" borderId="0" xfId="0" applyFont="1" applyFill="1" applyBorder="1" applyAlignment="1">
      <alignment horizontal="left"/>
    </xf>
    <xf numFmtId="0" fontId="113" fillId="15" borderId="7" xfId="0" applyFont="1" applyFill="1" applyBorder="1" applyAlignment="1">
      <alignment horizontal="left"/>
    </xf>
    <xf numFmtId="0" fontId="92" fillId="26" borderId="9" xfId="0" applyFont="1" applyFill="1" applyBorder="1"/>
    <xf numFmtId="0" fontId="33" fillId="15" borderId="9" xfId="0" applyFont="1" applyFill="1" applyBorder="1"/>
    <xf numFmtId="0" fontId="70" fillId="26" borderId="97" xfId="0" applyFont="1" applyFill="1" applyBorder="1"/>
    <xf numFmtId="165" fontId="63" fillId="15" borderId="23" xfId="0" applyNumberFormat="1" applyFont="1" applyFill="1" applyBorder="1"/>
    <xf numFmtId="14" fontId="6" fillId="4" borderId="28" xfId="0" applyNumberFormat="1" applyFont="1" applyFill="1" applyBorder="1"/>
    <xf numFmtId="0" fontId="1" fillId="4" borderId="37" xfId="0" applyFont="1" applyFill="1" applyBorder="1"/>
    <xf numFmtId="14" fontId="6" fillId="4" borderId="93" xfId="0" applyNumberFormat="1" applyFont="1" applyFill="1" applyBorder="1"/>
    <xf numFmtId="0" fontId="67" fillId="4" borderId="9" xfId="0" applyFont="1" applyFill="1" applyBorder="1" applyAlignment="1">
      <alignment horizontal="center"/>
    </xf>
    <xf numFmtId="0" fontId="67" fillId="4" borderId="31" xfId="0" applyFont="1" applyFill="1" applyBorder="1" applyAlignment="1">
      <alignment horizontal="center"/>
    </xf>
    <xf numFmtId="14" fontId="100" fillId="0" borderId="30" xfId="0" applyNumberFormat="1" applyFont="1" applyBorder="1"/>
    <xf numFmtId="0" fontId="5" fillId="0" borderId="0" xfId="0" applyFont="1" applyFill="1" applyBorder="1" applyAlignment="1">
      <alignment horizontal="center" wrapText="1"/>
    </xf>
    <xf numFmtId="0" fontId="52" fillId="0" borderId="0" xfId="0" applyFont="1" applyFill="1" applyBorder="1" applyAlignment="1">
      <alignment horizontal="center" wrapText="1"/>
    </xf>
    <xf numFmtId="0" fontId="1" fillId="0" borderId="0" xfId="0" applyFont="1" applyFill="1" applyBorder="1" applyAlignment="1">
      <alignment horizontal="center" vertical="top" wrapText="1"/>
    </xf>
    <xf numFmtId="164" fontId="52" fillId="0" borderId="0" xfId="0" applyNumberFormat="1" applyFont="1" applyFill="1" applyBorder="1" applyAlignment="1">
      <alignment horizontal="center" wrapText="1"/>
    </xf>
    <xf numFmtId="0" fontId="52" fillId="0" borderId="0" xfId="0" applyFont="1" applyFill="1" applyBorder="1"/>
    <xf numFmtId="0" fontId="1" fillId="0" borderId="0" xfId="0" applyFont="1" applyFill="1" applyBorder="1"/>
    <xf numFmtId="0" fontId="52" fillId="0" borderId="0" xfId="0" applyFont="1" applyFill="1" applyBorder="1" applyAlignment="1">
      <alignment horizontal="center" vertical="top" wrapText="1"/>
    </xf>
    <xf numFmtId="0" fontId="52" fillId="0" borderId="0" xfId="0" applyFont="1" applyFill="1" applyBorder="1" applyAlignment="1">
      <alignment horizontal="center"/>
    </xf>
    <xf numFmtId="164" fontId="1" fillId="0" borderId="0" xfId="0" applyNumberFormat="1" applyFont="1" applyFill="1" applyBorder="1" applyAlignment="1">
      <alignment horizontal="center" vertical="top" wrapText="1"/>
    </xf>
    <xf numFmtId="164" fontId="1" fillId="0" borderId="0" xfId="0" applyNumberFormat="1" applyFont="1" applyFill="1" applyBorder="1" applyAlignment="1">
      <alignment horizontal="center"/>
    </xf>
    <xf numFmtId="0" fontId="5" fillId="0" borderId="0" xfId="0" applyFont="1" applyFill="1" applyBorder="1" applyAlignment="1">
      <alignment horizontal="center"/>
    </xf>
    <xf numFmtId="164" fontId="52" fillId="0" borderId="0" xfId="0" applyNumberFormat="1" applyFont="1" applyFill="1" applyBorder="1" applyAlignment="1">
      <alignment horizontal="center"/>
    </xf>
    <xf numFmtId="0" fontId="52" fillId="0" borderId="0" xfId="0" applyFont="1" applyFill="1" applyBorder="1" applyAlignment="1">
      <alignment wrapText="1"/>
    </xf>
    <xf numFmtId="0" fontId="68" fillId="0" borderId="0" xfId="0" applyFont="1" applyFill="1" applyBorder="1"/>
    <xf numFmtId="0" fontId="1" fillId="0" borderId="0" xfId="0" applyFont="1" applyFill="1" applyBorder="1" applyAlignment="1">
      <alignment horizontal="center"/>
    </xf>
    <xf numFmtId="14" fontId="14" fillId="4" borderId="30" xfId="0" applyNumberFormat="1" applyFont="1" applyFill="1" applyBorder="1"/>
    <xf numFmtId="0" fontId="33" fillId="15" borderId="8" xfId="0" applyFont="1" applyFill="1" applyBorder="1"/>
    <xf numFmtId="165" fontId="14" fillId="4" borderId="12" xfId="0" applyNumberFormat="1" applyFont="1" applyFill="1" applyBorder="1"/>
    <xf numFmtId="0" fontId="70" fillId="26" borderId="31" xfId="0" applyFont="1" applyFill="1" applyBorder="1"/>
    <xf numFmtId="0" fontId="2" fillId="0" borderId="0" xfId="0" applyFont="1" applyFill="1" applyBorder="1" applyAlignment="1">
      <alignment horizontal="center" wrapText="1"/>
    </xf>
    <xf numFmtId="0" fontId="2" fillId="0" borderId="0" xfId="0" applyFont="1" applyFill="1" applyBorder="1" applyAlignment="1">
      <alignment horizontal="center"/>
    </xf>
    <xf numFmtId="0" fontId="2" fillId="0" borderId="0" xfId="0" applyFont="1" applyAlignment="1">
      <alignment horizontal="center"/>
    </xf>
    <xf numFmtId="0" fontId="2" fillId="0" borderId="0" xfId="0" applyFont="1" applyFill="1" applyBorder="1" applyAlignment="1">
      <alignment horizontal="center" vertical="top" wrapText="1"/>
    </xf>
    <xf numFmtId="0" fontId="1" fillId="4" borderId="30" xfId="0" applyFont="1" applyFill="1" applyBorder="1"/>
    <xf numFmtId="0" fontId="14" fillId="24" borderId="33" xfId="0" applyFont="1" applyFill="1" applyBorder="1"/>
    <xf numFmtId="0" fontId="14" fillId="20" borderId="33" xfId="0" applyFont="1" applyFill="1" applyBorder="1"/>
    <xf numFmtId="0" fontId="2" fillId="15" borderId="30" xfId="0" applyFont="1" applyFill="1" applyBorder="1" applyAlignment="1">
      <alignment horizontal="center"/>
    </xf>
    <xf numFmtId="0" fontId="69" fillId="20" borderId="97" xfId="0" applyFont="1" applyFill="1" applyBorder="1"/>
    <xf numFmtId="0" fontId="69" fillId="15" borderId="0" xfId="0" applyFont="1" applyFill="1"/>
    <xf numFmtId="0" fontId="69" fillId="20" borderId="99" xfId="0" applyFont="1" applyFill="1" applyBorder="1"/>
    <xf numFmtId="2" fontId="69" fillId="15" borderId="0" xfId="0" applyNumberFormat="1" applyFont="1" applyFill="1"/>
    <xf numFmtId="0" fontId="70" fillId="15" borderId="14" xfId="0" applyFont="1" applyFill="1" applyBorder="1"/>
    <xf numFmtId="0" fontId="2" fillId="20" borderId="33" xfId="0" applyFont="1" applyFill="1" applyBorder="1"/>
    <xf numFmtId="0" fontId="2" fillId="20" borderId="33" xfId="0" applyFont="1" applyFill="1" applyBorder="1" applyAlignment="1">
      <alignment horizontal="center"/>
    </xf>
    <xf numFmtId="0" fontId="2" fillId="20" borderId="66" xfId="0" applyFont="1" applyFill="1" applyBorder="1"/>
    <xf numFmtId="14" fontId="2" fillId="4" borderId="27" xfId="0" applyNumberFormat="1" applyFont="1" applyFill="1" applyBorder="1"/>
    <xf numFmtId="0" fontId="2" fillId="24" borderId="33" xfId="0" applyFont="1" applyFill="1" applyBorder="1"/>
    <xf numFmtId="0" fontId="14" fillId="24" borderId="66" xfId="0" applyFont="1" applyFill="1" applyBorder="1"/>
    <xf numFmtId="0" fontId="2" fillId="15" borderId="96" xfId="0" applyFont="1" applyFill="1" applyBorder="1" applyAlignment="1">
      <alignment horizontal="center"/>
    </xf>
    <xf numFmtId="0" fontId="2" fillId="15" borderId="71" xfId="0" applyFont="1" applyFill="1" applyBorder="1" applyAlignment="1">
      <alignment horizontal="center"/>
    </xf>
    <xf numFmtId="0" fontId="69" fillId="20" borderId="102" xfId="0" applyFont="1" applyFill="1" applyBorder="1"/>
    <xf numFmtId="0" fontId="70" fillId="20" borderId="97" xfId="0" applyFont="1" applyFill="1" applyBorder="1"/>
    <xf numFmtId="2" fontId="69" fillId="15" borderId="41" xfId="0" applyNumberFormat="1" applyFont="1" applyFill="1" applyBorder="1"/>
    <xf numFmtId="0" fontId="114" fillId="15" borderId="92" xfId="0" applyFont="1" applyFill="1" applyBorder="1"/>
    <xf numFmtId="0" fontId="114" fillId="15" borderId="41" xfId="0" applyFont="1" applyFill="1" applyBorder="1"/>
    <xf numFmtId="0" fontId="69" fillId="20" borderId="104" xfId="0" applyFont="1" applyFill="1" applyBorder="1"/>
    <xf numFmtId="0" fontId="70" fillId="20" borderId="99" xfId="0" applyFont="1" applyFill="1" applyBorder="1"/>
    <xf numFmtId="0" fontId="2" fillId="24" borderId="66" xfId="0" applyFont="1" applyFill="1" applyBorder="1"/>
    <xf numFmtId="0" fontId="115" fillId="15" borderId="0" xfId="0" applyFont="1" applyFill="1"/>
    <xf numFmtId="2" fontId="69" fillId="15" borderId="92" xfId="0" applyNumberFormat="1" applyFont="1" applyFill="1" applyBorder="1"/>
    <xf numFmtId="0" fontId="115" fillId="15" borderId="92" xfId="0" applyFont="1" applyFill="1" applyBorder="1"/>
    <xf numFmtId="0" fontId="70" fillId="15" borderId="0" xfId="0" applyFont="1" applyFill="1"/>
    <xf numFmtId="164" fontId="70" fillId="15" borderId="0" xfId="0" applyNumberFormat="1" applyFont="1" applyFill="1"/>
    <xf numFmtId="0" fontId="2" fillId="20" borderId="100" xfId="0" applyFont="1" applyFill="1" applyBorder="1"/>
    <xf numFmtId="1" fontId="2" fillId="4" borderId="92" xfId="0" applyNumberFormat="1" applyFont="1" applyFill="1" applyBorder="1"/>
    <xf numFmtId="0" fontId="69" fillId="20" borderId="101" xfId="0" applyFont="1" applyFill="1" applyBorder="1"/>
    <xf numFmtId="0" fontId="66" fillId="2" borderId="8" xfId="0" applyFont="1" applyFill="1" applyBorder="1"/>
    <xf numFmtId="0" fontId="2" fillId="2" borderId="0" xfId="0" applyFont="1" applyFill="1"/>
    <xf numFmtId="0" fontId="66" fillId="2" borderId="0" xfId="0" applyFont="1" applyFill="1"/>
    <xf numFmtId="0" fontId="2" fillId="2" borderId="2" xfId="0" applyFont="1" applyFill="1" applyBorder="1"/>
    <xf numFmtId="0" fontId="66" fillId="4" borderId="5" xfId="0" applyFont="1" applyFill="1" applyBorder="1"/>
    <xf numFmtId="0" fontId="66" fillId="4" borderId="7" xfId="0" applyFont="1" applyFill="1" applyBorder="1"/>
    <xf numFmtId="0" fontId="2" fillId="15" borderId="31" xfId="0" applyFont="1" applyFill="1" applyBorder="1" applyAlignment="1">
      <alignment horizontal="center"/>
    </xf>
    <xf numFmtId="164" fontId="70" fillId="15" borderId="4" xfId="0" applyNumberFormat="1" applyFont="1" applyFill="1" applyBorder="1"/>
    <xf numFmtId="0" fontId="66" fillId="0" borderId="0" xfId="0" applyFont="1" applyFill="1"/>
    <xf numFmtId="0" fontId="66" fillId="4" borderId="6" xfId="0" applyFont="1" applyFill="1" applyBorder="1"/>
    <xf numFmtId="0" fontId="66" fillId="4" borderId="0" xfId="0" applyFont="1" applyFill="1" applyBorder="1"/>
    <xf numFmtId="0" fontId="66" fillId="4" borderId="19" xfId="0" applyFont="1" applyFill="1" applyBorder="1"/>
    <xf numFmtId="0" fontId="66" fillId="4" borderId="9" xfId="0" applyFont="1" applyFill="1" applyBorder="1"/>
    <xf numFmtId="0" fontId="5" fillId="5" borderId="35" xfId="0" applyFont="1" applyFill="1" applyBorder="1"/>
    <xf numFmtId="0" fontId="66" fillId="5" borderId="10" xfId="0" applyFont="1" applyFill="1" applyBorder="1"/>
    <xf numFmtId="0" fontId="66" fillId="5" borderId="11" xfId="0" applyFont="1" applyFill="1" applyBorder="1"/>
    <xf numFmtId="0" fontId="66" fillId="5" borderId="9" xfId="0" applyFont="1" applyFill="1" applyBorder="1"/>
    <xf numFmtId="0" fontId="66" fillId="0" borderId="4" xfId="0" applyFont="1" applyBorder="1"/>
    <xf numFmtId="0" fontId="5" fillId="4" borderId="4" xfId="0" applyFont="1" applyFill="1" applyBorder="1"/>
    <xf numFmtId="0" fontId="70" fillId="15" borderId="92" xfId="0" applyFont="1" applyFill="1" applyBorder="1"/>
    <xf numFmtId="0" fontId="22" fillId="4" borderId="0" xfId="0" applyFont="1" applyFill="1"/>
    <xf numFmtId="0" fontId="2" fillId="15" borderId="0" xfId="0" applyFont="1" applyFill="1" applyBorder="1"/>
    <xf numFmtId="0" fontId="66" fillId="15" borderId="92" xfId="0" applyFont="1" applyFill="1" applyBorder="1"/>
    <xf numFmtId="0" fontId="66" fillId="15" borderId="2" xfId="0" applyFont="1" applyFill="1" applyBorder="1"/>
    <xf numFmtId="0" fontId="2" fillId="15" borderId="2" xfId="0" applyFont="1" applyFill="1" applyBorder="1"/>
    <xf numFmtId="0" fontId="70" fillId="15" borderId="94" xfId="0" applyFont="1" applyFill="1" applyBorder="1"/>
    <xf numFmtId="0" fontId="66" fillId="5" borderId="19" xfId="0" applyFont="1" applyFill="1" applyBorder="1"/>
    <xf numFmtId="164" fontId="66" fillId="0" borderId="0" xfId="0" applyNumberFormat="1" applyFont="1" applyFill="1"/>
    <xf numFmtId="0" fontId="66" fillId="6" borderId="0" xfId="0" applyFont="1" applyFill="1"/>
    <xf numFmtId="0" fontId="66" fillId="4" borderId="2" xfId="0" applyFont="1" applyFill="1" applyBorder="1"/>
    <xf numFmtId="14" fontId="5" fillId="4" borderId="9" xfId="0" applyNumberFormat="1" applyFont="1" applyFill="1" applyBorder="1"/>
    <xf numFmtId="0" fontId="2" fillId="0" borderId="12" xfId="0" applyFont="1" applyBorder="1"/>
    <xf numFmtId="0" fontId="66" fillId="5" borderId="18" xfId="0" applyFont="1" applyFill="1" applyBorder="1"/>
    <xf numFmtId="0" fontId="66" fillId="5" borderId="20" xfId="0" applyFont="1" applyFill="1" applyBorder="1"/>
    <xf numFmtId="0" fontId="66" fillId="0" borderId="9" xfId="0" applyFont="1" applyBorder="1"/>
    <xf numFmtId="0" fontId="66" fillId="7" borderId="15" xfId="0" applyFont="1" applyFill="1" applyBorder="1"/>
    <xf numFmtId="0" fontId="66" fillId="5" borderId="15" xfId="0" applyFont="1" applyFill="1" applyBorder="1"/>
    <xf numFmtId="0" fontId="66" fillId="5" borderId="21" xfId="0" applyFont="1" applyFill="1" applyBorder="1"/>
    <xf numFmtId="0" fontId="66" fillId="16" borderId="15" xfId="0" applyFont="1" applyFill="1" applyBorder="1"/>
    <xf numFmtId="0" fontId="66" fillId="3" borderId="40" xfId="0" applyFont="1" applyFill="1" applyBorder="1"/>
    <xf numFmtId="0" fontId="66" fillId="6" borderId="22" xfId="0" applyFont="1" applyFill="1" applyBorder="1"/>
    <xf numFmtId="0" fontId="22" fillId="9" borderId="23" xfId="0" applyFont="1" applyFill="1" applyBorder="1"/>
    <xf numFmtId="0" fontId="66" fillId="15" borderId="15" xfId="0" applyFont="1" applyFill="1" applyBorder="1"/>
    <xf numFmtId="0" fontId="70" fillId="15" borderId="15" xfId="0" applyFont="1" applyFill="1" applyBorder="1"/>
    <xf numFmtId="0" fontId="66" fillId="15" borderId="16" xfId="0" applyFont="1" applyFill="1" applyBorder="1"/>
    <xf numFmtId="0" fontId="66" fillId="15" borderId="10" xfId="0" applyFont="1" applyFill="1" applyBorder="1"/>
    <xf numFmtId="0" fontId="70" fillId="15" borderId="36" xfId="0" applyFont="1" applyFill="1" applyBorder="1"/>
    <xf numFmtId="14" fontId="2" fillId="15" borderId="101" xfId="0" applyNumberFormat="1" applyFont="1" applyFill="1" applyBorder="1"/>
    <xf numFmtId="0" fontId="66" fillId="15" borderId="0" xfId="0" applyFont="1" applyFill="1"/>
    <xf numFmtId="164" fontId="22" fillId="8" borderId="0" xfId="0" applyNumberFormat="1" applyFont="1" applyFill="1"/>
    <xf numFmtId="164" fontId="22" fillId="0" borderId="0" xfId="0" applyNumberFormat="1" applyFont="1"/>
    <xf numFmtId="0" fontId="66" fillId="4" borderId="4" xfId="0" applyFont="1" applyFill="1" applyBorder="1"/>
    <xf numFmtId="0" fontId="5" fillId="8" borderId="3" xfId="0" applyFont="1" applyFill="1" applyBorder="1"/>
    <xf numFmtId="0" fontId="66" fillId="6" borderId="24" xfId="0" applyFont="1" applyFill="1" applyBorder="1"/>
    <xf numFmtId="164" fontId="22" fillId="6" borderId="3" xfId="0" applyNumberFormat="1" applyFont="1" applyFill="1" applyBorder="1"/>
    <xf numFmtId="164" fontId="22" fillId="6" borderId="4" xfId="0" applyNumberFormat="1" applyFont="1" applyFill="1" applyBorder="1"/>
    <xf numFmtId="164" fontId="22" fillId="0" borderId="4" xfId="0" applyNumberFormat="1" applyFont="1" applyFill="1" applyBorder="1"/>
    <xf numFmtId="0" fontId="66" fillId="0" borderId="5" xfId="0" applyFont="1" applyBorder="1"/>
    <xf numFmtId="0" fontId="5" fillId="8" borderId="12" xfId="0" applyFont="1" applyFill="1" applyBorder="1"/>
    <xf numFmtId="0" fontId="66" fillId="6" borderId="25" xfId="0" applyFont="1" applyFill="1" applyBorder="1"/>
    <xf numFmtId="164" fontId="22" fillId="6" borderId="12" xfId="0" applyNumberFormat="1" applyFont="1" applyFill="1" applyBorder="1"/>
    <xf numFmtId="164" fontId="22" fillId="6" borderId="2" xfId="0" applyNumberFormat="1" applyFont="1" applyFill="1" applyBorder="1"/>
    <xf numFmtId="164" fontId="22" fillId="0" borderId="2" xfId="0" applyNumberFormat="1" applyFont="1" applyFill="1" applyBorder="1"/>
    <xf numFmtId="0" fontId="66" fillId="0" borderId="13" xfId="0" applyFont="1" applyBorder="1"/>
    <xf numFmtId="164" fontId="22" fillId="8" borderId="0" xfId="0" applyNumberFormat="1" applyFont="1" applyFill="1" applyBorder="1"/>
    <xf numFmtId="165" fontId="22" fillId="0" borderId="0" xfId="0" applyNumberFormat="1" applyFont="1"/>
    <xf numFmtId="165" fontId="22" fillId="0" borderId="0" xfId="0" applyNumberFormat="1" applyFont="1" applyFill="1" applyBorder="1"/>
    <xf numFmtId="166" fontId="5" fillId="0" borderId="0" xfId="0" applyNumberFormat="1" applyFont="1"/>
    <xf numFmtId="0" fontId="22" fillId="8" borderId="0" xfId="0" applyFont="1" applyFill="1"/>
    <xf numFmtId="2" fontId="66" fillId="8" borderId="0" xfId="0" applyNumberFormat="1" applyFont="1" applyFill="1"/>
    <xf numFmtId="2" fontId="66" fillId="0" borderId="0" xfId="0" applyNumberFormat="1" applyFont="1"/>
    <xf numFmtId="164" fontId="66" fillId="8" borderId="0" xfId="0" applyNumberFormat="1" applyFont="1" applyFill="1"/>
    <xf numFmtId="164" fontId="66" fillId="0" borderId="0" xfId="0" applyNumberFormat="1" applyFont="1" applyFill="1" applyBorder="1"/>
    <xf numFmtId="2" fontId="66" fillId="0" borderId="0" xfId="0" applyNumberFormat="1" applyFont="1" applyFill="1" applyBorder="1"/>
    <xf numFmtId="0" fontId="70" fillId="15" borderId="21" xfId="0" applyFont="1" applyFill="1" applyBorder="1"/>
    <xf numFmtId="165" fontId="22" fillId="8" borderId="0" xfId="0" applyNumberFormat="1" applyFont="1" applyFill="1" applyBorder="1"/>
    <xf numFmtId="0" fontId="66" fillId="5" borderId="0" xfId="0" applyFont="1" applyFill="1"/>
    <xf numFmtId="0" fontId="66" fillId="6" borderId="8" xfId="0" applyFont="1" applyFill="1" applyBorder="1"/>
    <xf numFmtId="0" fontId="2" fillId="9" borderId="7" xfId="0" applyFont="1" applyFill="1" applyBorder="1"/>
    <xf numFmtId="0" fontId="66" fillId="15" borderId="9" xfId="0" applyFont="1" applyFill="1" applyBorder="1"/>
    <xf numFmtId="0" fontId="5" fillId="8" borderId="8" xfId="0" applyFont="1" applyFill="1" applyBorder="1"/>
    <xf numFmtId="0" fontId="66" fillId="6" borderId="26" xfId="0" applyFont="1" applyFill="1" applyBorder="1"/>
    <xf numFmtId="0" fontId="66" fillId="6" borderId="12" xfId="0" applyFont="1" applyFill="1" applyBorder="1"/>
    <xf numFmtId="0" fontId="66" fillId="15" borderId="21" xfId="0" applyFont="1" applyFill="1" applyBorder="1"/>
    <xf numFmtId="0" fontId="66" fillId="7" borderId="14" xfId="0" applyFont="1" applyFill="1" applyBorder="1"/>
    <xf numFmtId="0" fontId="22" fillId="7" borderId="15" xfId="0" applyFont="1" applyFill="1" applyBorder="1"/>
    <xf numFmtId="0" fontId="22" fillId="5" borderId="15" xfId="0" applyFont="1" applyFill="1" applyBorder="1"/>
    <xf numFmtId="0" fontId="22" fillId="21" borderId="15" xfId="0" applyFont="1" applyFill="1" applyBorder="1"/>
    <xf numFmtId="0" fontId="22" fillId="8" borderId="15" xfId="0" applyFont="1" applyFill="1" applyBorder="1"/>
    <xf numFmtId="0" fontId="66" fillId="21" borderId="15" xfId="0" applyFont="1" applyFill="1" applyBorder="1"/>
    <xf numFmtId="0" fontId="22" fillId="16" borderId="15" xfId="0" applyFont="1" applyFill="1" applyBorder="1"/>
    <xf numFmtId="2" fontId="22" fillId="8" borderId="0" xfId="0" applyNumberFormat="1" applyFont="1" applyFill="1"/>
    <xf numFmtId="2" fontId="22" fillId="8" borderId="36" xfId="0" applyNumberFormat="1" applyFont="1" applyFill="1" applyBorder="1"/>
    <xf numFmtId="2" fontId="22" fillId="0" borderId="0" xfId="0" applyNumberFormat="1" applyFont="1" applyFill="1"/>
    <xf numFmtId="165" fontId="66" fillId="8" borderId="0" xfId="0" applyNumberFormat="1" applyFont="1" applyFill="1"/>
    <xf numFmtId="165" fontId="22" fillId="10" borderId="0" xfId="0" applyNumberFormat="1" applyFont="1" applyFill="1"/>
    <xf numFmtId="165" fontId="22" fillId="4" borderId="0" xfId="0" applyNumberFormat="1" applyFont="1" applyFill="1"/>
    <xf numFmtId="165" fontId="22" fillId="8" borderId="0" xfId="0" applyNumberFormat="1" applyFont="1" applyFill="1"/>
    <xf numFmtId="165" fontId="22" fillId="0" borderId="0" xfId="0" applyNumberFormat="1" applyFont="1" applyFill="1"/>
    <xf numFmtId="164" fontId="22" fillId="6" borderId="0" xfId="0" applyNumberFormat="1" applyFont="1" applyFill="1"/>
    <xf numFmtId="165" fontId="22" fillId="6" borderId="0" xfId="0" applyNumberFormat="1" applyFont="1" applyFill="1"/>
    <xf numFmtId="0" fontId="22" fillId="6" borderId="0" xfId="0" applyFont="1" applyFill="1"/>
    <xf numFmtId="0" fontId="66" fillId="17" borderId="0" xfId="0" applyFont="1" applyFill="1"/>
    <xf numFmtId="2" fontId="70" fillId="0" borderId="23" xfId="0" applyNumberFormat="1" applyFont="1" applyBorder="1"/>
    <xf numFmtId="166" fontId="22" fillId="8" borderId="0" xfId="0" applyNumberFormat="1" applyFont="1" applyFill="1"/>
    <xf numFmtId="166" fontId="22" fillId="0" borderId="0" xfId="0" applyNumberFormat="1" applyFont="1"/>
    <xf numFmtId="165" fontId="66" fillId="6" borderId="0" xfId="0" applyNumberFormat="1" applyFont="1" applyFill="1"/>
    <xf numFmtId="0" fontId="22" fillId="10" borderId="0" xfId="0" applyFont="1" applyFill="1"/>
    <xf numFmtId="0" fontId="66" fillId="0" borderId="3" xfId="0" applyFont="1" applyBorder="1"/>
    <xf numFmtId="14" fontId="66" fillId="0" borderId="6" xfId="0" applyNumberFormat="1" applyFont="1" applyBorder="1"/>
    <xf numFmtId="0" fontId="70" fillId="18" borderId="30" xfId="0" applyFont="1" applyFill="1" applyBorder="1"/>
    <xf numFmtId="0" fontId="70" fillId="18" borderId="23" xfId="0" applyFont="1" applyFill="1" applyBorder="1"/>
    <xf numFmtId="0" fontId="22" fillId="5" borderId="0" xfId="0" applyFont="1" applyFill="1"/>
    <xf numFmtId="164" fontId="66" fillId="17" borderId="0" xfId="0" applyNumberFormat="1" applyFont="1" applyFill="1"/>
    <xf numFmtId="0" fontId="66" fillId="8" borderId="8" xfId="0" applyFont="1" applyFill="1" applyBorder="1"/>
    <xf numFmtId="0" fontId="22" fillId="8" borderId="19" xfId="0" applyFont="1" applyFill="1" applyBorder="1"/>
    <xf numFmtId="0" fontId="22" fillId="5" borderId="19" xfId="0" applyFont="1" applyFill="1" applyBorder="1"/>
    <xf numFmtId="0" fontId="66" fillId="16" borderId="19" xfId="0" applyFont="1" applyFill="1" applyBorder="1"/>
    <xf numFmtId="0" fontId="66" fillId="10" borderId="0" xfId="0" applyFont="1" applyFill="1"/>
    <xf numFmtId="165" fontId="48" fillId="0" borderId="0" xfId="0" applyNumberFormat="1" applyFont="1"/>
    <xf numFmtId="165" fontId="48" fillId="0" borderId="0" xfId="0" applyNumberFormat="1" applyFont="1" applyFill="1"/>
    <xf numFmtId="164" fontId="70" fillId="0" borderId="7" xfId="0" applyNumberFormat="1" applyFont="1" applyBorder="1"/>
    <xf numFmtId="166" fontId="66" fillId="0" borderId="0" xfId="0" applyNumberFormat="1" applyFont="1"/>
    <xf numFmtId="0" fontId="32" fillId="5" borderId="22" xfId="0" applyFont="1" applyFill="1" applyBorder="1"/>
    <xf numFmtId="0" fontId="70" fillId="18" borderId="17" xfId="0" applyFont="1" applyFill="1" applyBorder="1"/>
    <xf numFmtId="164" fontId="70" fillId="0" borderId="2" xfId="0" applyNumberFormat="1" applyFont="1" applyBorder="1"/>
    <xf numFmtId="164" fontId="5" fillId="10" borderId="0" xfId="0" applyNumberFormat="1" applyFont="1" applyFill="1"/>
    <xf numFmtId="166" fontId="5" fillId="10" borderId="0" xfId="0" applyNumberFormat="1" applyFont="1" applyFill="1"/>
    <xf numFmtId="2" fontId="5" fillId="4" borderId="0" xfId="0" applyNumberFormat="1" applyFont="1" applyFill="1"/>
    <xf numFmtId="165" fontId="66" fillId="4" borderId="0" xfId="0" applyNumberFormat="1" applyFont="1" applyFill="1"/>
    <xf numFmtId="166" fontId="22" fillId="0" borderId="0" xfId="0" applyNumberFormat="1" applyFont="1" applyFill="1"/>
    <xf numFmtId="2" fontId="5" fillId="10" borderId="0" xfId="0" applyNumberFormat="1" applyFont="1" applyFill="1"/>
    <xf numFmtId="164" fontId="5" fillId="10" borderId="0" xfId="0" applyNumberFormat="1" applyFont="1" applyFill="1" applyBorder="1"/>
    <xf numFmtId="0" fontId="66" fillId="0" borderId="0" xfId="0" applyFont="1" applyBorder="1"/>
    <xf numFmtId="0" fontId="22" fillId="0" borderId="0" xfId="0" applyFont="1" applyBorder="1"/>
    <xf numFmtId="0" fontId="22" fillId="4" borderId="0" xfId="0" applyFont="1" applyFill="1" applyBorder="1"/>
    <xf numFmtId="165" fontId="22" fillId="4" borderId="0" xfId="0" applyNumberFormat="1" applyFont="1" applyFill="1" applyBorder="1"/>
    <xf numFmtId="0" fontId="2" fillId="4" borderId="21" xfId="0" applyFont="1" applyFill="1" applyBorder="1"/>
    <xf numFmtId="0" fontId="2" fillId="4" borderId="29" xfId="0" applyFont="1" applyFill="1" applyBorder="1"/>
    <xf numFmtId="0" fontId="66" fillId="9" borderId="23" xfId="0" applyFont="1" applyFill="1" applyBorder="1"/>
    <xf numFmtId="0" fontId="66" fillId="7" borderId="8" xfId="0" applyFont="1" applyFill="1" applyBorder="1"/>
    <xf numFmtId="0" fontId="66" fillId="7" borderId="19" xfId="0" applyFont="1" applyFill="1" applyBorder="1"/>
    <xf numFmtId="0" fontId="22" fillId="7" borderId="19" xfId="0" applyFont="1" applyFill="1" applyBorder="1"/>
    <xf numFmtId="0" fontId="22" fillId="16" borderId="19" xfId="0" applyFont="1" applyFill="1" applyBorder="1"/>
    <xf numFmtId="1" fontId="66" fillId="0" borderId="0" xfId="0" applyNumberFormat="1" applyFont="1"/>
    <xf numFmtId="165" fontId="66" fillId="16" borderId="0" xfId="0" applyNumberFormat="1" applyFont="1" applyFill="1"/>
    <xf numFmtId="0" fontId="66" fillId="15" borderId="94" xfId="0" applyFont="1" applyFill="1" applyBorder="1"/>
    <xf numFmtId="0" fontId="116" fillId="0" borderId="0" xfId="0" applyFont="1" applyBorder="1" applyAlignment="1">
      <alignment vertical="top" wrapText="1"/>
    </xf>
    <xf numFmtId="0" fontId="116" fillId="0" borderId="0" xfId="0" applyFont="1" applyBorder="1" applyAlignment="1">
      <alignment horizontal="right" wrapText="1"/>
    </xf>
    <xf numFmtId="0" fontId="116" fillId="0" borderId="0" xfId="0" applyFont="1" applyBorder="1" applyAlignment="1">
      <alignment horizontal="left" vertical="top" wrapText="1"/>
    </xf>
    <xf numFmtId="14" fontId="2" fillId="15" borderId="27" xfId="0" applyNumberFormat="1" applyFont="1" applyFill="1" applyBorder="1"/>
    <xf numFmtId="0" fontId="2" fillId="15" borderId="90" xfId="0" applyFont="1" applyFill="1" applyBorder="1" applyAlignment="1">
      <alignment horizontal="center"/>
    </xf>
    <xf numFmtId="0" fontId="2" fillId="15" borderId="37" xfId="0" applyFont="1" applyFill="1" applyBorder="1" applyAlignment="1">
      <alignment horizontal="center"/>
    </xf>
    <xf numFmtId="0" fontId="115" fillId="15" borderId="94" xfId="0" applyFont="1" applyFill="1" applyBorder="1"/>
    <xf numFmtId="0" fontId="115" fillId="15" borderId="2" xfId="0" applyFont="1" applyFill="1" applyBorder="1"/>
    <xf numFmtId="0" fontId="14" fillId="20" borderId="33" xfId="0" applyFont="1" applyFill="1" applyBorder="1" applyAlignment="1">
      <alignment horizontal="center"/>
    </xf>
    <xf numFmtId="0" fontId="14" fillId="20" borderId="66" xfId="0" applyFont="1" applyFill="1" applyBorder="1"/>
    <xf numFmtId="0" fontId="63" fillId="15" borderId="92" xfId="0" applyFont="1" applyFill="1" applyBorder="1"/>
    <xf numFmtId="0" fontId="63" fillId="15" borderId="0" xfId="0" applyFont="1" applyFill="1"/>
    <xf numFmtId="0" fontId="63" fillId="15" borderId="21" xfId="0" applyFont="1" applyFill="1" applyBorder="1"/>
    <xf numFmtId="0" fontId="69" fillId="15" borderId="21" xfId="0" applyFont="1" applyFill="1" applyBorder="1"/>
    <xf numFmtId="0" fontId="63" fillId="15" borderId="94" xfId="0" applyFont="1" applyFill="1" applyBorder="1"/>
    <xf numFmtId="165" fontId="69" fillId="15" borderId="0" xfId="0" applyNumberFormat="1" applyFont="1" applyFill="1"/>
    <xf numFmtId="1" fontId="69" fillId="15" borderId="0" xfId="0" applyNumberFormat="1" applyFont="1" applyFill="1"/>
    <xf numFmtId="164" fontId="69" fillId="15" borderId="0" xfId="0" applyNumberFormat="1" applyFont="1" applyFill="1"/>
    <xf numFmtId="1" fontId="69" fillId="15" borderId="41" xfId="0" applyNumberFormat="1" applyFont="1" applyFill="1" applyBorder="1"/>
    <xf numFmtId="0" fontId="117" fillId="0" borderId="0" xfId="0" applyFont="1"/>
    <xf numFmtId="0" fontId="69" fillId="15" borderId="41" xfId="0" applyFont="1" applyFill="1" applyBorder="1"/>
    <xf numFmtId="0" fontId="69" fillId="15" borderId="29" xfId="0" applyFont="1" applyFill="1" applyBorder="1"/>
    <xf numFmtId="0" fontId="14" fillId="20" borderId="100" xfId="0" applyFont="1" applyFill="1" applyBorder="1"/>
    <xf numFmtId="14" fontId="6" fillId="15" borderId="28" xfId="0" applyNumberFormat="1" applyFont="1" applyFill="1" applyBorder="1"/>
    <xf numFmtId="0" fontId="115" fillId="15" borderId="7" xfId="0" applyFont="1" applyFill="1" applyBorder="1"/>
    <xf numFmtId="0" fontId="115" fillId="15" borderId="13" xfId="0" applyFont="1" applyFill="1" applyBorder="1"/>
    <xf numFmtId="0" fontId="1" fillId="24" borderId="33" xfId="0" applyFont="1" applyFill="1" applyBorder="1" applyAlignment="1">
      <alignment horizontal="center"/>
    </xf>
    <xf numFmtId="0" fontId="1" fillId="20" borderId="33" xfId="0" applyFont="1" applyFill="1" applyBorder="1"/>
    <xf numFmtId="0" fontId="14" fillId="24" borderId="33" xfId="0" applyFont="1" applyFill="1" applyBorder="1" applyAlignment="1">
      <alignment horizontal="center"/>
    </xf>
    <xf numFmtId="2" fontId="69" fillId="15" borderId="3" xfId="0" applyNumberFormat="1" applyFont="1" applyFill="1" applyBorder="1"/>
    <xf numFmtId="164" fontId="69" fillId="15" borderId="5" xfId="0" applyNumberFormat="1" applyFont="1" applyFill="1" applyBorder="1"/>
    <xf numFmtId="0" fontId="2" fillId="15" borderId="5" xfId="0" applyFont="1" applyFill="1" applyBorder="1" applyAlignment="1">
      <alignment horizontal="center"/>
    </xf>
    <xf numFmtId="2" fontId="69" fillId="15" borderId="4" xfId="0" applyNumberFormat="1" applyFont="1" applyFill="1" applyBorder="1"/>
    <xf numFmtId="164" fontId="69" fillId="15" borderId="4" xfId="0" applyNumberFormat="1" applyFont="1" applyFill="1" applyBorder="1"/>
    <xf numFmtId="2" fontId="69" fillId="15" borderId="5" xfId="0" applyNumberFormat="1" applyFont="1" applyFill="1" applyBorder="1"/>
    <xf numFmtId="0" fontId="115" fillId="15" borderId="0" xfId="0" applyFont="1" applyFill="1" applyBorder="1"/>
    <xf numFmtId="0" fontId="34" fillId="20" borderId="97" xfId="0" applyFont="1" applyFill="1" applyBorder="1"/>
    <xf numFmtId="0" fontId="2" fillId="15" borderId="37" xfId="0" applyFont="1" applyFill="1" applyBorder="1"/>
    <xf numFmtId="2" fontId="69" fillId="15" borderId="13" xfId="0" applyNumberFormat="1" applyFont="1" applyFill="1" applyBorder="1"/>
    <xf numFmtId="0" fontId="66" fillId="0" borderId="0" xfId="0" applyFont="1" applyAlignment="1">
      <alignment horizontal="center"/>
    </xf>
    <xf numFmtId="164" fontId="69" fillId="15" borderId="97" xfId="0" applyNumberFormat="1" applyFont="1" applyFill="1" applyBorder="1"/>
    <xf numFmtId="164" fontId="14" fillId="4" borderId="95" xfId="0" applyNumberFormat="1" applyFont="1" applyFill="1" applyBorder="1"/>
    <xf numFmtId="164" fontId="69" fillId="15" borderId="99" xfId="0" applyNumberFormat="1" applyFont="1" applyFill="1" applyBorder="1"/>
    <xf numFmtId="0" fontId="90" fillId="15" borderId="15" xfId="0" applyFont="1" applyFill="1" applyBorder="1"/>
    <xf numFmtId="0" fontId="0" fillId="15" borderId="10" xfId="0" applyFill="1" applyBorder="1"/>
    <xf numFmtId="0" fontId="69" fillId="15" borderId="36" xfId="0" applyFont="1" applyFill="1" applyBorder="1"/>
    <xf numFmtId="0" fontId="0" fillId="15" borderId="11" xfId="0" applyFill="1" applyBorder="1"/>
    <xf numFmtId="14" fontId="3" fillId="15" borderId="27" xfId="0" applyNumberFormat="1" applyFont="1" applyFill="1" applyBorder="1"/>
    <xf numFmtId="0" fontId="14" fillId="20" borderId="65" xfId="0" applyFont="1" applyFill="1" applyBorder="1"/>
    <xf numFmtId="0" fontId="14" fillId="20" borderId="65" xfId="0" applyFont="1" applyFill="1" applyBorder="1" applyAlignment="1">
      <alignment horizontal="center"/>
    </xf>
    <xf numFmtId="14" fontId="3" fillId="15" borderId="28" xfId="0" applyNumberFormat="1" applyFont="1" applyFill="1" applyBorder="1"/>
    <xf numFmtId="0" fontId="6" fillId="15" borderId="106" xfId="0" applyFont="1" applyFill="1" applyBorder="1" applyAlignment="1">
      <alignment horizontal="center"/>
    </xf>
    <xf numFmtId="0" fontId="6" fillId="15" borderId="30" xfId="0" applyFont="1" applyFill="1" applyBorder="1" applyAlignment="1">
      <alignment horizontal="center"/>
    </xf>
    <xf numFmtId="0" fontId="6" fillId="15" borderId="37" xfId="0" applyFont="1" applyFill="1" applyBorder="1" applyAlignment="1">
      <alignment horizontal="center"/>
    </xf>
    <xf numFmtId="0" fontId="6" fillId="15" borderId="40" xfId="0" applyFont="1" applyFill="1" applyBorder="1" applyAlignment="1">
      <alignment horizontal="center"/>
    </xf>
    <xf numFmtId="0" fontId="3" fillId="15" borderId="90" xfId="0" applyFont="1" applyFill="1" applyBorder="1" applyAlignment="1">
      <alignment horizontal="center"/>
    </xf>
    <xf numFmtId="0" fontId="3" fillId="15" borderId="96" xfId="0" applyFont="1" applyFill="1" applyBorder="1" applyAlignment="1">
      <alignment horizontal="center"/>
    </xf>
    <xf numFmtId="0" fontId="3" fillId="15" borderId="71" xfId="0" applyFont="1" applyFill="1" applyBorder="1" applyAlignment="1">
      <alignment horizontal="center"/>
    </xf>
    <xf numFmtId="165" fontId="69" fillId="0" borderId="3" xfId="0" applyNumberFormat="1" applyFont="1" applyBorder="1"/>
    <xf numFmtId="1" fontId="69" fillId="0" borderId="4" xfId="0" applyNumberFormat="1" applyFont="1" applyBorder="1"/>
    <xf numFmtId="1" fontId="69" fillId="0" borderId="5" xfId="0" applyNumberFormat="1" applyFont="1" applyBorder="1"/>
    <xf numFmtId="0" fontId="69" fillId="0" borderId="3" xfId="0" applyFont="1" applyBorder="1"/>
    <xf numFmtId="164" fontId="69" fillId="0" borderId="4" xfId="0" applyNumberFormat="1" applyFont="1" applyBorder="1"/>
    <xf numFmtId="164" fontId="69" fillId="0" borderId="92" xfId="0" applyNumberFormat="1" applyFont="1" applyBorder="1"/>
    <xf numFmtId="1" fontId="69" fillId="0" borderId="92" xfId="0" applyNumberFormat="1" applyFont="1" applyBorder="1"/>
    <xf numFmtId="0" fontId="69" fillId="0" borderId="5" xfId="0" applyFont="1" applyBorder="1"/>
    <xf numFmtId="1" fontId="69" fillId="0" borderId="30" xfId="0" applyNumberFormat="1" applyFont="1" applyBorder="1"/>
    <xf numFmtId="165" fontId="69" fillId="0" borderId="92" xfId="0" applyNumberFormat="1" applyFont="1" applyBorder="1"/>
    <xf numFmtId="1" fontId="69" fillId="0" borderId="7" xfId="0" applyNumberFormat="1" applyFont="1" applyBorder="1"/>
    <xf numFmtId="0" fontId="69" fillId="0" borderId="92" xfId="0" applyFont="1" applyBorder="1"/>
    <xf numFmtId="2" fontId="69" fillId="0" borderId="92" xfId="0" applyNumberFormat="1" applyFont="1" applyBorder="1"/>
    <xf numFmtId="2" fontId="69" fillId="0" borderId="7" xfId="0" applyNumberFormat="1" applyFont="1" applyBorder="1"/>
    <xf numFmtId="1" fontId="69" fillId="0" borderId="97" xfId="0" applyNumberFormat="1" applyFont="1" applyBorder="1"/>
    <xf numFmtId="0" fontId="69" fillId="0" borderId="7" xfId="0" applyFont="1" applyBorder="1"/>
    <xf numFmtId="0" fontId="0" fillId="0" borderId="97" xfId="0" applyBorder="1"/>
    <xf numFmtId="0" fontId="69" fillId="0" borderId="94" xfId="0" applyFont="1" applyBorder="1"/>
    <xf numFmtId="0" fontId="69" fillId="0" borderId="2" xfId="0" applyFont="1" applyBorder="1"/>
    <xf numFmtId="0" fontId="69" fillId="0" borderId="13" xfId="0" applyFont="1" applyBorder="1"/>
    <xf numFmtId="0" fontId="0" fillId="0" borderId="94" xfId="0" applyBorder="1"/>
    <xf numFmtId="165" fontId="69" fillId="0" borderId="94" xfId="0" applyNumberFormat="1" applyFont="1" applyBorder="1"/>
    <xf numFmtId="0" fontId="69" fillId="0" borderId="99" xfId="0" applyFont="1" applyBorder="1"/>
    <xf numFmtId="0" fontId="0" fillId="0" borderId="99" xfId="0" applyBorder="1"/>
    <xf numFmtId="14" fontId="3" fillId="4" borderId="27" xfId="0" applyNumberFormat="1" applyFont="1" applyFill="1" applyBorder="1"/>
    <xf numFmtId="0" fontId="14" fillId="24" borderId="100" xfId="0" applyFont="1" applyFill="1" applyBorder="1" applyAlignment="1">
      <alignment horizontal="center"/>
    </xf>
    <xf numFmtId="0" fontId="3" fillId="15" borderId="9" xfId="0" applyFont="1" applyFill="1" applyBorder="1" applyAlignment="1">
      <alignment horizontal="center"/>
    </xf>
    <xf numFmtId="0" fontId="14" fillId="15" borderId="31" xfId="0" applyFont="1" applyFill="1" applyBorder="1" applyAlignment="1">
      <alignment horizontal="center"/>
    </xf>
    <xf numFmtId="0" fontId="14" fillId="15" borderId="30" xfId="0" applyFont="1" applyFill="1" applyBorder="1" applyAlignment="1">
      <alignment horizontal="center"/>
    </xf>
    <xf numFmtId="0" fontId="69" fillId="20" borderId="92" xfId="0" applyFont="1" applyFill="1" applyBorder="1"/>
    <xf numFmtId="164" fontId="69" fillId="15" borderId="3" xfId="0" applyNumberFormat="1" applyFont="1" applyFill="1" applyBorder="1"/>
    <xf numFmtId="164" fontId="69" fillId="15" borderId="92" xfId="0" applyNumberFormat="1" applyFont="1" applyFill="1" applyBorder="1"/>
    <xf numFmtId="165" fontId="69" fillId="15" borderId="92" xfId="0" applyNumberFormat="1" applyFont="1" applyFill="1" applyBorder="1"/>
    <xf numFmtId="0" fontId="69" fillId="15" borderId="92" xfId="0" applyFont="1" applyFill="1" applyBorder="1"/>
    <xf numFmtId="0" fontId="69" fillId="20" borderId="94" xfId="0" applyFont="1" applyFill="1" applyBorder="1"/>
    <xf numFmtId="0" fontId="69" fillId="15" borderId="94" xfId="0" applyFont="1" applyFill="1" applyBorder="1"/>
    <xf numFmtId="0" fontId="1" fillId="24" borderId="100" xfId="0" applyFont="1" applyFill="1" applyBorder="1" applyAlignment="1">
      <alignment horizontal="center"/>
    </xf>
    <xf numFmtId="0" fontId="1" fillId="24" borderId="33" xfId="0" applyFont="1" applyFill="1" applyBorder="1"/>
    <xf numFmtId="0" fontId="118" fillId="24" borderId="99" xfId="0" applyFont="1" applyFill="1" applyBorder="1"/>
    <xf numFmtId="0" fontId="118" fillId="20" borderId="33" xfId="0" applyFont="1" applyFill="1" applyBorder="1" applyAlignment="1">
      <alignment horizontal="center"/>
    </xf>
    <xf numFmtId="0" fontId="1" fillId="20" borderId="33" xfId="0" applyFont="1" applyFill="1" applyBorder="1" applyAlignment="1">
      <alignment horizontal="center"/>
    </xf>
    <xf numFmtId="0" fontId="118" fillId="24" borderId="33" xfId="0" applyFont="1" applyFill="1" applyBorder="1"/>
    <xf numFmtId="14" fontId="6" fillId="4" borderId="27" xfId="0" applyNumberFormat="1" applyFont="1" applyFill="1" applyBorder="1"/>
    <xf numFmtId="165" fontId="69" fillId="15" borderId="0" xfId="0" applyNumberFormat="1" applyFont="1" applyFill="1" applyBorder="1"/>
    <xf numFmtId="0" fontId="3" fillId="15" borderId="5" xfId="0" applyFont="1" applyFill="1" applyBorder="1" applyAlignment="1">
      <alignment horizontal="center"/>
    </xf>
    <xf numFmtId="0" fontId="66" fillId="0" borderId="21" xfId="0" applyFont="1" applyBorder="1"/>
    <xf numFmtId="1" fontId="69" fillId="15" borderId="3" xfId="0" applyNumberFormat="1" applyFont="1" applyFill="1" applyBorder="1"/>
    <xf numFmtId="1" fontId="69" fillId="15" borderId="92" xfId="0" applyNumberFormat="1" applyFont="1" applyFill="1" applyBorder="1"/>
    <xf numFmtId="14" fontId="6" fillId="4" borderId="34" xfId="0" applyNumberFormat="1" applyFont="1" applyFill="1" applyBorder="1"/>
    <xf numFmtId="0" fontId="118" fillId="24" borderId="100" xfId="0" applyFont="1" applyFill="1" applyBorder="1" applyAlignment="1">
      <alignment horizontal="center"/>
    </xf>
    <xf numFmtId="0" fontId="118" fillId="20" borderId="33" xfId="0" applyFont="1" applyFill="1" applyBorder="1"/>
    <xf numFmtId="0" fontId="66" fillId="0" borderId="107" xfId="0" applyFont="1" applyBorder="1"/>
    <xf numFmtId="0" fontId="2" fillId="15" borderId="69" xfId="0" applyFont="1" applyFill="1" applyBorder="1" applyAlignment="1">
      <alignment horizontal="center"/>
    </xf>
    <xf numFmtId="0" fontId="118" fillId="24" borderId="9" xfId="0" applyFont="1" applyFill="1" applyBorder="1" applyAlignment="1">
      <alignment horizontal="center"/>
    </xf>
    <xf numFmtId="165" fontId="69" fillId="15" borderId="97" xfId="0" applyNumberFormat="1" applyFont="1" applyFill="1" applyBorder="1"/>
    <xf numFmtId="0" fontId="69" fillId="15" borderId="97" xfId="0" applyFont="1" applyFill="1" applyBorder="1"/>
    <xf numFmtId="0" fontId="69" fillId="15" borderId="99" xfId="0" applyFont="1" applyFill="1" applyBorder="1"/>
    <xf numFmtId="1" fontId="69" fillId="15" borderId="97" xfId="0" applyNumberFormat="1" applyFont="1" applyFill="1" applyBorder="1"/>
    <xf numFmtId="165" fontId="69" fillId="15" borderId="30" xfId="0" applyNumberFormat="1" applyFont="1" applyFill="1" applyBorder="1"/>
    <xf numFmtId="0" fontId="63" fillId="3" borderId="32" xfId="0" applyFont="1" applyFill="1" applyBorder="1"/>
    <xf numFmtId="0" fontId="14" fillId="5" borderId="31" xfId="0" applyFont="1" applyFill="1" applyBorder="1"/>
    <xf numFmtId="164" fontId="69" fillId="0" borderId="0" xfId="0" applyNumberFormat="1" applyFont="1" applyFill="1"/>
    <xf numFmtId="0" fontId="63" fillId="0" borderId="32" xfId="0" applyFont="1" applyBorder="1"/>
    <xf numFmtId="0" fontId="14" fillId="9" borderId="0" xfId="0" applyFont="1" applyFill="1" applyBorder="1"/>
    <xf numFmtId="0" fontId="14" fillId="5" borderId="0" xfId="0" applyFont="1" applyFill="1" applyBorder="1"/>
    <xf numFmtId="0" fontId="63" fillId="0" borderId="0" xfId="0" applyFont="1" applyFill="1"/>
    <xf numFmtId="0" fontId="14" fillId="4" borderId="14" xfId="0" applyFont="1" applyFill="1" applyBorder="1"/>
    <xf numFmtId="0" fontId="14" fillId="4" borderId="15" xfId="0" applyFont="1" applyFill="1" applyBorder="1"/>
    <xf numFmtId="0" fontId="14" fillId="4" borderId="16" xfId="0" applyFont="1" applyFill="1" applyBorder="1"/>
    <xf numFmtId="0" fontId="63" fillId="0" borderId="14" xfId="0" applyFont="1" applyFill="1" applyBorder="1"/>
    <xf numFmtId="14" fontId="14" fillId="4" borderId="89" xfId="0" applyNumberFormat="1" applyFont="1" applyFill="1" applyBorder="1"/>
    <xf numFmtId="0" fontId="63" fillId="8" borderId="0" xfId="0" applyFont="1" applyFill="1"/>
    <xf numFmtId="0" fontId="30" fillId="8" borderId="0" xfId="0" applyFont="1" applyFill="1"/>
    <xf numFmtId="0" fontId="30" fillId="8" borderId="21" xfId="0" applyFont="1" applyFill="1" applyBorder="1"/>
    <xf numFmtId="0" fontId="14" fillId="5" borderId="33" xfId="0" applyFont="1" applyFill="1" applyBorder="1"/>
    <xf numFmtId="0" fontId="34" fillId="6" borderId="11" xfId="0" applyFont="1" applyFill="1" applyBorder="1"/>
    <xf numFmtId="0" fontId="34" fillId="6" borderId="41" xfId="0" applyFont="1" applyFill="1" applyBorder="1"/>
    <xf numFmtId="0" fontId="63" fillId="0" borderId="32" xfId="0" applyFont="1" applyFill="1" applyBorder="1"/>
    <xf numFmtId="0" fontId="63" fillId="0" borderId="34" xfId="0" applyFont="1" applyBorder="1"/>
    <xf numFmtId="0" fontId="14" fillId="9" borderId="21" xfId="0" applyFont="1" applyFill="1" applyBorder="1"/>
    <xf numFmtId="0" fontId="14" fillId="5" borderId="21" xfId="0" applyFont="1" applyFill="1" applyBorder="1"/>
    <xf numFmtId="0" fontId="14" fillId="9" borderId="0" xfId="0" applyFont="1" applyFill="1"/>
    <xf numFmtId="0" fontId="63" fillId="3" borderId="0" xfId="0" applyFont="1" applyFill="1"/>
    <xf numFmtId="0" fontId="14" fillId="11" borderId="0" xfId="0" applyFont="1" applyFill="1" applyBorder="1"/>
    <xf numFmtId="0" fontId="63" fillId="3" borderId="14" xfId="0" applyFont="1" applyFill="1" applyBorder="1"/>
    <xf numFmtId="0" fontId="14" fillId="9" borderId="15" xfId="0" applyFont="1" applyFill="1" applyBorder="1"/>
    <xf numFmtId="0" fontId="14" fillId="5" borderId="15" xfId="0" applyFont="1" applyFill="1" applyBorder="1"/>
    <xf numFmtId="0" fontId="34" fillId="6" borderId="16" xfId="0" applyFont="1" applyFill="1" applyBorder="1"/>
    <xf numFmtId="0" fontId="63" fillId="0" borderId="14" xfId="0" applyFont="1" applyBorder="1"/>
    <xf numFmtId="164" fontId="34" fillId="0" borderId="0" xfId="0" applyNumberFormat="1" applyFont="1" applyBorder="1"/>
    <xf numFmtId="165" fontId="34" fillId="0" borderId="0" xfId="0" applyNumberFormat="1" applyFont="1" applyBorder="1"/>
    <xf numFmtId="0" fontId="69" fillId="0" borderId="0" xfId="0" applyFont="1" applyFill="1"/>
    <xf numFmtId="0" fontId="14" fillId="8" borderId="0" xfId="0" applyFont="1" applyFill="1"/>
    <xf numFmtId="0" fontId="34" fillId="8" borderId="30" xfId="0" applyFont="1" applyFill="1" applyBorder="1"/>
    <xf numFmtId="0" fontId="34" fillId="8" borderId="0" xfId="0" applyFont="1" applyFill="1"/>
    <xf numFmtId="0" fontId="34" fillId="8" borderId="0" xfId="0" applyFont="1" applyFill="1" applyBorder="1"/>
    <xf numFmtId="164" fontId="34" fillId="0" borderId="0" xfId="0" applyNumberFormat="1" applyFont="1"/>
    <xf numFmtId="165" fontId="34" fillId="0" borderId="0" xfId="0" applyNumberFormat="1" applyFont="1"/>
    <xf numFmtId="0" fontId="69" fillId="3" borderId="0" xfId="0" applyFont="1" applyFill="1" applyBorder="1"/>
    <xf numFmtId="0" fontId="14" fillId="6" borderId="0" xfId="0" applyFont="1" applyFill="1"/>
    <xf numFmtId="164" fontId="34" fillId="0" borderId="0" xfId="0" applyNumberFormat="1" applyFont="1" applyFill="1" applyBorder="1"/>
    <xf numFmtId="2" fontId="34" fillId="0" borderId="0" xfId="0" applyNumberFormat="1" applyFont="1" applyBorder="1"/>
    <xf numFmtId="164" fontId="34" fillId="8" borderId="0" xfId="0" applyNumberFormat="1" applyFont="1" applyFill="1"/>
    <xf numFmtId="164" fontId="34" fillId="0" borderId="0" xfId="0" applyNumberFormat="1" applyFont="1" applyFill="1"/>
    <xf numFmtId="0" fontId="14" fillId="0" borderId="0" xfId="0" applyFont="1" applyFill="1" applyBorder="1"/>
    <xf numFmtId="166" fontId="34" fillId="0" borderId="0" xfId="0" applyNumberFormat="1" applyFont="1"/>
    <xf numFmtId="166" fontId="34" fillId="8" borderId="0" xfId="0" applyNumberFormat="1" applyFont="1" applyFill="1"/>
    <xf numFmtId="166" fontId="34" fillId="0" borderId="0" xfId="0" applyNumberFormat="1" applyFont="1" applyFill="1"/>
    <xf numFmtId="166" fontId="34" fillId="0" borderId="0" xfId="0" applyNumberFormat="1" applyFont="1" applyFill="1" applyBorder="1"/>
    <xf numFmtId="166" fontId="34" fillId="8" borderId="0" xfId="0" applyNumberFormat="1" applyFont="1" applyFill="1" applyBorder="1"/>
    <xf numFmtId="164" fontId="34" fillId="8" borderId="10" xfId="0" applyNumberFormat="1" applyFont="1" applyFill="1" applyBorder="1"/>
    <xf numFmtId="164" fontId="34" fillId="0" borderId="10" xfId="0" applyNumberFormat="1" applyFont="1" applyBorder="1"/>
    <xf numFmtId="1" fontId="34" fillId="0" borderId="10" xfId="0" applyNumberFormat="1" applyFont="1" applyBorder="1"/>
    <xf numFmtId="0" fontId="34" fillId="0" borderId="0" xfId="0" applyFont="1" applyFill="1" applyBorder="1"/>
    <xf numFmtId="165" fontId="34" fillId="8" borderId="0" xfId="0" applyNumberFormat="1" applyFont="1" applyFill="1"/>
    <xf numFmtId="165" fontId="34" fillId="8" borderId="0" xfId="0" applyNumberFormat="1" applyFont="1" applyFill="1" applyBorder="1"/>
    <xf numFmtId="165" fontId="34" fillId="0" borderId="0" xfId="0" applyNumberFormat="1" applyFont="1" applyFill="1" applyBorder="1"/>
    <xf numFmtId="2" fontId="34" fillId="8" borderId="0" xfId="0" applyNumberFormat="1" applyFont="1" applyFill="1" applyBorder="1"/>
    <xf numFmtId="164" fontId="34" fillId="8" borderId="0" xfId="0" applyNumberFormat="1" applyFont="1" applyFill="1" applyBorder="1"/>
    <xf numFmtId="164" fontId="34" fillId="10" borderId="0" xfId="0" applyNumberFormat="1" applyFont="1" applyFill="1" applyBorder="1"/>
    <xf numFmtId="1" fontId="34" fillId="0" borderId="0" xfId="0" applyNumberFormat="1" applyFont="1"/>
    <xf numFmtId="164" fontId="34" fillId="0" borderId="21" xfId="0" applyNumberFormat="1" applyFont="1" applyBorder="1"/>
    <xf numFmtId="164" fontId="34" fillId="8" borderId="21" xfId="0" applyNumberFormat="1" applyFont="1" applyFill="1" applyBorder="1"/>
    <xf numFmtId="0" fontId="69" fillId="0" borderId="21" xfId="0" applyFont="1" applyBorder="1"/>
    <xf numFmtId="1" fontId="34" fillId="0" borderId="0" xfId="0" applyNumberFormat="1" applyFont="1" applyFill="1"/>
    <xf numFmtId="2" fontId="34" fillId="0" borderId="0" xfId="0" applyNumberFormat="1" applyFont="1"/>
    <xf numFmtId="2" fontId="34" fillId="8" borderId="0" xfId="0" applyNumberFormat="1" applyFont="1" applyFill="1"/>
    <xf numFmtId="165" fontId="34" fillId="0" borderId="0" xfId="0" applyNumberFormat="1" applyFont="1" applyFill="1"/>
    <xf numFmtId="2" fontId="34" fillId="0" borderId="0" xfId="0" applyNumberFormat="1" applyFont="1" applyFill="1"/>
    <xf numFmtId="164" fontId="34" fillId="0" borderId="3" xfId="0" applyNumberFormat="1" applyFont="1" applyBorder="1"/>
    <xf numFmtId="164" fontId="34" fillId="0" borderId="12" xfId="0" applyNumberFormat="1" applyFont="1" applyBorder="1"/>
    <xf numFmtId="164" fontId="34" fillId="0" borderId="2" xfId="0" applyNumberFormat="1" applyFont="1" applyBorder="1"/>
    <xf numFmtId="164" fontId="34" fillId="0" borderId="2" xfId="0" applyNumberFormat="1" applyFont="1" applyFill="1" applyBorder="1"/>
    <xf numFmtId="164" fontId="34" fillId="0" borderId="10" xfId="0" applyNumberFormat="1" applyFont="1" applyFill="1" applyBorder="1"/>
    <xf numFmtId="0" fontId="69" fillId="0" borderId="10" xfId="0" applyFont="1" applyBorder="1"/>
    <xf numFmtId="0" fontId="69" fillId="0" borderId="15" xfId="0" applyFont="1" applyBorder="1"/>
    <xf numFmtId="0" fontId="34" fillId="8" borderId="15" xfId="0" applyFont="1" applyFill="1" applyBorder="1"/>
    <xf numFmtId="0" fontId="34" fillId="8" borderId="10" xfId="0" applyFont="1" applyFill="1" applyBorder="1"/>
    <xf numFmtId="165" fontId="69" fillId="15" borderId="7" xfId="0" applyNumberFormat="1" applyFont="1" applyFill="1" applyBorder="1"/>
    <xf numFmtId="14" fontId="3" fillId="4" borderId="34" xfId="0" applyNumberFormat="1" applyFont="1" applyFill="1" applyBorder="1"/>
    <xf numFmtId="0" fontId="66" fillId="15" borderId="3" xfId="0" applyFont="1" applyFill="1" applyBorder="1"/>
    <xf numFmtId="0" fontId="66" fillId="15" borderId="4" xfId="0" applyFont="1" applyFill="1" applyBorder="1"/>
    <xf numFmtId="0" fontId="66" fillId="15" borderId="5" xfId="0" applyFont="1" applyFill="1" applyBorder="1"/>
    <xf numFmtId="0" fontId="66" fillId="15" borderId="13" xfId="0" applyFont="1" applyFill="1" applyBorder="1"/>
    <xf numFmtId="164" fontId="69" fillId="0" borderId="0" xfId="0" applyNumberFormat="1" applyFont="1" applyFill="1" applyBorder="1"/>
    <xf numFmtId="0" fontId="14" fillId="15" borderId="33" xfId="0" applyFont="1" applyFill="1" applyBorder="1"/>
    <xf numFmtId="164" fontId="14" fillId="15" borderId="92" xfId="0" applyNumberFormat="1" applyFont="1" applyFill="1" applyBorder="1"/>
    <xf numFmtId="2" fontId="69" fillId="15" borderId="97" xfId="0" applyNumberFormat="1" applyFont="1" applyFill="1" applyBorder="1"/>
    <xf numFmtId="2" fontId="69" fillId="15" borderId="99" xfId="0" applyNumberFormat="1" applyFont="1" applyFill="1" applyBorder="1"/>
    <xf numFmtId="164" fontId="69" fillId="15" borderId="21" xfId="0" applyNumberFormat="1" applyFont="1" applyFill="1" applyBorder="1"/>
    <xf numFmtId="2" fontId="69" fillId="15" borderId="21" xfId="0" applyNumberFormat="1" applyFont="1" applyFill="1" applyBorder="1"/>
    <xf numFmtId="14" fontId="3" fillId="15" borderId="102" xfId="0" applyNumberFormat="1" applyFont="1" applyFill="1" applyBorder="1"/>
    <xf numFmtId="0" fontId="66" fillId="15" borderId="96" xfId="0" applyFont="1" applyFill="1" applyBorder="1"/>
    <xf numFmtId="14" fontId="6" fillId="4" borderId="22" xfId="0" applyNumberFormat="1" applyFont="1" applyFill="1" applyBorder="1"/>
    <xf numFmtId="2" fontId="69" fillId="15" borderId="29" xfId="0" applyNumberFormat="1" applyFont="1" applyFill="1" applyBorder="1"/>
    <xf numFmtId="14" fontId="6" fillId="15" borderId="27" xfId="0" applyNumberFormat="1" applyFont="1" applyFill="1" applyBorder="1"/>
    <xf numFmtId="2" fontId="69" fillId="15" borderId="2" xfId="0" applyNumberFormat="1" applyFont="1" applyFill="1" applyBorder="1"/>
    <xf numFmtId="164" fontId="69" fillId="15" borderId="30" xfId="0" applyNumberFormat="1" applyFont="1" applyFill="1" applyBorder="1"/>
    <xf numFmtId="0" fontId="69" fillId="8" borderId="19" xfId="0" applyFont="1" applyFill="1" applyBorder="1"/>
    <xf numFmtId="0" fontId="69" fillId="6" borderId="9" xfId="0" applyFont="1" applyFill="1" applyBorder="1"/>
    <xf numFmtId="0" fontId="5" fillId="4" borderId="65" xfId="0" applyFont="1" applyFill="1" applyBorder="1"/>
    <xf numFmtId="0" fontId="0" fillId="8" borderId="94" xfId="0" applyFill="1" applyBorder="1"/>
    <xf numFmtId="0" fontId="0" fillId="8" borderId="2" xfId="0" applyFill="1" applyBorder="1"/>
    <xf numFmtId="0" fontId="14" fillId="0" borderId="99" xfId="0" applyFont="1" applyFill="1" applyBorder="1"/>
    <xf numFmtId="0" fontId="2" fillId="0" borderId="2" xfId="0" applyFont="1" applyBorder="1"/>
    <xf numFmtId="0" fontId="14" fillId="5" borderId="2" xfId="0" applyFont="1" applyFill="1" applyBorder="1"/>
    <xf numFmtId="0" fontId="107" fillId="0" borderId="19" xfId="0" applyFont="1" applyBorder="1" applyAlignment="1">
      <alignment horizontal="center" vertical="center" readingOrder="1"/>
    </xf>
    <xf numFmtId="0" fontId="14" fillId="5" borderId="13" xfId="0" applyFont="1" applyFill="1" applyBorder="1"/>
    <xf numFmtId="0" fontId="6" fillId="8" borderId="3" xfId="0" applyFont="1" applyFill="1" applyBorder="1"/>
    <xf numFmtId="0" fontId="6" fillId="8" borderId="4" xfId="0" applyFont="1" applyFill="1" applyBorder="1"/>
    <xf numFmtId="0" fontId="2" fillId="5" borderId="92" xfId="0" applyFont="1" applyFill="1" applyBorder="1"/>
    <xf numFmtId="0" fontId="70" fillId="0" borderId="0" xfId="0" applyFont="1" applyFill="1"/>
    <xf numFmtId="0" fontId="2" fillId="5" borderId="94" xfId="0" applyFont="1" applyFill="1" applyBorder="1"/>
    <xf numFmtId="0" fontId="6" fillId="5" borderId="13" xfId="0" applyFont="1" applyFill="1" applyBorder="1"/>
    <xf numFmtId="0" fontId="8" fillId="8" borderId="2" xfId="0" applyFont="1" applyFill="1" applyBorder="1"/>
    <xf numFmtId="0" fontId="6" fillId="0" borderId="8" xfId="0" applyFont="1" applyFill="1" applyBorder="1"/>
    <xf numFmtId="0" fontId="6" fillId="0" borderId="19" xfId="0" applyFont="1" applyFill="1" applyBorder="1"/>
    <xf numFmtId="0" fontId="31" fillId="6" borderId="97" xfId="0" applyFont="1" applyFill="1" applyBorder="1"/>
    <xf numFmtId="0" fontId="8" fillId="27" borderId="0" xfId="0" applyFont="1" applyFill="1"/>
    <xf numFmtId="0" fontId="119" fillId="27" borderId="0" xfId="0" applyFont="1" applyFill="1"/>
    <xf numFmtId="0" fontId="14" fillId="27" borderId="0" xfId="0" applyFont="1" applyFill="1"/>
    <xf numFmtId="0" fontId="14" fillId="24" borderId="109" xfId="0" applyFont="1" applyFill="1" applyBorder="1" applyAlignment="1">
      <alignment horizontal="center"/>
    </xf>
    <xf numFmtId="0" fontId="69" fillId="20" borderId="32" xfId="0" applyFont="1" applyFill="1" applyBorder="1"/>
    <xf numFmtId="1" fontId="69" fillId="15" borderId="110" xfId="0" applyNumberFormat="1" applyFont="1" applyFill="1" applyBorder="1"/>
    <xf numFmtId="0" fontId="69" fillId="20" borderId="34" xfId="0" applyFont="1" applyFill="1" applyBorder="1"/>
    <xf numFmtId="0" fontId="69" fillId="15" borderId="105" xfId="0" applyFont="1" applyFill="1" applyBorder="1"/>
    <xf numFmtId="1" fontId="69" fillId="23" borderId="5" xfId="0" applyNumberFormat="1" applyFont="1" applyFill="1" applyBorder="1"/>
    <xf numFmtId="0" fontId="66" fillId="23" borderId="0" xfId="0" applyFont="1" applyFill="1" applyBorder="1"/>
    <xf numFmtId="1" fontId="69" fillId="23" borderId="7" xfId="0" applyNumberFormat="1" applyFont="1" applyFill="1" applyBorder="1"/>
    <xf numFmtId="0" fontId="66" fillId="23" borderId="7" xfId="0" applyFont="1" applyFill="1" applyBorder="1"/>
    <xf numFmtId="0" fontId="66" fillId="23" borderId="2" xfId="0" applyFont="1" applyFill="1" applyBorder="1"/>
    <xf numFmtId="0" fontId="66" fillId="23" borderId="13" xfId="0" applyFont="1" applyFill="1" applyBorder="1"/>
    <xf numFmtId="1" fontId="69" fillId="23" borderId="4" xfId="0" applyNumberFormat="1" applyFont="1" applyFill="1" applyBorder="1"/>
    <xf numFmtId="1" fontId="69" fillId="23" borderId="0" xfId="0" applyNumberFormat="1" applyFont="1" applyFill="1" applyBorder="1"/>
    <xf numFmtId="0" fontId="6" fillId="15" borderId="9" xfId="0" applyFont="1" applyFill="1" applyBorder="1" applyAlignment="1">
      <alignment horizontal="center"/>
    </xf>
    <xf numFmtId="0" fontId="8" fillId="6" borderId="97" xfId="0" applyFont="1" applyFill="1" applyBorder="1"/>
    <xf numFmtId="0" fontId="97" fillId="15" borderId="0" xfId="0" applyFont="1" applyFill="1"/>
    <xf numFmtId="0" fontId="65" fillId="15" borderId="0" xfId="0" applyFont="1" applyFill="1"/>
    <xf numFmtId="0" fontId="121" fillId="15" borderId="0" xfId="0" applyFont="1" applyFill="1"/>
    <xf numFmtId="0" fontId="68" fillId="15" borderId="0" xfId="0" applyFont="1" applyFill="1"/>
    <xf numFmtId="1" fontId="69" fillId="0" borderId="0" xfId="0" applyNumberFormat="1" applyFont="1" applyBorder="1"/>
    <xf numFmtId="165" fontId="69" fillId="0" borderId="0" xfId="0" applyNumberFormat="1" applyFont="1"/>
    <xf numFmtId="0" fontId="70" fillId="0" borderId="19" xfId="0" applyFont="1" applyBorder="1"/>
    <xf numFmtId="165" fontId="14" fillId="6" borderId="23" xfId="0" applyNumberFormat="1" applyFont="1" applyFill="1" applyBorder="1"/>
    <xf numFmtId="165" fontId="63" fillId="0" borderId="0" xfId="0" applyNumberFormat="1" applyFont="1"/>
    <xf numFmtId="1" fontId="8" fillId="6" borderId="23" xfId="0" applyNumberFormat="1" applyFont="1" applyFill="1" applyBorder="1"/>
    <xf numFmtId="0" fontId="90" fillId="20" borderId="3" xfId="0" applyFont="1" applyFill="1" applyBorder="1"/>
    <xf numFmtId="0" fontId="90" fillId="20" borderId="5" xfId="0" applyFont="1" applyFill="1" applyBorder="1"/>
    <xf numFmtId="14" fontId="20" fillId="0" borderId="17" xfId="0" applyNumberFormat="1" applyFont="1" applyBorder="1"/>
    <xf numFmtId="165" fontId="2" fillId="6" borderId="97" xfId="0" applyNumberFormat="1" applyFont="1" applyFill="1" applyBorder="1"/>
    <xf numFmtId="164" fontId="2" fillId="20" borderId="0" xfId="0" applyNumberFormat="1" applyFont="1" applyFill="1"/>
    <xf numFmtId="166" fontId="9" fillId="5" borderId="0" xfId="0" applyNumberFormat="1" applyFont="1" applyFill="1"/>
    <xf numFmtId="1" fontId="8" fillId="0" borderId="0" xfId="0" applyNumberFormat="1" applyFont="1" applyBorder="1"/>
    <xf numFmtId="1" fontId="69" fillId="15" borderId="10" xfId="0" applyNumberFormat="1" applyFont="1" applyFill="1" applyBorder="1"/>
    <xf numFmtId="164" fontId="69" fillId="15" borderId="110" xfId="0" applyNumberFormat="1" applyFont="1" applyFill="1" applyBorder="1"/>
    <xf numFmtId="164" fontId="69" fillId="15" borderId="41" xfId="0" applyNumberFormat="1" applyFont="1" applyFill="1" applyBorder="1"/>
    <xf numFmtId="164" fontId="69" fillId="15" borderId="29" xfId="0" applyNumberFormat="1" applyFont="1" applyFill="1" applyBorder="1"/>
    <xf numFmtId="2" fontId="69" fillId="15" borderId="94" xfId="0" applyNumberFormat="1" applyFont="1" applyFill="1" applyBorder="1"/>
    <xf numFmtId="165" fontId="115" fillId="15" borderId="7" xfId="0" applyNumberFormat="1" applyFont="1" applyFill="1" applyBorder="1"/>
    <xf numFmtId="14" fontId="3" fillId="4" borderId="37" xfId="0" applyNumberFormat="1" applyFont="1" applyFill="1" applyBorder="1"/>
    <xf numFmtId="0" fontId="1" fillId="24" borderId="9" xfId="0" applyFont="1" applyFill="1" applyBorder="1" applyAlignment="1">
      <alignment horizontal="center"/>
    </xf>
    <xf numFmtId="0" fontId="1" fillId="24" borderId="31" xfId="0" applyFont="1" applyFill="1" applyBorder="1"/>
    <xf numFmtId="0" fontId="14" fillId="24" borderId="31" xfId="0" applyFont="1" applyFill="1" applyBorder="1"/>
    <xf numFmtId="0" fontId="1" fillId="28" borderId="31" xfId="0" applyFont="1" applyFill="1" applyBorder="1"/>
    <xf numFmtId="0" fontId="91" fillId="28" borderId="6" xfId="0" applyFont="1" applyFill="1" applyBorder="1"/>
    <xf numFmtId="0" fontId="70" fillId="0" borderId="8" xfId="0" applyFont="1" applyBorder="1"/>
    <xf numFmtId="0" fontId="70" fillId="16" borderId="30" xfId="0" applyFont="1" applyFill="1" applyBorder="1"/>
    <xf numFmtId="0" fontId="70" fillId="16" borderId="97" xfId="0" applyFont="1" applyFill="1" applyBorder="1"/>
    <xf numFmtId="0" fontId="70" fillId="16" borderId="99" xfId="0" applyFont="1" applyFill="1" applyBorder="1"/>
    <xf numFmtId="166" fontId="69" fillId="0" borderId="0" xfId="0" applyNumberFormat="1" applyFont="1" applyBorder="1"/>
    <xf numFmtId="166" fontId="69" fillId="0" borderId="30" xfId="0" applyNumberFormat="1" applyFont="1" applyBorder="1"/>
    <xf numFmtId="166" fontId="69" fillId="0" borderId="10" xfId="0" applyNumberFormat="1" applyFont="1" applyBorder="1"/>
    <xf numFmtId="166" fontId="69" fillId="0" borderId="11" xfId="0" applyNumberFormat="1" applyFont="1" applyBorder="1"/>
    <xf numFmtId="166" fontId="69" fillId="0" borderId="41" xfId="0" applyNumberFormat="1" applyFont="1" applyBorder="1"/>
    <xf numFmtId="166" fontId="69" fillId="0" borderId="21" xfId="0" applyNumberFormat="1" applyFont="1" applyBorder="1"/>
    <xf numFmtId="166" fontId="69" fillId="0" borderId="29" xfId="0" applyNumberFormat="1" applyFont="1" applyBorder="1"/>
    <xf numFmtId="0" fontId="69" fillId="16" borderId="27" xfId="0" applyFont="1" applyFill="1" applyBorder="1"/>
    <xf numFmtId="0" fontId="69" fillId="16" borderId="22" xfId="0" applyFont="1" applyFill="1" applyBorder="1"/>
    <xf numFmtId="0" fontId="69" fillId="16" borderId="28" xfId="0" applyFont="1" applyFill="1" applyBorder="1"/>
    <xf numFmtId="166" fontId="69" fillId="0" borderId="69" xfId="0" applyNumberFormat="1" applyFont="1" applyBorder="1"/>
    <xf numFmtId="0" fontId="122" fillId="0" borderId="0" xfId="0" applyFont="1"/>
    <xf numFmtId="1" fontId="70" fillId="15" borderId="0" xfId="0" applyNumberFormat="1" applyFont="1" applyFill="1" applyBorder="1"/>
    <xf numFmtId="0" fontId="14" fillId="20" borderId="31" xfId="0" applyFont="1" applyFill="1" applyBorder="1" applyAlignment="1">
      <alignment horizontal="center"/>
    </xf>
    <xf numFmtId="0" fontId="14" fillId="20" borderId="40" xfId="0" applyFont="1" applyFill="1" applyBorder="1"/>
    <xf numFmtId="0" fontId="2" fillId="15" borderId="40" xfId="0" applyFont="1" applyFill="1" applyBorder="1" applyAlignment="1">
      <alignment horizontal="center"/>
    </xf>
    <xf numFmtId="1" fontId="69" fillId="0" borderId="11" xfId="0" applyNumberFormat="1" applyFont="1" applyBorder="1"/>
    <xf numFmtId="0" fontId="114" fillId="15" borderId="29" xfId="0" applyFont="1" applyFill="1" applyBorder="1"/>
    <xf numFmtId="0" fontId="112" fillId="0" borderId="36" xfId="0" applyFont="1" applyBorder="1" applyAlignment="1">
      <alignment horizontal="center"/>
    </xf>
    <xf numFmtId="0" fontId="123" fillId="15" borderId="9" xfId="0" applyFont="1" applyFill="1" applyBorder="1" applyAlignment="1">
      <alignment horizontal="center"/>
    </xf>
    <xf numFmtId="0" fontId="124" fillId="26" borderId="31" xfId="0" applyFont="1" applyFill="1" applyBorder="1" applyAlignment="1">
      <alignment horizontal="center"/>
    </xf>
    <xf numFmtId="0" fontId="124" fillId="26" borderId="9" xfId="0" applyFont="1" applyFill="1" applyBorder="1"/>
    <xf numFmtId="0" fontId="69" fillId="26" borderId="97" xfId="0" applyFont="1" applyFill="1" applyBorder="1"/>
    <xf numFmtId="0" fontId="69" fillId="26" borderId="23" xfId="0" applyFont="1" applyFill="1" applyBorder="1"/>
    <xf numFmtId="0" fontId="69" fillId="26" borderId="99" xfId="0" applyFont="1" applyFill="1" applyBorder="1"/>
    <xf numFmtId="164" fontId="70" fillId="15" borderId="0" xfId="0" applyNumberFormat="1" applyFont="1" applyFill="1" applyBorder="1"/>
    <xf numFmtId="164" fontId="70" fillId="15" borderId="2" xfId="0" applyNumberFormat="1" applyFont="1" applyFill="1" applyBorder="1"/>
    <xf numFmtId="1" fontId="70" fillId="15" borderId="2" xfId="0" applyNumberFormat="1" applyFont="1" applyFill="1" applyBorder="1"/>
    <xf numFmtId="1" fontId="70" fillId="15" borderId="94" xfId="0" applyNumberFormat="1" applyFont="1" applyFill="1" applyBorder="1"/>
    <xf numFmtId="2" fontId="69" fillId="23" borderId="5" xfId="0" applyNumberFormat="1" applyFont="1" applyFill="1" applyBorder="1"/>
    <xf numFmtId="2" fontId="69" fillId="23" borderId="7" xfId="0" applyNumberFormat="1" applyFont="1" applyFill="1" applyBorder="1"/>
    <xf numFmtId="2" fontId="2" fillId="0" borderId="0" xfId="0" applyNumberFormat="1" applyFont="1" applyFill="1" applyBorder="1"/>
    <xf numFmtId="1" fontId="70" fillId="15" borderId="0" xfId="0" applyNumberFormat="1" applyFont="1" applyFill="1"/>
    <xf numFmtId="2" fontId="70" fillId="15" borderId="13" xfId="0" applyNumberFormat="1" applyFont="1" applyFill="1" applyBorder="1"/>
    <xf numFmtId="0" fontId="14" fillId="15" borderId="33" xfId="0" applyFont="1" applyFill="1" applyBorder="1" applyAlignment="1">
      <alignment horizontal="center"/>
    </xf>
    <xf numFmtId="0" fontId="6" fillId="0" borderId="0" xfId="0" applyFont="1" applyFill="1" applyBorder="1" applyAlignment="1">
      <alignment horizontal="center"/>
    </xf>
    <xf numFmtId="165" fontId="67" fillId="0" borderId="0" xfId="0" applyNumberFormat="1" applyFont="1"/>
    <xf numFmtId="0" fontId="6" fillId="15" borderId="33" xfId="0" applyFont="1" applyFill="1" applyBorder="1" applyAlignment="1">
      <alignment horizontal="center"/>
    </xf>
    <xf numFmtId="3" fontId="90" fillId="0" borderId="0" xfId="0" applyNumberFormat="1" applyFont="1"/>
    <xf numFmtId="0" fontId="126" fillId="0" borderId="0" xfId="0" applyFont="1"/>
    <xf numFmtId="0" fontId="69" fillId="20" borderId="30" xfId="0" applyFont="1" applyFill="1" applyBorder="1"/>
    <xf numFmtId="0" fontId="114" fillId="15" borderId="94" xfId="0" applyFont="1" applyFill="1" applyBorder="1"/>
    <xf numFmtId="0" fontId="2" fillId="15" borderId="33" xfId="0" applyFont="1" applyFill="1" applyBorder="1" applyAlignment="1">
      <alignment horizontal="center"/>
    </xf>
    <xf numFmtId="0" fontId="66" fillId="0" borderId="19" xfId="0" applyFont="1" applyBorder="1"/>
    <xf numFmtId="0" fontId="70" fillId="0" borderId="4" xfId="0" applyFont="1" applyBorder="1"/>
    <xf numFmtId="0" fontId="70" fillId="0" borderId="92" xfId="0" applyFont="1" applyBorder="1"/>
    <xf numFmtId="14" fontId="123" fillId="2" borderId="31" xfId="0" applyNumberFormat="1" applyFont="1" applyFill="1" applyBorder="1"/>
    <xf numFmtId="14" fontId="2" fillId="4" borderId="111" xfId="0" applyNumberFormat="1" applyFont="1" applyFill="1" applyBorder="1"/>
    <xf numFmtId="0" fontId="1" fillId="4" borderId="101" xfId="0" applyFont="1" applyFill="1" applyBorder="1"/>
    <xf numFmtId="0" fontId="63" fillId="4" borderId="30" xfId="0" applyFont="1" applyFill="1" applyBorder="1"/>
    <xf numFmtId="0" fontId="69" fillId="4" borderId="30" xfId="0" applyFont="1" applyFill="1" applyBorder="1"/>
    <xf numFmtId="0" fontId="34" fillId="20" borderId="92" xfId="0" applyFont="1" applyFill="1" applyBorder="1"/>
    <xf numFmtId="0" fontId="14" fillId="20" borderId="66" xfId="0" applyFont="1" applyFill="1" applyBorder="1" applyAlignment="1">
      <alignment horizontal="center"/>
    </xf>
    <xf numFmtId="165" fontId="91" fillId="4" borderId="99" xfId="0" applyNumberFormat="1" applyFont="1" applyFill="1" applyBorder="1"/>
    <xf numFmtId="0" fontId="112" fillId="0" borderId="28" xfId="0" applyFont="1" applyBorder="1" applyAlignment="1">
      <alignment horizontal="center"/>
    </xf>
    <xf numFmtId="0" fontId="69" fillId="0" borderId="8" xfId="0" applyFont="1" applyBorder="1"/>
    <xf numFmtId="0" fontId="1" fillId="15" borderId="30" xfId="0" applyFont="1" applyFill="1" applyBorder="1" applyAlignment="1">
      <alignment horizontal="center"/>
    </xf>
    <xf numFmtId="0" fontId="34" fillId="26" borderId="30" xfId="0" applyFont="1" applyFill="1" applyBorder="1"/>
    <xf numFmtId="0" fontId="34" fillId="26" borderId="23" xfId="0" applyFont="1" applyFill="1" applyBorder="1"/>
    <xf numFmtId="0" fontId="34" fillId="26" borderId="17" xfId="0" applyFont="1" applyFill="1" applyBorder="1"/>
    <xf numFmtId="0" fontId="119" fillId="24" borderId="100" xfId="0" applyFont="1" applyFill="1" applyBorder="1" applyAlignment="1">
      <alignment horizontal="center"/>
    </xf>
    <xf numFmtId="165" fontId="69" fillId="15" borderId="5" xfId="0" applyNumberFormat="1" applyFont="1" applyFill="1" applyBorder="1"/>
    <xf numFmtId="2" fontId="69" fillId="15" borderId="6" xfId="0" applyNumberFormat="1" applyFont="1" applyFill="1" applyBorder="1"/>
    <xf numFmtId="1" fontId="115" fillId="15" borderId="6" xfId="0" applyNumberFormat="1" applyFont="1" applyFill="1" applyBorder="1"/>
    <xf numFmtId="165" fontId="90" fillId="0" borderId="0" xfId="0" applyNumberFormat="1" applyFont="1"/>
    <xf numFmtId="0" fontId="63" fillId="15" borderId="5" xfId="0" applyFont="1" applyFill="1" applyBorder="1"/>
    <xf numFmtId="165" fontId="69" fillId="15" borderId="4" xfId="0" applyNumberFormat="1" applyFont="1" applyFill="1" applyBorder="1"/>
    <xf numFmtId="2" fontId="2" fillId="0" borderId="0" xfId="0" applyNumberFormat="1" applyFont="1" applyBorder="1"/>
    <xf numFmtId="0" fontId="90" fillId="15" borderId="36" xfId="0" applyFont="1" applyFill="1" applyBorder="1"/>
    <xf numFmtId="2" fontId="70" fillId="0" borderId="99" xfId="0" applyNumberFormat="1" applyFont="1" applyBorder="1"/>
    <xf numFmtId="165" fontId="2" fillId="0" borderId="36" xfId="0" applyNumberFormat="1" applyFont="1" applyBorder="1"/>
    <xf numFmtId="0" fontId="2" fillId="24" borderId="33" xfId="0" applyFont="1" applyFill="1" applyBorder="1" applyAlignment="1">
      <alignment horizontal="center"/>
    </xf>
    <xf numFmtId="1" fontId="70" fillId="15" borderId="4" xfId="0" applyNumberFormat="1" applyFont="1" applyFill="1" applyBorder="1"/>
    <xf numFmtId="1" fontId="67" fillId="0" borderId="0" xfId="0" applyNumberFormat="1" applyFont="1"/>
    <xf numFmtId="1" fontId="69" fillId="15" borderId="23" xfId="0" applyNumberFormat="1" applyFont="1" applyFill="1" applyBorder="1"/>
    <xf numFmtId="1" fontId="69" fillId="15" borderId="6" xfId="0" applyNumberFormat="1" applyFont="1" applyFill="1" applyBorder="1"/>
    <xf numFmtId="0" fontId="2" fillId="6" borderId="27" xfId="0" applyFont="1" applyFill="1" applyBorder="1"/>
    <xf numFmtId="0" fontId="0" fillId="9" borderId="23" xfId="0" applyFill="1" applyBorder="1"/>
    <xf numFmtId="0" fontId="14" fillId="24" borderId="65" xfId="0" applyFont="1" applyFill="1" applyBorder="1"/>
    <xf numFmtId="165" fontId="69" fillId="15" borderId="6" xfId="0" applyNumberFormat="1" applyFont="1" applyFill="1" applyBorder="1"/>
    <xf numFmtId="0" fontId="115" fillId="15" borderId="6" xfId="0" applyFont="1" applyFill="1" applyBorder="1"/>
    <xf numFmtId="0" fontId="114" fillId="15" borderId="6" xfId="0" applyFont="1" applyFill="1" applyBorder="1"/>
    <xf numFmtId="0" fontId="2" fillId="15" borderId="23" xfId="0" applyFont="1" applyFill="1" applyBorder="1" applyAlignment="1">
      <alignment horizontal="center"/>
    </xf>
    <xf numFmtId="0" fontId="14" fillId="24" borderId="113" xfId="0" applyFont="1" applyFill="1" applyBorder="1"/>
    <xf numFmtId="0" fontId="127" fillId="0" borderId="0" xfId="0" applyFont="1"/>
    <xf numFmtId="2" fontId="91" fillId="4" borderId="3" xfId="0" applyNumberFormat="1" applyFont="1" applyFill="1" applyBorder="1"/>
    <xf numFmtId="2" fontId="91" fillId="4" borderId="5" xfId="0" applyNumberFormat="1" applyFont="1" applyFill="1" applyBorder="1"/>
    <xf numFmtId="2" fontId="91" fillId="4" borderId="6" xfId="0" applyNumberFormat="1" applyFont="1" applyFill="1" applyBorder="1"/>
    <xf numFmtId="2" fontId="91" fillId="4" borderId="7" xfId="0" applyNumberFormat="1" applyFont="1" applyFill="1" applyBorder="1"/>
    <xf numFmtId="2" fontId="91" fillId="4" borderId="94" xfId="0" applyNumberFormat="1" applyFont="1" applyFill="1" applyBorder="1"/>
    <xf numFmtId="0" fontId="1" fillId="20" borderId="94" xfId="0" applyFont="1" applyFill="1" applyBorder="1"/>
    <xf numFmtId="0" fontId="66" fillId="29" borderId="0" xfId="0" applyFont="1" applyFill="1"/>
    <xf numFmtId="165" fontId="70" fillId="29" borderId="0" xfId="0" applyNumberFormat="1" applyFont="1" applyFill="1"/>
    <xf numFmtId="0" fontId="70" fillId="29" borderId="0" xfId="0" applyFont="1" applyFill="1"/>
    <xf numFmtId="166" fontId="70" fillId="29" borderId="0" xfId="0" applyNumberFormat="1" applyFont="1" applyFill="1"/>
    <xf numFmtId="164" fontId="70" fillId="29" borderId="0" xfId="0" applyNumberFormat="1" applyFont="1" applyFill="1"/>
    <xf numFmtId="0" fontId="66" fillId="29" borderId="31" xfId="0" applyFont="1" applyFill="1" applyBorder="1"/>
    <xf numFmtId="165" fontId="48" fillId="29" borderId="0" xfId="0" applyNumberFormat="1" applyFont="1" applyFill="1"/>
    <xf numFmtId="165" fontId="33" fillId="29" borderId="0" xfId="0" applyNumberFormat="1" applyFont="1" applyFill="1"/>
    <xf numFmtId="2" fontId="70" fillId="29" borderId="0" xfId="0" applyNumberFormat="1" applyFont="1" applyFill="1"/>
    <xf numFmtId="1" fontId="70" fillId="29" borderId="0" xfId="0" applyNumberFormat="1" applyFont="1" applyFill="1"/>
    <xf numFmtId="164" fontId="33" fillId="29" borderId="0" xfId="0" applyNumberFormat="1" applyFont="1" applyFill="1"/>
    <xf numFmtId="165" fontId="5" fillId="29" borderId="0" xfId="0" applyNumberFormat="1" applyFont="1" applyFill="1"/>
    <xf numFmtId="2" fontId="5" fillId="29" borderId="0" xfId="0" applyNumberFormat="1" applyFont="1" applyFill="1"/>
    <xf numFmtId="0" fontId="5" fillId="29" borderId="0" xfId="0" applyFont="1" applyFill="1"/>
    <xf numFmtId="164" fontId="5" fillId="29" borderId="0" xfId="0" applyNumberFormat="1" applyFont="1" applyFill="1"/>
    <xf numFmtId="164" fontId="22" fillId="29" borderId="0" xfId="0" applyNumberFormat="1" applyFont="1" applyFill="1"/>
    <xf numFmtId="165" fontId="22" fillId="29" borderId="0" xfId="0" applyNumberFormat="1" applyFont="1" applyFill="1"/>
    <xf numFmtId="0" fontId="5" fillId="29" borderId="0" xfId="0" applyFont="1" applyFill="1" applyBorder="1"/>
    <xf numFmtId="165" fontId="66" fillId="29" borderId="0" xfId="0" applyNumberFormat="1" applyFont="1" applyFill="1"/>
    <xf numFmtId="166" fontId="66" fillId="29" borderId="0" xfId="0" applyNumberFormat="1" applyFont="1" applyFill="1"/>
    <xf numFmtId="164" fontId="66" fillId="29" borderId="0" xfId="0" applyNumberFormat="1" applyFont="1" applyFill="1"/>
    <xf numFmtId="0" fontId="2" fillId="29" borderId="31" xfId="0" applyFont="1" applyFill="1" applyBorder="1"/>
    <xf numFmtId="0" fontId="66" fillId="29" borderId="15" xfId="0" applyFont="1" applyFill="1" applyBorder="1"/>
    <xf numFmtId="0" fontId="66" fillId="29" borderId="19" xfId="0" applyFont="1" applyFill="1" applyBorder="1"/>
    <xf numFmtId="1" fontId="33" fillId="0" borderId="0" xfId="0" applyNumberFormat="1" applyFont="1" applyFill="1"/>
    <xf numFmtId="14" fontId="6" fillId="4" borderId="16" xfId="0" applyNumberFormat="1" applyFont="1" applyFill="1" applyBorder="1"/>
    <xf numFmtId="14" fontId="6" fillId="5" borderId="9" xfId="0" applyNumberFormat="1" applyFont="1" applyFill="1" applyBorder="1"/>
    <xf numFmtId="1" fontId="22" fillId="16" borderId="15" xfId="0" applyNumberFormat="1" applyFont="1" applyFill="1" applyBorder="1"/>
    <xf numFmtId="2" fontId="66" fillId="29" borderId="0" xfId="0" applyNumberFormat="1" applyFont="1" applyFill="1"/>
    <xf numFmtId="1" fontId="128" fillId="0" borderId="2" xfId="0" applyNumberFormat="1" applyFont="1" applyFill="1" applyBorder="1"/>
    <xf numFmtId="1" fontId="123" fillId="0" borderId="0" xfId="0" applyNumberFormat="1" applyFont="1"/>
    <xf numFmtId="1" fontId="128" fillId="0" borderId="0" xfId="0" applyNumberFormat="1" applyFont="1" applyFill="1"/>
    <xf numFmtId="1" fontId="128" fillId="8" borderId="0" xfId="0" applyNumberFormat="1" applyFont="1" applyFill="1"/>
    <xf numFmtId="1" fontId="20" fillId="0" borderId="0" xfId="0" applyNumberFormat="1" applyFont="1"/>
    <xf numFmtId="1" fontId="67" fillId="8" borderId="0" xfId="0" applyNumberFormat="1" applyFont="1" applyFill="1"/>
    <xf numFmtId="1" fontId="22" fillId="0" borderId="0" xfId="0" applyNumberFormat="1" applyFont="1"/>
    <xf numFmtId="2" fontId="33" fillId="29" borderId="0" xfId="0" applyNumberFormat="1" applyFont="1" applyFill="1"/>
    <xf numFmtId="1" fontId="34" fillId="8" borderId="0" xfId="0" applyNumberFormat="1" applyFont="1" applyFill="1" applyBorder="1"/>
    <xf numFmtId="1" fontId="34" fillId="0" borderId="0" xfId="0" applyNumberFormat="1" applyFont="1" applyFill="1" applyBorder="1"/>
    <xf numFmtId="1" fontId="34" fillId="8" borderId="10" xfId="0" applyNumberFormat="1" applyFont="1" applyFill="1" applyBorder="1"/>
    <xf numFmtId="1" fontId="34" fillId="8" borderId="0" xfId="0" applyNumberFormat="1" applyFont="1" applyFill="1"/>
    <xf numFmtId="1" fontId="34" fillId="0" borderId="3" xfId="0" applyNumberFormat="1" applyFont="1" applyBorder="1"/>
    <xf numFmtId="1" fontId="34" fillId="0" borderId="12" xfId="0" applyNumberFormat="1" applyFont="1" applyBorder="1"/>
    <xf numFmtId="1" fontId="34" fillId="8" borderId="12" xfId="0" applyNumberFormat="1" applyFont="1" applyFill="1" applyBorder="1"/>
    <xf numFmtId="1" fontId="34" fillId="0" borderId="12" xfId="0" applyNumberFormat="1" applyFont="1" applyFill="1" applyBorder="1"/>
    <xf numFmtId="164" fontId="34" fillId="0" borderId="15" xfId="0" applyNumberFormat="1" applyFont="1" applyBorder="1"/>
    <xf numFmtId="164" fontId="34" fillId="8" borderId="15" xfId="0" applyNumberFormat="1" applyFont="1" applyFill="1" applyBorder="1"/>
    <xf numFmtId="1" fontId="34" fillId="0" borderId="15" xfId="0" applyNumberFormat="1" applyFont="1" applyBorder="1"/>
    <xf numFmtId="1" fontId="34" fillId="8" borderId="15" xfId="0" applyNumberFormat="1" applyFont="1" applyFill="1" applyBorder="1"/>
    <xf numFmtId="1" fontId="34" fillId="0" borderId="15" xfId="0" applyNumberFormat="1" applyFont="1" applyFill="1" applyBorder="1"/>
    <xf numFmtId="164" fontId="34" fillId="15" borderId="15" xfId="0" applyNumberFormat="1" applyFont="1" applyFill="1" applyBorder="1"/>
    <xf numFmtId="2" fontId="69" fillId="0" borderId="15" xfId="0" applyNumberFormat="1" applyFont="1" applyBorder="1"/>
    <xf numFmtId="0" fontId="2" fillId="5" borderId="15" xfId="0" applyFont="1" applyFill="1" applyBorder="1" applyAlignment="1">
      <alignment horizontal="left"/>
    </xf>
    <xf numFmtId="0" fontId="1" fillId="5" borderId="15" xfId="0" applyFont="1" applyFill="1" applyBorder="1"/>
    <xf numFmtId="0" fontId="100" fillId="6" borderId="16" xfId="0" applyFont="1" applyFill="1" applyBorder="1"/>
    <xf numFmtId="1" fontId="34" fillId="15" borderId="15" xfId="0" applyNumberFormat="1" applyFont="1" applyFill="1" applyBorder="1"/>
    <xf numFmtId="166" fontId="34" fillId="0" borderId="15" xfId="0" applyNumberFormat="1" applyFont="1" applyBorder="1"/>
    <xf numFmtId="164" fontId="34" fillId="21" borderId="15" xfId="0" applyNumberFormat="1" applyFont="1" applyFill="1" applyBorder="1"/>
    <xf numFmtId="0" fontId="63" fillId="15" borderId="14" xfId="0" applyFont="1" applyFill="1" applyBorder="1"/>
    <xf numFmtId="14" fontId="14" fillId="4" borderId="99" xfId="0" applyNumberFormat="1" applyFont="1" applyFill="1" applyBorder="1"/>
    <xf numFmtId="14" fontId="2" fillId="4" borderId="97" xfId="0" applyNumberFormat="1" applyFont="1" applyFill="1" applyBorder="1"/>
    <xf numFmtId="0" fontId="63" fillId="4" borderId="9" xfId="0" applyFont="1" applyFill="1" applyBorder="1"/>
    <xf numFmtId="0" fontId="63" fillId="4" borderId="31" xfId="0" applyFont="1" applyFill="1" applyBorder="1" applyAlignment="1">
      <alignment horizontal="center"/>
    </xf>
    <xf numFmtId="0" fontId="14" fillId="20" borderId="9" xfId="0" applyFont="1" applyFill="1" applyBorder="1" applyAlignment="1">
      <alignment horizontal="left"/>
    </xf>
    <xf numFmtId="0" fontId="14" fillId="20" borderId="97" xfId="0" applyFont="1" applyFill="1" applyBorder="1"/>
    <xf numFmtId="0" fontId="14" fillId="20" borderId="99" xfId="0" applyFont="1" applyFill="1" applyBorder="1"/>
    <xf numFmtId="0" fontId="63" fillId="3" borderId="8" xfId="0" applyFont="1" applyFill="1" applyBorder="1"/>
    <xf numFmtId="0" fontId="14" fillId="9" borderId="19" xfId="0" applyFont="1" applyFill="1" applyBorder="1"/>
    <xf numFmtId="2" fontId="34" fillId="21" borderId="103" xfId="0" applyNumberFormat="1" applyFont="1" applyFill="1" applyBorder="1"/>
    <xf numFmtId="2" fontId="34" fillId="0" borderId="10" xfId="0" applyNumberFormat="1" applyFont="1" applyBorder="1"/>
    <xf numFmtId="2" fontId="34" fillId="0" borderId="10" xfId="0" applyNumberFormat="1" applyFont="1" applyFill="1" applyBorder="1"/>
    <xf numFmtId="164" fontId="34" fillId="21" borderId="21" xfId="0" applyNumberFormat="1" applyFont="1" applyFill="1" applyBorder="1"/>
    <xf numFmtId="164" fontId="34" fillId="15" borderId="21" xfId="0" applyNumberFormat="1" applyFont="1" applyFill="1" applyBorder="1"/>
    <xf numFmtId="1" fontId="34" fillId="15" borderId="21" xfId="0" applyNumberFormat="1" applyFont="1" applyFill="1" applyBorder="1"/>
    <xf numFmtId="0" fontId="100" fillId="8" borderId="8" xfId="0" applyFont="1" applyFill="1" applyBorder="1"/>
    <xf numFmtId="0" fontId="100" fillId="8" borderId="19" xfId="0" applyFont="1" applyFill="1" applyBorder="1"/>
    <xf numFmtId="0" fontId="34" fillId="6" borderId="9" xfId="0" applyFont="1" applyFill="1" applyBorder="1"/>
    <xf numFmtId="14" fontId="3" fillId="16" borderId="39" xfId="0" applyNumberFormat="1" applyFont="1" applyFill="1" applyBorder="1"/>
    <xf numFmtId="0" fontId="63" fillId="3" borderId="3" xfId="0" applyFont="1" applyFill="1" applyBorder="1"/>
    <xf numFmtId="0" fontId="14" fillId="9" borderId="4" xfId="0" applyFont="1" applyFill="1" applyBorder="1"/>
    <xf numFmtId="0" fontId="14" fillId="0" borderId="8" xfId="0" applyFont="1" applyFill="1" applyBorder="1"/>
    <xf numFmtId="0" fontId="14" fillId="0" borderId="19" xfId="0" applyFont="1" applyFill="1" applyBorder="1"/>
    <xf numFmtId="0" fontId="0" fillId="0" borderId="9" xfId="0" applyFill="1" applyBorder="1"/>
    <xf numFmtId="164" fontId="69" fillId="0" borderId="19" xfId="0" applyNumberFormat="1" applyFont="1" applyBorder="1"/>
    <xf numFmtId="1" fontId="69" fillId="0" borderId="19" xfId="0" applyNumberFormat="1" applyFont="1" applyBorder="1"/>
    <xf numFmtId="164" fontId="69" fillId="29" borderId="0" xfId="0" applyNumberFormat="1" applyFont="1" applyFill="1"/>
    <xf numFmtId="164" fontId="69" fillId="29" borderId="8" xfId="0" applyNumberFormat="1" applyFont="1" applyFill="1" applyBorder="1"/>
    <xf numFmtId="0" fontId="0" fillId="29" borderId="8" xfId="0" applyFill="1" applyBorder="1"/>
    <xf numFmtId="1" fontId="69" fillId="0" borderId="0" xfId="0" applyNumberFormat="1" applyFont="1" applyFill="1"/>
    <xf numFmtId="0" fontId="14" fillId="16" borderId="0" xfId="0" applyFont="1" applyFill="1"/>
    <xf numFmtId="0" fontId="69" fillId="29" borderId="8" xfId="0" applyFont="1" applyFill="1" applyBorder="1"/>
    <xf numFmtId="165" fontId="69" fillId="0" borderId="19" xfId="0" applyNumberFormat="1" applyFont="1" applyBorder="1"/>
    <xf numFmtId="2" fontId="69" fillId="0" borderId="19" xfId="0" applyNumberFormat="1" applyFont="1" applyBorder="1"/>
    <xf numFmtId="14" fontId="6" fillId="4" borderId="97" xfId="0" applyNumberFormat="1" applyFont="1" applyFill="1" applyBorder="1"/>
    <xf numFmtId="0" fontId="1" fillId="20" borderId="9" xfId="0" applyFont="1" applyFill="1" applyBorder="1" applyAlignment="1">
      <alignment horizontal="left"/>
    </xf>
    <xf numFmtId="0" fontId="0" fillId="6" borderId="22" xfId="0" applyFont="1" applyFill="1" applyBorder="1"/>
    <xf numFmtId="1" fontId="34" fillId="29" borderId="0" xfId="0" applyNumberFormat="1" applyFont="1" applyFill="1"/>
    <xf numFmtId="165" fontId="34" fillId="29" borderId="0" xfId="0" applyNumberFormat="1" applyFont="1" applyFill="1"/>
    <xf numFmtId="2" fontId="34" fillId="29" borderId="0" xfId="0" applyNumberFormat="1" applyFont="1" applyFill="1"/>
    <xf numFmtId="164" fontId="34" fillId="29" borderId="0" xfId="0" applyNumberFormat="1" applyFont="1" applyFill="1"/>
    <xf numFmtId="0" fontId="34" fillId="29" borderId="0" xfId="0" applyFont="1" applyFill="1"/>
    <xf numFmtId="0" fontId="0" fillId="29" borderId="0" xfId="0" applyFill="1"/>
    <xf numFmtId="164" fontId="34" fillId="29" borderId="0" xfId="0" applyNumberFormat="1" applyFont="1" applyFill="1" applyBorder="1"/>
    <xf numFmtId="166" fontId="34" fillId="29" borderId="0" xfId="0" applyNumberFormat="1" applyFont="1" applyFill="1"/>
    <xf numFmtId="166" fontId="34" fillId="29" borderId="0" xfId="0" applyNumberFormat="1" applyFont="1" applyFill="1" applyBorder="1"/>
    <xf numFmtId="0" fontId="14" fillId="5" borderId="23" xfId="0" applyFont="1" applyFill="1" applyBorder="1"/>
    <xf numFmtId="0" fontId="14" fillId="0" borderId="23" xfId="0" applyFont="1" applyBorder="1"/>
    <xf numFmtId="0" fontId="1" fillId="5" borderId="23" xfId="0" applyFont="1" applyFill="1" applyBorder="1"/>
    <xf numFmtId="0" fontId="1" fillId="5" borderId="99" xfId="0" applyFont="1" applyFill="1" applyBorder="1"/>
    <xf numFmtId="0" fontId="14" fillId="15" borderId="23" xfId="0" applyFont="1" applyFill="1" applyBorder="1"/>
    <xf numFmtId="0" fontId="34" fillId="6" borderId="30" xfId="0" applyFont="1" applyFill="1" applyBorder="1"/>
    <xf numFmtId="0" fontId="34" fillId="6" borderId="23" xfId="0" applyFont="1" applyFill="1" applyBorder="1"/>
    <xf numFmtId="0" fontId="34" fillId="6" borderId="99" xfId="0" applyFont="1" applyFill="1" applyBorder="1"/>
    <xf numFmtId="0" fontId="31" fillId="15" borderId="0" xfId="0" applyFont="1" applyFill="1"/>
    <xf numFmtId="164" fontId="34" fillId="15" borderId="0" xfId="0" applyNumberFormat="1" applyFont="1" applyFill="1"/>
    <xf numFmtId="164" fontId="69" fillId="29" borderId="0" xfId="0" applyNumberFormat="1" applyFont="1" applyFill="1" applyBorder="1"/>
    <xf numFmtId="0" fontId="63" fillId="16" borderId="0" xfId="0" applyFont="1" applyFill="1"/>
    <xf numFmtId="0" fontId="2" fillId="16" borderId="0" xfId="0" applyFont="1" applyFill="1" applyBorder="1"/>
    <xf numFmtId="0" fontId="14" fillId="16" borderId="0" xfId="0" applyFont="1" applyFill="1" applyBorder="1"/>
    <xf numFmtId="0" fontId="1" fillId="16" borderId="0" xfId="0" applyFont="1" applyFill="1"/>
    <xf numFmtId="0" fontId="1" fillId="16" borderId="0" xfId="0" applyFont="1" applyFill="1" applyBorder="1"/>
    <xf numFmtId="0" fontId="125" fillId="20" borderId="9" xfId="0" applyFont="1" applyFill="1" applyBorder="1" applyAlignment="1">
      <alignment horizontal="center"/>
    </xf>
    <xf numFmtId="165" fontId="1" fillId="15" borderId="7" xfId="0" applyNumberFormat="1" applyFont="1" applyFill="1" applyBorder="1"/>
    <xf numFmtId="165" fontId="1" fillId="15" borderId="13" xfId="0" applyNumberFormat="1" applyFont="1" applyFill="1" applyBorder="1"/>
    <xf numFmtId="165" fontId="1" fillId="15" borderId="23" xfId="0" applyNumberFormat="1" applyFont="1" applyFill="1" applyBorder="1"/>
    <xf numFmtId="165" fontId="1" fillId="15" borderId="99" xfId="0" applyNumberFormat="1" applyFont="1" applyFill="1" applyBorder="1"/>
    <xf numFmtId="165" fontId="90" fillId="15" borderId="30" xfId="0" applyNumberFormat="1" applyFont="1" applyFill="1" applyBorder="1"/>
    <xf numFmtId="165" fontId="90" fillId="15" borderId="23" xfId="0" applyNumberFormat="1" applyFont="1" applyFill="1" applyBorder="1"/>
    <xf numFmtId="0" fontId="14" fillId="5" borderId="22" xfId="0" applyFont="1" applyFill="1" applyBorder="1"/>
    <xf numFmtId="0" fontId="91" fillId="20" borderId="99" xfId="0" applyFont="1" applyFill="1" applyBorder="1"/>
    <xf numFmtId="2" fontId="68" fillId="15" borderId="0" xfId="0" applyNumberFormat="1" applyFont="1" applyFill="1" applyBorder="1"/>
    <xf numFmtId="165" fontId="22" fillId="15" borderId="0" xfId="0" applyNumberFormat="1" applyFont="1" applyFill="1"/>
    <xf numFmtId="14" fontId="2" fillId="4" borderId="37" xfId="0" applyNumberFormat="1" applyFont="1" applyFill="1" applyBorder="1"/>
    <xf numFmtId="0" fontId="69" fillId="20" borderId="23" xfId="0" applyFont="1" applyFill="1" applyBorder="1"/>
    <xf numFmtId="1" fontId="90" fillId="15" borderId="30" xfId="0" applyNumberFormat="1" applyFont="1" applyFill="1" applyBorder="1"/>
    <xf numFmtId="1" fontId="90" fillId="15" borderId="23" xfId="0" applyNumberFormat="1" applyFont="1" applyFill="1" applyBorder="1"/>
    <xf numFmtId="1" fontId="90" fillId="15" borderId="99" xfId="0" applyNumberFormat="1" applyFont="1" applyFill="1" applyBorder="1"/>
    <xf numFmtId="0" fontId="0" fillId="0" borderId="0" xfId="0" applyAlignment="1"/>
    <xf numFmtId="0" fontId="34" fillId="20" borderId="99" xfId="0" applyFont="1" applyFill="1" applyBorder="1"/>
    <xf numFmtId="165" fontId="30" fillId="15" borderId="99" xfId="0" applyNumberFormat="1" applyFont="1" applyFill="1" applyBorder="1"/>
    <xf numFmtId="0" fontId="98" fillId="15" borderId="31" xfId="0" applyFont="1" applyFill="1" applyBorder="1"/>
    <xf numFmtId="0" fontId="90" fillId="26" borderId="97" xfId="0" applyFont="1" applyFill="1" applyBorder="1"/>
    <xf numFmtId="0" fontId="90" fillId="26" borderId="23" xfId="0" applyFont="1" applyFill="1" applyBorder="1"/>
    <xf numFmtId="0" fontId="90" fillId="26" borderId="99" xfId="0" applyFont="1" applyFill="1" applyBorder="1"/>
    <xf numFmtId="0" fontId="112" fillId="15" borderId="7" xfId="0" applyFont="1" applyFill="1" applyBorder="1" applyAlignment="1">
      <alignment horizontal="left"/>
    </xf>
    <xf numFmtId="14" fontId="67" fillId="0" borderId="28" xfId="0" applyNumberFormat="1" applyFont="1" applyBorder="1"/>
    <xf numFmtId="0" fontId="129" fillId="15" borderId="6" xfId="0" applyFont="1" applyFill="1" applyBorder="1" applyAlignment="1">
      <alignment horizontal="left"/>
    </xf>
    <xf numFmtId="0" fontId="129" fillId="15" borderId="0" xfId="0" applyFont="1" applyFill="1" applyBorder="1" applyAlignment="1">
      <alignment horizontal="left"/>
    </xf>
    <xf numFmtId="0" fontId="129" fillId="15" borderId="92" xfId="0" applyFont="1" applyFill="1" applyBorder="1" applyAlignment="1">
      <alignment horizontal="left"/>
    </xf>
    <xf numFmtId="0" fontId="90" fillId="15" borderId="92" xfId="0" applyFont="1" applyFill="1" applyBorder="1" applyAlignment="1">
      <alignment horizontal="left"/>
    </xf>
    <xf numFmtId="0" fontId="129" fillId="0" borderId="0" xfId="0" applyFont="1"/>
    <xf numFmtId="0" fontId="123" fillId="15" borderId="9" xfId="0" applyFont="1" applyFill="1" applyBorder="1"/>
    <xf numFmtId="0" fontId="49" fillId="15" borderId="9" xfId="0" applyFont="1" applyFill="1" applyBorder="1" applyAlignment="1">
      <alignment horizontal="center"/>
    </xf>
    <xf numFmtId="0" fontId="90" fillId="15" borderId="0" xfId="0" applyFont="1" applyFill="1" applyBorder="1"/>
    <xf numFmtId="0" fontId="69" fillId="0" borderId="27" xfId="0" applyFont="1" applyBorder="1"/>
    <xf numFmtId="0" fontId="69" fillId="26" borderId="69" xfId="0" applyFont="1" applyFill="1" applyBorder="1"/>
    <xf numFmtId="0" fontId="70" fillId="26" borderId="9" xfId="0" applyFont="1" applyFill="1" applyBorder="1"/>
    <xf numFmtId="0" fontId="69" fillId="26" borderId="9" xfId="0" applyFont="1" applyFill="1" applyBorder="1"/>
    <xf numFmtId="0" fontId="69" fillId="26" borderId="31" xfId="0" applyFont="1" applyFill="1" applyBorder="1"/>
    <xf numFmtId="14" fontId="2" fillId="4" borderId="99" xfId="0" applyNumberFormat="1" applyFont="1" applyFill="1" applyBorder="1"/>
    <xf numFmtId="0" fontId="66" fillId="0" borderId="5" xfId="0" applyFont="1" applyFill="1" applyBorder="1"/>
    <xf numFmtId="1" fontId="1" fillId="4" borderId="3" xfId="0" applyNumberFormat="1" applyFont="1" applyFill="1" applyBorder="1"/>
    <xf numFmtId="1" fontId="1" fillId="4" borderId="92" xfId="0" applyNumberFormat="1" applyFont="1" applyFill="1" applyBorder="1"/>
    <xf numFmtId="1" fontId="1" fillId="4" borderId="5" xfId="0" applyNumberFormat="1" applyFont="1" applyFill="1" applyBorder="1"/>
    <xf numFmtId="0" fontId="69" fillId="0" borderId="5" xfId="0" applyFont="1" applyFill="1" applyBorder="1"/>
    <xf numFmtId="164" fontId="1" fillId="4" borderId="3" xfId="0" applyNumberFormat="1" applyFont="1" applyFill="1" applyBorder="1"/>
    <xf numFmtId="164" fontId="1" fillId="4" borderId="92" xfId="0" applyNumberFormat="1" applyFont="1" applyFill="1" applyBorder="1"/>
    <xf numFmtId="0" fontId="1" fillId="20" borderId="9" xfId="0" applyFont="1" applyFill="1" applyBorder="1"/>
    <xf numFmtId="0" fontId="69" fillId="4" borderId="9" xfId="0" applyFont="1" applyFill="1" applyBorder="1" applyAlignment="1">
      <alignment horizontal="center"/>
    </xf>
    <xf numFmtId="0" fontId="69" fillId="4" borderId="31" xfId="0" applyFont="1" applyFill="1" applyBorder="1" applyAlignment="1">
      <alignment horizontal="center"/>
    </xf>
    <xf numFmtId="166" fontId="1" fillId="4" borderId="3" xfId="0" applyNumberFormat="1" applyFont="1" applyFill="1" applyBorder="1"/>
    <xf numFmtId="166" fontId="1" fillId="4" borderId="5" xfId="0" applyNumberFormat="1" applyFont="1" applyFill="1" applyBorder="1"/>
    <xf numFmtId="166" fontId="1" fillId="4" borderId="6" xfId="0" applyNumberFormat="1" applyFont="1" applyFill="1" applyBorder="1"/>
    <xf numFmtId="166" fontId="1" fillId="4" borderId="7" xfId="0" applyNumberFormat="1" applyFont="1" applyFill="1" applyBorder="1"/>
    <xf numFmtId="166" fontId="1" fillId="4" borderId="13" xfId="0" applyNumberFormat="1" applyFont="1" applyFill="1" applyBorder="1"/>
    <xf numFmtId="0" fontId="1" fillId="4" borderId="4" xfId="0" applyFont="1" applyFill="1" applyBorder="1"/>
    <xf numFmtId="166" fontId="1" fillId="4" borderId="0" xfId="0" applyNumberFormat="1" applyFont="1" applyFill="1" applyBorder="1"/>
    <xf numFmtId="166" fontId="1" fillId="4" borderId="94" xfId="0" applyNumberFormat="1" applyFont="1" applyFill="1" applyBorder="1"/>
    <xf numFmtId="1" fontId="90" fillId="15" borderId="6" xfId="0" applyNumberFormat="1" applyFont="1" applyFill="1" applyBorder="1"/>
    <xf numFmtId="1" fontId="90" fillId="15" borderId="0" xfId="0" applyNumberFormat="1" applyFont="1" applyFill="1" applyBorder="1"/>
    <xf numFmtId="0" fontId="68" fillId="15" borderId="108" xfId="0" applyFont="1" applyFill="1" applyBorder="1"/>
    <xf numFmtId="1" fontId="90" fillId="15" borderId="7" xfId="0" applyNumberFormat="1" applyFont="1" applyFill="1" applyBorder="1"/>
    <xf numFmtId="1" fontId="90" fillId="0" borderId="7" xfId="0" applyNumberFormat="1" applyFont="1" applyBorder="1"/>
    <xf numFmtId="0" fontId="68" fillId="15" borderId="6" xfId="0" applyFont="1" applyFill="1" applyBorder="1"/>
    <xf numFmtId="0" fontId="68" fillId="15" borderId="94" xfId="0" applyFont="1" applyFill="1" applyBorder="1"/>
    <xf numFmtId="1" fontId="90" fillId="15" borderId="2" xfId="0" applyNumberFormat="1" applyFont="1" applyFill="1" applyBorder="1"/>
    <xf numFmtId="1" fontId="90" fillId="15" borderId="13" xfId="0" applyNumberFormat="1" applyFont="1" applyFill="1" applyBorder="1"/>
    <xf numFmtId="165" fontId="34" fillId="4" borderId="94" xfId="0" applyNumberFormat="1" applyFont="1" applyFill="1" applyBorder="1"/>
    <xf numFmtId="0" fontId="130" fillId="20" borderId="23" xfId="0" applyFont="1" applyFill="1" applyBorder="1"/>
    <xf numFmtId="0" fontId="14" fillId="15" borderId="84" xfId="0" applyFont="1" applyFill="1" applyBorder="1" applyAlignment="1">
      <alignment horizontal="center"/>
    </xf>
    <xf numFmtId="0" fontId="2" fillId="15" borderId="88" xfId="0" applyFont="1" applyFill="1" applyBorder="1"/>
    <xf numFmtId="2" fontId="42" fillId="4" borderId="6" xfId="0" applyNumberFormat="1" applyFont="1" applyFill="1" applyBorder="1"/>
    <xf numFmtId="165" fontId="42" fillId="4" borderId="6" xfId="0" applyNumberFormat="1" applyFont="1" applyFill="1" applyBorder="1"/>
    <xf numFmtId="0" fontId="69" fillId="4" borderId="30" xfId="0" applyFont="1" applyFill="1" applyBorder="1" applyAlignment="1">
      <alignment horizontal="center"/>
    </xf>
    <xf numFmtId="14" fontId="56" fillId="4" borderId="22" xfId="0" applyNumberFormat="1" applyFont="1" applyFill="1" applyBorder="1"/>
    <xf numFmtId="0" fontId="130" fillId="20" borderId="30" xfId="0" applyFont="1" applyFill="1" applyBorder="1"/>
    <xf numFmtId="0" fontId="30" fillId="4" borderId="5" xfId="0" applyFont="1" applyFill="1" applyBorder="1"/>
    <xf numFmtId="0" fontId="30" fillId="4" borderId="7" xfId="0" applyFont="1" applyFill="1" applyBorder="1"/>
    <xf numFmtId="165" fontId="34" fillId="4" borderId="7" xfId="0" applyNumberFormat="1" applyFont="1" applyFill="1" applyBorder="1"/>
    <xf numFmtId="165" fontId="1" fillId="4" borderId="23" xfId="0" applyNumberFormat="1" applyFont="1" applyFill="1" applyBorder="1"/>
    <xf numFmtId="0" fontId="130" fillId="20" borderId="99" xfId="0" applyFont="1" applyFill="1" applyBorder="1"/>
    <xf numFmtId="2" fontId="42" fillId="4" borderId="94" xfId="0" applyNumberFormat="1" applyFont="1" applyFill="1" applyBorder="1"/>
    <xf numFmtId="165" fontId="42" fillId="4" borderId="23" xfId="0" applyNumberFormat="1" applyFont="1" applyFill="1" applyBorder="1"/>
    <xf numFmtId="165" fontId="42" fillId="4" borderId="99" xfId="0" applyNumberFormat="1" applyFont="1" applyFill="1" applyBorder="1"/>
    <xf numFmtId="166" fontId="34" fillId="4" borderId="99" xfId="0" applyNumberFormat="1" applyFont="1" applyFill="1" applyBorder="1"/>
    <xf numFmtId="0" fontId="69" fillId="4" borderId="5" xfId="0" applyFont="1" applyFill="1" applyBorder="1" applyAlignment="1">
      <alignment horizontal="center"/>
    </xf>
    <xf numFmtId="165" fontId="91" fillId="4" borderId="3" xfId="0" applyNumberFormat="1" applyFont="1" applyFill="1" applyBorder="1"/>
    <xf numFmtId="165" fontId="91" fillId="4" borderId="6" xfId="0" applyNumberFormat="1" applyFont="1" applyFill="1" applyBorder="1"/>
    <xf numFmtId="165" fontId="91" fillId="4" borderId="94" xfId="0" applyNumberFormat="1" applyFont="1" applyFill="1" applyBorder="1"/>
    <xf numFmtId="0" fontId="14" fillId="15" borderId="88" xfId="0" applyFont="1" applyFill="1" applyBorder="1" applyAlignment="1">
      <alignment horizontal="center"/>
    </xf>
    <xf numFmtId="0" fontId="125" fillId="28" borderId="9" xfId="0" applyFont="1" applyFill="1" applyBorder="1" applyAlignment="1">
      <alignment horizontal="center"/>
    </xf>
    <xf numFmtId="0" fontId="69" fillId="4" borderId="5" xfId="0" applyFont="1" applyFill="1" applyBorder="1"/>
    <xf numFmtId="0" fontId="1" fillId="15" borderId="27" xfId="0" applyFont="1" applyFill="1" applyBorder="1"/>
    <xf numFmtId="0" fontId="2" fillId="15" borderId="36" xfId="0" applyFont="1" applyFill="1" applyBorder="1"/>
    <xf numFmtId="2" fontId="91" fillId="4" borderId="23" xfId="0" applyNumberFormat="1" applyFont="1" applyFill="1" applyBorder="1"/>
    <xf numFmtId="2" fontId="91" fillId="4" borderId="99" xfId="0" applyNumberFormat="1" applyFont="1" applyFill="1" applyBorder="1"/>
    <xf numFmtId="0" fontId="14" fillId="15" borderId="27" xfId="0" applyFont="1" applyFill="1" applyBorder="1" applyAlignment="1">
      <alignment horizontal="center"/>
    </xf>
    <xf numFmtId="0" fontId="125" fillId="15" borderId="28" xfId="0" applyFont="1" applyFill="1" applyBorder="1"/>
    <xf numFmtId="0" fontId="63" fillId="4" borderId="31" xfId="0" applyFont="1" applyFill="1" applyBorder="1"/>
    <xf numFmtId="0" fontId="14" fillId="15" borderId="27" xfId="0" applyFont="1" applyFill="1" applyBorder="1"/>
    <xf numFmtId="0" fontId="3" fillId="15" borderId="65" xfId="0" applyFont="1" applyFill="1" applyBorder="1" applyAlignment="1">
      <alignment horizontal="center"/>
    </xf>
    <xf numFmtId="0" fontId="3" fillId="15" borderId="66" xfId="0" applyFont="1" applyFill="1" applyBorder="1" applyAlignment="1">
      <alignment horizontal="center"/>
    </xf>
    <xf numFmtId="0" fontId="1" fillId="15" borderId="70" xfId="0" applyFont="1" applyFill="1" applyBorder="1"/>
    <xf numFmtId="0" fontId="1" fillId="15" borderId="71" xfId="0" applyFont="1" applyFill="1" applyBorder="1"/>
    <xf numFmtId="0" fontId="1" fillId="18" borderId="9" xfId="0" applyFont="1" applyFill="1" applyBorder="1"/>
    <xf numFmtId="0" fontId="1" fillId="18" borderId="31" xfId="0" applyFont="1" applyFill="1" applyBorder="1"/>
    <xf numFmtId="0" fontId="69" fillId="4" borderId="9" xfId="0" applyFont="1" applyFill="1" applyBorder="1"/>
    <xf numFmtId="0" fontId="69" fillId="18" borderId="9" xfId="0" applyFont="1" applyFill="1" applyBorder="1"/>
    <xf numFmtId="0" fontId="69" fillId="18" borderId="31" xfId="0" applyFont="1" applyFill="1" applyBorder="1"/>
    <xf numFmtId="0" fontId="1" fillId="15" borderId="92" xfId="0" applyFont="1" applyFill="1" applyBorder="1"/>
    <xf numFmtId="165" fontId="1" fillId="15" borderId="92" xfId="0" applyNumberFormat="1" applyFont="1" applyFill="1" applyBorder="1"/>
    <xf numFmtId="0" fontId="68" fillId="15" borderId="23" xfId="0" applyFont="1" applyFill="1" applyBorder="1"/>
    <xf numFmtId="0" fontId="1" fillId="15" borderId="12" xfId="0" applyFont="1" applyFill="1" applyBorder="1"/>
    <xf numFmtId="0" fontId="68" fillId="15" borderId="17" xfId="0" applyFont="1" applyFill="1" applyBorder="1"/>
    <xf numFmtId="0" fontId="1" fillId="18" borderId="9" xfId="0" applyFont="1" applyFill="1" applyBorder="1" applyAlignment="1">
      <alignment horizontal="right"/>
    </xf>
    <xf numFmtId="0" fontId="125" fillId="18" borderId="31" xfId="0" applyFont="1" applyFill="1" applyBorder="1" applyAlignment="1">
      <alignment horizontal="right"/>
    </xf>
    <xf numFmtId="0" fontId="43" fillId="0" borderId="0" xfId="0" applyFont="1"/>
    <xf numFmtId="0" fontId="14" fillId="4" borderId="37" xfId="0" applyFont="1" applyFill="1" applyBorder="1"/>
    <xf numFmtId="164" fontId="14" fillId="15" borderId="3" xfId="0" applyNumberFormat="1" applyFont="1" applyFill="1" applyBorder="1"/>
    <xf numFmtId="164" fontId="14" fillId="15" borderId="97" xfId="0" applyNumberFormat="1" applyFont="1" applyFill="1" applyBorder="1"/>
    <xf numFmtId="164" fontId="14" fillId="15" borderId="7" xfId="0" applyNumberFormat="1" applyFont="1" applyFill="1" applyBorder="1"/>
    <xf numFmtId="164" fontId="14" fillId="15" borderId="30" xfId="0" applyNumberFormat="1" applyFont="1" applyFill="1" applyBorder="1"/>
    <xf numFmtId="0" fontId="70" fillId="4" borderId="5" xfId="0" applyFont="1" applyFill="1" applyBorder="1"/>
    <xf numFmtId="0" fontId="70" fillId="4" borderId="31" xfId="0" applyFont="1" applyFill="1" applyBorder="1"/>
    <xf numFmtId="1" fontId="14" fillId="15" borderId="97" xfId="0" applyNumberFormat="1" applyFont="1" applyFill="1" applyBorder="1"/>
    <xf numFmtId="0" fontId="0" fillId="4" borderId="69" xfId="0" applyFill="1" applyBorder="1"/>
    <xf numFmtId="2" fontId="1" fillId="15" borderId="97" xfId="0" applyNumberFormat="1" applyFont="1" applyFill="1" applyBorder="1"/>
    <xf numFmtId="0" fontId="69" fillId="4" borderId="69" xfId="0" applyFont="1" applyFill="1" applyBorder="1"/>
    <xf numFmtId="14" fontId="2" fillId="4" borderId="28" xfId="0" applyNumberFormat="1" applyFont="1" applyFill="1" applyBorder="1"/>
    <xf numFmtId="0" fontId="1" fillId="4" borderId="27" xfId="0" applyFont="1" applyFill="1" applyBorder="1"/>
    <xf numFmtId="165" fontId="1" fillId="15" borderId="5" xfId="0" applyNumberFormat="1" applyFont="1" applyFill="1" applyBorder="1"/>
    <xf numFmtId="1" fontId="1" fillId="15" borderId="3" xfId="0" applyNumberFormat="1" applyFont="1" applyFill="1" applyBorder="1"/>
    <xf numFmtId="1" fontId="90" fillId="15" borderId="5" xfId="0" applyNumberFormat="1" applyFont="1" applyFill="1" applyBorder="1"/>
    <xf numFmtId="1" fontId="100" fillId="15" borderId="92" xfId="0" applyNumberFormat="1" applyFont="1" applyFill="1" applyBorder="1"/>
    <xf numFmtId="1" fontId="1" fillId="15" borderId="0" xfId="0" applyNumberFormat="1" applyFont="1" applyFill="1" applyBorder="1"/>
    <xf numFmtId="0" fontId="1" fillId="20" borderId="97" xfId="0" applyFont="1" applyFill="1" applyBorder="1"/>
    <xf numFmtId="1" fontId="1" fillId="15" borderId="7" xfId="0" applyNumberFormat="1" applyFont="1" applyFill="1" applyBorder="1"/>
    <xf numFmtId="14" fontId="6" fillId="4" borderId="112" xfId="0" applyNumberFormat="1" applyFont="1" applyFill="1" applyBorder="1"/>
    <xf numFmtId="1" fontId="1" fillId="15" borderId="30" xfId="0" applyNumberFormat="1" applyFont="1" applyFill="1" applyBorder="1"/>
    <xf numFmtId="1" fontId="1" fillId="15" borderId="23" xfId="0" applyNumberFormat="1" applyFont="1" applyFill="1" applyBorder="1"/>
    <xf numFmtId="1" fontId="100" fillId="15" borderId="23" xfId="0" applyNumberFormat="1" applyFont="1" applyFill="1" applyBorder="1"/>
    <xf numFmtId="2" fontId="14" fillId="15" borderId="99" xfId="0" applyNumberFormat="1" applyFont="1" applyFill="1" applyBorder="1"/>
    <xf numFmtId="0" fontId="131" fillId="20" borderId="9" xfId="0" applyFont="1" applyFill="1" applyBorder="1" applyAlignment="1">
      <alignment horizontal="center"/>
    </xf>
    <xf numFmtId="0" fontId="67" fillId="4" borderId="69" xfId="0" applyFont="1" applyFill="1" applyBorder="1"/>
    <xf numFmtId="165" fontId="90" fillId="15" borderId="3" xfId="0" applyNumberFormat="1" applyFont="1" applyFill="1" applyBorder="1"/>
    <xf numFmtId="165" fontId="90" fillId="15" borderId="92" xfId="0" applyNumberFormat="1" applyFont="1" applyFill="1" applyBorder="1"/>
    <xf numFmtId="0" fontId="67" fillId="4" borderId="9" xfId="0" applyFont="1" applyFill="1" applyBorder="1"/>
    <xf numFmtId="165" fontId="90" fillId="15" borderId="0" xfId="0" applyNumberFormat="1" applyFont="1" applyFill="1" applyBorder="1"/>
    <xf numFmtId="165" fontId="90" fillId="15" borderId="7" xfId="0" applyNumberFormat="1" applyFont="1" applyFill="1" applyBorder="1"/>
    <xf numFmtId="1" fontId="90" fillId="15" borderId="4" xfId="0" applyNumberFormat="1" applyFont="1" applyFill="1" applyBorder="1"/>
    <xf numFmtId="0" fontId="70" fillId="4" borderId="69" xfId="0" applyFont="1" applyFill="1" applyBorder="1"/>
    <xf numFmtId="1" fontId="90" fillId="0" borderId="30" xfId="0" applyNumberFormat="1" applyFont="1" applyBorder="1"/>
    <xf numFmtId="1" fontId="90" fillId="0" borderId="23" xfId="0" applyNumberFormat="1" applyFont="1" applyBorder="1"/>
    <xf numFmtId="1" fontId="115" fillId="15" borderId="0" xfId="0" applyNumberFormat="1" applyFont="1" applyFill="1" applyBorder="1"/>
    <xf numFmtId="0" fontId="91" fillId="28" borderId="94" xfId="0" applyFont="1" applyFill="1" applyBorder="1"/>
    <xf numFmtId="165" fontId="115" fillId="15" borderId="0" xfId="0" applyNumberFormat="1" applyFont="1" applyFill="1" applyBorder="1"/>
    <xf numFmtId="2" fontId="70" fillId="15" borderId="6" xfId="0" applyNumberFormat="1" applyFont="1" applyFill="1" applyBorder="1"/>
    <xf numFmtId="2" fontId="70" fillId="15" borderId="92" xfId="0" applyNumberFormat="1" applyFont="1" applyFill="1" applyBorder="1"/>
    <xf numFmtId="14" fontId="3" fillId="4" borderId="22" xfId="0" applyNumberFormat="1" applyFont="1" applyFill="1" applyBorder="1"/>
    <xf numFmtId="0" fontId="2" fillId="15" borderId="106" xfId="0" applyFont="1" applyFill="1" applyBorder="1" applyAlignment="1">
      <alignment horizontal="center"/>
    </xf>
    <xf numFmtId="0" fontId="14" fillId="15" borderId="23" xfId="0" applyFont="1" applyFill="1" applyBorder="1" applyAlignment="1">
      <alignment horizontal="center"/>
    </xf>
    <xf numFmtId="0" fontId="0" fillId="0" borderId="0" xfId="0" applyFont="1"/>
    <xf numFmtId="0" fontId="14" fillId="24" borderId="66" xfId="0" applyFont="1" applyFill="1" applyBorder="1" applyAlignment="1">
      <alignment horizontal="center"/>
    </xf>
    <xf numFmtId="0" fontId="115" fillId="20" borderId="23" xfId="0" applyFont="1" applyFill="1" applyBorder="1"/>
    <xf numFmtId="0" fontId="115" fillId="20" borderId="99" xfId="0" applyFont="1" applyFill="1" applyBorder="1"/>
    <xf numFmtId="0" fontId="14" fillId="20" borderId="88" xfId="0" applyFont="1" applyFill="1" applyBorder="1"/>
    <xf numFmtId="0" fontId="2" fillId="15" borderId="84" xfId="0" applyFont="1" applyFill="1" applyBorder="1" applyAlignment="1">
      <alignment horizontal="center"/>
    </xf>
    <xf numFmtId="0" fontId="115" fillId="15" borderId="5" xfId="0" applyFont="1" applyFill="1" applyBorder="1"/>
    <xf numFmtId="164" fontId="115" fillId="15" borderId="7" xfId="0" applyNumberFormat="1" applyFont="1" applyFill="1" applyBorder="1"/>
    <xf numFmtId="1" fontId="90" fillId="15" borderId="3" xfId="0" applyNumberFormat="1" applyFont="1" applyFill="1" applyBorder="1"/>
    <xf numFmtId="2" fontId="90" fillId="15" borderId="4" xfId="0" applyNumberFormat="1" applyFont="1" applyFill="1" applyBorder="1"/>
    <xf numFmtId="0" fontId="68" fillId="15" borderId="92" xfId="0" applyFont="1" applyFill="1" applyBorder="1"/>
    <xf numFmtId="0" fontId="119" fillId="15" borderId="84" xfId="0" applyFont="1" applyFill="1" applyBorder="1" applyAlignment="1">
      <alignment horizontal="center"/>
    </xf>
    <xf numFmtId="0" fontId="68" fillId="20" borderId="106" xfId="0" applyFont="1" applyFill="1" applyBorder="1"/>
    <xf numFmtId="0" fontId="68" fillId="20" borderId="102" xfId="0" applyFont="1" applyFill="1" applyBorder="1"/>
    <xf numFmtId="0" fontId="68" fillId="20" borderId="104" xfId="0" applyFont="1" applyFill="1" applyBorder="1"/>
    <xf numFmtId="164" fontId="14" fillId="4" borderId="23" xfId="0" applyNumberFormat="1" applyFont="1" applyFill="1" applyBorder="1"/>
    <xf numFmtId="165" fontId="115" fillId="15" borderId="23" xfId="0" applyNumberFormat="1" applyFont="1" applyFill="1" applyBorder="1"/>
    <xf numFmtId="165" fontId="115" fillId="15" borderId="99" xfId="0" applyNumberFormat="1" applyFont="1" applyFill="1" applyBorder="1"/>
    <xf numFmtId="0" fontId="2" fillId="15" borderId="9" xfId="0" applyFont="1" applyFill="1" applyBorder="1" applyAlignment="1">
      <alignment horizontal="center"/>
    </xf>
    <xf numFmtId="165" fontId="14" fillId="15" borderId="97" xfId="0" applyNumberFormat="1" applyFont="1" applyFill="1" applyBorder="1"/>
    <xf numFmtId="165" fontId="14" fillId="15" borderId="99" xfId="0" applyNumberFormat="1" applyFont="1" applyFill="1" applyBorder="1"/>
    <xf numFmtId="0" fontId="2" fillId="15" borderId="26" xfId="0" applyFont="1" applyFill="1" applyBorder="1"/>
    <xf numFmtId="0" fontId="69" fillId="24" borderId="30" xfId="0" applyFont="1" applyFill="1" applyBorder="1"/>
    <xf numFmtId="0" fontId="69" fillId="24" borderId="23" xfId="0" applyFont="1" applyFill="1" applyBorder="1"/>
    <xf numFmtId="0" fontId="69" fillId="24" borderId="99" xfId="0" applyFont="1" applyFill="1" applyBorder="1"/>
    <xf numFmtId="0" fontId="34" fillId="20" borderId="94" xfId="0" applyFont="1" applyFill="1" applyBorder="1"/>
    <xf numFmtId="164" fontId="14" fillId="4" borderId="92" xfId="0" applyNumberFormat="1" applyFont="1" applyFill="1" applyBorder="1"/>
    <xf numFmtId="0" fontId="14" fillId="15" borderId="88" xfId="0" applyFont="1" applyFill="1" applyBorder="1"/>
    <xf numFmtId="0" fontId="2" fillId="15" borderId="84" xfId="0" applyFont="1" applyFill="1" applyBorder="1"/>
    <xf numFmtId="164" fontId="14" fillId="4" borderId="7" xfId="0" applyNumberFormat="1" applyFont="1" applyFill="1" applyBorder="1"/>
    <xf numFmtId="14" fontId="14" fillId="15" borderId="101" xfId="0" applyNumberFormat="1" applyFont="1" applyFill="1" applyBorder="1"/>
    <xf numFmtId="14" fontId="3" fillId="15" borderId="104" xfId="0" applyNumberFormat="1" applyFont="1" applyFill="1" applyBorder="1"/>
    <xf numFmtId="0" fontId="63" fillId="15" borderId="35" xfId="0" applyFont="1" applyFill="1" applyBorder="1"/>
    <xf numFmtId="0" fontId="132" fillId="15" borderId="10" xfId="0" applyFont="1" applyFill="1" applyBorder="1"/>
    <xf numFmtId="0" fontId="64" fillId="15" borderId="10" xfId="0" applyFont="1" applyFill="1" applyBorder="1"/>
    <xf numFmtId="0" fontId="115" fillId="15" borderId="10" xfId="0" applyFont="1" applyFill="1" applyBorder="1"/>
    <xf numFmtId="0" fontId="115" fillId="15" borderId="11" xfId="0" applyFont="1" applyFill="1" applyBorder="1"/>
    <xf numFmtId="0" fontId="63" fillId="15" borderId="32" xfId="0" applyFont="1" applyFill="1" applyBorder="1"/>
    <xf numFmtId="0" fontId="63" fillId="15" borderId="41" xfId="0" applyFont="1" applyFill="1" applyBorder="1"/>
    <xf numFmtId="0" fontId="133" fillId="15" borderId="0" xfId="0" applyFont="1" applyFill="1"/>
    <xf numFmtId="0" fontId="134" fillId="15" borderId="0" xfId="0" applyFont="1" applyFill="1"/>
    <xf numFmtId="0" fontId="64" fillId="15" borderId="0" xfId="0" applyFont="1" applyFill="1"/>
    <xf numFmtId="0" fontId="63" fillId="15" borderId="34" xfId="0" applyFont="1" applyFill="1" applyBorder="1"/>
    <xf numFmtId="0" fontId="63" fillId="15" borderId="29" xfId="0" applyFont="1" applyFill="1" applyBorder="1"/>
    <xf numFmtId="0" fontId="14" fillId="15" borderId="106" xfId="0" applyFont="1" applyFill="1" applyBorder="1" applyAlignment="1">
      <alignment horizontal="center"/>
    </xf>
    <xf numFmtId="164" fontId="120" fillId="15" borderId="4" xfId="0" applyNumberFormat="1" applyFont="1" applyFill="1" applyBorder="1"/>
    <xf numFmtId="164" fontId="120" fillId="15" borderId="0" xfId="0" applyNumberFormat="1" applyFont="1" applyFill="1" applyBorder="1"/>
    <xf numFmtId="164" fontId="14" fillId="15" borderId="0" xfId="0" applyNumberFormat="1" applyFont="1" applyFill="1" applyBorder="1"/>
    <xf numFmtId="0" fontId="2" fillId="15" borderId="26" xfId="0" applyFont="1" applyFill="1" applyBorder="1" applyAlignment="1">
      <alignment horizontal="center"/>
    </xf>
    <xf numFmtId="0" fontId="129" fillId="0" borderId="8" xfId="0" applyFont="1" applyBorder="1"/>
    <xf numFmtId="0" fontId="135" fillId="0" borderId="19" xfId="0" applyFont="1" applyBorder="1"/>
    <xf numFmtId="0" fontId="68" fillId="0" borderId="19" xfId="0" applyFont="1" applyBorder="1"/>
    <xf numFmtId="0" fontId="68" fillId="0" borderId="9" xfId="0" applyFont="1" applyBorder="1"/>
    <xf numFmtId="0" fontId="1" fillId="15" borderId="84" xfId="0" applyFont="1" applyFill="1" applyBorder="1" applyAlignment="1">
      <alignment horizontal="center"/>
    </xf>
    <xf numFmtId="14" fontId="3" fillId="15" borderId="22" xfId="0" applyNumberFormat="1" applyFont="1" applyFill="1" applyBorder="1"/>
    <xf numFmtId="165" fontId="69" fillId="15" borderId="94" xfId="0" applyNumberFormat="1" applyFont="1" applyFill="1" applyBorder="1"/>
    <xf numFmtId="0" fontId="115" fillId="15" borderId="23" xfId="0" applyFont="1" applyFill="1" applyBorder="1"/>
    <xf numFmtId="0" fontId="115" fillId="15" borderId="99" xfId="0" applyFont="1" applyFill="1" applyBorder="1"/>
    <xf numFmtId="1" fontId="90" fillId="15" borderId="0" xfId="0" applyNumberFormat="1" applyFont="1" applyFill="1"/>
    <xf numFmtId="1" fontId="115" fillId="15" borderId="7" xfId="0" applyNumberFormat="1" applyFont="1" applyFill="1" applyBorder="1"/>
    <xf numFmtId="1" fontId="136" fillId="15" borderId="7" xfId="0" applyNumberFormat="1" applyFont="1" applyFill="1" applyBorder="1"/>
    <xf numFmtId="165" fontId="90" fillId="15" borderId="0" xfId="0" applyNumberFormat="1" applyFont="1" applyFill="1"/>
    <xf numFmtId="0" fontId="90" fillId="20" borderId="30" xfId="0" applyFont="1" applyFill="1" applyBorder="1"/>
    <xf numFmtId="0" fontId="90" fillId="20" borderId="23" xfId="0" applyFont="1" applyFill="1" applyBorder="1"/>
    <xf numFmtId="0" fontId="90" fillId="20" borderId="99" xfId="0" applyFont="1" applyFill="1" applyBorder="1"/>
    <xf numFmtId="165" fontId="2" fillId="0" borderId="0" xfId="0" applyNumberFormat="1" applyFont="1" applyBorder="1"/>
    <xf numFmtId="164" fontId="94" fillId="0" borderId="0" xfId="0" applyNumberFormat="1" applyFont="1"/>
    <xf numFmtId="0" fontId="1" fillId="15" borderId="69" xfId="0" applyFont="1" applyFill="1" applyBorder="1" applyAlignment="1">
      <alignment horizontal="center"/>
    </xf>
    <xf numFmtId="1" fontId="69" fillId="15" borderId="2" xfId="0" applyNumberFormat="1" applyFont="1" applyFill="1" applyBorder="1"/>
    <xf numFmtId="0" fontId="112" fillId="16" borderId="0" xfId="0" applyFont="1" applyFill="1"/>
    <xf numFmtId="0" fontId="137" fillId="0" borderId="0" xfId="0" applyFont="1"/>
    <xf numFmtId="0" fontId="90" fillId="20" borderId="4" xfId="0" applyFont="1" applyFill="1" applyBorder="1"/>
    <xf numFmtId="0" fontId="90" fillId="20" borderId="9" xfId="0" applyFont="1" applyFill="1" applyBorder="1"/>
    <xf numFmtId="14" fontId="100" fillId="0" borderId="27" xfId="0" applyNumberFormat="1" applyFont="1" applyBorder="1"/>
    <xf numFmtId="14" fontId="14" fillId="4" borderId="27" xfId="0" applyNumberFormat="1" applyFont="1" applyFill="1" applyBorder="1"/>
    <xf numFmtId="164" fontId="1" fillId="15" borderId="3" xfId="0" applyNumberFormat="1" applyFont="1" applyFill="1" applyBorder="1"/>
    <xf numFmtId="164" fontId="1" fillId="15" borderId="30" xfId="0" applyNumberFormat="1" applyFont="1" applyFill="1" applyBorder="1"/>
    <xf numFmtId="164" fontId="1" fillId="15" borderId="6" xfId="0" applyNumberFormat="1" applyFont="1" applyFill="1" applyBorder="1"/>
    <xf numFmtId="164" fontId="1" fillId="15" borderId="23" xfId="0" applyNumberFormat="1" applyFont="1" applyFill="1" applyBorder="1"/>
    <xf numFmtId="0" fontId="43" fillId="4" borderId="94" xfId="0" applyFont="1" applyFill="1" applyBorder="1"/>
    <xf numFmtId="2" fontId="90" fillId="15" borderId="0" xfId="0" applyNumberFormat="1" applyFont="1" applyFill="1"/>
    <xf numFmtId="0" fontId="60" fillId="0" borderId="0" xfId="0" applyFont="1" applyAlignment="1">
      <alignment wrapText="1"/>
    </xf>
    <xf numFmtId="0" fontId="3" fillId="0" borderId="0" xfId="0" applyFont="1" applyBorder="1" applyAlignment="1">
      <alignment horizontal="center" vertical="top" wrapText="1"/>
    </xf>
    <xf numFmtId="0" fontId="58" fillId="0" borderId="0" xfId="0" applyFont="1" applyFill="1" applyBorder="1" applyAlignment="1">
      <alignment horizontal="center" vertical="top" wrapText="1"/>
    </xf>
    <xf numFmtId="0" fontId="0" fillId="0" borderId="0" xfId="0" applyFill="1" applyBorder="1" applyAlignment="1">
      <alignment horizontal="center"/>
    </xf>
    <xf numFmtId="0" fontId="3" fillId="0" borderId="0" xfId="0" applyFont="1" applyFill="1" applyBorder="1" applyAlignment="1">
      <alignment horizontal="center" vertical="top" wrapText="1"/>
    </xf>
    <xf numFmtId="0" fontId="56" fillId="0" borderId="0" xfId="0" applyFont="1" applyFill="1" applyBorder="1" applyAlignment="1">
      <alignment horizontal="center"/>
    </xf>
    <xf numFmtId="2" fontId="2" fillId="15" borderId="4" xfId="0" applyNumberFormat="1" applyFont="1" applyFill="1" applyBorder="1"/>
    <xf numFmtId="2" fontId="2" fillId="15" borderId="0" xfId="0" applyNumberFormat="1" applyFont="1" applyFill="1" applyBorder="1"/>
    <xf numFmtId="0" fontId="31" fillId="10" borderId="9" xfId="0" applyFont="1" applyFill="1" applyBorder="1"/>
    <xf numFmtId="0" fontId="9" fillId="10" borderId="99" xfId="0" applyFont="1" applyFill="1" applyBorder="1"/>
    <xf numFmtId="166" fontId="2" fillId="4" borderId="94" xfId="0" applyNumberFormat="1" applyFont="1" applyFill="1" applyBorder="1"/>
    <xf numFmtId="2" fontId="2" fillId="15" borderId="13" xfId="0" applyNumberFormat="1" applyFont="1" applyFill="1" applyBorder="1"/>
    <xf numFmtId="0" fontId="139" fillId="0" borderId="0" xfId="0" applyFont="1" applyFill="1" applyBorder="1" applyAlignment="1">
      <alignment horizontal="center" vertical="center" wrapText="1"/>
    </xf>
    <xf numFmtId="3" fontId="139" fillId="0" borderId="0" xfId="0" applyNumberFormat="1" applyFont="1" applyFill="1" applyBorder="1" applyAlignment="1">
      <alignment horizontal="center" vertical="center" wrapText="1"/>
    </xf>
    <xf numFmtId="2" fontId="2" fillId="4" borderId="6" xfId="0" applyNumberFormat="1" applyFont="1" applyFill="1" applyBorder="1"/>
    <xf numFmtId="0" fontId="14" fillId="10" borderId="9" xfId="0" applyFont="1" applyFill="1" applyBorder="1"/>
    <xf numFmtId="0" fontId="14" fillId="10" borderId="31" xfId="0" applyFont="1" applyFill="1" applyBorder="1"/>
    <xf numFmtId="0" fontId="94" fillId="16" borderId="0" xfId="0" applyFont="1" applyFill="1"/>
    <xf numFmtId="0" fontId="94" fillId="16" borderId="0" xfId="0" applyFont="1" applyFill="1" applyBorder="1"/>
    <xf numFmtId="165" fontId="94" fillId="16" borderId="0" xfId="0" applyNumberFormat="1" applyFont="1" applyFill="1" applyBorder="1"/>
    <xf numFmtId="2" fontId="14" fillId="15" borderId="101" xfId="0" applyNumberFormat="1" applyFont="1" applyFill="1" applyBorder="1"/>
    <xf numFmtId="2" fontId="14" fillId="15" borderId="11" xfId="0" applyNumberFormat="1" applyFont="1" applyFill="1" applyBorder="1"/>
    <xf numFmtId="2" fontId="14" fillId="15" borderId="102" xfId="0" applyNumberFormat="1" applyFont="1" applyFill="1" applyBorder="1"/>
    <xf numFmtId="2" fontId="14" fillId="15" borderId="41" xfId="0" applyNumberFormat="1" applyFont="1" applyFill="1" applyBorder="1"/>
    <xf numFmtId="2" fontId="14" fillId="15" borderId="104" xfId="0" applyNumberFormat="1" applyFont="1" applyFill="1" applyBorder="1"/>
    <xf numFmtId="2" fontId="14" fillId="15" borderId="29" xfId="0" applyNumberFormat="1" applyFont="1" applyFill="1" applyBorder="1"/>
    <xf numFmtId="0" fontId="140" fillId="15" borderId="22" xfId="0" applyFont="1" applyFill="1" applyBorder="1"/>
    <xf numFmtId="0" fontId="118" fillId="10" borderId="36" xfId="0" applyFont="1" applyFill="1" applyBorder="1"/>
    <xf numFmtId="164" fontId="2" fillId="6" borderId="30" xfId="0" applyNumberFormat="1" applyFont="1" applyFill="1" applyBorder="1"/>
    <xf numFmtId="14" fontId="10" fillId="0" borderId="0" xfId="0" applyNumberFormat="1" applyFont="1" applyFill="1" applyBorder="1"/>
    <xf numFmtId="2" fontId="2" fillId="16" borderId="0" xfId="0" applyNumberFormat="1" applyFont="1" applyFill="1"/>
    <xf numFmtId="0" fontId="2" fillId="10" borderId="7" xfId="0" applyFont="1" applyFill="1" applyBorder="1"/>
    <xf numFmtId="0" fontId="69" fillId="0" borderId="0" xfId="0" applyFont="1" applyBorder="1"/>
    <xf numFmtId="0" fontId="14" fillId="0" borderId="97" xfId="0" applyFont="1" applyFill="1" applyBorder="1"/>
    <xf numFmtId="0" fontId="14" fillId="0" borderId="31" xfId="0" applyFont="1" applyFill="1" applyBorder="1"/>
    <xf numFmtId="0" fontId="107" fillId="0" borderId="8" xfId="0" applyFont="1" applyBorder="1"/>
    <xf numFmtId="0" fontId="112" fillId="15" borderId="19" xfId="0" applyFont="1" applyFill="1" applyBorder="1"/>
    <xf numFmtId="0" fontId="137" fillId="15" borderId="19" xfId="0" applyFont="1" applyFill="1" applyBorder="1"/>
    <xf numFmtId="0" fontId="0" fillId="13" borderId="4" xfId="0" applyFill="1" applyBorder="1"/>
    <xf numFmtId="0" fontId="69" fillId="8" borderId="36" xfId="0" applyFont="1" applyFill="1" applyBorder="1"/>
    <xf numFmtId="2" fontId="69" fillId="0" borderId="3" xfId="0" applyNumberFormat="1" applyFont="1" applyBorder="1"/>
    <xf numFmtId="2" fontId="115" fillId="15" borderId="7" xfId="0" applyNumberFormat="1" applyFont="1" applyFill="1" applyBorder="1"/>
    <xf numFmtId="0" fontId="112" fillId="15" borderId="4" xfId="0" applyFont="1" applyFill="1" applyBorder="1"/>
    <xf numFmtId="0" fontId="137" fillId="15" borderId="4" xfId="0" applyFont="1" applyFill="1" applyBorder="1"/>
    <xf numFmtId="0" fontId="2" fillId="0" borderId="31" xfId="0" applyFont="1" applyFill="1" applyBorder="1"/>
    <xf numFmtId="164" fontId="2" fillId="0" borderId="0" xfId="0" applyNumberFormat="1" applyFont="1" applyFill="1" applyBorder="1"/>
    <xf numFmtId="2" fontId="14" fillId="15" borderId="6" xfId="0" applyNumberFormat="1" applyFont="1" applyFill="1" applyBorder="1"/>
    <xf numFmtId="1" fontId="1" fillId="15" borderId="99" xfId="0" applyNumberFormat="1" applyFont="1" applyFill="1" applyBorder="1"/>
    <xf numFmtId="0" fontId="111" fillId="0" borderId="88" xfId="0" applyFont="1" applyFill="1" applyBorder="1" applyAlignment="1">
      <alignment horizontal="center"/>
    </xf>
    <xf numFmtId="1" fontId="125" fillId="15" borderId="22" xfId="0" applyNumberFormat="1" applyFont="1" applyFill="1" applyBorder="1"/>
    <xf numFmtId="165" fontId="2" fillId="15" borderId="13" xfId="0" applyNumberFormat="1" applyFont="1" applyFill="1" applyBorder="1"/>
    <xf numFmtId="0" fontId="9" fillId="5" borderId="16" xfId="0" applyFont="1" applyFill="1" applyBorder="1"/>
    <xf numFmtId="1" fontId="14" fillId="6" borderId="36" xfId="0" applyNumberFormat="1" applyFont="1" applyFill="1" applyBorder="1"/>
    <xf numFmtId="0" fontId="69" fillId="8" borderId="14" xfId="0" applyFont="1" applyFill="1" applyBorder="1"/>
    <xf numFmtId="0" fontId="69" fillId="8" borderId="15" xfId="0" applyFont="1" applyFill="1" applyBorder="1"/>
    <xf numFmtId="164" fontId="23" fillId="20" borderId="0" xfId="0" applyNumberFormat="1" applyFont="1" applyFill="1"/>
    <xf numFmtId="164" fontId="56" fillId="20" borderId="0" xfId="0" applyNumberFormat="1" applyFont="1" applyFill="1"/>
    <xf numFmtId="2" fontId="56" fillId="20" borderId="0" xfId="0" applyNumberFormat="1" applyFont="1" applyFill="1"/>
    <xf numFmtId="166" fontId="23" fillId="20" borderId="0" xfId="0" applyNumberFormat="1" applyFont="1" applyFill="1"/>
    <xf numFmtId="0" fontId="2" fillId="5" borderId="99" xfId="0" applyFont="1" applyFill="1" applyBorder="1"/>
    <xf numFmtId="0" fontId="3" fillId="5" borderId="92" xfId="0" applyFont="1" applyFill="1" applyBorder="1"/>
    <xf numFmtId="0" fontId="3" fillId="5" borderId="0" xfId="0" applyFont="1" applyFill="1" applyBorder="1"/>
    <xf numFmtId="0" fontId="3" fillId="5" borderId="7" xfId="0" applyFont="1" applyFill="1" applyBorder="1"/>
    <xf numFmtId="164" fontId="6" fillId="6" borderId="7" xfId="0" applyNumberFormat="1" applyFont="1" applyFill="1" applyBorder="1"/>
    <xf numFmtId="165" fontId="115" fillId="15" borderId="13" xfId="0" applyNumberFormat="1" applyFont="1" applyFill="1" applyBorder="1"/>
    <xf numFmtId="0" fontId="90" fillId="0" borderId="8" xfId="0" applyFont="1" applyFill="1" applyBorder="1"/>
    <xf numFmtId="0" fontId="66" fillId="0" borderId="9" xfId="0" applyFont="1" applyFill="1" applyBorder="1"/>
    <xf numFmtId="165" fontId="6" fillId="0" borderId="0" xfId="0" applyNumberFormat="1" applyFont="1"/>
    <xf numFmtId="1" fontId="8" fillId="0" borderId="0" xfId="0" applyNumberFormat="1" applyFont="1" applyFill="1" applyBorder="1" applyAlignment="1">
      <alignment vertical="top"/>
    </xf>
    <xf numFmtId="1" fontId="8" fillId="0" borderId="0" xfId="0" applyNumberFormat="1" applyFont="1" applyFill="1" applyBorder="1" applyAlignment="1">
      <alignment horizontal="right"/>
    </xf>
    <xf numFmtId="166" fontId="0" fillId="0" borderId="0" xfId="0" applyNumberFormat="1"/>
    <xf numFmtId="1" fontId="1" fillId="15" borderId="97" xfId="0" applyNumberFormat="1" applyFont="1" applyFill="1" applyBorder="1"/>
    <xf numFmtId="0" fontId="1" fillId="15" borderId="7" xfId="0" applyFont="1" applyFill="1" applyBorder="1"/>
    <xf numFmtId="0" fontId="1" fillId="15" borderId="13" xfId="0" applyFont="1" applyFill="1" applyBorder="1"/>
    <xf numFmtId="2" fontId="1" fillId="15" borderId="99" xfId="0" applyNumberFormat="1" applyFont="1" applyFill="1" applyBorder="1"/>
    <xf numFmtId="0" fontId="90" fillId="15" borderId="3" xfId="0" applyFont="1" applyFill="1" applyBorder="1"/>
    <xf numFmtId="0" fontId="90" fillId="15" borderId="6" xfId="0" applyFont="1" applyFill="1" applyBorder="1"/>
    <xf numFmtId="0" fontId="90" fillId="15" borderId="92" xfId="0" applyFont="1" applyFill="1" applyBorder="1"/>
    <xf numFmtId="0" fontId="90" fillId="15" borderId="94" xfId="0" applyFont="1" applyFill="1" applyBorder="1"/>
    <xf numFmtId="0" fontId="90" fillId="16" borderId="92" xfId="0" applyFont="1" applyFill="1" applyBorder="1"/>
    <xf numFmtId="0" fontId="90" fillId="30" borderId="94" xfId="0" applyFont="1" applyFill="1" applyBorder="1"/>
    <xf numFmtId="0" fontId="0" fillId="30" borderId="2" xfId="0" applyFill="1" applyBorder="1"/>
    <xf numFmtId="0" fontId="0" fillId="30" borderId="13" xfId="0" applyFill="1" applyBorder="1"/>
    <xf numFmtId="165" fontId="90" fillId="15" borderId="5" xfId="0" applyNumberFormat="1" applyFont="1" applyFill="1" applyBorder="1"/>
    <xf numFmtId="165" fontId="136" fillId="15" borderId="7" xfId="0" applyNumberFormat="1" applyFont="1" applyFill="1" applyBorder="1"/>
    <xf numFmtId="165" fontId="90" fillId="15" borderId="6" xfId="0" applyNumberFormat="1" applyFont="1" applyFill="1" applyBorder="1"/>
    <xf numFmtId="165" fontId="90" fillId="15" borderId="94" xfId="0" applyNumberFormat="1" applyFont="1" applyFill="1" applyBorder="1"/>
    <xf numFmtId="165" fontId="136" fillId="15" borderId="13" xfId="0" applyNumberFormat="1" applyFont="1" applyFill="1" applyBorder="1"/>
    <xf numFmtId="0" fontId="90" fillId="30" borderId="6" xfId="0" applyFont="1" applyFill="1" applyBorder="1"/>
    <xf numFmtId="0" fontId="0" fillId="30" borderId="0" xfId="0" applyFill="1" applyBorder="1"/>
    <xf numFmtId="0" fontId="0" fillId="30" borderId="7" xfId="0" applyFill="1" applyBorder="1"/>
    <xf numFmtId="0" fontId="94" fillId="16" borderId="3" xfId="0" applyFont="1" applyFill="1" applyBorder="1"/>
    <xf numFmtId="0" fontId="142" fillId="16" borderId="4" xfId="0" applyFont="1" applyFill="1" applyBorder="1"/>
    <xf numFmtId="0" fontId="142" fillId="16" borderId="5" xfId="0" applyFont="1" applyFill="1" applyBorder="1"/>
    <xf numFmtId="0" fontId="94" fillId="16" borderId="94" xfId="0" applyFont="1" applyFill="1" applyBorder="1"/>
    <xf numFmtId="0" fontId="142" fillId="16" borderId="2" xfId="0" applyFont="1" applyFill="1" applyBorder="1"/>
    <xf numFmtId="0" fontId="142" fillId="16" borderId="13" xfId="0" applyFont="1" applyFill="1" applyBorder="1"/>
    <xf numFmtId="165" fontId="69" fillId="15" borderId="13" xfId="0" applyNumberFormat="1" applyFont="1" applyFill="1" applyBorder="1"/>
    <xf numFmtId="2" fontId="70" fillId="0" borderId="4" xfId="0" applyNumberFormat="1" applyFont="1" applyBorder="1"/>
    <xf numFmtId="2" fontId="70" fillId="0" borderId="0" xfId="0" applyNumberFormat="1" applyFont="1" applyBorder="1"/>
    <xf numFmtId="164" fontId="70" fillId="15" borderId="30" xfId="0" applyNumberFormat="1" applyFont="1" applyFill="1" applyBorder="1"/>
    <xf numFmtId="2" fontId="70" fillId="0" borderId="6" xfId="0" applyNumberFormat="1" applyFont="1" applyBorder="1"/>
    <xf numFmtId="2" fontId="70" fillId="15" borderId="23" xfId="0" applyNumberFormat="1" applyFont="1" applyFill="1" applyBorder="1"/>
    <xf numFmtId="2" fontId="70" fillId="0" borderId="2" xfId="0" applyNumberFormat="1" applyFont="1" applyBorder="1"/>
    <xf numFmtId="2" fontId="70" fillId="15" borderId="99" xfId="0" applyNumberFormat="1" applyFont="1" applyFill="1" applyBorder="1"/>
    <xf numFmtId="0" fontId="69" fillId="20" borderId="111" xfId="0" applyFont="1" applyFill="1" applyBorder="1"/>
    <xf numFmtId="2" fontId="70" fillId="0" borderId="94" xfId="0" applyNumberFormat="1" applyFont="1" applyBorder="1"/>
    <xf numFmtId="2" fontId="70" fillId="0" borderId="5" xfId="0" applyNumberFormat="1" applyFont="1" applyBorder="1"/>
    <xf numFmtId="0" fontId="143" fillId="0" borderId="0" xfId="0" applyFont="1"/>
    <xf numFmtId="0" fontId="2" fillId="24" borderId="66" xfId="0" applyFont="1" applyFill="1" applyBorder="1" applyAlignment="1">
      <alignment horizontal="center"/>
    </xf>
    <xf numFmtId="2" fontId="31" fillId="0" borderId="0" xfId="0" applyNumberFormat="1" applyFont="1"/>
    <xf numFmtId="165" fontId="90" fillId="15" borderId="13" xfId="0" applyNumberFormat="1" applyFont="1" applyFill="1" applyBorder="1"/>
    <xf numFmtId="165" fontId="33" fillId="16" borderId="0" xfId="0" applyNumberFormat="1" applyFont="1" applyFill="1"/>
    <xf numFmtId="1" fontId="69" fillId="15" borderId="99" xfId="0" applyNumberFormat="1" applyFont="1" applyFill="1" applyBorder="1"/>
    <xf numFmtId="2" fontId="8" fillId="6" borderId="99" xfId="0" applyNumberFormat="1" applyFont="1" applyFill="1" applyBorder="1"/>
    <xf numFmtId="164" fontId="8" fillId="6" borderId="97" xfId="0" applyNumberFormat="1" applyFont="1" applyFill="1" applyBorder="1"/>
    <xf numFmtId="0" fontId="6" fillId="5" borderId="92" xfId="0" applyFont="1" applyFill="1" applyBorder="1"/>
    <xf numFmtId="0" fontId="2" fillId="5" borderId="23" xfId="0" applyFont="1" applyFill="1" applyBorder="1"/>
    <xf numFmtId="0" fontId="43" fillId="5" borderId="0" xfId="0" applyFont="1" applyFill="1"/>
    <xf numFmtId="0" fontId="43" fillId="5" borderId="3" xfId="0" applyFont="1" applyFill="1" applyBorder="1"/>
    <xf numFmtId="0" fontId="43" fillId="5" borderId="5" xfId="0" applyFont="1" applyFill="1" applyBorder="1"/>
    <xf numFmtId="0" fontId="43" fillId="5" borderId="4" xfId="0" applyFont="1" applyFill="1" applyBorder="1" applyAlignment="1">
      <alignment horizontal="center"/>
    </xf>
    <xf numFmtId="0" fontId="43" fillId="5" borderId="4" xfId="0" applyFont="1" applyFill="1" applyBorder="1"/>
    <xf numFmtId="14" fontId="100" fillId="0" borderId="17" xfId="0" applyNumberFormat="1" applyFont="1" applyBorder="1"/>
    <xf numFmtId="0" fontId="43" fillId="0" borderId="8" xfId="0" applyFont="1" applyBorder="1"/>
    <xf numFmtId="0" fontId="43" fillId="0" borderId="19" xfId="0" applyFont="1" applyBorder="1"/>
    <xf numFmtId="0" fontId="43" fillId="0" borderId="9" xfId="0" applyFont="1" applyBorder="1"/>
    <xf numFmtId="0" fontId="43" fillId="0" borderId="4" xfId="0" applyFont="1" applyBorder="1"/>
    <xf numFmtId="0" fontId="43" fillId="0" borderId="5" xfId="0" applyFont="1" applyBorder="1"/>
    <xf numFmtId="1" fontId="43" fillId="4" borderId="3" xfId="0" applyNumberFormat="1" applyFont="1" applyFill="1" applyBorder="1"/>
    <xf numFmtId="0" fontId="43" fillId="4" borderId="4" xfId="0" applyFont="1" applyFill="1" applyBorder="1"/>
    <xf numFmtId="0" fontId="43" fillId="4" borderId="3" xfId="0" applyFont="1" applyFill="1" applyBorder="1"/>
    <xf numFmtId="1" fontId="43" fillId="4" borderId="4" xfId="0" applyNumberFormat="1" applyFont="1" applyFill="1" applyBorder="1"/>
    <xf numFmtId="164" fontId="43" fillId="4" borderId="3" xfId="0" applyNumberFormat="1" applyFont="1" applyFill="1" applyBorder="1"/>
    <xf numFmtId="164" fontId="43" fillId="4" borderId="92" xfId="0" applyNumberFormat="1" applyFont="1" applyFill="1" applyBorder="1"/>
    <xf numFmtId="0" fontId="68" fillId="0" borderId="92" xfId="0" applyFont="1" applyBorder="1"/>
    <xf numFmtId="0" fontId="43" fillId="5" borderId="6" xfId="0" applyFont="1" applyFill="1" applyBorder="1"/>
    <xf numFmtId="1" fontId="43" fillId="4" borderId="6" xfId="0" applyNumberFormat="1" applyFont="1" applyFill="1" applyBorder="1"/>
    <xf numFmtId="2" fontId="43" fillId="4" borderId="0" xfId="0" applyNumberFormat="1" applyFont="1" applyFill="1" applyBorder="1"/>
    <xf numFmtId="1" fontId="43" fillId="4" borderId="92" xfId="0" applyNumberFormat="1" applyFont="1" applyFill="1" applyBorder="1"/>
    <xf numFmtId="1" fontId="43" fillId="4" borderId="0" xfId="0" applyNumberFormat="1" applyFont="1" applyFill="1" applyBorder="1"/>
    <xf numFmtId="2" fontId="43" fillId="4" borderId="92" xfId="0" applyNumberFormat="1" applyFont="1" applyFill="1" applyBorder="1"/>
    <xf numFmtId="166" fontId="43" fillId="4" borderId="0" xfId="0" applyNumberFormat="1" applyFont="1" applyFill="1" applyBorder="1"/>
    <xf numFmtId="166" fontId="43" fillId="4" borderId="7" xfId="0" applyNumberFormat="1" applyFont="1" applyFill="1" applyBorder="1"/>
    <xf numFmtId="0" fontId="43" fillId="15" borderId="7" xfId="0" applyFont="1" applyFill="1" applyBorder="1"/>
    <xf numFmtId="0" fontId="43" fillId="4" borderId="0" xfId="0" applyFont="1" applyFill="1" applyBorder="1"/>
    <xf numFmtId="0" fontId="43" fillId="4" borderId="92" xfId="0" applyFont="1" applyFill="1" applyBorder="1"/>
    <xf numFmtId="0" fontId="43" fillId="5" borderId="12" xfId="0" applyFont="1" applyFill="1" applyBorder="1"/>
    <xf numFmtId="0" fontId="43" fillId="5" borderId="0" xfId="0" applyFont="1" applyFill="1" applyBorder="1"/>
    <xf numFmtId="0" fontId="43" fillId="4" borderId="2" xfId="0" applyFont="1" applyFill="1" applyBorder="1"/>
    <xf numFmtId="0" fontId="43" fillId="4" borderId="13" xfId="0" applyFont="1" applyFill="1" applyBorder="1"/>
    <xf numFmtId="0" fontId="30" fillId="0" borderId="31" xfId="0" applyFont="1" applyBorder="1"/>
    <xf numFmtId="14" fontId="100" fillId="15" borderId="27" xfId="0" applyNumberFormat="1" applyFont="1" applyFill="1" applyBorder="1"/>
    <xf numFmtId="14" fontId="20" fillId="15" borderId="28" xfId="0" applyNumberFormat="1" applyFont="1" applyFill="1" applyBorder="1"/>
    <xf numFmtId="164" fontId="43" fillId="4" borderId="6" xfId="0" applyNumberFormat="1" applyFont="1" applyFill="1" applyBorder="1"/>
    <xf numFmtId="164" fontId="43" fillId="4" borderId="0" xfId="0" applyNumberFormat="1" applyFont="1" applyFill="1" applyBorder="1"/>
    <xf numFmtId="0" fontId="14" fillId="20" borderId="9" xfId="0" applyFont="1" applyFill="1" applyBorder="1" applyAlignment="1">
      <alignment horizontal="center"/>
    </xf>
    <xf numFmtId="0" fontId="0" fillId="15" borderId="38" xfId="0" applyFill="1" applyBorder="1"/>
    <xf numFmtId="0" fontId="0" fillId="15" borderId="114" xfId="0" applyFill="1" applyBorder="1"/>
    <xf numFmtId="0" fontId="0" fillId="15" borderId="39" xfId="0" applyFill="1" applyBorder="1"/>
    <xf numFmtId="0" fontId="0" fillId="31" borderId="27" xfId="0" applyFill="1" applyBorder="1"/>
    <xf numFmtId="0" fontId="0" fillId="31" borderId="22" xfId="0" applyFill="1" applyBorder="1"/>
    <xf numFmtId="0" fontId="0" fillId="31" borderId="28" xfId="0" applyFill="1" applyBorder="1"/>
    <xf numFmtId="0" fontId="0" fillId="27" borderId="14" xfId="0" applyFill="1" applyBorder="1"/>
    <xf numFmtId="0" fontId="0" fillId="27" borderId="15" xfId="0" applyFill="1" applyBorder="1"/>
    <xf numFmtId="0" fontId="0" fillId="27" borderId="16" xfId="0" applyFill="1" applyBorder="1"/>
    <xf numFmtId="0" fontId="0" fillId="27" borderId="0" xfId="0" applyFill="1"/>
    <xf numFmtId="0" fontId="0" fillId="27" borderId="35" xfId="0" applyFill="1" applyBorder="1"/>
    <xf numFmtId="0" fontId="0" fillId="27" borderId="10" xfId="0" applyFill="1" applyBorder="1"/>
    <xf numFmtId="0" fontId="0" fillId="27" borderId="11" xfId="0" applyFill="1" applyBorder="1"/>
    <xf numFmtId="0" fontId="145" fillId="27" borderId="14" xfId="0" applyFont="1" applyFill="1" applyBorder="1"/>
    <xf numFmtId="0" fontId="146" fillId="27" borderId="15" xfId="0" applyFont="1" applyFill="1" applyBorder="1"/>
    <xf numFmtId="0" fontId="145" fillId="27" borderId="15" xfId="0" applyFont="1" applyFill="1" applyBorder="1"/>
    <xf numFmtId="0" fontId="145" fillId="27" borderId="16" xfId="0" applyFont="1" applyFill="1" applyBorder="1"/>
    <xf numFmtId="0" fontId="2" fillId="6" borderId="36" xfId="0" applyFont="1" applyFill="1" applyBorder="1"/>
    <xf numFmtId="164" fontId="33" fillId="16" borderId="0" xfId="0" applyNumberFormat="1" applyFont="1" applyFill="1"/>
    <xf numFmtId="165" fontId="90" fillId="15" borderId="99" xfId="0" applyNumberFormat="1" applyFont="1" applyFill="1" applyBorder="1"/>
    <xf numFmtId="0" fontId="1" fillId="22" borderId="31" xfId="0" applyFont="1" applyFill="1" applyBorder="1"/>
    <xf numFmtId="0" fontId="90" fillId="22" borderId="31" xfId="0" applyFont="1" applyFill="1" applyBorder="1"/>
    <xf numFmtId="0" fontId="91" fillId="22" borderId="30" xfId="0" applyFont="1" applyFill="1" applyBorder="1"/>
    <xf numFmtId="0" fontId="91" fillId="22" borderId="23" xfId="0" applyFont="1" applyFill="1" applyBorder="1"/>
    <xf numFmtId="0" fontId="91" fillId="22" borderId="17" xfId="0" applyFont="1" applyFill="1" applyBorder="1"/>
    <xf numFmtId="0" fontId="147" fillId="0" borderId="0" xfId="0" applyFont="1"/>
    <xf numFmtId="0" fontId="148" fillId="0" borderId="0" xfId="0" applyFont="1"/>
    <xf numFmtId="2" fontId="90" fillId="20" borderId="0" xfId="0" applyNumberFormat="1" applyFont="1" applyFill="1"/>
    <xf numFmtId="164" fontId="69" fillId="15" borderId="27" xfId="0" applyNumberFormat="1" applyFont="1" applyFill="1" applyBorder="1"/>
    <xf numFmtId="164" fontId="69" fillId="15" borderId="22" xfId="0" applyNumberFormat="1" applyFont="1" applyFill="1" applyBorder="1"/>
    <xf numFmtId="164" fontId="69" fillId="15" borderId="28" xfId="0" applyNumberFormat="1" applyFont="1" applyFill="1" applyBorder="1"/>
    <xf numFmtId="165" fontId="69" fillId="0" borderId="4" xfId="0" applyNumberFormat="1" applyFont="1" applyBorder="1"/>
    <xf numFmtId="165" fontId="69" fillId="0" borderId="0" xfId="0" applyNumberFormat="1" applyFont="1" applyBorder="1"/>
    <xf numFmtId="165" fontId="69" fillId="15" borderId="99" xfId="0" applyNumberFormat="1" applyFont="1" applyFill="1" applyBorder="1"/>
    <xf numFmtId="0" fontId="1" fillId="20" borderId="65" xfId="0" applyFont="1" applyFill="1" applyBorder="1" applyAlignment="1">
      <alignment horizontal="center"/>
    </xf>
    <xf numFmtId="0" fontId="14" fillId="15" borderId="70" xfId="0" applyFont="1" applyFill="1" applyBorder="1" applyAlignment="1">
      <alignment horizontal="center"/>
    </xf>
    <xf numFmtId="0" fontId="6" fillId="15" borderId="71" xfId="0" applyFont="1" applyFill="1" applyBorder="1" applyAlignment="1">
      <alignment horizontal="center"/>
    </xf>
    <xf numFmtId="0" fontId="1" fillId="15" borderId="71" xfId="0" applyFont="1" applyFill="1" applyBorder="1" applyAlignment="1">
      <alignment horizontal="center"/>
    </xf>
    <xf numFmtId="0" fontId="1" fillId="0" borderId="65" xfId="0" applyFont="1" applyFill="1" applyBorder="1" applyAlignment="1">
      <alignment horizontal="center"/>
    </xf>
    <xf numFmtId="0" fontId="14" fillId="0" borderId="66" xfId="0" applyFont="1" applyFill="1" applyBorder="1"/>
    <xf numFmtId="0" fontId="14" fillId="0" borderId="33" xfId="0" applyFont="1" applyFill="1" applyBorder="1"/>
    <xf numFmtId="0" fontId="1" fillId="0" borderId="109" xfId="0" applyFont="1" applyFill="1" applyBorder="1" applyAlignment="1">
      <alignment horizontal="center"/>
    </xf>
    <xf numFmtId="0" fontId="1" fillId="0" borderId="88" xfId="0" applyFont="1" applyFill="1" applyBorder="1" applyAlignment="1">
      <alignment horizontal="center"/>
    </xf>
    <xf numFmtId="166" fontId="2" fillId="5" borderId="0" xfId="0" applyNumberFormat="1" applyFont="1" applyFill="1"/>
    <xf numFmtId="0" fontId="63" fillId="29" borderId="0" xfId="0" applyFont="1" applyFill="1"/>
    <xf numFmtId="0" fontId="14" fillId="0" borderId="33" xfId="0" applyFont="1" applyFill="1" applyBorder="1" applyAlignment="1">
      <alignment horizontal="center"/>
    </xf>
    <xf numFmtId="0" fontId="1" fillId="15" borderId="96" xfId="0" applyFont="1" applyFill="1" applyBorder="1" applyAlignment="1">
      <alignment horizontal="center"/>
    </xf>
    <xf numFmtId="0" fontId="1" fillId="0" borderId="33" xfId="0" applyFont="1" applyFill="1" applyBorder="1" applyAlignment="1">
      <alignment horizontal="center"/>
    </xf>
    <xf numFmtId="0" fontId="14" fillId="0" borderId="66" xfId="0" applyFont="1" applyFill="1" applyBorder="1" applyAlignment="1">
      <alignment horizontal="center"/>
    </xf>
    <xf numFmtId="1" fontId="68" fillId="15" borderId="0" xfId="0" applyNumberFormat="1" applyFont="1" applyFill="1" applyBorder="1"/>
    <xf numFmtId="2" fontId="63" fillId="15" borderId="41" xfId="0" applyNumberFormat="1" applyFont="1" applyFill="1" applyBorder="1"/>
    <xf numFmtId="165" fontId="69" fillId="15" borderId="21" xfId="0" applyNumberFormat="1" applyFont="1" applyFill="1" applyBorder="1"/>
    <xf numFmtId="1" fontId="68" fillId="15" borderId="21" xfId="0" applyNumberFormat="1" applyFont="1" applyFill="1" applyBorder="1"/>
    <xf numFmtId="0" fontId="1" fillId="0" borderId="100" xfId="0" applyFont="1" applyFill="1" applyBorder="1" applyAlignment="1">
      <alignment horizontal="center"/>
    </xf>
    <xf numFmtId="0" fontId="1" fillId="0" borderId="66" xfId="0" applyFont="1" applyFill="1" applyBorder="1" applyAlignment="1">
      <alignment horizontal="center"/>
    </xf>
    <xf numFmtId="0" fontId="2" fillId="15" borderId="70" xfId="0" applyFont="1" applyFill="1" applyBorder="1" applyAlignment="1">
      <alignment horizontal="center"/>
    </xf>
    <xf numFmtId="0" fontId="14" fillId="15" borderId="65" xfId="0" applyFont="1" applyFill="1" applyBorder="1"/>
    <xf numFmtId="0" fontId="14" fillId="15" borderId="66" xfId="0" applyFont="1" applyFill="1" applyBorder="1"/>
    <xf numFmtId="165" fontId="115" fillId="15" borderId="6" xfId="0" applyNumberFormat="1" applyFont="1" applyFill="1" applyBorder="1"/>
    <xf numFmtId="165" fontId="91" fillId="4" borderId="7" xfId="0" applyNumberFormat="1" applyFont="1" applyFill="1" applyBorder="1"/>
    <xf numFmtId="0" fontId="66" fillId="15" borderId="12" xfId="0" applyFont="1" applyFill="1" applyBorder="1"/>
    <xf numFmtId="0" fontId="66" fillId="16" borderId="30" xfId="0" applyFont="1" applyFill="1" applyBorder="1"/>
    <xf numFmtId="0" fontId="66" fillId="16" borderId="23" xfId="0" applyFont="1" applyFill="1" applyBorder="1"/>
    <xf numFmtId="0" fontId="66" fillId="16" borderId="17" xfId="0" applyFont="1" applyFill="1" applyBorder="1"/>
    <xf numFmtId="2" fontId="149" fillId="0" borderId="0" xfId="0" applyNumberFormat="1" applyFont="1"/>
    <xf numFmtId="0" fontId="118" fillId="15" borderId="33" xfId="0" applyFont="1" applyFill="1" applyBorder="1" applyAlignment="1">
      <alignment horizontal="center"/>
    </xf>
    <xf numFmtId="0" fontId="1" fillId="15" borderId="33" xfId="0" applyFont="1" applyFill="1" applyBorder="1" applyAlignment="1">
      <alignment horizontal="center"/>
    </xf>
    <xf numFmtId="164" fontId="120" fillId="15" borderId="94" xfId="0" applyNumberFormat="1" applyFont="1" applyFill="1" applyBorder="1"/>
    <xf numFmtId="164" fontId="120" fillId="15" borderId="2" xfId="0" applyNumberFormat="1" applyFont="1" applyFill="1" applyBorder="1"/>
    <xf numFmtId="0" fontId="14" fillId="15" borderId="66" xfId="0" applyFont="1" applyFill="1" applyBorder="1" applyAlignment="1">
      <alignment horizontal="center"/>
    </xf>
    <xf numFmtId="0" fontId="14" fillId="15" borderId="100" xfId="0" applyFont="1" applyFill="1" applyBorder="1" applyAlignment="1">
      <alignment horizontal="center"/>
    </xf>
    <xf numFmtId="2" fontId="115" fillId="15" borderId="0" xfId="0" applyNumberFormat="1" applyFont="1" applyFill="1" applyBorder="1"/>
    <xf numFmtId="2" fontId="115" fillId="15" borderId="94" xfId="0" applyNumberFormat="1" applyFont="1" applyFill="1" applyBorder="1"/>
    <xf numFmtId="0" fontId="69" fillId="0" borderId="27" xfId="0" applyFont="1" applyFill="1" applyBorder="1" applyAlignment="1">
      <alignment horizontal="center"/>
    </xf>
    <xf numFmtId="0" fontId="66" fillId="15" borderId="28" xfId="0" applyFont="1" applyFill="1" applyBorder="1"/>
    <xf numFmtId="0" fontId="2" fillId="15" borderId="3" xfId="0" applyFont="1" applyFill="1" applyBorder="1" applyAlignment="1">
      <alignment horizontal="center"/>
    </xf>
    <xf numFmtId="0" fontId="2" fillId="15" borderId="110" xfId="0" applyFont="1" applyFill="1" applyBorder="1" applyAlignment="1">
      <alignment horizontal="center"/>
    </xf>
    <xf numFmtId="0" fontId="63" fillId="15" borderId="31" xfId="0" applyFont="1" applyFill="1" applyBorder="1"/>
    <xf numFmtId="0" fontId="69" fillId="15" borderId="23" xfId="0" applyFont="1" applyFill="1" applyBorder="1"/>
    <xf numFmtId="0" fontId="1" fillId="0" borderId="88" xfId="0" applyFont="1" applyFill="1" applyBorder="1"/>
    <xf numFmtId="2" fontId="115" fillId="15" borderId="2" xfId="0" applyNumberFormat="1" applyFont="1" applyFill="1" applyBorder="1"/>
    <xf numFmtId="0" fontId="150" fillId="32" borderId="0" xfId="14"/>
    <xf numFmtId="1" fontId="150" fillId="32" borderId="0" xfId="14" applyNumberFormat="1"/>
    <xf numFmtId="0" fontId="116" fillId="0" borderId="0" xfId="0" applyFont="1" applyBorder="1" applyAlignment="1">
      <alignment horizontal="right" wrapText="1"/>
    </xf>
    <xf numFmtId="0" fontId="56" fillId="0" borderId="0" xfId="0" applyFont="1" applyAlignment="1">
      <alignment horizontal="center"/>
    </xf>
    <xf numFmtId="0" fontId="58" fillId="13" borderId="76" xfId="0" applyFont="1" applyFill="1" applyBorder="1" applyAlignment="1">
      <alignment horizontal="center" vertical="top" wrapText="1"/>
    </xf>
    <xf numFmtId="0" fontId="58" fillId="13" borderId="77" xfId="0" applyFont="1" applyFill="1" applyBorder="1" applyAlignment="1">
      <alignment horizontal="center" vertical="top" wrapText="1"/>
    </xf>
    <xf numFmtId="0" fontId="58" fillId="13" borderId="78" xfId="0" applyFont="1" applyFill="1" applyBorder="1" applyAlignment="1">
      <alignment horizontal="center" vertical="top" wrapText="1"/>
    </xf>
    <xf numFmtId="0" fontId="58" fillId="13" borderId="79" xfId="0" applyFont="1" applyFill="1" applyBorder="1" applyAlignment="1">
      <alignment horizontal="center" vertical="top" wrapText="1"/>
    </xf>
    <xf numFmtId="0" fontId="58" fillId="13" borderId="80" xfId="0" applyFont="1" applyFill="1" applyBorder="1" applyAlignment="1">
      <alignment horizontal="center" vertical="top" wrapText="1"/>
    </xf>
    <xf numFmtId="0" fontId="58" fillId="13" borderId="81" xfId="0" applyFont="1" applyFill="1" applyBorder="1" applyAlignment="1">
      <alignment horizontal="center" vertical="top" wrapText="1"/>
    </xf>
    <xf numFmtId="0" fontId="58" fillId="13" borderId="82" xfId="0" applyFont="1" applyFill="1" applyBorder="1" applyAlignment="1">
      <alignment horizontal="center" vertical="top" wrapText="1"/>
    </xf>
    <xf numFmtId="0" fontId="60" fillId="0" borderId="0" xfId="0" applyFont="1" applyAlignment="1">
      <alignment wrapText="1"/>
    </xf>
    <xf numFmtId="0" fontId="53" fillId="0" borderId="0" xfId="0" applyFont="1" applyAlignment="1">
      <alignment horizontal="center"/>
    </xf>
    <xf numFmtId="0" fontId="5" fillId="13" borderId="48" xfId="0" applyFont="1" applyFill="1" applyBorder="1" applyAlignment="1">
      <alignment horizontal="center" vertical="top" wrapText="1"/>
    </xf>
    <xf numFmtId="0" fontId="5" fillId="13" borderId="72" xfId="0" applyFont="1" applyFill="1" applyBorder="1" applyAlignment="1">
      <alignment horizontal="center" vertical="top" wrapText="1"/>
    </xf>
    <xf numFmtId="0" fontId="23" fillId="3" borderId="0" xfId="0" applyFont="1" applyFill="1" applyAlignment="1">
      <alignment horizontal="center" vertical="center" wrapText="1"/>
    </xf>
    <xf numFmtId="0" fontId="25" fillId="0" borderId="0" xfId="0" applyFont="1" applyAlignment="1">
      <alignment vertical="center" wrapText="1"/>
    </xf>
    <xf numFmtId="0" fontId="27" fillId="0" borderId="0" xfId="0" applyFont="1" applyAlignment="1">
      <alignment vertical="center" wrapText="1"/>
    </xf>
    <xf numFmtId="0" fontId="25" fillId="0" borderId="0" xfId="0" applyFont="1"/>
    <xf numFmtId="0" fontId="2" fillId="0" borderId="0" xfId="0" applyFont="1" applyFill="1" applyBorder="1" applyAlignment="1">
      <alignment horizontal="center" vertical="top" wrapText="1"/>
    </xf>
    <xf numFmtId="0" fontId="79" fillId="5" borderId="0" xfId="0" applyFont="1" applyFill="1" applyAlignment="1"/>
    <xf numFmtId="0" fontId="80" fillId="0" borderId="0" xfId="0" applyFont="1" applyFill="1" applyAlignment="1">
      <alignment horizontal="center"/>
    </xf>
    <xf numFmtId="0" fontId="0" fillId="0" borderId="0" xfId="0" applyAlignment="1">
      <alignment horizontal="center"/>
    </xf>
    <xf numFmtId="0" fontId="81" fillId="0" borderId="0" xfId="0" quotePrefix="1" applyFont="1" applyBorder="1" applyAlignment="1">
      <alignment horizontal="center"/>
    </xf>
    <xf numFmtId="0" fontId="86" fillId="0" borderId="0" xfId="0" applyFont="1" applyBorder="1" applyAlignment="1">
      <alignment vertical="top" wrapText="1"/>
    </xf>
    <xf numFmtId="0" fontId="0" fillId="0" borderId="0" xfId="0" applyAlignment="1">
      <alignment wrapText="1"/>
    </xf>
  </cellXfs>
  <cellStyles count="15">
    <cellStyle name="Comma" xfId="6" xr:uid="{00000000-0005-0000-0000-000000000000}"/>
    <cellStyle name="Comma [0]" xfId="7" xr:uid="{00000000-0005-0000-0000-000001000000}"/>
    <cellStyle name="Currency" xfId="4" xr:uid="{00000000-0005-0000-0000-000002000000}"/>
    <cellStyle name="Currency [0]" xfId="5" xr:uid="{00000000-0005-0000-0000-000003000000}"/>
    <cellStyle name="Normal" xfId="11" xr:uid="{00000000-0005-0000-0000-000004000000}"/>
    <cellStyle name="Percent" xfId="3" xr:uid="{00000000-0005-0000-0000-000005000000}"/>
    <cellStyle name="Акцент6" xfId="14" builtinId="49"/>
    <cellStyle name="Гиперссылка" xfId="1" builtinId="8"/>
    <cellStyle name="Обычный" xfId="0" builtinId="0"/>
    <cellStyle name="Обычный 2" xfId="8" xr:uid="{00000000-0005-0000-0000-000008000000}"/>
    <cellStyle name="Обычный 2 2" xfId="10" xr:uid="{00000000-0005-0000-0000-000009000000}"/>
    <cellStyle name="Обычный 2 3" xfId="13" xr:uid="{00000000-0005-0000-0000-00000A000000}"/>
    <cellStyle name="Обычный 3" xfId="9" xr:uid="{00000000-0005-0000-0000-00000B000000}"/>
    <cellStyle name="Обычный 4" xfId="2" xr:uid="{00000000-0005-0000-0000-00000C000000}"/>
    <cellStyle name="Обычный 5" xfId="12" xr:uid="{00000000-0005-0000-0000-00000D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.xml"/></Relationships>
</file>

<file path=xl/charts/_rels/chart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.xml"/></Relationships>
</file>

<file path=xl/charts/_rels/chart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.xml"/></Relationships>
</file>

<file path=xl/charts/_rels/chart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0.xml"/></Relationships>
</file>

<file path=xl/charts/_rels/chart1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1.xml"/></Relationships>
</file>

<file path=xl/charts/_rels/chart1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2.xml"/></Relationships>
</file>

<file path=xl/charts/_rels/chart1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3.xml"/></Relationships>
</file>

<file path=xl/charts/_rels/chart1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4.xml"/></Relationships>
</file>

<file path=xl/charts/_rels/chart1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5.xml"/></Relationships>
</file>

<file path=xl/charts/_rels/chart1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6.xml"/></Relationships>
</file>

<file path=xl/charts/_rels/chart1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7.xml"/></Relationships>
</file>

<file path=xl/charts/_rels/chart1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8.xml"/></Relationships>
</file>

<file path=xl/charts/_rels/chart1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9.xml"/></Relationships>
</file>

<file path=xl/charts/_rels/chart1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0.xml"/></Relationships>
</file>

<file path=xl/charts/_rels/chart2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1.xml"/></Relationships>
</file>

<file path=xl/charts/_rels/chart2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2.xml"/></Relationships>
</file>

<file path=xl/charts/_rels/chart2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3.xml"/></Relationships>
</file>

<file path=xl/charts/_rels/chart2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4.xml"/></Relationships>
</file>

<file path=xl/charts/_rels/chart2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5.xml"/></Relationships>
</file>

<file path=xl/charts/_rels/chart2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6.xml"/></Relationships>
</file>

<file path=xl/charts/_rels/chart2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7.xml"/></Relationships>
</file>

<file path=xl/charts/_rels/chart2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8.xml"/></Relationships>
</file>

<file path=xl/charts/_rels/chart2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9.xml"/></Relationships>
</file>

<file path=xl/charts/_rels/chart2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0.xml"/></Relationships>
</file>

<file path=xl/charts/_rels/chart3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1.xml"/></Relationships>
</file>

<file path=xl/charts/_rels/chart3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.xml"/></Relationships>
</file>

<file path=xl/charts/_rels/chart3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3.xml"/></Relationships>
</file>

<file path=xl/charts/_rels/chart3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4.xml"/></Relationships>
</file>

<file path=xl/charts/_rels/chart3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5.xml"/></Relationships>
</file>

<file path=xl/charts/_rels/chart3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7.xml"/></Relationships>
</file>

<file path=xl/charts/_rels/chart3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8.xml"/></Relationships>
</file>

<file path=xl/charts/_rels/chart3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9.xml"/></Relationships>
</file>

<file path=xl/charts/_rels/chart3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0.xml"/></Relationships>
</file>

<file path=xl/charts/_rels/chart3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1.xml"/></Relationships>
</file>

<file path=xl/charts/_rels/chart4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2.xml"/></Relationships>
</file>

<file path=xl/charts/_rels/chart4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3.xml"/></Relationships>
</file>

<file path=xl/charts/_rels/chart4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4.xml"/></Relationships>
</file>

<file path=xl/charts/_rels/chart4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5.xml"/></Relationships>
</file>

<file path=xl/charts/_rels/chart4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6.xml"/></Relationships>
</file>

<file path=xl/charts/_rels/chart4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7.xml"/></Relationships>
</file>

<file path=xl/charts/_rels/chart4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8.xml"/></Relationships>
</file>

<file path=xl/charts/_rels/chart4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9.xml"/></Relationships>
</file>

<file path=xl/charts/_rels/chart4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0.xml"/></Relationships>
</file>

<file path=xl/charts/_rels/chart4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1.xml"/></Relationships>
</file>

<file path=xl/charts/_rels/chart5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2.xml"/></Relationships>
</file>

<file path=xl/charts/_rels/chart5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3.xml"/></Relationships>
</file>

<file path=xl/charts/_rels/chart5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4.xml"/></Relationships>
</file>

<file path=xl/charts/_rels/chart5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5.xml"/></Relationships>
</file>

<file path=xl/charts/_rels/chart5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6.xml"/></Relationships>
</file>

<file path=xl/charts/_rels/chart5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7.xml"/></Relationships>
</file>

<file path=xl/charts/_rels/chart5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8.xml"/></Relationships>
</file>

<file path=xl/charts/_rels/chart5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9.xml"/></Relationships>
</file>

<file path=xl/charts/_rels/chart5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0.xml"/></Relationships>
</file>

<file path=xl/charts/_rels/chart5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1.xml"/></Relationships>
</file>

<file path=xl/charts/_rels/chart6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2.xml"/></Relationships>
</file>

<file path=xl/charts/_rels/chart6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3.xml"/></Relationships>
</file>

<file path=xl/charts/_rels/chart6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4.xml"/></Relationships>
</file>

<file path=xl/charts/_rels/chart6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5.xml"/></Relationships>
</file>

<file path=xl/charts/_rels/chart6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6.xml"/></Relationships>
</file>

<file path=xl/charts/_rels/chart6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7.xml"/></Relationships>
</file>

<file path=xl/charts/_rels/chart6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8.xml"/></Relationships>
</file>

<file path=xl/charts/_rels/chart6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9.xml"/></Relationships>
</file>

<file path=xl/charts/_rels/chart6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0.xml"/></Relationships>
</file>

<file path=xl/charts/_rels/chart6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1.xml"/></Relationships>
</file>

<file path=xl/charts/_rels/chart7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2.xml"/></Relationships>
</file>

<file path=xl/charts/_rels/chart7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3.xml"/></Relationships>
</file>

<file path=xl/charts/_rels/chart7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4.xml"/></Relationships>
</file>

<file path=xl/charts/_rels/chart7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5.xml"/></Relationships>
</file>

<file path=xl/charts/_rels/chart7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6.xml"/></Relationships>
</file>

<file path=xl/charts/_rels/chart7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7.xml"/></Relationships>
</file>

<file path=xl/charts/_rels/chart7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8.xml"/></Relationships>
</file>

<file path=xl/charts/_rels/chart7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9.xml"/></Relationships>
</file>

<file path=xl/charts/_rels/chart7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0.xml"/></Relationships>
</file>

<file path=xl/charts/_rels/chart7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1.xml"/></Relationships>
</file>

<file path=xl/charts/_rels/chart8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2.xml"/></Relationships>
</file>

<file path=xl/charts/_rels/chart8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3.xml"/></Relationships>
</file>

<file path=xl/charts/_rels/chart8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4.xml"/></Relationships>
</file>

<file path=xl/charts/_rels/chart8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5.xml"/></Relationships>
</file>

<file path=xl/charts/_rels/chart8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6.xml"/></Relationships>
</file>

<file path=xl/charts/_rels/chart8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7.xml"/></Relationships>
</file>

<file path=xl/charts/_rels/chart8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8.xml"/></Relationships>
</file>

<file path=xl/charts/_rels/chart8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9.xml"/></Relationships>
</file>

<file path=xl/charts/_rels/chart8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0.xml"/></Relationships>
</file>

<file path=xl/charts/_rels/chart8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1.xml"/></Relationships>
</file>

<file path=xl/charts/_rels/chart9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2.xml"/></Relationships>
</file>

<file path=xl/charts/_rels/chart9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3.xml"/></Relationships>
</file>

<file path=xl/charts/_rels/chart9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4.xml"/></Relationships>
</file>

<file path=xl/charts/_rels/chart9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5.xml"/></Relationships>
</file>

<file path=xl/charts/_rels/chart9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6.xml"/></Relationships>
</file>

<file path=xl/charts/_rels/chart9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7.xml"/></Relationships>
</file>

<file path=xl/charts/_rels/chart9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9.xml"/></Relationships>
</file>

<file path=xl/charts/_rels/chart9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00.xml"/></Relationships>
</file>

<file path=xl/charts/_rels/chart9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01.xml"/></Relationships>
</file>

<file path=xl/charts/_rels/chart9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02.xml"/></Relationships>
</file>

<file path=xl/charts/_rels/chart10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03.xml"/></Relationships>
</file>

<file path=xl/charts/_rels/chart10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04.xml"/></Relationships>
</file>

<file path=xl/charts/_rels/chart10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05.xml"/></Relationships>
</file>

<file path=xl/charts/_rels/chart10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06.xml"/></Relationships>
</file>

<file path=xl/charts/_rels/chart10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07.xml"/></Relationships>
</file>

<file path=xl/charts/_rels/chart10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08.xml"/></Relationships>
</file>

<file path=xl/charts/_rels/chart10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09.xml"/></Relationships>
</file>

<file path=xl/charts/_rels/chart10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10.xml"/></Relationships>
</file>

<file path=xl/charts/_rels/chart10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11.xml"/></Relationships>
</file>

<file path=xl/charts/_rels/chart11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12.xml"/></Relationships>
</file>

<file path=xl/charts/_rels/chart11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13.xml"/></Relationships>
</file>

<file path=xl/charts/_rels/chart11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14.xml"/></Relationships>
</file>

<file path=xl/charts/_rels/chart11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15.xml"/></Relationships>
</file>

<file path=xl/charts/_rels/chart11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16.xml"/></Relationships>
</file>

<file path=xl/charts/_rels/chart11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17.xml"/></Relationships>
</file>

<file path=xl/charts/_rels/chart11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18.xml"/></Relationships>
</file>

<file path=xl/charts/_rels/chart12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19.xml"/></Relationships>
</file>

<file path=xl/charts/_rels/chart12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20.xml"/></Relationships>
</file>

<file path=xl/charts/_rels/chart12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21.xml"/></Relationships>
</file>

<file path=xl/charts/_rels/chart12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22.xml"/></Relationships>
</file>

<file path=xl/charts/_rels/chart12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23.xml"/></Relationships>
</file>

<file path=xl/charts/_rels/chart12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24.xml"/></Relationships>
</file>

<file path=xl/charts/_rels/chart12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25.xml"/></Relationships>
</file>

<file path=xl/charts/_rels/chart12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26.xml"/></Relationships>
</file>

<file path=xl/charts/_rels/chart12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27.xml"/></Relationships>
</file>

<file path=xl/charts/_rels/chart13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28.xml"/></Relationships>
</file>

<file path=xl/charts/_rels/chart13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29.xml"/></Relationships>
</file>

<file path=xl/charts/_rels/chart13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30.xml"/></Relationships>
</file>

<file path=xl/charts/_rels/chart13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31.xml"/></Relationships>
</file>

<file path=xl/charts/_rels/chart13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32.xml"/></Relationships>
</file>

<file path=xl/charts/_rels/chart13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33.xml"/></Relationships>
</file>

<file path=xl/charts/_rels/chart13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34.xml"/></Relationships>
</file>

<file path=xl/charts/_rels/chart13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35.xml"/></Relationships>
</file>

<file path=xl/charts/_rels/chart13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37.xml"/></Relationships>
</file>

<file path=xl/charts/_rels/chart13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38.xml"/></Relationships>
</file>

<file path=xl/charts/_rels/chart14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39.xml"/></Relationships>
</file>

<file path=xl/charts/_rels/chart14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41.xml"/></Relationships>
</file>

<file path=xl/charts/_rels/chart14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42.xml"/></Relationships>
</file>

<file path=xl/charts/_rels/chart14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43.xml"/></Relationships>
</file>

<file path=xl/charts/_rels/chart14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44.xml"/></Relationships>
</file>

<file path=xl/charts/_rels/chart14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45.xml"/></Relationships>
</file>

<file path=xl/charts/_rels/chart14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46.xml"/></Relationships>
</file>

<file path=xl/charts/_rels/chart15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47.xml"/></Relationships>
</file>

<file path=xl/charts/_rels/chart15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48.xml"/></Relationships>
</file>

<file path=xl/charts/_rels/chart15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49.xml"/></Relationships>
</file>

<file path=xl/charts/_rels/chart15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51.xml"/></Relationships>
</file>

<file path=xl/charts/_rels/chart15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52.xml"/></Relationships>
</file>

<file path=xl/charts/_rels/chart15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53.xml"/></Relationships>
</file>

<file path=xl/charts/_rels/chart16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54.xml"/></Relationships>
</file>

<file path=xl/charts/_rels/chart16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55.xml"/></Relationships>
</file>

<file path=xl/charts/_rels/chart16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56.xml"/></Relationships>
</file>

<file path=xl/charts/_rels/chart16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57.xml"/></Relationships>
</file>

<file path=xl/charts/_rels/chart16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58.xml"/></Relationships>
</file>

<file path=xl/charts/_rels/chart16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59.xml"/></Relationships>
</file>

<file path=xl/charts/_rels/chart16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60.xml"/></Relationships>
</file>

<file path=xl/charts/_rels/chart16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61.xml"/></Relationships>
</file>

<file path=xl/charts/_rels/chart16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62.xml"/></Relationships>
</file>

<file path=xl/charts/_rels/chart16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64.xml"/></Relationships>
</file>

<file path=xl/charts/_rels/chart17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65.xml"/></Relationships>
</file>

<file path=xl/charts/_rels/chart17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66.xml"/></Relationships>
</file>

<file path=xl/charts/_rels/chart17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67.xml"/></Relationships>
</file>

<file path=xl/charts/_rels/chart17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68.xml"/></Relationships>
</file>

<file path=xl/charts/_rels/chart17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69.xml"/></Relationships>
</file>

<file path=xl/charts/_rels/chart17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70.xml"/></Relationships>
</file>

<file path=xl/charts/_rels/chart17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71.xml"/></Relationships>
</file>

<file path=xl/charts/_rels/chart17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72.xml"/></Relationships>
</file>

<file path=xl/charts/_rels/chart17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73.xml"/></Relationships>
</file>

<file path=xl/charts/_rels/chart18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74.xml"/></Relationships>
</file>

<file path=xl/charts/_rels/chart18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75.xml"/></Relationships>
</file>

<file path=xl/charts/_rels/chart18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76.xml"/></Relationships>
</file>

<file path=xl/charts/_rels/chart18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77.xml"/></Relationships>
</file>

<file path=xl/charts/_rels/chart184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178.xml"/><Relationship Id="rId1" Type="http://schemas.openxmlformats.org/officeDocument/2006/relationships/themeOverride" Target="../theme/themeOverride1.xml"/></Relationships>
</file>

<file path=xl/charts/_rels/chart185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179.xml"/><Relationship Id="rId1" Type="http://schemas.openxmlformats.org/officeDocument/2006/relationships/themeOverride" Target="../theme/themeOverride2.xml"/></Relationships>
</file>

<file path=xl/charts/_rels/chart18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80.xml"/></Relationships>
</file>

<file path=xl/charts/_rels/chart18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83.xml"/></Relationships>
</file>

<file path=xl/charts/_rels/chart18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8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ru-RU" b="0"/>
              <a:t>ПРОГНОЗ</a:t>
            </a:r>
          </a:p>
        </c:rich>
      </c:tx>
      <c:layout>
        <c:manualLayout>
          <c:xMode val="edge"/>
          <c:yMode val="edge"/>
          <c:x val="0.73780585442089519"/>
          <c:y val="0.5999850292936415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6.7955520827072194E-2"/>
          <c:y val="2.5980106332862237E-2"/>
          <c:w val="0.89231544148584452"/>
          <c:h val="0.92957168046301963"/>
        </c:manualLayout>
      </c:layout>
      <c:scatterChart>
        <c:scatterStyle val="smoothMarker"/>
        <c:varyColors val="0"/>
        <c:ser>
          <c:idx val="0"/>
          <c:order val="0"/>
          <c:spPr>
            <a:ln w="76200"/>
          </c:spPr>
          <c:marker>
            <c:symbol val="none"/>
          </c:marker>
          <c:xVal>
            <c:numRef>
              <c:f>РЕЗУЛЬТАТЫ!$AD$13:$AD$34</c:f>
              <c:numCache>
                <c:formatCode>General</c:formatCode>
                <c:ptCount val="22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</c:numCache>
            </c:numRef>
          </c:xVal>
          <c:yVal>
            <c:numRef>
              <c:f>РЕЗУЛЬТАТЫ!$AE$13:$AE$34</c:f>
              <c:numCache>
                <c:formatCode>0.000</c:formatCode>
                <c:ptCount val="22"/>
                <c:pt idx="0">
                  <c:v>1</c:v>
                </c:pt>
                <c:pt idx="1">
                  <c:v>0.96399999999999997</c:v>
                </c:pt>
                <c:pt idx="2">
                  <c:v>0.97749600000000003</c:v>
                </c:pt>
                <c:pt idx="3">
                  <c:v>0.92568871200000002</c:v>
                </c:pt>
                <c:pt idx="4">
                  <c:v>0.98493278956800012</c:v>
                </c:pt>
                <c:pt idx="5">
                  <c:v>1.0834260685248003</c:v>
                </c:pt>
                <c:pt idx="6">
                  <c:v>1.138680798019565</c:v>
                </c:pt>
                <c:pt idx="7">
                  <c:v>1.1921987955264846</c:v>
                </c:pt>
                <c:pt idx="8">
                  <c:v>1.2792293075999179</c:v>
                </c:pt>
                <c:pt idx="9">
                  <c:v>1.3713338177471122</c:v>
                </c:pt>
                <c:pt idx="10">
                  <c:v>1.4590991820829273</c:v>
                </c:pt>
                <c:pt idx="11">
                  <c:v>1.5787453150137274</c:v>
                </c:pt>
                <c:pt idx="12">
                  <c:v>1.7129386667898943</c:v>
                </c:pt>
                <c:pt idx="13">
                  <c:v>1.8020114774629687</c:v>
                </c:pt>
                <c:pt idx="14">
                  <c:v>1.6596525707433942</c:v>
                </c:pt>
                <c:pt idx="15">
                  <c:v>1.7343369364268468</c:v>
                </c:pt>
                <c:pt idx="16">
                  <c:v>1.808913424693201</c:v>
                </c:pt>
                <c:pt idx="17">
                  <c:v>1.8750455190419226</c:v>
                </c:pt>
                <c:pt idx="18">
                  <c:v>1.9085217286102596</c:v>
                </c:pt>
                <c:pt idx="19">
                  <c:v>1.9226180848563927</c:v>
                </c:pt>
                <c:pt idx="20">
                  <c:v>1.8783978689046956</c:v>
                </c:pt>
                <c:pt idx="21">
                  <c:v>1.8821546646425049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8FC-4FA1-95AE-0FB6C4ECB127}"/>
            </c:ext>
          </c:extLst>
        </c:ser>
        <c:ser>
          <c:idx val="1"/>
          <c:order val="1"/>
          <c:spPr>
            <a:ln w="38100"/>
          </c:spPr>
          <c:marker>
            <c:symbol val="none"/>
          </c:marker>
          <c:xVal>
            <c:numRef>
              <c:f>РЕЗУЛЬТАТЫ!$AD$34:$AD$48</c:f>
              <c:numCache>
                <c:formatCode>General</c:formatCode>
                <c:ptCount val="15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  <c:pt idx="6">
                  <c:v>2022</c:v>
                </c:pt>
                <c:pt idx="7">
                  <c:v>2023</c:v>
                </c:pt>
                <c:pt idx="8">
                  <c:v>2024</c:v>
                </c:pt>
                <c:pt idx="9">
                  <c:v>2025</c:v>
                </c:pt>
                <c:pt idx="10">
                  <c:v>2026</c:v>
                </c:pt>
                <c:pt idx="11">
                  <c:v>2027</c:v>
                </c:pt>
                <c:pt idx="12">
                  <c:v>2028</c:v>
                </c:pt>
                <c:pt idx="13">
                  <c:v>2029</c:v>
                </c:pt>
                <c:pt idx="14">
                  <c:v>2030</c:v>
                </c:pt>
              </c:numCache>
            </c:numRef>
          </c:xVal>
          <c:yVal>
            <c:numRef>
              <c:f>РЕЗУЛЬТАТЫ!$AE$34:$AE$48</c:f>
              <c:numCache>
                <c:formatCode>0.000</c:formatCode>
                <c:ptCount val="15"/>
                <c:pt idx="0">
                  <c:v>1.8821546646425049</c:v>
                </c:pt>
                <c:pt idx="1">
                  <c:v>1.9160334486060699</c:v>
                </c:pt>
                <c:pt idx="2">
                  <c:v>1.96968238516704</c:v>
                </c:pt>
                <c:pt idx="3">
                  <c:v>2.0090760328703809</c:v>
                </c:pt>
                <c:pt idx="4">
                  <c:v>1.9488037518842694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88FC-4FA1-95AE-0FB6C4ECB127}"/>
            </c:ext>
          </c:extLst>
        </c:ser>
        <c:ser>
          <c:idx val="2"/>
          <c:order val="2"/>
          <c:spPr>
            <a:ln w="76200"/>
          </c:spPr>
          <c:marker>
            <c:symbol val="none"/>
          </c:marker>
          <c:xVal>
            <c:numRef>
              <c:f>РЕЗУЛЬТАТЫ!$AD$38:$AD$48</c:f>
              <c:numCache>
                <c:formatCode>General</c:formatCode>
                <c:ptCount val="1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</c:numCache>
            </c:numRef>
          </c:xVal>
          <c:yVal>
            <c:numRef>
              <c:f>РЕЗУЛЬТАТЫ!$AG$38:$AG$48</c:f>
              <c:numCache>
                <c:formatCode>0.000</c:formatCode>
                <c:ptCount val="11"/>
                <c:pt idx="0">
                  <c:v>2.0876247754015491</c:v>
                </c:pt>
                <c:pt idx="1">
                  <c:v>2.1780916658454892</c:v>
                </c:pt>
                <c:pt idx="2">
                  <c:v>2.2500009512133055</c:v>
                </c:pt>
                <c:pt idx="3">
                  <c:v>2.3205957758083766</c:v>
                </c:pt>
                <c:pt idx="4">
                  <c:v>2.3916750188928955</c:v>
                </c:pt>
                <c:pt idx="5">
                  <c:v>2.4644017832794307</c:v>
                </c:pt>
                <c:pt idx="6">
                  <c:v>2.5395525547672171</c:v>
                </c:pt>
                <c:pt idx="7">
                  <c:v>2.6176699223460349</c:v>
                </c:pt>
                <c:pt idx="8">
                  <c:v>2.6991562757578107</c:v>
                </c:pt>
                <c:pt idx="9">
                  <c:v>2.7843313683147004</c:v>
                </c:pt>
                <c:pt idx="10">
                  <c:v>2.8734677511818374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563-4AC7-856A-88D80029B1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497280"/>
        <c:axId val="120498816"/>
      </c:scatterChart>
      <c:valAx>
        <c:axId val="120497280"/>
        <c:scaling>
          <c:orientation val="minMax"/>
          <c:max val="2030"/>
          <c:min val="1995"/>
        </c:scaling>
        <c:delete val="0"/>
        <c:axPos val="b"/>
        <c:numFmt formatCode="#,##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20498816"/>
        <c:crosses val="autoZero"/>
        <c:crossBetween val="midCat"/>
        <c:majorUnit val="5"/>
      </c:valAx>
      <c:valAx>
        <c:axId val="120498816"/>
        <c:scaling>
          <c:orientation val="minMax"/>
          <c:max val="2.5"/>
          <c:min val="0.5"/>
        </c:scaling>
        <c:delete val="0"/>
        <c:axPos val="l"/>
        <c:majorGridlines/>
        <c:numFmt formatCode="0.0" sourceLinked="0"/>
        <c:majorTickMark val="out"/>
        <c:minorTickMark val="none"/>
        <c:tickLblPos val="nextTo"/>
        <c:txPr>
          <a:bodyPr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20497280"/>
        <c:crosses val="autoZero"/>
        <c:crossBetween val="midCat"/>
        <c:majorUnit val="0.5"/>
      </c:valAx>
      <c:spPr>
        <a:solidFill>
          <a:sysClr val="window" lastClr="FFFFFF"/>
        </a:solidFill>
      </c:spPr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2800"/>
            </a:pPr>
            <a:r>
              <a:rPr lang="en-US" sz="2800"/>
              <a:t>pW</a:t>
            </a:r>
            <a:endParaRPr lang="ru-RU" sz="2800"/>
          </a:p>
        </c:rich>
      </c:tx>
      <c:layout>
        <c:manualLayout>
          <c:xMode val="edge"/>
          <c:yMode val="edge"/>
          <c:x val="7.3912684901966508E-2"/>
          <c:y val="4.0584532580944417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6.1657384032982897E-2"/>
          <c:y val="3.0512364115405116E-2"/>
          <c:w val="0.90308770243222136"/>
          <c:h val="0.91527890352118391"/>
        </c:manualLayout>
      </c:layout>
      <c:scatterChart>
        <c:scatterStyle val="smoothMarker"/>
        <c:varyColors val="0"/>
        <c:ser>
          <c:idx val="0"/>
          <c:order val="0"/>
          <c:spPr>
            <a:ln w="130175">
              <a:solidFill>
                <a:schemeClr val="accent4">
                  <a:lumMod val="75000"/>
                  <a:alpha val="67000"/>
                </a:schemeClr>
              </a:solidFill>
            </a:ln>
          </c:spPr>
          <c:marker>
            <c:symbol val="none"/>
          </c:marker>
          <c:xVal>
            <c:numRef>
              <c:f>РЕЗУЛЬТАТЫ!$G$13:$G$38</c:f>
              <c:numCache>
                <c:formatCode>General</c:formatCode>
                <c:ptCount val="26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</c:numCache>
            </c:numRef>
          </c:xVal>
          <c:yVal>
            <c:numRef>
              <c:f>РЕЗУЛЬТАТЫ!$H$13:$H$38</c:f>
              <c:numCache>
                <c:formatCode>0.000</c:formatCode>
                <c:ptCount val="26"/>
                <c:pt idx="0">
                  <c:v>0.95899999999999996</c:v>
                </c:pt>
                <c:pt idx="1">
                  <c:v>0.96399999999999997</c:v>
                </c:pt>
                <c:pt idx="2">
                  <c:v>1.014</c:v>
                </c:pt>
                <c:pt idx="3">
                  <c:v>0.94699999999999995</c:v>
                </c:pt>
                <c:pt idx="4">
                  <c:v>1.0640000000000001</c:v>
                </c:pt>
                <c:pt idx="5">
                  <c:v>1.1000000000000001</c:v>
                </c:pt>
                <c:pt idx="6">
                  <c:v>1.0509999999999999</c:v>
                </c:pt>
                <c:pt idx="7">
                  <c:v>1.0469999999999999</c:v>
                </c:pt>
                <c:pt idx="8">
                  <c:v>1.073</c:v>
                </c:pt>
                <c:pt idx="9">
                  <c:v>1.0720000000000001</c:v>
                </c:pt>
                <c:pt idx="10">
                  <c:v>1.0640000000000001</c:v>
                </c:pt>
                <c:pt idx="11">
                  <c:v>1.0820000000000001</c:v>
                </c:pt>
                <c:pt idx="12">
                  <c:v>1.085</c:v>
                </c:pt>
                <c:pt idx="13">
                  <c:v>1.052</c:v>
                </c:pt>
                <c:pt idx="14">
                  <c:v>0.92100000000000004</c:v>
                </c:pt>
                <c:pt idx="15">
                  <c:v>1.0449999999999999</c:v>
                </c:pt>
                <c:pt idx="16">
                  <c:v>1.0429999999999999</c:v>
                </c:pt>
                <c:pt idx="17">
                  <c:v>1.0365590157306384</c:v>
                </c:pt>
                <c:pt idx="18">
                  <c:v>1.0178535450091057</c:v>
                </c:pt>
                <c:pt idx="19">
                  <c:v>1.0073860077330101</c:v>
                </c:pt>
                <c:pt idx="20">
                  <c:v>0.97699999999999998</c:v>
                </c:pt>
                <c:pt idx="21">
                  <c:v>1.002</c:v>
                </c:pt>
                <c:pt idx="22">
                  <c:v>1.018</c:v>
                </c:pt>
                <c:pt idx="23">
                  <c:v>1.028</c:v>
                </c:pt>
                <c:pt idx="24">
                  <c:v>1.02</c:v>
                </c:pt>
                <c:pt idx="25">
                  <c:v>0.97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E16-4506-9AF7-302145A4BE80}"/>
            </c:ext>
          </c:extLst>
        </c:ser>
        <c:ser>
          <c:idx val="1"/>
          <c:order val="1"/>
          <c:spPr>
            <a:ln w="38100"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РЕЗУЛЬТАТЫ!$G$35:$G$53</c:f>
              <c:numCache>
                <c:formatCode>General</c:formatCode>
                <c:ptCount val="19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  <c:pt idx="4">
                  <c:v>2021</c:v>
                </c:pt>
                <c:pt idx="5">
                  <c:v>2022</c:v>
                </c:pt>
                <c:pt idx="6">
                  <c:v>2023</c:v>
                </c:pt>
                <c:pt idx="7">
                  <c:v>2024</c:v>
                </c:pt>
                <c:pt idx="8">
                  <c:v>2025</c:v>
                </c:pt>
                <c:pt idx="9">
                  <c:v>2026</c:v>
                </c:pt>
                <c:pt idx="10">
                  <c:v>2027</c:v>
                </c:pt>
                <c:pt idx="11">
                  <c:v>2028</c:v>
                </c:pt>
                <c:pt idx="12">
                  <c:v>2029</c:v>
                </c:pt>
                <c:pt idx="13">
                  <c:v>2030</c:v>
                </c:pt>
                <c:pt idx="14">
                  <c:v>2031</c:v>
                </c:pt>
                <c:pt idx="15">
                  <c:v>2032</c:v>
                </c:pt>
                <c:pt idx="16">
                  <c:v>2033</c:v>
                </c:pt>
                <c:pt idx="17">
                  <c:v>2034</c:v>
                </c:pt>
                <c:pt idx="18">
                  <c:v>2035</c:v>
                </c:pt>
              </c:numCache>
            </c:numRef>
          </c:xVal>
          <c:yVal>
            <c:numRef>
              <c:f>РЕЗУЛЬТАТЫ!$I$35:$I$53</c:f>
              <c:numCache>
                <c:formatCode>0.000</c:formatCode>
                <c:ptCount val="19"/>
                <c:pt idx="1">
                  <c:v>1.028</c:v>
                </c:pt>
                <c:pt idx="2">
                  <c:v>1.0339048492770562</c:v>
                </c:pt>
                <c:pt idx="3">
                  <c:v>1.0251222715363595</c:v>
                </c:pt>
                <c:pt idx="4">
                  <c:v>1.0433348423097437</c:v>
                </c:pt>
                <c:pt idx="5">
                  <c:v>1.0330148113118567</c:v>
                </c:pt>
                <c:pt idx="6">
                  <c:v>1.031375464333472</c:v>
                </c:pt>
                <c:pt idx="7">
                  <c:v>1.0306297390633483</c:v>
                </c:pt>
                <c:pt idx="8">
                  <c:v>1.0304082970353559</c:v>
                </c:pt>
                <c:pt idx="9">
                  <c:v>1.0304945289350431</c:v>
                </c:pt>
                <c:pt idx="10">
                  <c:v>1.0307602878436899</c:v>
                </c:pt>
                <c:pt idx="11">
                  <c:v>1.0311293462617874</c:v>
                </c:pt>
                <c:pt idx="12">
                  <c:v>1.0315561915854523</c:v>
                </c:pt>
                <c:pt idx="13">
                  <c:v>1.0320135684572234</c:v>
                </c:pt>
                <c:pt idx="14">
                  <c:v>1.0324851053006443</c:v>
                </c:pt>
                <c:pt idx="15">
                  <c:v>1.0329609310272501</c:v>
                </c:pt>
                <c:pt idx="16">
                  <c:v>1.0334350628752269</c:v>
                </c:pt>
                <c:pt idx="17">
                  <c:v>1.0339038477250333</c:v>
                </c:pt>
                <c:pt idx="18">
                  <c:v>1.0343650315354116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752-4FE8-BBFB-27F592DA86EB}"/>
            </c:ext>
          </c:extLst>
        </c:ser>
        <c:ser>
          <c:idx val="2"/>
          <c:order val="2"/>
          <c:spPr>
            <a:ln w="76200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РЕЗУЛЬТАТЫ!$G$13:$G$53</c:f>
              <c:numCache>
                <c:formatCode>General</c:formatCode>
                <c:ptCount val="41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  <c:pt idx="36">
                  <c:v>2031</c:v>
                </c:pt>
                <c:pt idx="37">
                  <c:v>2032</c:v>
                </c:pt>
                <c:pt idx="38">
                  <c:v>2033</c:v>
                </c:pt>
                <c:pt idx="39">
                  <c:v>2034</c:v>
                </c:pt>
                <c:pt idx="40">
                  <c:v>2035</c:v>
                </c:pt>
              </c:numCache>
            </c:numRef>
          </c:xVal>
          <c:yVal>
            <c:numRef>
              <c:f>РЕЗУЛЬТАТЫ!$J$13:$J$53</c:f>
              <c:numCache>
                <c:formatCode>General</c:formatCode>
                <c:ptCount val="41"/>
                <c:pt idx="25" formatCode="0.000">
                  <c:v>0.97</c:v>
                </c:pt>
                <c:pt idx="26" formatCode="0.000">
                  <c:v>1.0289999999999999</c:v>
                </c:pt>
                <c:pt idx="27" formatCode="0.000">
                  <c:v>1.032</c:v>
                </c:pt>
                <c:pt idx="28" formatCode="0.000">
                  <c:v>1.03</c:v>
                </c:pt>
                <c:pt idx="29" formatCode="0.000">
                  <c:v>1.03</c:v>
                </c:pt>
                <c:pt idx="30" formatCode="0.000">
                  <c:v>1.03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F3F-4AA3-97D6-BF181064AF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5764352"/>
        <c:axId val="145765888"/>
      </c:scatterChart>
      <c:valAx>
        <c:axId val="145764352"/>
        <c:scaling>
          <c:orientation val="minMax"/>
          <c:max val="2035"/>
          <c:min val="1995"/>
        </c:scaling>
        <c:delete val="0"/>
        <c:axPos val="b"/>
        <c:numFmt formatCode="#,##0" sourceLinked="0"/>
        <c:majorTickMark val="in"/>
        <c:minorTickMark val="none"/>
        <c:tickLblPos val="nextTo"/>
        <c:spPr>
          <a:ln/>
        </c:spPr>
        <c:txPr>
          <a:bodyPr rot="0" vert="horz"/>
          <a:lstStyle/>
          <a:p>
            <a:pPr>
              <a:defRPr sz="18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45765888"/>
        <c:crosses val="autoZero"/>
        <c:crossBetween val="midCat"/>
        <c:majorUnit val="5"/>
      </c:valAx>
      <c:valAx>
        <c:axId val="145765888"/>
        <c:scaling>
          <c:orientation val="minMax"/>
          <c:max val="1.2"/>
          <c:min val="0.85000000000000064"/>
        </c:scaling>
        <c:delete val="0"/>
        <c:axPos val="l"/>
        <c:majorGridlines/>
        <c:numFmt formatCode="0.00" sourceLinked="0"/>
        <c:majorTickMark val="out"/>
        <c:minorTickMark val="none"/>
        <c:tickLblPos val="nextTo"/>
        <c:txPr>
          <a:bodyPr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45764352"/>
        <c:crosses val="autoZero"/>
        <c:crossBetween val="midCat"/>
        <c:majorUnit val="5.0000000000000024E-2"/>
      </c:valAx>
      <c:spPr>
        <a:solidFill>
          <a:sysClr val="window" lastClr="FFFFFF"/>
        </a:solidFill>
      </c:spPr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2800"/>
            </a:pPr>
            <a:r>
              <a:rPr lang="en-US" sz="3200"/>
              <a:t>Pw</a:t>
            </a:r>
            <a:endParaRPr lang="ru-RU" sz="3200"/>
          </a:p>
        </c:rich>
      </c:tx>
      <c:layout>
        <c:manualLayout>
          <c:xMode val="edge"/>
          <c:yMode val="edge"/>
          <c:x val="9.9542897983531026E-2"/>
          <c:y val="4.4532947718814324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4.7287403294574371E-2"/>
          <c:y val="3.0575817750142988E-2"/>
          <c:w val="0.90308770243222136"/>
          <c:h val="0.91527890352118391"/>
        </c:manualLayout>
      </c:layout>
      <c:scatterChart>
        <c:scatterStyle val="smoothMarker"/>
        <c:varyColors val="0"/>
        <c:ser>
          <c:idx val="0"/>
          <c:order val="0"/>
          <c:spPr>
            <a:ln w="104775">
              <a:solidFill>
                <a:srgbClr val="00B0F0">
                  <a:alpha val="61000"/>
                </a:srgbClr>
              </a:solidFill>
            </a:ln>
          </c:spPr>
          <c:marker>
            <c:symbol val="none"/>
          </c:marker>
          <c:xVal>
            <c:numRef>
              <c:f>РЕЗУЛЬТАТЫ!$AD$13:$AD$36</c:f>
              <c:numCache>
                <c:formatCode>General</c:formatCode>
                <c:ptCount val="24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</c:numCache>
            </c:numRef>
          </c:xVal>
          <c:yVal>
            <c:numRef>
              <c:f>РЕЗУЛЬТАТЫ!$AE$13:$AE$36</c:f>
              <c:numCache>
                <c:formatCode>0.000</c:formatCode>
                <c:ptCount val="24"/>
                <c:pt idx="0">
                  <c:v>1</c:v>
                </c:pt>
                <c:pt idx="1">
                  <c:v>0.96399999999999997</c:v>
                </c:pt>
                <c:pt idx="2">
                  <c:v>0.97749600000000003</c:v>
                </c:pt>
                <c:pt idx="3">
                  <c:v>0.92568871200000002</c:v>
                </c:pt>
                <c:pt idx="4">
                  <c:v>0.98493278956800012</c:v>
                </c:pt>
                <c:pt idx="5">
                  <c:v>1.0834260685248003</c:v>
                </c:pt>
                <c:pt idx="6">
                  <c:v>1.138680798019565</c:v>
                </c:pt>
                <c:pt idx="7">
                  <c:v>1.1921987955264846</c:v>
                </c:pt>
                <c:pt idx="8">
                  <c:v>1.2792293075999179</c:v>
                </c:pt>
                <c:pt idx="9">
                  <c:v>1.3713338177471122</c:v>
                </c:pt>
                <c:pt idx="10">
                  <c:v>1.4590991820829273</c:v>
                </c:pt>
                <c:pt idx="11">
                  <c:v>1.5787453150137274</c:v>
                </c:pt>
                <c:pt idx="12">
                  <c:v>1.7129386667898943</c:v>
                </c:pt>
                <c:pt idx="13">
                  <c:v>1.8020114774629687</c:v>
                </c:pt>
                <c:pt idx="14">
                  <c:v>1.6596525707433942</c:v>
                </c:pt>
                <c:pt idx="15">
                  <c:v>1.7343369364268468</c:v>
                </c:pt>
                <c:pt idx="16">
                  <c:v>1.808913424693201</c:v>
                </c:pt>
                <c:pt idx="17">
                  <c:v>1.8750455190419226</c:v>
                </c:pt>
                <c:pt idx="18">
                  <c:v>1.9085217286102596</c:v>
                </c:pt>
                <c:pt idx="19">
                  <c:v>1.9226180848563927</c:v>
                </c:pt>
                <c:pt idx="20">
                  <c:v>1.8783978689046956</c:v>
                </c:pt>
                <c:pt idx="21">
                  <c:v>1.8821546646425049</c:v>
                </c:pt>
                <c:pt idx="22">
                  <c:v>1.9160334486060699</c:v>
                </c:pt>
                <c:pt idx="23">
                  <c:v>1.96968238516704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C33-4F31-B397-0D1985FE1D4F}"/>
            </c:ext>
          </c:extLst>
        </c:ser>
        <c:ser>
          <c:idx val="1"/>
          <c:order val="1"/>
          <c:spPr>
            <a:ln w="25400"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РЕЗУЛЬТАТЫ!$AD$34:$AD$53</c:f>
              <c:numCache>
                <c:formatCode>General</c:formatCode>
                <c:ptCount val="20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  <c:pt idx="6">
                  <c:v>2022</c:v>
                </c:pt>
                <c:pt idx="7">
                  <c:v>2023</c:v>
                </c:pt>
                <c:pt idx="8">
                  <c:v>2024</c:v>
                </c:pt>
                <c:pt idx="9">
                  <c:v>2025</c:v>
                </c:pt>
                <c:pt idx="10">
                  <c:v>2026</c:v>
                </c:pt>
                <c:pt idx="11">
                  <c:v>2027</c:v>
                </c:pt>
                <c:pt idx="12">
                  <c:v>2028</c:v>
                </c:pt>
                <c:pt idx="13">
                  <c:v>2029</c:v>
                </c:pt>
                <c:pt idx="14">
                  <c:v>2030</c:v>
                </c:pt>
                <c:pt idx="15">
                  <c:v>2031</c:v>
                </c:pt>
                <c:pt idx="16">
                  <c:v>2032</c:v>
                </c:pt>
                <c:pt idx="17">
                  <c:v>2033</c:v>
                </c:pt>
                <c:pt idx="18">
                  <c:v>2034</c:v>
                </c:pt>
                <c:pt idx="19">
                  <c:v>2035</c:v>
                </c:pt>
              </c:numCache>
            </c:numRef>
          </c:xVal>
          <c:yVal>
            <c:numRef>
              <c:f>РЕЗУЛЬТАТЫ!$AG$34:$AG$53</c:f>
              <c:numCache>
                <c:formatCode>0.000</c:formatCode>
                <c:ptCount val="20"/>
                <c:pt idx="2">
                  <c:v>1.96968238516704</c:v>
                </c:pt>
                <c:pt idx="3">
                  <c:v>2.0364641695598009</c:v>
                </c:pt>
                <c:pt idx="4">
                  <c:v>2.0876247754015491</c:v>
                </c:pt>
                <c:pt idx="5">
                  <c:v>2.1780916658454892</c:v>
                </c:pt>
                <c:pt idx="6">
                  <c:v>2.2500009512133055</c:v>
                </c:pt>
                <c:pt idx="7">
                  <c:v>2.3205957758083766</c:v>
                </c:pt>
                <c:pt idx="8">
                  <c:v>2.3916750188928955</c:v>
                </c:pt>
                <c:pt idx="9">
                  <c:v>2.4644017832794307</c:v>
                </c:pt>
                <c:pt idx="10">
                  <c:v>2.5395525547672171</c:v>
                </c:pt>
                <c:pt idx="11">
                  <c:v>2.6176699223460349</c:v>
                </c:pt>
                <c:pt idx="12">
                  <c:v>2.6991562757578107</c:v>
                </c:pt>
                <c:pt idx="13">
                  <c:v>2.7843313683147004</c:v>
                </c:pt>
                <c:pt idx="14">
                  <c:v>2.8734677511818374</c:v>
                </c:pt>
                <c:pt idx="15">
                  <c:v>2.966812653656985</c:v>
                </c:pt>
                <c:pt idx="16">
                  <c:v>3.0646015609049457</c:v>
                </c:pt>
                <c:pt idx="17">
                  <c:v>3.1670667067813212</c:v>
                </c:pt>
                <c:pt idx="18">
                  <c:v>3.2744424541430575</c:v>
                </c:pt>
                <c:pt idx="19">
                  <c:v>3.3869687723405741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45C-412B-A4A5-14797F9B9B01}"/>
            </c:ext>
          </c:extLst>
        </c:ser>
        <c:ser>
          <c:idx val="2"/>
          <c:order val="2"/>
          <c:marker>
            <c:symbol val="none"/>
          </c:marker>
          <c:trendline>
            <c:spPr>
              <a:ln w="22225">
                <a:prstDash val="lgDash"/>
              </a:ln>
            </c:spPr>
            <c:trendlineType val="linear"/>
            <c:forward val="15"/>
            <c:dispRSqr val="0"/>
            <c:dispEq val="0"/>
          </c:trendline>
          <c:xVal>
            <c:numRef>
              <c:f>РЕЗУЛЬТАТЫ!$AD$16:$AD$26</c:f>
              <c:numCache>
                <c:formatCode>General</c:formatCode>
                <c:ptCount val="11"/>
                <c:pt idx="0">
                  <c:v>1998</c:v>
                </c:pt>
                <c:pt idx="1">
                  <c:v>1999</c:v>
                </c:pt>
                <c:pt idx="2">
                  <c:v>2000</c:v>
                </c:pt>
                <c:pt idx="3">
                  <c:v>2001</c:v>
                </c:pt>
                <c:pt idx="4">
                  <c:v>2002</c:v>
                </c:pt>
                <c:pt idx="5">
                  <c:v>2003</c:v>
                </c:pt>
                <c:pt idx="6">
                  <c:v>2004</c:v>
                </c:pt>
                <c:pt idx="7">
                  <c:v>2005</c:v>
                </c:pt>
                <c:pt idx="8">
                  <c:v>2006</c:v>
                </c:pt>
                <c:pt idx="9">
                  <c:v>2007</c:v>
                </c:pt>
                <c:pt idx="10">
                  <c:v>2008</c:v>
                </c:pt>
              </c:numCache>
            </c:numRef>
          </c:xVal>
          <c:yVal>
            <c:numRef>
              <c:f>РЕЗУЛЬТАТЫ!$AF$16:$AF$26</c:f>
              <c:numCache>
                <c:formatCode>General</c:formatCode>
                <c:ptCount val="11"/>
                <c:pt idx="2" formatCode="0.000">
                  <c:v>1.0834260685248003</c:v>
                </c:pt>
                <c:pt idx="3" formatCode="0.000">
                  <c:v>1.138680798019565</c:v>
                </c:pt>
                <c:pt idx="4" formatCode="0.000">
                  <c:v>1.1921987955264846</c:v>
                </c:pt>
                <c:pt idx="5" formatCode="0.000">
                  <c:v>1.2792293075999179</c:v>
                </c:pt>
                <c:pt idx="6" formatCode="0.000">
                  <c:v>1.3713338177471122</c:v>
                </c:pt>
                <c:pt idx="7" formatCode="0.000">
                  <c:v>1.4590991820829273</c:v>
                </c:pt>
                <c:pt idx="8" formatCode="0.000">
                  <c:v>1.5787453150137274</c:v>
                </c:pt>
                <c:pt idx="9" formatCode="0.000">
                  <c:v>1.7129386667898943</c:v>
                </c:pt>
                <c:pt idx="10" formatCode="0.000">
                  <c:v>1.8020114774629687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B3A-486B-A65A-3DC1AC1D9A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5846272"/>
        <c:axId val="145847808"/>
      </c:scatterChart>
      <c:valAx>
        <c:axId val="145846272"/>
        <c:scaling>
          <c:orientation val="minMax"/>
          <c:max val="2035"/>
          <c:min val="1995"/>
        </c:scaling>
        <c:delete val="0"/>
        <c:axPos val="b"/>
        <c:numFmt formatCode="#,##0" sourceLinked="0"/>
        <c:majorTickMark val="in"/>
        <c:minorTickMark val="none"/>
        <c:tickLblPos val="nextTo"/>
        <c:spPr>
          <a:ln/>
        </c:spPr>
        <c:txPr>
          <a:bodyPr rot="0" vert="horz"/>
          <a:lstStyle/>
          <a:p>
            <a:pPr>
              <a:defRPr sz="18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45847808"/>
        <c:crosses val="autoZero"/>
        <c:crossBetween val="midCat"/>
        <c:majorUnit val="5"/>
      </c:valAx>
      <c:valAx>
        <c:axId val="145847808"/>
        <c:scaling>
          <c:orientation val="minMax"/>
          <c:max val="3"/>
          <c:min val="0.5"/>
        </c:scaling>
        <c:delete val="0"/>
        <c:axPos val="l"/>
        <c:majorGridlines/>
        <c:numFmt formatCode="0.0" sourceLinked="0"/>
        <c:majorTickMark val="out"/>
        <c:minorTickMark val="none"/>
        <c:tickLblPos val="nextTo"/>
        <c:txPr>
          <a:bodyPr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45846272"/>
        <c:crosses val="autoZero"/>
        <c:crossBetween val="midCat"/>
        <c:majorUnit val="0.5"/>
      </c:valAx>
      <c:spPr>
        <a:solidFill>
          <a:sysClr val="window" lastClr="FFFFFF"/>
        </a:solidFill>
      </c:spPr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ru-RU" b="0"/>
              <a:t>ПРОГНОЗ</a:t>
            </a:r>
          </a:p>
        </c:rich>
      </c:tx>
      <c:layout>
        <c:manualLayout>
          <c:xMode val="edge"/>
          <c:yMode val="edge"/>
          <c:x val="0.73780585442089519"/>
          <c:y val="0.5999850292936415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6.7955520827072194E-2"/>
          <c:y val="2.5980106332862237E-2"/>
          <c:w val="0.89231544148584452"/>
          <c:h val="0.92957168046301963"/>
        </c:manualLayout>
      </c:layout>
      <c:scatterChart>
        <c:scatterStyle val="smoothMarker"/>
        <c:varyColors val="0"/>
        <c:ser>
          <c:idx val="0"/>
          <c:order val="0"/>
          <c:spPr>
            <a:ln w="76200"/>
          </c:spPr>
          <c:marker>
            <c:symbol val="none"/>
          </c:marker>
          <c:xVal>
            <c:numRef>
              <c:f>РЕЗУЛЬТАТЫ!$AD$13:$AD$34</c:f>
              <c:numCache>
                <c:formatCode>General</c:formatCode>
                <c:ptCount val="22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</c:numCache>
            </c:numRef>
          </c:xVal>
          <c:yVal>
            <c:numRef>
              <c:f>РЕЗУЛЬТАТЫ!$AE$13:$AE$34</c:f>
              <c:numCache>
                <c:formatCode>0.000</c:formatCode>
                <c:ptCount val="22"/>
                <c:pt idx="0">
                  <c:v>1</c:v>
                </c:pt>
                <c:pt idx="1">
                  <c:v>0.96399999999999997</c:v>
                </c:pt>
                <c:pt idx="2">
                  <c:v>0.97749600000000003</c:v>
                </c:pt>
                <c:pt idx="3">
                  <c:v>0.92568871200000002</c:v>
                </c:pt>
                <c:pt idx="4">
                  <c:v>0.98493278956800012</c:v>
                </c:pt>
                <c:pt idx="5">
                  <c:v>1.0834260685248003</c:v>
                </c:pt>
                <c:pt idx="6">
                  <c:v>1.138680798019565</c:v>
                </c:pt>
                <c:pt idx="7">
                  <c:v>1.1921987955264846</c:v>
                </c:pt>
                <c:pt idx="8">
                  <c:v>1.2792293075999179</c:v>
                </c:pt>
                <c:pt idx="9">
                  <c:v>1.3713338177471122</c:v>
                </c:pt>
                <c:pt idx="10">
                  <c:v>1.4590991820829273</c:v>
                </c:pt>
                <c:pt idx="11">
                  <c:v>1.5787453150137274</c:v>
                </c:pt>
                <c:pt idx="12">
                  <c:v>1.7129386667898943</c:v>
                </c:pt>
                <c:pt idx="13">
                  <c:v>1.8020114774629687</c:v>
                </c:pt>
                <c:pt idx="14">
                  <c:v>1.6596525707433942</c:v>
                </c:pt>
                <c:pt idx="15">
                  <c:v>1.7343369364268468</c:v>
                </c:pt>
                <c:pt idx="16">
                  <c:v>1.808913424693201</c:v>
                </c:pt>
                <c:pt idx="17">
                  <c:v>1.8750455190419226</c:v>
                </c:pt>
                <c:pt idx="18">
                  <c:v>1.9085217286102596</c:v>
                </c:pt>
                <c:pt idx="19">
                  <c:v>1.9226180848563927</c:v>
                </c:pt>
                <c:pt idx="20">
                  <c:v>1.8783978689046956</c:v>
                </c:pt>
                <c:pt idx="21">
                  <c:v>1.8821546646425049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930-484E-A9B7-FF23DA26DECC}"/>
            </c:ext>
          </c:extLst>
        </c:ser>
        <c:ser>
          <c:idx val="1"/>
          <c:order val="1"/>
          <c:spPr>
            <a:ln w="38100"/>
          </c:spPr>
          <c:marker>
            <c:symbol val="none"/>
          </c:marker>
          <c:xVal>
            <c:numRef>
              <c:f>РЕЗУЛЬТАТЫ!$AD$34:$AD$48</c:f>
              <c:numCache>
                <c:formatCode>General</c:formatCode>
                <c:ptCount val="15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  <c:pt idx="6">
                  <c:v>2022</c:v>
                </c:pt>
                <c:pt idx="7">
                  <c:v>2023</c:v>
                </c:pt>
                <c:pt idx="8">
                  <c:v>2024</c:v>
                </c:pt>
                <c:pt idx="9">
                  <c:v>2025</c:v>
                </c:pt>
                <c:pt idx="10">
                  <c:v>2026</c:v>
                </c:pt>
                <c:pt idx="11">
                  <c:v>2027</c:v>
                </c:pt>
                <c:pt idx="12">
                  <c:v>2028</c:v>
                </c:pt>
                <c:pt idx="13">
                  <c:v>2029</c:v>
                </c:pt>
                <c:pt idx="14">
                  <c:v>2030</c:v>
                </c:pt>
              </c:numCache>
            </c:numRef>
          </c:xVal>
          <c:yVal>
            <c:numRef>
              <c:f>РЕЗУЛЬТАТЫ!$AE$34:$AE$48</c:f>
              <c:numCache>
                <c:formatCode>0.000</c:formatCode>
                <c:ptCount val="15"/>
                <c:pt idx="0">
                  <c:v>1.8821546646425049</c:v>
                </c:pt>
                <c:pt idx="1">
                  <c:v>1.9160334486060699</c:v>
                </c:pt>
                <c:pt idx="2">
                  <c:v>1.96968238516704</c:v>
                </c:pt>
                <c:pt idx="3">
                  <c:v>2.0090760328703809</c:v>
                </c:pt>
                <c:pt idx="4">
                  <c:v>1.9488037518842694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930-484E-A9B7-FF23DA26DECC}"/>
            </c:ext>
          </c:extLst>
        </c:ser>
        <c:ser>
          <c:idx val="2"/>
          <c:order val="2"/>
          <c:spPr>
            <a:ln w="76200"/>
          </c:spPr>
          <c:marker>
            <c:symbol val="none"/>
          </c:marker>
          <c:xVal>
            <c:numRef>
              <c:f>РЕЗУЛЬТАТЫ!$AD$38:$AD$48</c:f>
              <c:numCache>
                <c:formatCode>General</c:formatCode>
                <c:ptCount val="1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</c:numCache>
            </c:numRef>
          </c:xVal>
          <c:yVal>
            <c:numRef>
              <c:f>РЕЗУЛЬТАТЫ!$AG$38:$AG$48</c:f>
              <c:numCache>
                <c:formatCode>0.000</c:formatCode>
                <c:ptCount val="11"/>
                <c:pt idx="0">
                  <c:v>2.0876247754015491</c:v>
                </c:pt>
                <c:pt idx="1">
                  <c:v>2.1780916658454892</c:v>
                </c:pt>
                <c:pt idx="2">
                  <c:v>2.2500009512133055</c:v>
                </c:pt>
                <c:pt idx="3">
                  <c:v>2.3205957758083766</c:v>
                </c:pt>
                <c:pt idx="4">
                  <c:v>2.3916750188928955</c:v>
                </c:pt>
                <c:pt idx="5">
                  <c:v>2.4644017832794307</c:v>
                </c:pt>
                <c:pt idx="6">
                  <c:v>2.5395525547672171</c:v>
                </c:pt>
                <c:pt idx="7">
                  <c:v>2.6176699223460349</c:v>
                </c:pt>
                <c:pt idx="8">
                  <c:v>2.6991562757578107</c:v>
                </c:pt>
                <c:pt idx="9">
                  <c:v>2.7843313683147004</c:v>
                </c:pt>
                <c:pt idx="10">
                  <c:v>2.8734677511818374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930-484E-A9B7-FF23DA26DE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5889536"/>
        <c:axId val="145899520"/>
      </c:scatterChart>
      <c:valAx>
        <c:axId val="145889536"/>
        <c:scaling>
          <c:orientation val="minMax"/>
          <c:max val="2030"/>
          <c:min val="1995"/>
        </c:scaling>
        <c:delete val="0"/>
        <c:axPos val="b"/>
        <c:numFmt formatCode="#,##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45899520"/>
        <c:crosses val="autoZero"/>
        <c:crossBetween val="midCat"/>
        <c:majorUnit val="5"/>
      </c:valAx>
      <c:valAx>
        <c:axId val="145899520"/>
        <c:scaling>
          <c:orientation val="minMax"/>
          <c:max val="2.5"/>
          <c:min val="0.5"/>
        </c:scaling>
        <c:delete val="0"/>
        <c:axPos val="l"/>
        <c:majorGridlines/>
        <c:numFmt formatCode="0.0" sourceLinked="0"/>
        <c:majorTickMark val="out"/>
        <c:minorTickMark val="none"/>
        <c:tickLblPos val="nextTo"/>
        <c:txPr>
          <a:bodyPr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45889536"/>
        <c:crosses val="autoZero"/>
        <c:crossBetween val="midCat"/>
        <c:majorUnit val="0.5"/>
      </c:valAx>
      <c:spPr>
        <a:solidFill>
          <a:sysClr val="window" lastClr="FFFFFF"/>
        </a:solidFill>
      </c:spPr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2800"/>
            </a:pPr>
            <a:r>
              <a:rPr lang="en-US" sz="2800"/>
              <a:t>pIN</a:t>
            </a:r>
            <a:endParaRPr lang="ru-RU" sz="2800"/>
          </a:p>
        </c:rich>
      </c:tx>
      <c:layout>
        <c:manualLayout>
          <c:xMode val="edge"/>
          <c:yMode val="edge"/>
          <c:x val="0.10195723303057443"/>
          <c:y val="6.0058680032674124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6.1016676918420575E-2"/>
          <c:y val="1.2593299800511534E-2"/>
          <c:w val="0.90308770243222136"/>
          <c:h val="0.91527890352118391"/>
        </c:manualLayout>
      </c:layout>
      <c:scatterChart>
        <c:scatterStyle val="smoothMarker"/>
        <c:varyColors val="0"/>
        <c:ser>
          <c:idx val="0"/>
          <c:order val="0"/>
          <c:spPr>
            <a:ln w="139700">
              <a:solidFill>
                <a:schemeClr val="accent4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РЕЗУЛЬТАТЫ!$EG$13:$EG$37</c:f>
              <c:numCache>
                <c:formatCode>General</c:formatCode>
                <c:ptCount val="25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</c:numCache>
            </c:numRef>
          </c:xVal>
          <c:yVal>
            <c:numRef>
              <c:f>РЕЗУЛЬТАТЫ!$EH$13:$EH$37</c:f>
              <c:numCache>
                <c:formatCode>0.000</c:formatCode>
                <c:ptCount val="25"/>
                <c:pt idx="0">
                  <c:v>0.89900000000000002</c:v>
                </c:pt>
                <c:pt idx="1">
                  <c:v>0.81899999999999995</c:v>
                </c:pt>
                <c:pt idx="2">
                  <c:v>0.95</c:v>
                </c:pt>
                <c:pt idx="3">
                  <c:v>0.88</c:v>
                </c:pt>
                <c:pt idx="4">
                  <c:v>1.05</c:v>
                </c:pt>
                <c:pt idx="5">
                  <c:v>1.1739999999999999</c:v>
                </c:pt>
                <c:pt idx="6">
                  <c:v>1.1000000000000001</c:v>
                </c:pt>
                <c:pt idx="7">
                  <c:v>1.028</c:v>
                </c:pt>
                <c:pt idx="8">
                  <c:v>1.125</c:v>
                </c:pt>
                <c:pt idx="9">
                  <c:v>1.137</c:v>
                </c:pt>
                <c:pt idx="10">
                  <c:v>1.1020000000000001</c:v>
                </c:pt>
                <c:pt idx="11">
                  <c:v>1.167</c:v>
                </c:pt>
                <c:pt idx="12">
                  <c:v>1.2270000000000001</c:v>
                </c:pt>
                <c:pt idx="13">
                  <c:v>1.095</c:v>
                </c:pt>
                <c:pt idx="14">
                  <c:v>0.86499999999999999</c:v>
                </c:pt>
                <c:pt idx="15">
                  <c:v>1.0629999999999999</c:v>
                </c:pt>
                <c:pt idx="16">
                  <c:v>1.1080000000000001</c:v>
                </c:pt>
                <c:pt idx="17">
                  <c:v>1.0680000000000001</c:v>
                </c:pt>
                <c:pt idx="18">
                  <c:v>1.008</c:v>
                </c:pt>
                <c:pt idx="19">
                  <c:v>0.98499999999999999</c:v>
                </c:pt>
                <c:pt idx="20">
                  <c:v>0.89900000000000002</c:v>
                </c:pt>
                <c:pt idx="21">
                  <c:v>0.998</c:v>
                </c:pt>
                <c:pt idx="22">
                  <c:v>1.048</c:v>
                </c:pt>
                <c:pt idx="23">
                  <c:v>1.0429999999999999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067-40A3-9629-76493E763818}"/>
            </c:ext>
          </c:extLst>
        </c:ser>
        <c:ser>
          <c:idx val="1"/>
          <c:order val="1"/>
          <c:spPr>
            <a:ln w="57150">
              <a:solidFill>
                <a:schemeClr val="tx1"/>
              </a:solidFill>
              <a:prstDash val="dash"/>
            </a:ln>
          </c:spPr>
          <c:marker>
            <c:symbol val="none"/>
          </c:marker>
          <c:xVal>
            <c:numRef>
              <c:f>РЕЗУЛЬТАТЫ!$EG$33:$EG$53</c:f>
              <c:numCache>
                <c:formatCode>General</c:formatCode>
                <c:ptCount val="21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  <c:pt idx="8">
                  <c:v>2023</c:v>
                </c:pt>
                <c:pt idx="9">
                  <c:v>2024</c:v>
                </c:pt>
                <c:pt idx="10">
                  <c:v>2025</c:v>
                </c:pt>
                <c:pt idx="11">
                  <c:v>2026</c:v>
                </c:pt>
                <c:pt idx="12">
                  <c:v>2027</c:v>
                </c:pt>
                <c:pt idx="13">
                  <c:v>2028</c:v>
                </c:pt>
                <c:pt idx="14">
                  <c:v>2029</c:v>
                </c:pt>
                <c:pt idx="15">
                  <c:v>2030</c:v>
                </c:pt>
                <c:pt idx="16">
                  <c:v>2031</c:v>
                </c:pt>
                <c:pt idx="17">
                  <c:v>2032</c:v>
                </c:pt>
                <c:pt idx="18">
                  <c:v>2033</c:v>
                </c:pt>
                <c:pt idx="19">
                  <c:v>2034</c:v>
                </c:pt>
                <c:pt idx="20">
                  <c:v>2035</c:v>
                </c:pt>
              </c:numCache>
            </c:numRef>
          </c:xVal>
          <c:yVal>
            <c:numRef>
              <c:f>РЕЗУЛЬТАТЫ!$EI$33:$EI$53</c:f>
              <c:numCache>
                <c:formatCode>0.000</c:formatCode>
                <c:ptCount val="21"/>
                <c:pt idx="1">
                  <c:v>0.998</c:v>
                </c:pt>
                <c:pt idx="2">
                  <c:v>1.048</c:v>
                </c:pt>
                <c:pt idx="3">
                  <c:v>1.0429999999999999</c:v>
                </c:pt>
                <c:pt idx="4">
                  <c:v>1.0525529549215771</c:v>
                </c:pt>
                <c:pt idx="5">
                  <c:v>1.0403355003171391</c:v>
                </c:pt>
                <c:pt idx="6">
                  <c:v>1.0664608471760553</c:v>
                </c:pt>
                <c:pt idx="7">
                  <c:v>1.0503745970456615</c:v>
                </c:pt>
                <c:pt idx="8">
                  <c:v>1.0473390276932233</c:v>
                </c:pt>
                <c:pt idx="9">
                  <c:v>1.0456844513214165</c:v>
                </c:pt>
                <c:pt idx="10">
                  <c:v>1.0448250713327234</c:v>
                </c:pt>
                <c:pt idx="11">
                  <c:v>1.0444255367571784</c:v>
                </c:pt>
                <c:pt idx="12">
                  <c:v>1.0442915461258766</c:v>
                </c:pt>
                <c:pt idx="13">
                  <c:v>1.0443097582196408</c:v>
                </c:pt>
                <c:pt idx="14">
                  <c:v>1.0444138304702029</c:v>
                </c:pt>
                <c:pt idx="15">
                  <c:v>1.0445648849732616</c:v>
                </c:pt>
                <c:pt idx="16">
                  <c:v>1.0447401535127507</c:v>
                </c:pt>
                <c:pt idx="17">
                  <c:v>1.0449263353819387</c:v>
                </c:pt>
                <c:pt idx="18">
                  <c:v>1.0451156977627611</c:v>
                </c:pt>
                <c:pt idx="19">
                  <c:v>1.0453037816167496</c:v>
                </c:pt>
                <c:pt idx="20">
                  <c:v>1.0454880507740918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C91-4464-A349-31A7EB5440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5944576"/>
        <c:axId val="145946112"/>
      </c:scatterChart>
      <c:valAx>
        <c:axId val="145944576"/>
        <c:scaling>
          <c:orientation val="minMax"/>
          <c:max val="2035"/>
          <c:min val="1995"/>
        </c:scaling>
        <c:delete val="0"/>
        <c:axPos val="b"/>
        <c:numFmt formatCode="#,##0" sourceLinked="0"/>
        <c:majorTickMark val="in"/>
        <c:minorTickMark val="none"/>
        <c:tickLblPos val="nextTo"/>
        <c:spPr>
          <a:ln/>
        </c:spPr>
        <c:txPr>
          <a:bodyPr rot="0" vert="horz"/>
          <a:lstStyle/>
          <a:p>
            <a:pPr>
              <a:defRPr sz="18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45946112"/>
        <c:crosses val="autoZero"/>
        <c:crossBetween val="midCat"/>
        <c:majorUnit val="5"/>
      </c:valAx>
      <c:valAx>
        <c:axId val="145946112"/>
        <c:scaling>
          <c:orientation val="minMax"/>
          <c:max val="1.5"/>
          <c:min val="0.5"/>
        </c:scaling>
        <c:delete val="0"/>
        <c:axPos val="l"/>
        <c:majorGridlines/>
        <c:numFmt formatCode="0.00" sourceLinked="0"/>
        <c:majorTickMark val="out"/>
        <c:minorTickMark val="none"/>
        <c:tickLblPos val="nextTo"/>
        <c:txPr>
          <a:bodyPr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45944576"/>
        <c:crosses val="autoZero"/>
        <c:crossBetween val="midCat"/>
        <c:majorUnit val="0.25"/>
      </c:valAx>
      <c:spPr>
        <a:solidFill>
          <a:sysClr val="window" lastClr="FFFFFF"/>
        </a:solidFill>
      </c:spPr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2800"/>
            </a:pPr>
            <a:r>
              <a:rPr lang="en-US" sz="3200"/>
              <a:t>Pn</a:t>
            </a:r>
            <a:endParaRPr lang="ru-RU" sz="3200"/>
          </a:p>
        </c:rich>
      </c:tx>
      <c:layout>
        <c:manualLayout>
          <c:xMode val="edge"/>
          <c:yMode val="edge"/>
          <c:x val="9.9542897983531026E-2"/>
          <c:y val="4.4532947718814324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6.1657400263084146E-2"/>
          <c:y val="2.6680946709735805E-2"/>
          <c:w val="0.90308770243222136"/>
          <c:h val="0.91527890352118391"/>
        </c:manualLayout>
      </c:layout>
      <c:scatterChart>
        <c:scatterStyle val="smoothMarker"/>
        <c:varyColors val="0"/>
        <c:ser>
          <c:idx val="0"/>
          <c:order val="0"/>
          <c:spPr>
            <a:ln w="111125">
              <a:solidFill>
                <a:srgbClr val="00B050">
                  <a:alpha val="69000"/>
                </a:srgbClr>
              </a:solidFill>
            </a:ln>
          </c:spPr>
          <c:marker>
            <c:symbol val="none"/>
          </c:marker>
          <c:xVal>
            <c:numRef>
              <c:f>РЕЗУЛЬТАТЫ!$FC$13:$FC$36</c:f>
              <c:numCache>
                <c:formatCode>General</c:formatCode>
                <c:ptCount val="24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</c:numCache>
            </c:numRef>
          </c:xVal>
          <c:yVal>
            <c:numRef>
              <c:f>РЕЗУЛЬТАТЫ!$FD$13:$FD$36</c:f>
              <c:numCache>
                <c:formatCode>0.000</c:formatCode>
                <c:ptCount val="24"/>
                <c:pt idx="0">
                  <c:v>1</c:v>
                </c:pt>
                <c:pt idx="1">
                  <c:v>0.81899999999999995</c:v>
                </c:pt>
                <c:pt idx="2">
                  <c:v>0.77804999999999991</c:v>
                </c:pt>
                <c:pt idx="3">
                  <c:v>0.68468399999999996</c:v>
                </c:pt>
                <c:pt idx="4">
                  <c:v>0.71891819999999995</c:v>
                </c:pt>
                <c:pt idx="5">
                  <c:v>0.84400996679999984</c:v>
                </c:pt>
                <c:pt idx="6">
                  <c:v>0.92841096347999985</c:v>
                </c:pt>
                <c:pt idx="7">
                  <c:v>0.95440647045743987</c:v>
                </c:pt>
                <c:pt idx="8">
                  <c:v>1.0737072792646198</c:v>
                </c:pt>
                <c:pt idx="9">
                  <c:v>1.2208051765238728</c:v>
                </c:pt>
                <c:pt idx="10">
                  <c:v>1.3453273045293079</c:v>
                </c:pt>
                <c:pt idx="11">
                  <c:v>1.5699969643857024</c:v>
                </c:pt>
                <c:pt idx="12">
                  <c:v>1.9263862753012568</c:v>
                </c:pt>
                <c:pt idx="13">
                  <c:v>2.1093929714548763</c:v>
                </c:pt>
                <c:pt idx="14">
                  <c:v>1.8246249203084679</c:v>
                </c:pt>
                <c:pt idx="15">
                  <c:v>1.9395762902879012</c:v>
                </c:pt>
                <c:pt idx="16">
                  <c:v>2.1490505296389948</c:v>
                </c:pt>
                <c:pt idx="17">
                  <c:v>2.2951859656544467</c:v>
                </c:pt>
                <c:pt idx="18">
                  <c:v>2.313547453379682</c:v>
                </c:pt>
                <c:pt idx="19">
                  <c:v>2.2788442415789869</c:v>
                </c:pt>
                <c:pt idx="20">
                  <c:v>2.0486809731795095</c:v>
                </c:pt>
                <c:pt idx="21">
                  <c:v>2.0445836112331506</c:v>
                </c:pt>
                <c:pt idx="22">
                  <c:v>2.142723624572342</c:v>
                </c:pt>
                <c:pt idx="23">
                  <c:v>2.2348607404289527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F94-41DE-8322-F6A2859B2F22}"/>
            </c:ext>
          </c:extLst>
        </c:ser>
        <c:ser>
          <c:idx val="1"/>
          <c:order val="1"/>
          <c:spPr>
            <a:ln w="41275"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РЕЗУЛЬТАТЫ!$FC$34:$FC$53</c:f>
              <c:numCache>
                <c:formatCode>General</c:formatCode>
                <c:ptCount val="20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  <c:pt idx="6">
                  <c:v>2022</c:v>
                </c:pt>
                <c:pt idx="7">
                  <c:v>2023</c:v>
                </c:pt>
                <c:pt idx="8">
                  <c:v>2024</c:v>
                </c:pt>
                <c:pt idx="9">
                  <c:v>2025</c:v>
                </c:pt>
                <c:pt idx="10">
                  <c:v>2026</c:v>
                </c:pt>
                <c:pt idx="11">
                  <c:v>2027</c:v>
                </c:pt>
                <c:pt idx="12">
                  <c:v>2028</c:v>
                </c:pt>
                <c:pt idx="13">
                  <c:v>2029</c:v>
                </c:pt>
                <c:pt idx="14">
                  <c:v>2030</c:v>
                </c:pt>
                <c:pt idx="15">
                  <c:v>2031</c:v>
                </c:pt>
                <c:pt idx="16">
                  <c:v>2032</c:v>
                </c:pt>
                <c:pt idx="17">
                  <c:v>2033</c:v>
                </c:pt>
                <c:pt idx="18">
                  <c:v>2034</c:v>
                </c:pt>
                <c:pt idx="19">
                  <c:v>2035</c:v>
                </c:pt>
              </c:numCache>
            </c:numRef>
          </c:xVal>
          <c:yVal>
            <c:numRef>
              <c:f>РЕЗУЛЬТАТЫ!$FE$34:$FE$53</c:f>
              <c:numCache>
                <c:formatCode>0.000</c:formatCode>
                <c:ptCount val="20"/>
                <c:pt idx="0">
                  <c:v>2.0445836112331506</c:v>
                </c:pt>
                <c:pt idx="1">
                  <c:v>2.142723624572342</c:v>
                </c:pt>
                <c:pt idx="2">
                  <c:v>2.2348607404289527</c:v>
                </c:pt>
                <c:pt idx="3">
                  <c:v>2.3523092761767179</c:v>
                </c:pt>
                <c:pt idx="4">
                  <c:v>2.4471908477319531</c:v>
                </c:pt>
                <c:pt idx="5">
                  <c:v>2.6098332246737077</c:v>
                </c:pt>
                <c:pt idx="6">
                  <c:v>2.7413025217230254</c:v>
                </c:pt>
                <c:pt idx="7">
                  <c:v>2.8710731177143747</c:v>
                </c:pt>
                <c:pt idx="8">
                  <c:v>3.0022365178008243</c:v>
                </c:pt>
                <c:pt idx="9">
                  <c:v>3.1368119838689532</c:v>
                </c:pt>
                <c:pt idx="10">
                  <c:v>3.2761665399586812</c:v>
                </c:pt>
                <c:pt idx="11">
                  <c:v>3.4212730213793159</c:v>
                </c:pt>
                <c:pt idx="12">
                  <c:v>3.5728688017600128</c:v>
                </c:pt>
                <c:pt idx="13">
                  <c:v>3.7315535910136588</c:v>
                </c:pt>
                <c:pt idx="14">
                  <c:v>3.897849847568744</c:v>
                </c:pt>
                <c:pt idx="15">
                  <c:v>4.0722402481186215</c:v>
                </c:pt>
                <c:pt idx="16">
                  <c:v>4.2551910792614294</c:v>
                </c:pt>
                <c:pt idx="17">
                  <c:v>4.4471669939161851</c:v>
                </c:pt>
                <c:pt idx="18">
                  <c:v>4.6486404762217797</c:v>
                </c:pt>
                <c:pt idx="19">
                  <c:v>4.8600980702346552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49F-4BD9-BD94-2794BC3D03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032128"/>
        <c:axId val="146033664"/>
      </c:scatterChart>
      <c:valAx>
        <c:axId val="146032128"/>
        <c:scaling>
          <c:orientation val="minMax"/>
          <c:max val="2035"/>
          <c:min val="1995"/>
        </c:scaling>
        <c:delete val="0"/>
        <c:axPos val="b"/>
        <c:numFmt formatCode="#,##0" sourceLinked="0"/>
        <c:majorTickMark val="in"/>
        <c:minorTickMark val="none"/>
        <c:tickLblPos val="nextTo"/>
        <c:spPr>
          <a:ln/>
        </c:spPr>
        <c:txPr>
          <a:bodyPr rot="0" vert="horz"/>
          <a:lstStyle/>
          <a:p>
            <a:pPr>
              <a:defRPr sz="18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46033664"/>
        <c:crosses val="autoZero"/>
        <c:crossBetween val="midCat"/>
        <c:majorUnit val="5"/>
      </c:valAx>
      <c:valAx>
        <c:axId val="146033664"/>
        <c:scaling>
          <c:orientation val="minMax"/>
          <c:max val="4"/>
          <c:min val="0"/>
        </c:scaling>
        <c:delete val="0"/>
        <c:axPos val="l"/>
        <c:majorGridlines/>
        <c:numFmt formatCode="0.0" sourceLinked="0"/>
        <c:majorTickMark val="out"/>
        <c:minorTickMark val="none"/>
        <c:tickLblPos val="nextTo"/>
        <c:txPr>
          <a:bodyPr/>
          <a:lstStyle/>
          <a:p>
            <a:pPr>
              <a:defRPr sz="18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46032128"/>
        <c:crosses val="autoZero"/>
        <c:crossBetween val="midCat"/>
        <c:majorUnit val="1"/>
      </c:valAx>
      <c:spPr>
        <a:solidFill>
          <a:sysClr val="window" lastClr="FFFFFF"/>
        </a:solidFill>
      </c:spPr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ru-RU" b="0"/>
              <a:t>ПРОГНОЗ</a:t>
            </a:r>
          </a:p>
        </c:rich>
      </c:tx>
      <c:layout>
        <c:manualLayout>
          <c:xMode val="edge"/>
          <c:yMode val="edge"/>
          <c:x val="0.73780585442089519"/>
          <c:y val="0.5999850292936415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6.7955520827072194E-2"/>
          <c:y val="2.5980106332862237E-2"/>
          <c:w val="0.89231544148584452"/>
          <c:h val="0.92957168046301963"/>
        </c:manualLayout>
      </c:layout>
      <c:scatterChart>
        <c:scatterStyle val="smoothMarker"/>
        <c:varyColors val="0"/>
        <c:ser>
          <c:idx val="0"/>
          <c:order val="0"/>
          <c:spPr>
            <a:ln w="76200"/>
          </c:spPr>
          <c:marker>
            <c:symbol val="none"/>
          </c:marker>
          <c:xVal>
            <c:numRef>
              <c:f>РЕЗУЛЬТАТЫ!$AD$13:$AD$34</c:f>
              <c:numCache>
                <c:formatCode>General</c:formatCode>
                <c:ptCount val="22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</c:numCache>
            </c:numRef>
          </c:xVal>
          <c:yVal>
            <c:numRef>
              <c:f>РЕЗУЛЬТАТЫ!$AE$13:$AE$34</c:f>
              <c:numCache>
                <c:formatCode>0.000</c:formatCode>
                <c:ptCount val="22"/>
                <c:pt idx="0">
                  <c:v>1</c:v>
                </c:pt>
                <c:pt idx="1">
                  <c:v>0.96399999999999997</c:v>
                </c:pt>
                <c:pt idx="2">
                  <c:v>0.97749600000000003</c:v>
                </c:pt>
                <c:pt idx="3">
                  <c:v>0.92568871200000002</c:v>
                </c:pt>
                <c:pt idx="4">
                  <c:v>0.98493278956800012</c:v>
                </c:pt>
                <c:pt idx="5">
                  <c:v>1.0834260685248003</c:v>
                </c:pt>
                <c:pt idx="6">
                  <c:v>1.138680798019565</c:v>
                </c:pt>
                <c:pt idx="7">
                  <c:v>1.1921987955264846</c:v>
                </c:pt>
                <c:pt idx="8">
                  <c:v>1.2792293075999179</c:v>
                </c:pt>
                <c:pt idx="9">
                  <c:v>1.3713338177471122</c:v>
                </c:pt>
                <c:pt idx="10">
                  <c:v>1.4590991820829273</c:v>
                </c:pt>
                <c:pt idx="11">
                  <c:v>1.5787453150137274</c:v>
                </c:pt>
                <c:pt idx="12">
                  <c:v>1.7129386667898943</c:v>
                </c:pt>
                <c:pt idx="13">
                  <c:v>1.8020114774629687</c:v>
                </c:pt>
                <c:pt idx="14">
                  <c:v>1.6596525707433942</c:v>
                </c:pt>
                <c:pt idx="15">
                  <c:v>1.7343369364268468</c:v>
                </c:pt>
                <c:pt idx="16">
                  <c:v>1.808913424693201</c:v>
                </c:pt>
                <c:pt idx="17">
                  <c:v>1.8750455190419226</c:v>
                </c:pt>
                <c:pt idx="18">
                  <c:v>1.9085217286102596</c:v>
                </c:pt>
                <c:pt idx="19">
                  <c:v>1.9226180848563927</c:v>
                </c:pt>
                <c:pt idx="20">
                  <c:v>1.8783978689046956</c:v>
                </c:pt>
                <c:pt idx="21">
                  <c:v>1.8821546646425049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D9C-4053-8CFC-9CE6F4AF9862}"/>
            </c:ext>
          </c:extLst>
        </c:ser>
        <c:ser>
          <c:idx val="1"/>
          <c:order val="1"/>
          <c:spPr>
            <a:ln w="38100"/>
          </c:spPr>
          <c:marker>
            <c:symbol val="none"/>
          </c:marker>
          <c:xVal>
            <c:numRef>
              <c:f>РЕЗУЛЬТАТЫ!$AD$34:$AD$48</c:f>
              <c:numCache>
                <c:formatCode>General</c:formatCode>
                <c:ptCount val="15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  <c:pt idx="6">
                  <c:v>2022</c:v>
                </c:pt>
                <c:pt idx="7">
                  <c:v>2023</c:v>
                </c:pt>
                <c:pt idx="8">
                  <c:v>2024</c:v>
                </c:pt>
                <c:pt idx="9">
                  <c:v>2025</c:v>
                </c:pt>
                <c:pt idx="10">
                  <c:v>2026</c:v>
                </c:pt>
                <c:pt idx="11">
                  <c:v>2027</c:v>
                </c:pt>
                <c:pt idx="12">
                  <c:v>2028</c:v>
                </c:pt>
                <c:pt idx="13">
                  <c:v>2029</c:v>
                </c:pt>
                <c:pt idx="14">
                  <c:v>2030</c:v>
                </c:pt>
              </c:numCache>
            </c:numRef>
          </c:xVal>
          <c:yVal>
            <c:numRef>
              <c:f>РЕЗУЛЬТАТЫ!$AE$34:$AE$48</c:f>
              <c:numCache>
                <c:formatCode>0.000</c:formatCode>
                <c:ptCount val="15"/>
                <c:pt idx="0">
                  <c:v>1.8821546646425049</c:v>
                </c:pt>
                <c:pt idx="1">
                  <c:v>1.9160334486060699</c:v>
                </c:pt>
                <c:pt idx="2">
                  <c:v>1.96968238516704</c:v>
                </c:pt>
                <c:pt idx="3">
                  <c:v>2.0090760328703809</c:v>
                </c:pt>
                <c:pt idx="4">
                  <c:v>1.9488037518842694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D9C-4053-8CFC-9CE6F4AF9862}"/>
            </c:ext>
          </c:extLst>
        </c:ser>
        <c:ser>
          <c:idx val="2"/>
          <c:order val="2"/>
          <c:spPr>
            <a:ln w="76200"/>
          </c:spPr>
          <c:marker>
            <c:symbol val="none"/>
          </c:marker>
          <c:xVal>
            <c:numRef>
              <c:f>РЕЗУЛЬТАТЫ!$AD$38:$AD$48</c:f>
              <c:numCache>
                <c:formatCode>General</c:formatCode>
                <c:ptCount val="1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</c:numCache>
            </c:numRef>
          </c:xVal>
          <c:yVal>
            <c:numRef>
              <c:f>РЕЗУЛЬТАТЫ!$AG$38:$AG$48</c:f>
              <c:numCache>
                <c:formatCode>0.000</c:formatCode>
                <c:ptCount val="11"/>
                <c:pt idx="0">
                  <c:v>2.0876247754015491</c:v>
                </c:pt>
                <c:pt idx="1">
                  <c:v>2.1780916658454892</c:v>
                </c:pt>
                <c:pt idx="2">
                  <c:v>2.2500009512133055</c:v>
                </c:pt>
                <c:pt idx="3">
                  <c:v>2.3205957758083766</c:v>
                </c:pt>
                <c:pt idx="4">
                  <c:v>2.3916750188928955</c:v>
                </c:pt>
                <c:pt idx="5">
                  <c:v>2.4644017832794307</c:v>
                </c:pt>
                <c:pt idx="6">
                  <c:v>2.5395525547672171</c:v>
                </c:pt>
                <c:pt idx="7">
                  <c:v>2.6176699223460349</c:v>
                </c:pt>
                <c:pt idx="8">
                  <c:v>2.6991562757578107</c:v>
                </c:pt>
                <c:pt idx="9">
                  <c:v>2.7843313683147004</c:v>
                </c:pt>
                <c:pt idx="10">
                  <c:v>2.8734677511818374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D9C-4053-8CFC-9CE6F4AF98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087936"/>
        <c:axId val="146089472"/>
      </c:scatterChart>
      <c:valAx>
        <c:axId val="146087936"/>
        <c:scaling>
          <c:orientation val="minMax"/>
          <c:max val="2030"/>
          <c:min val="1995"/>
        </c:scaling>
        <c:delete val="0"/>
        <c:axPos val="b"/>
        <c:numFmt formatCode="#,##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46089472"/>
        <c:crosses val="autoZero"/>
        <c:crossBetween val="midCat"/>
        <c:majorUnit val="5"/>
      </c:valAx>
      <c:valAx>
        <c:axId val="146089472"/>
        <c:scaling>
          <c:orientation val="minMax"/>
          <c:max val="2.5"/>
          <c:min val="0.5"/>
        </c:scaling>
        <c:delete val="0"/>
        <c:axPos val="l"/>
        <c:majorGridlines/>
        <c:numFmt formatCode="0.0" sourceLinked="0"/>
        <c:majorTickMark val="out"/>
        <c:minorTickMark val="none"/>
        <c:tickLblPos val="nextTo"/>
        <c:txPr>
          <a:bodyPr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46087936"/>
        <c:crosses val="autoZero"/>
        <c:crossBetween val="midCat"/>
        <c:majorUnit val="0.5"/>
      </c:valAx>
      <c:spPr>
        <a:solidFill>
          <a:sysClr val="window" lastClr="FFFFFF"/>
        </a:solidFill>
      </c:spPr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2800"/>
            </a:pPr>
            <a:r>
              <a:rPr lang="en-US" sz="2800"/>
              <a:t>pYD</a:t>
            </a:r>
            <a:endParaRPr lang="ru-RU" sz="2800"/>
          </a:p>
        </c:rich>
      </c:tx>
      <c:layout>
        <c:manualLayout>
          <c:xMode val="edge"/>
          <c:yMode val="edge"/>
          <c:x val="7.3912684901966508E-2"/>
          <c:y val="4.2418054964739133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6.1657400263084146E-2"/>
          <c:y val="2.6680946709735805E-2"/>
          <c:w val="0.90308770243222136"/>
          <c:h val="0.91527890352118391"/>
        </c:manualLayout>
      </c:layout>
      <c:scatterChart>
        <c:scatterStyle val="smoothMarker"/>
        <c:varyColors val="0"/>
        <c:ser>
          <c:idx val="0"/>
          <c:order val="0"/>
          <c:spPr>
            <a:ln w="130175">
              <a:solidFill>
                <a:schemeClr val="accent4">
                  <a:lumMod val="75000"/>
                  <a:alpha val="86000"/>
                </a:schemeClr>
              </a:solidFill>
            </a:ln>
          </c:spPr>
          <c:marker>
            <c:symbol val="none"/>
          </c:marker>
          <c:xVal>
            <c:numRef>
              <c:f>РЕЗУЛЬТАТЫ!$JL$13:$JL$36</c:f>
              <c:numCache>
                <c:formatCode>General</c:formatCode>
                <c:ptCount val="24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</c:numCache>
            </c:numRef>
          </c:xVal>
          <c:yVal>
            <c:numRef>
              <c:f>РЕЗУЛЬТАТЫ!$JM$13:$JM$36</c:f>
              <c:numCache>
                <c:formatCode>0.000</c:formatCode>
                <c:ptCount val="24"/>
                <c:pt idx="0">
                  <c:v>0.97199999999999998</c:v>
                </c:pt>
                <c:pt idx="1">
                  <c:v>0.95099999999999996</c:v>
                </c:pt>
                <c:pt idx="2">
                  <c:v>1.05</c:v>
                </c:pt>
                <c:pt idx="3">
                  <c:v>0.96599999999999997</c:v>
                </c:pt>
                <c:pt idx="4">
                  <c:v>0.97599999999999998</c:v>
                </c:pt>
                <c:pt idx="5">
                  <c:v>1.0589999999999999</c:v>
                </c:pt>
                <c:pt idx="6">
                  <c:v>1.0820000000000001</c:v>
                </c:pt>
                <c:pt idx="7">
                  <c:v>1.077</c:v>
                </c:pt>
                <c:pt idx="8">
                  <c:v>1.077</c:v>
                </c:pt>
                <c:pt idx="9">
                  <c:v>1.125</c:v>
                </c:pt>
                <c:pt idx="10">
                  <c:v>1.1220000000000001</c:v>
                </c:pt>
                <c:pt idx="11">
                  <c:v>1.1220000000000001</c:v>
                </c:pt>
                <c:pt idx="12">
                  <c:v>1.143</c:v>
                </c:pt>
                <c:pt idx="13">
                  <c:v>1.1060000000000001</c:v>
                </c:pt>
                <c:pt idx="14">
                  <c:v>0.94899999999999995</c:v>
                </c:pt>
                <c:pt idx="15">
                  <c:v>1.0549999999999999</c:v>
                </c:pt>
                <c:pt idx="16">
                  <c:v>1.0680000000000001</c:v>
                </c:pt>
                <c:pt idx="17">
                  <c:v>1.079</c:v>
                </c:pt>
                <c:pt idx="18">
                  <c:v>1.052</c:v>
                </c:pt>
                <c:pt idx="19">
                  <c:v>1.02</c:v>
                </c:pt>
                <c:pt idx="20">
                  <c:v>0.90600000000000003</c:v>
                </c:pt>
                <c:pt idx="21">
                  <c:v>0.98099999999999998</c:v>
                </c:pt>
                <c:pt idx="22">
                  <c:v>1.0329999999999999</c:v>
                </c:pt>
                <c:pt idx="23">
                  <c:v>1.0229999999999999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791-417C-8C7D-157D24371DB8}"/>
            </c:ext>
          </c:extLst>
        </c:ser>
        <c:ser>
          <c:idx val="1"/>
          <c:order val="1"/>
          <c:spPr>
            <a:ln w="38100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РЕЗУЛЬТАТЫ!$JL$34:$JL$53</c:f>
              <c:numCache>
                <c:formatCode>General</c:formatCode>
                <c:ptCount val="20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  <c:pt idx="6">
                  <c:v>2022</c:v>
                </c:pt>
                <c:pt idx="7">
                  <c:v>2023</c:v>
                </c:pt>
                <c:pt idx="8">
                  <c:v>2024</c:v>
                </c:pt>
                <c:pt idx="9">
                  <c:v>2025</c:v>
                </c:pt>
                <c:pt idx="10">
                  <c:v>2026</c:v>
                </c:pt>
                <c:pt idx="11">
                  <c:v>2027</c:v>
                </c:pt>
                <c:pt idx="12">
                  <c:v>2028</c:v>
                </c:pt>
                <c:pt idx="13">
                  <c:v>2029</c:v>
                </c:pt>
                <c:pt idx="14">
                  <c:v>2030</c:v>
                </c:pt>
                <c:pt idx="15">
                  <c:v>2031</c:v>
                </c:pt>
                <c:pt idx="16">
                  <c:v>2032</c:v>
                </c:pt>
                <c:pt idx="17">
                  <c:v>2033</c:v>
                </c:pt>
                <c:pt idx="18">
                  <c:v>2034</c:v>
                </c:pt>
                <c:pt idx="19">
                  <c:v>2035</c:v>
                </c:pt>
              </c:numCache>
            </c:numRef>
          </c:xVal>
          <c:yVal>
            <c:numRef>
              <c:f>РЕЗУЛЬТАТЫ!$JN$34:$JN$53</c:f>
              <c:numCache>
                <c:formatCode>0.000</c:formatCode>
                <c:ptCount val="20"/>
                <c:pt idx="2">
                  <c:v>1.0229999999999999</c:v>
                </c:pt>
                <c:pt idx="3">
                  <c:v>1.0448077729996812</c:v>
                </c:pt>
                <c:pt idx="4">
                  <c:v>1.0361927084271418</c:v>
                </c:pt>
                <c:pt idx="5">
                  <c:v>1.059389475430236</c:v>
                </c:pt>
                <c:pt idx="6">
                  <c:v>1.0482744288587429</c:v>
                </c:pt>
                <c:pt idx="7">
                  <c:v>1.0462926657945175</c:v>
                </c:pt>
                <c:pt idx="8">
                  <c:v>1.0452294442844008</c:v>
                </c:pt>
                <c:pt idx="9">
                  <c:v>1.0447027920353136</c:v>
                </c:pt>
                <c:pt idx="10">
                  <c:v>1.0444895571120232</c:v>
                </c:pt>
                <c:pt idx="11">
                  <c:v>1.0444583487505363</c:v>
                </c:pt>
                <c:pt idx="12">
                  <c:v>1.0445314936169554</c:v>
                </c:pt>
                <c:pt idx="13">
                  <c:v>1.044663007999814</c:v>
                </c:pt>
                <c:pt idx="14">
                  <c:v>1.0448256840545502</c:v>
                </c:pt>
                <c:pt idx="15">
                  <c:v>1.0450034629561806</c:v>
                </c:pt>
                <c:pt idx="16">
                  <c:v>1.0451869111912724</c:v>
                </c:pt>
                <c:pt idx="17">
                  <c:v>1.0453705311442951</c:v>
                </c:pt>
                <c:pt idx="18">
                  <c:v>1.0455511604641088</c:v>
                </c:pt>
                <c:pt idx="19">
                  <c:v>1.0457270192257595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334-4435-9AE1-D955E542A1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142720"/>
        <c:axId val="146144256"/>
      </c:scatterChart>
      <c:valAx>
        <c:axId val="146142720"/>
        <c:scaling>
          <c:orientation val="minMax"/>
          <c:max val="2035"/>
          <c:min val="1995"/>
        </c:scaling>
        <c:delete val="0"/>
        <c:axPos val="b"/>
        <c:numFmt formatCode="#,##0" sourceLinked="0"/>
        <c:majorTickMark val="in"/>
        <c:minorTickMark val="none"/>
        <c:tickLblPos val="nextTo"/>
        <c:spPr>
          <a:ln/>
        </c:spPr>
        <c:txPr>
          <a:bodyPr rot="0" vert="horz"/>
          <a:lstStyle/>
          <a:p>
            <a:pPr>
              <a:defRPr sz="18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46144256"/>
        <c:crosses val="autoZero"/>
        <c:crossBetween val="midCat"/>
        <c:majorUnit val="5"/>
      </c:valAx>
      <c:valAx>
        <c:axId val="146144256"/>
        <c:scaling>
          <c:orientation val="minMax"/>
          <c:max val="1.3"/>
          <c:min val="0.8"/>
        </c:scaling>
        <c:delete val="0"/>
        <c:axPos val="l"/>
        <c:majorGridlines/>
        <c:numFmt formatCode="0.00" sourceLinked="0"/>
        <c:majorTickMark val="out"/>
        <c:minorTickMark val="none"/>
        <c:tickLblPos val="nextTo"/>
        <c:txPr>
          <a:bodyPr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46142720"/>
        <c:crosses val="autoZero"/>
        <c:crossBetween val="midCat"/>
        <c:majorUnit val="0.1"/>
      </c:valAx>
      <c:spPr>
        <a:solidFill>
          <a:sysClr val="window" lastClr="FFFFFF"/>
        </a:solidFill>
      </c:spPr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2800"/>
            </a:pPr>
            <a:r>
              <a:rPr lang="en-US" sz="3200"/>
              <a:t>Pd</a:t>
            </a:r>
            <a:endParaRPr lang="ru-RU" sz="3200"/>
          </a:p>
        </c:rich>
      </c:tx>
      <c:layout>
        <c:manualLayout>
          <c:xMode val="edge"/>
          <c:yMode val="edge"/>
          <c:x val="9.9542897983531026E-2"/>
          <c:y val="4.4532947718814324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6.1453104586903784E-2"/>
          <c:y val="2.4411362446742052E-2"/>
          <c:w val="0.90308770243222136"/>
          <c:h val="0.91527890352118391"/>
        </c:manualLayout>
      </c:layout>
      <c:scatterChart>
        <c:scatterStyle val="smoothMarker"/>
        <c:varyColors val="0"/>
        <c:ser>
          <c:idx val="0"/>
          <c:order val="0"/>
          <c:spPr>
            <a:ln w="111125">
              <a:solidFill>
                <a:schemeClr val="accent1">
                  <a:alpha val="64000"/>
                </a:schemeClr>
              </a:solidFill>
            </a:ln>
          </c:spPr>
          <c:marker>
            <c:symbol val="none"/>
          </c:marker>
          <c:xVal>
            <c:numRef>
              <c:f>РЕЗУЛЬТАТЫ!$KH$13:$KH$36</c:f>
              <c:numCache>
                <c:formatCode>General</c:formatCode>
                <c:ptCount val="24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</c:numCache>
            </c:numRef>
          </c:xVal>
          <c:yVal>
            <c:numRef>
              <c:f>РЕЗУЛЬТАТЫ!$KI$13:$KI$36</c:f>
              <c:numCache>
                <c:formatCode>0.000</c:formatCode>
                <c:ptCount val="24"/>
                <c:pt idx="0">
                  <c:v>1</c:v>
                </c:pt>
                <c:pt idx="1">
                  <c:v>0.95099999999999996</c:v>
                </c:pt>
                <c:pt idx="2">
                  <c:v>0.99855000000000005</c:v>
                </c:pt>
                <c:pt idx="3">
                  <c:v>0.96459930000000005</c:v>
                </c:pt>
                <c:pt idx="4">
                  <c:v>0.94144891679999998</c:v>
                </c:pt>
                <c:pt idx="5">
                  <c:v>0.99699440289119989</c:v>
                </c:pt>
                <c:pt idx="6">
                  <c:v>1.0787479439282783</c:v>
                </c:pt>
                <c:pt idx="7">
                  <c:v>1.1618115356107557</c:v>
                </c:pt>
                <c:pt idx="8">
                  <c:v>1.2512710238527838</c:v>
                </c:pt>
                <c:pt idx="9">
                  <c:v>1.4076799018343817</c:v>
                </c:pt>
                <c:pt idx="10">
                  <c:v>1.5794168498581764</c:v>
                </c:pt>
                <c:pt idx="11">
                  <c:v>1.7721057055408742</c:v>
                </c:pt>
                <c:pt idx="12">
                  <c:v>2.0255168214332193</c:v>
                </c:pt>
                <c:pt idx="13">
                  <c:v>2.2402216045051406</c:v>
                </c:pt>
                <c:pt idx="14">
                  <c:v>2.1259703026753782</c:v>
                </c:pt>
                <c:pt idx="15">
                  <c:v>2.2428986693225239</c:v>
                </c:pt>
                <c:pt idx="16">
                  <c:v>2.3954157788364556</c:v>
                </c:pt>
                <c:pt idx="17">
                  <c:v>2.5846536253645356</c:v>
                </c:pt>
                <c:pt idx="18">
                  <c:v>2.7190556138834916</c:v>
                </c:pt>
                <c:pt idx="19">
                  <c:v>2.7734367261611617</c:v>
                </c:pt>
                <c:pt idx="20">
                  <c:v>2.5127336739020127</c:v>
                </c:pt>
                <c:pt idx="21">
                  <c:v>2.4649917340978744</c:v>
                </c:pt>
                <c:pt idx="22">
                  <c:v>2.5463364613231039</c:v>
                </c:pt>
                <c:pt idx="23">
                  <c:v>2.6049021999335351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AA7-4F55-9615-057BEA9A26FB}"/>
            </c:ext>
          </c:extLst>
        </c:ser>
        <c:ser>
          <c:idx val="1"/>
          <c:order val="1"/>
          <c:spPr>
            <a:ln w="2857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РЕЗУЛЬТАТЫ!$KH$33:$KH$53</c:f>
              <c:numCache>
                <c:formatCode>General</c:formatCode>
                <c:ptCount val="21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  <c:pt idx="8">
                  <c:v>2023</c:v>
                </c:pt>
                <c:pt idx="9">
                  <c:v>2024</c:v>
                </c:pt>
                <c:pt idx="10">
                  <c:v>2025</c:v>
                </c:pt>
                <c:pt idx="11">
                  <c:v>2026</c:v>
                </c:pt>
                <c:pt idx="12">
                  <c:v>2027</c:v>
                </c:pt>
                <c:pt idx="13">
                  <c:v>2028</c:v>
                </c:pt>
                <c:pt idx="14">
                  <c:v>2029</c:v>
                </c:pt>
                <c:pt idx="15">
                  <c:v>2030</c:v>
                </c:pt>
                <c:pt idx="16">
                  <c:v>2031</c:v>
                </c:pt>
                <c:pt idx="17">
                  <c:v>2032</c:v>
                </c:pt>
                <c:pt idx="18">
                  <c:v>2033</c:v>
                </c:pt>
                <c:pt idx="19">
                  <c:v>2034</c:v>
                </c:pt>
                <c:pt idx="20">
                  <c:v>2035</c:v>
                </c:pt>
              </c:numCache>
            </c:numRef>
          </c:xVal>
          <c:yVal>
            <c:numRef>
              <c:f>РЕЗУЛЬТАТЫ!$KK$33:$KK$53</c:f>
              <c:numCache>
                <c:formatCode>0.000</c:formatCode>
                <c:ptCount val="21"/>
                <c:pt idx="3">
                  <c:v>2.6049021999335351</c:v>
                </c:pt>
                <c:pt idx="4">
                  <c:v>2.7216220663945272</c:v>
                </c:pt>
                <c:pt idx="5">
                  <c:v>2.8201249402924198</c:v>
                </c:pt>
                <c:pt idx="6">
                  <c:v>2.9876106811441123</c:v>
                </c:pt>
                <c:pt idx="7">
                  <c:v>3.1318358804286244</c:v>
                </c:pt>
                <c:pt idx="8">
                  <c:v>3.2768169121645849</c:v>
                </c:pt>
                <c:pt idx="9">
                  <c:v>3.4250255201235156</c:v>
                </c:pt>
                <c:pt idx="10">
                  <c:v>3.5781337236652386</c:v>
                </c:pt>
                <c:pt idx="11">
                  <c:v>3.7373233083186994</c:v>
                </c:pt>
                <c:pt idx="12">
                  <c:v>3.9034785313534401</c:v>
                </c:pt>
                <c:pt idx="13">
                  <c:v>4.0773062606563286</c:v>
                </c:pt>
                <c:pt idx="14">
                  <c:v>4.2594110227937145</c:v>
                </c:pt>
                <c:pt idx="15">
                  <c:v>4.4503420355599346</c:v>
                </c:pt>
                <c:pt idx="16">
                  <c:v>4.6506228384995891</c:v>
                </c:pt>
                <c:pt idx="17">
                  <c:v>4.8607701196869728</c:v>
                </c:pt>
                <c:pt idx="18">
                  <c:v>5.0813058417874899</c:v>
                </c:pt>
                <c:pt idx="19">
                  <c:v>5.312765219553965</c:v>
                </c:pt>
                <c:pt idx="20">
                  <c:v>5.5557021368904556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42B-4981-9E13-FBD704DB8166}"/>
            </c:ext>
          </c:extLst>
        </c:ser>
        <c:ser>
          <c:idx val="2"/>
          <c:order val="2"/>
          <c:marker>
            <c:symbol val="none"/>
          </c:marker>
          <c:xVal>
            <c:numRef>
              <c:f>РЕЗУЛЬТАТЫ!$KH$15:$KH$25</c:f>
              <c:numCache>
                <c:formatCode>General</c:formatCode>
                <c:ptCount val="11"/>
                <c:pt idx="0">
                  <c:v>1997</c:v>
                </c:pt>
                <c:pt idx="1">
                  <c:v>1998</c:v>
                </c:pt>
                <c:pt idx="2">
                  <c:v>1999</c:v>
                </c:pt>
                <c:pt idx="3">
                  <c:v>2000</c:v>
                </c:pt>
                <c:pt idx="4">
                  <c:v>2001</c:v>
                </c:pt>
                <c:pt idx="5">
                  <c:v>2002</c:v>
                </c:pt>
                <c:pt idx="6">
                  <c:v>2003</c:v>
                </c:pt>
                <c:pt idx="7">
                  <c:v>2004</c:v>
                </c:pt>
                <c:pt idx="8">
                  <c:v>2005</c:v>
                </c:pt>
                <c:pt idx="9">
                  <c:v>2006</c:v>
                </c:pt>
                <c:pt idx="10">
                  <c:v>2007</c:v>
                </c:pt>
              </c:numCache>
            </c:numRef>
          </c:xVal>
          <c:yVal>
            <c:numRef>
              <c:f>РЕЗУЛЬТАТЫ!$KJ$15:$KJ$25</c:f>
              <c:numCache>
                <c:formatCode>0.000</c:formatCode>
                <c:ptCount val="11"/>
                <c:pt idx="0">
                  <c:v>0.99855000000000005</c:v>
                </c:pt>
                <c:pt idx="1">
                  <c:v>0.96459930000000005</c:v>
                </c:pt>
                <c:pt idx="2">
                  <c:v>0.94144891679999998</c:v>
                </c:pt>
                <c:pt idx="3">
                  <c:v>0.99699440289119989</c:v>
                </c:pt>
                <c:pt idx="4">
                  <c:v>1.0787479439282783</c:v>
                </c:pt>
                <c:pt idx="5">
                  <c:v>1.1618115356107557</c:v>
                </c:pt>
                <c:pt idx="6">
                  <c:v>1.2512710238527838</c:v>
                </c:pt>
                <c:pt idx="7">
                  <c:v>1.4076799018343817</c:v>
                </c:pt>
                <c:pt idx="8">
                  <c:v>1.5794168498581764</c:v>
                </c:pt>
                <c:pt idx="9">
                  <c:v>1.7721057055408742</c:v>
                </c:pt>
                <c:pt idx="10">
                  <c:v>2.0255168214332193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42B-4981-9E13-FBD704DB81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195200"/>
        <c:axId val="146196736"/>
      </c:scatterChart>
      <c:valAx>
        <c:axId val="146195200"/>
        <c:scaling>
          <c:orientation val="minMax"/>
          <c:max val="2035"/>
          <c:min val="1995"/>
        </c:scaling>
        <c:delete val="0"/>
        <c:axPos val="b"/>
        <c:numFmt formatCode="#,##0" sourceLinked="0"/>
        <c:majorTickMark val="in"/>
        <c:minorTickMark val="none"/>
        <c:tickLblPos val="nextTo"/>
        <c:spPr>
          <a:ln/>
        </c:spPr>
        <c:txPr>
          <a:bodyPr rot="0" vert="horz"/>
          <a:lstStyle/>
          <a:p>
            <a:pPr>
              <a:defRPr sz="18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46196736"/>
        <c:crosses val="autoZero"/>
        <c:crossBetween val="midCat"/>
        <c:majorUnit val="5"/>
      </c:valAx>
      <c:valAx>
        <c:axId val="146196736"/>
        <c:scaling>
          <c:orientation val="minMax"/>
          <c:max val="4.5"/>
          <c:min val="0.5"/>
        </c:scaling>
        <c:delete val="0"/>
        <c:axPos val="l"/>
        <c:majorGridlines/>
        <c:numFmt formatCode="0.0" sourceLinked="0"/>
        <c:majorTickMark val="out"/>
        <c:minorTickMark val="none"/>
        <c:tickLblPos val="nextTo"/>
        <c:txPr>
          <a:bodyPr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46195200"/>
        <c:crosses val="autoZero"/>
        <c:crossBetween val="midCat"/>
        <c:majorUnit val="1"/>
      </c:valAx>
      <c:spPr>
        <a:solidFill>
          <a:sysClr val="window" lastClr="FFFFFF"/>
        </a:solidFill>
      </c:spPr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2800"/>
            </a:pPr>
            <a:r>
              <a:rPr lang="en-US" sz="2800"/>
              <a:t>pYG</a:t>
            </a:r>
          </a:p>
        </c:rich>
      </c:tx>
      <c:layout>
        <c:manualLayout>
          <c:xMode val="edge"/>
          <c:yMode val="edge"/>
          <c:x val="0.10195723303057443"/>
          <c:y val="6.0058680032674124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6.1657400263084146E-2"/>
          <c:y val="2.6680946709735805E-2"/>
          <c:w val="0.90308770243222136"/>
          <c:h val="0.91527890352118391"/>
        </c:manualLayout>
      </c:layout>
      <c:scatterChart>
        <c:scatterStyle val="smoothMarker"/>
        <c:varyColors val="0"/>
        <c:ser>
          <c:idx val="0"/>
          <c:order val="0"/>
          <c:spPr>
            <a:ln w="95250">
              <a:solidFill>
                <a:srgbClr val="FF0000">
                  <a:alpha val="78000"/>
                </a:srgbClr>
              </a:solidFill>
            </a:ln>
          </c:spPr>
          <c:marker>
            <c:symbol val="none"/>
          </c:marker>
          <c:xVal>
            <c:numRef>
              <c:f>РЕЗУЛЬТАТЫ!$OU$13:$OU$36</c:f>
              <c:numCache>
                <c:formatCode>General</c:formatCode>
                <c:ptCount val="24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</c:numCache>
            </c:numRef>
          </c:xVal>
          <c:yVal>
            <c:numRef>
              <c:f>РЕЗУЛЬТАТЫ!$OV$13:$OV$36</c:f>
              <c:numCache>
                <c:formatCode>0.000</c:formatCode>
                <c:ptCount val="24"/>
                <c:pt idx="0">
                  <c:v>1.0109999999999999</c:v>
                </c:pt>
                <c:pt idx="1">
                  <c:v>1.0309999999999999</c:v>
                </c:pt>
                <c:pt idx="2">
                  <c:v>0.97599999999999987</c:v>
                </c:pt>
                <c:pt idx="3">
                  <c:v>1.01</c:v>
                </c:pt>
                <c:pt idx="4">
                  <c:v>1.0309999999999999</c:v>
                </c:pt>
                <c:pt idx="5">
                  <c:v>1.02</c:v>
                </c:pt>
                <c:pt idx="6">
                  <c:v>0.99199999999999999</c:v>
                </c:pt>
                <c:pt idx="7">
                  <c:v>1.026</c:v>
                </c:pt>
                <c:pt idx="8">
                  <c:v>1.024</c:v>
                </c:pt>
                <c:pt idx="9">
                  <c:v>1.0209999999999999</c:v>
                </c:pt>
                <c:pt idx="10">
                  <c:v>1.014</c:v>
                </c:pt>
                <c:pt idx="11">
                  <c:v>1.0229999999999999</c:v>
                </c:pt>
                <c:pt idx="12">
                  <c:v>1.0269999999999999</c:v>
                </c:pt>
                <c:pt idx="13">
                  <c:v>1.034</c:v>
                </c:pt>
                <c:pt idx="14">
                  <c:v>0.99399999999999999</c:v>
                </c:pt>
                <c:pt idx="15">
                  <c:v>0.98499999999999999</c:v>
                </c:pt>
                <c:pt idx="16">
                  <c:v>1.014</c:v>
                </c:pt>
                <c:pt idx="17">
                  <c:v>1.026</c:v>
                </c:pt>
                <c:pt idx="18">
                  <c:v>1.0090000000000001</c:v>
                </c:pt>
                <c:pt idx="19">
                  <c:v>0.97900000000000009</c:v>
                </c:pt>
                <c:pt idx="20">
                  <c:v>0.96399999999999997</c:v>
                </c:pt>
                <c:pt idx="21">
                  <c:v>1.0149999999999999</c:v>
                </c:pt>
                <c:pt idx="22">
                  <c:v>1.0249999999999999</c:v>
                </c:pt>
                <c:pt idx="23">
                  <c:v>1.0029999999999999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02A-490A-8D83-08FB281191B3}"/>
            </c:ext>
          </c:extLst>
        </c:ser>
        <c:ser>
          <c:idx val="1"/>
          <c:order val="1"/>
          <c:spPr>
            <a:ln w="38100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РЕЗУЛЬТАТЫ!$OU$35:$OU$53</c:f>
              <c:numCache>
                <c:formatCode>General</c:formatCode>
                <c:ptCount val="19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  <c:pt idx="4">
                  <c:v>2021</c:v>
                </c:pt>
                <c:pt idx="5">
                  <c:v>2022</c:v>
                </c:pt>
                <c:pt idx="6">
                  <c:v>2023</c:v>
                </c:pt>
                <c:pt idx="7">
                  <c:v>2024</c:v>
                </c:pt>
                <c:pt idx="8">
                  <c:v>2025</c:v>
                </c:pt>
                <c:pt idx="9">
                  <c:v>2026</c:v>
                </c:pt>
                <c:pt idx="10">
                  <c:v>2027</c:v>
                </c:pt>
                <c:pt idx="11">
                  <c:v>2028</c:v>
                </c:pt>
                <c:pt idx="12">
                  <c:v>2029</c:v>
                </c:pt>
                <c:pt idx="13">
                  <c:v>2030</c:v>
                </c:pt>
                <c:pt idx="14">
                  <c:v>2031</c:v>
                </c:pt>
                <c:pt idx="15">
                  <c:v>2032</c:v>
                </c:pt>
                <c:pt idx="16">
                  <c:v>2033</c:v>
                </c:pt>
                <c:pt idx="17">
                  <c:v>2034</c:v>
                </c:pt>
                <c:pt idx="18">
                  <c:v>2035</c:v>
                </c:pt>
              </c:numCache>
            </c:numRef>
          </c:xVal>
          <c:yVal>
            <c:numRef>
              <c:f>РЕЗУЛЬТАТЫ!$OW$35:$OW$53</c:f>
              <c:numCache>
                <c:formatCode>0.000</c:formatCode>
                <c:ptCount val="19"/>
                <c:pt idx="1">
                  <c:v>1.0029999999999999</c:v>
                </c:pt>
                <c:pt idx="2">
                  <c:v>1.0448661480576524</c:v>
                </c:pt>
                <c:pt idx="3">
                  <c:v>1.0132905713891374</c:v>
                </c:pt>
                <c:pt idx="4">
                  <c:v>1.0741191791947833</c:v>
                </c:pt>
                <c:pt idx="5">
                  <c:v>1.0441404273810087</c:v>
                </c:pt>
                <c:pt idx="6">
                  <c:v>1.0424019574402061</c:v>
                </c:pt>
                <c:pt idx="7">
                  <c:v>1.0415597051838101</c:v>
                </c:pt>
                <c:pt idx="8">
                  <c:v>1.0412367253533303</c:v>
                </c:pt>
                <c:pt idx="9">
                  <c:v>1.0412129123057581</c:v>
                </c:pt>
                <c:pt idx="10">
                  <c:v>1.0413588415036501</c:v>
                </c:pt>
                <c:pt idx="11">
                  <c:v>1.041598199412145</c:v>
                </c:pt>
                <c:pt idx="12">
                  <c:v>1.0418860110698367</c:v>
                </c:pt>
                <c:pt idx="13">
                  <c:v>1.04219586651164</c:v>
                </c:pt>
                <c:pt idx="14">
                  <c:v>1.0425123720286593</c:v>
                </c:pt>
                <c:pt idx="15">
                  <c:v>1.0428266706703946</c:v>
                </c:pt>
                <c:pt idx="16">
                  <c:v>1.0431337783551911</c:v>
                </c:pt>
                <c:pt idx="17">
                  <c:v>1.043430998379602</c:v>
                </c:pt>
                <c:pt idx="18">
                  <c:v>1.0437169779090312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2DD-4377-8894-51DAF3D22C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249216"/>
        <c:axId val="146250752"/>
      </c:scatterChart>
      <c:valAx>
        <c:axId val="146249216"/>
        <c:scaling>
          <c:orientation val="minMax"/>
          <c:max val="2035"/>
          <c:min val="1995"/>
        </c:scaling>
        <c:delete val="0"/>
        <c:axPos val="b"/>
        <c:numFmt formatCode="#,##0" sourceLinked="0"/>
        <c:majorTickMark val="in"/>
        <c:minorTickMark val="none"/>
        <c:tickLblPos val="nextTo"/>
        <c:spPr>
          <a:ln/>
        </c:spPr>
        <c:txPr>
          <a:bodyPr rot="0" vert="horz"/>
          <a:lstStyle/>
          <a:p>
            <a:pPr>
              <a:defRPr sz="18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46250752"/>
        <c:crosses val="autoZero"/>
        <c:crossBetween val="midCat"/>
        <c:majorUnit val="5"/>
      </c:valAx>
      <c:valAx>
        <c:axId val="146250752"/>
        <c:scaling>
          <c:orientation val="minMax"/>
          <c:max val="1.1000000000000001"/>
          <c:min val="0.9"/>
        </c:scaling>
        <c:delete val="0"/>
        <c:axPos val="l"/>
        <c:majorGridlines/>
        <c:numFmt formatCode="0.00" sourceLinked="0"/>
        <c:majorTickMark val="out"/>
        <c:minorTickMark val="none"/>
        <c:tickLblPos val="nextTo"/>
        <c:txPr>
          <a:bodyPr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46249216"/>
        <c:crosses val="autoZero"/>
        <c:crossBetween val="midCat"/>
        <c:majorUnit val="5.0000000000000024E-2"/>
      </c:valAx>
      <c:spPr>
        <a:solidFill>
          <a:sysClr val="window" lastClr="FFFFFF"/>
        </a:solidFill>
      </c:spPr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2800"/>
            </a:pPr>
            <a:r>
              <a:rPr lang="en-US" sz="3200"/>
              <a:t>Pg</a:t>
            </a:r>
            <a:endParaRPr lang="ru-RU" sz="3200"/>
          </a:p>
        </c:rich>
      </c:tx>
      <c:layout>
        <c:manualLayout>
          <c:xMode val="edge"/>
          <c:yMode val="edge"/>
          <c:x val="0.10451573785172073"/>
          <c:y val="4.3109479642446831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6.1657400263084146E-2"/>
          <c:y val="2.6680946709735805E-2"/>
          <c:w val="0.90308770243222136"/>
          <c:h val="0.91527890352118391"/>
        </c:manualLayout>
      </c:layout>
      <c:scatterChart>
        <c:scatterStyle val="smoothMarker"/>
        <c:varyColors val="0"/>
        <c:ser>
          <c:idx val="0"/>
          <c:order val="0"/>
          <c:spPr>
            <a:ln w="98425">
              <a:solidFill>
                <a:srgbClr val="00B0F0"/>
              </a:solidFill>
            </a:ln>
          </c:spPr>
          <c:marker>
            <c:symbol val="none"/>
          </c:marker>
          <c:xVal>
            <c:numRef>
              <c:f>РЕЗУЛЬТАТЫ!$PQ$13:$PQ$36</c:f>
              <c:numCache>
                <c:formatCode>General</c:formatCode>
                <c:ptCount val="24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</c:numCache>
            </c:numRef>
          </c:xVal>
          <c:yVal>
            <c:numRef>
              <c:f>РЕЗУЛЬТАТЫ!$PR$13:$PR$36</c:f>
              <c:numCache>
                <c:formatCode>0.000</c:formatCode>
                <c:ptCount val="24"/>
                <c:pt idx="0">
                  <c:v>1</c:v>
                </c:pt>
                <c:pt idx="1">
                  <c:v>1.0309999999999999</c:v>
                </c:pt>
                <c:pt idx="2">
                  <c:v>1.0062559999999998</c:v>
                </c:pt>
                <c:pt idx="3">
                  <c:v>1.0163185599999998</c:v>
                </c:pt>
                <c:pt idx="4">
                  <c:v>1.0478244353599997</c:v>
                </c:pt>
                <c:pt idx="5">
                  <c:v>1.0687809240671997</c:v>
                </c:pt>
                <c:pt idx="6">
                  <c:v>1.0602306766746621</c:v>
                </c:pt>
                <c:pt idx="7">
                  <c:v>1.0877966742682033</c:v>
                </c:pt>
                <c:pt idx="8">
                  <c:v>1.1139037944506402</c:v>
                </c:pt>
                <c:pt idx="9">
                  <c:v>1.1372957741341037</c:v>
                </c:pt>
                <c:pt idx="10">
                  <c:v>1.1532179149719812</c:v>
                </c:pt>
                <c:pt idx="11">
                  <c:v>1.1797419270163367</c:v>
                </c:pt>
                <c:pt idx="12">
                  <c:v>1.2115949590457777</c:v>
                </c:pt>
                <c:pt idx="13">
                  <c:v>1.2527891876533341</c:v>
                </c:pt>
                <c:pt idx="14">
                  <c:v>1.2452724525274141</c:v>
                </c:pt>
                <c:pt idx="15">
                  <c:v>1.2265933657395029</c:v>
                </c:pt>
                <c:pt idx="16">
                  <c:v>1.2437656728598561</c:v>
                </c:pt>
                <c:pt idx="17">
                  <c:v>1.2761035803542125</c:v>
                </c:pt>
                <c:pt idx="18">
                  <c:v>1.2875885125774005</c:v>
                </c:pt>
                <c:pt idx="19">
                  <c:v>1.2605491538132751</c:v>
                </c:pt>
                <c:pt idx="20">
                  <c:v>1.2151693842759972</c:v>
                </c:pt>
                <c:pt idx="21">
                  <c:v>1.2333969250401371</c:v>
                </c:pt>
                <c:pt idx="22">
                  <c:v>1.2642318481661403</c:v>
                </c:pt>
                <c:pt idx="23">
                  <c:v>1.2680245437106386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9E4-4E8C-8145-09C4AF4BDBA2}"/>
            </c:ext>
          </c:extLst>
        </c:ser>
        <c:ser>
          <c:idx val="1"/>
          <c:order val="1"/>
          <c:spPr>
            <a:ln w="38100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РЕЗУЛЬТАТЫ!$PQ$33:$PQ$53</c:f>
              <c:numCache>
                <c:formatCode>General</c:formatCode>
                <c:ptCount val="21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  <c:pt idx="8">
                  <c:v>2023</c:v>
                </c:pt>
                <c:pt idx="9">
                  <c:v>2024</c:v>
                </c:pt>
                <c:pt idx="10">
                  <c:v>2025</c:v>
                </c:pt>
                <c:pt idx="11">
                  <c:v>2026</c:v>
                </c:pt>
                <c:pt idx="12">
                  <c:v>2027</c:v>
                </c:pt>
                <c:pt idx="13">
                  <c:v>2028</c:v>
                </c:pt>
                <c:pt idx="14">
                  <c:v>2029</c:v>
                </c:pt>
                <c:pt idx="15">
                  <c:v>2030</c:v>
                </c:pt>
                <c:pt idx="16">
                  <c:v>2031</c:v>
                </c:pt>
                <c:pt idx="17">
                  <c:v>2032</c:v>
                </c:pt>
                <c:pt idx="18">
                  <c:v>2033</c:v>
                </c:pt>
                <c:pt idx="19">
                  <c:v>2034</c:v>
                </c:pt>
                <c:pt idx="20">
                  <c:v>2035</c:v>
                </c:pt>
              </c:numCache>
            </c:numRef>
          </c:xVal>
          <c:yVal>
            <c:numRef>
              <c:f>РЕЗУЛЬТАТЫ!$PS$33:$PS$53</c:f>
              <c:numCache>
                <c:formatCode>0.000</c:formatCode>
                <c:ptCount val="21"/>
                <c:pt idx="0">
                  <c:v>1.2151693842759972</c:v>
                </c:pt>
                <c:pt idx="1">
                  <c:v>1.2333969250401371</c:v>
                </c:pt>
                <c:pt idx="2">
                  <c:v>1.2642318481661403</c:v>
                </c:pt>
                <c:pt idx="3">
                  <c:v>1.2680245437106386</c:v>
                </c:pt>
                <c:pt idx="4">
                  <c:v>1.3249159206294971</c:v>
                </c:pt>
                <c:pt idx="5">
                  <c:v>1.342524810257228</c:v>
                </c:pt>
                <c:pt idx="6">
                  <c:v>1.442031647242126</c:v>
                </c:pt>
                <c:pt idx="7">
                  <c:v>1.5056835404483333</c:v>
                </c:pt>
                <c:pt idx="8">
                  <c:v>1.5695274698488424</c:v>
                </c:pt>
                <c:pt idx="9">
                  <c:v>1.6347565687736516</c:v>
                </c:pt>
                <c:pt idx="10">
                  <c:v>1.7021685764197234</c:v>
                </c:pt>
                <c:pt idx="11">
                  <c:v>1.7723199006893267</c:v>
                </c:pt>
                <c:pt idx="12">
                  <c:v>1.8456209985557013</c:v>
                </c:pt>
                <c:pt idx="13">
                  <c:v>1.9223955088928635</c:v>
                </c:pt>
                <c:pt idx="14">
                  <c:v>2.0029169884589542</c:v>
                </c:pt>
                <c:pt idx="15">
                  <c:v>2.0874318063378641</c:v>
                </c:pt>
                <c:pt idx="16">
                  <c:v>2.1761734838733555</c:v>
                </c:pt>
                <c:pt idx="17">
                  <c:v>2.2693717489888452</c:v>
                </c:pt>
                <c:pt idx="18">
                  <c:v>2.3672583270152621</c:v>
                </c:pt>
                <c:pt idx="19">
                  <c:v>2.4700707195799612</c:v>
                </c:pt>
                <c:pt idx="20">
                  <c:v>2.5780547466615831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48E-41CF-99F5-3CE505559E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386944"/>
        <c:axId val="146388480"/>
      </c:scatterChart>
      <c:valAx>
        <c:axId val="146386944"/>
        <c:scaling>
          <c:orientation val="minMax"/>
          <c:max val="2035"/>
          <c:min val="1995"/>
        </c:scaling>
        <c:delete val="0"/>
        <c:axPos val="b"/>
        <c:numFmt formatCode="#,##0" sourceLinked="0"/>
        <c:majorTickMark val="in"/>
        <c:minorTickMark val="none"/>
        <c:tickLblPos val="nextTo"/>
        <c:spPr>
          <a:ln/>
        </c:spPr>
        <c:txPr>
          <a:bodyPr rot="0" vert="horz"/>
          <a:lstStyle/>
          <a:p>
            <a:pPr>
              <a:defRPr sz="18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46388480"/>
        <c:crosses val="autoZero"/>
        <c:crossBetween val="midCat"/>
        <c:majorUnit val="5"/>
      </c:valAx>
      <c:valAx>
        <c:axId val="146388480"/>
        <c:scaling>
          <c:orientation val="minMax"/>
          <c:max val="2.5"/>
          <c:min val="0.5"/>
        </c:scaling>
        <c:delete val="0"/>
        <c:axPos val="l"/>
        <c:majorGridlines/>
        <c:numFmt formatCode="0.0" sourceLinked="0"/>
        <c:majorTickMark val="out"/>
        <c:minorTickMark val="none"/>
        <c:tickLblPos val="nextTo"/>
        <c:txPr>
          <a:bodyPr/>
          <a:lstStyle/>
          <a:p>
            <a:pPr>
              <a:defRPr sz="18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46386944"/>
        <c:crosses val="autoZero"/>
        <c:crossBetween val="midCat"/>
        <c:majorUnit val="0.5"/>
      </c:valAx>
      <c:spPr>
        <a:solidFill>
          <a:sysClr val="window" lastClr="FFFFFF"/>
        </a:solidFill>
      </c:spPr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2800"/>
            </a:pPr>
            <a:r>
              <a:rPr lang="en-US" sz="2800"/>
              <a:t>pYNK</a:t>
            </a:r>
          </a:p>
        </c:rich>
      </c:tx>
      <c:layout>
        <c:manualLayout>
          <c:xMode val="edge"/>
          <c:yMode val="edge"/>
          <c:x val="0.10195723303057443"/>
          <c:y val="6.0058680032674124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6.1657400263084146E-2"/>
          <c:y val="2.6680946709735805E-2"/>
          <c:w val="0.90308770243222136"/>
          <c:h val="0.91527890352118391"/>
        </c:manualLayout>
      </c:layout>
      <c:scatterChart>
        <c:scatterStyle val="smoothMarker"/>
        <c:varyColors val="0"/>
        <c:ser>
          <c:idx val="0"/>
          <c:order val="0"/>
          <c:spPr>
            <a:ln w="88900">
              <a:solidFill>
                <a:srgbClr val="FF0000">
                  <a:alpha val="61000"/>
                </a:srgbClr>
              </a:solidFill>
            </a:ln>
          </c:spPr>
          <c:marker>
            <c:symbol val="none"/>
          </c:marker>
          <c:xVal>
            <c:numRef>
              <c:f>РЕЗУЛЬТАТЫ!$TZ$13:$TZ$36</c:f>
              <c:numCache>
                <c:formatCode>General</c:formatCode>
                <c:ptCount val="24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</c:numCache>
            </c:numRef>
          </c:xVal>
          <c:yVal>
            <c:numRef>
              <c:f>РЕЗУЛЬТАТЫ!$UA$13:$UA$36</c:f>
              <c:numCache>
                <c:formatCode>0.000</c:formatCode>
                <c:ptCount val="24"/>
                <c:pt idx="0">
                  <c:v>0.9</c:v>
                </c:pt>
                <c:pt idx="1">
                  <c:v>1.006</c:v>
                </c:pt>
                <c:pt idx="2">
                  <c:v>0.99199999999999999</c:v>
                </c:pt>
                <c:pt idx="3">
                  <c:v>1.0049999999999999</c:v>
                </c:pt>
                <c:pt idx="4">
                  <c:v>0.98599999999999999</c:v>
                </c:pt>
                <c:pt idx="5">
                  <c:v>1.016</c:v>
                </c:pt>
                <c:pt idx="6">
                  <c:v>1.0189999999999999</c:v>
                </c:pt>
                <c:pt idx="7">
                  <c:v>1.008</c:v>
                </c:pt>
                <c:pt idx="8">
                  <c:v>1.0009999999999999</c:v>
                </c:pt>
                <c:pt idx="9">
                  <c:v>0.88900000000000001</c:v>
                </c:pt>
                <c:pt idx="10">
                  <c:v>0.81699999999999995</c:v>
                </c:pt>
                <c:pt idx="11">
                  <c:v>0.98299999999999987</c:v>
                </c:pt>
                <c:pt idx="12">
                  <c:v>1.0269999999999999</c:v>
                </c:pt>
                <c:pt idx="13">
                  <c:v>0.98599999999999999</c:v>
                </c:pt>
                <c:pt idx="14">
                  <c:v>0.92</c:v>
                </c:pt>
                <c:pt idx="15">
                  <c:v>0.995</c:v>
                </c:pt>
                <c:pt idx="16">
                  <c:v>0.95099999999999996</c:v>
                </c:pt>
                <c:pt idx="17">
                  <c:v>0.99</c:v>
                </c:pt>
                <c:pt idx="18">
                  <c:v>0.9880000000000001</c:v>
                </c:pt>
                <c:pt idx="19">
                  <c:v>1</c:v>
                </c:pt>
                <c:pt idx="20">
                  <c:v>0.97099999999999986</c:v>
                </c:pt>
                <c:pt idx="21">
                  <c:v>1.01</c:v>
                </c:pt>
                <c:pt idx="22">
                  <c:v>1.0049999999999999</c:v>
                </c:pt>
                <c:pt idx="23">
                  <c:v>1.0449999999999999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74C-4F50-A1AB-2CD737E53853}"/>
            </c:ext>
          </c:extLst>
        </c:ser>
        <c:ser>
          <c:idx val="1"/>
          <c:order val="1"/>
          <c:marker>
            <c:symbol val="none"/>
          </c:marker>
          <c:xVal>
            <c:numRef>
              <c:f>РЕЗУЛЬТАТЫ!$TZ$23:$TZ$36</c:f>
              <c:numCache>
                <c:formatCode>General</c:formatCode>
                <c:ptCount val="14"/>
                <c:pt idx="0">
                  <c:v>2005</c:v>
                </c:pt>
                <c:pt idx="1">
                  <c:v>2006</c:v>
                </c:pt>
                <c:pt idx="2">
                  <c:v>2007</c:v>
                </c:pt>
                <c:pt idx="3">
                  <c:v>2008</c:v>
                </c:pt>
                <c:pt idx="4">
                  <c:v>2009</c:v>
                </c:pt>
                <c:pt idx="5">
                  <c:v>2010</c:v>
                </c:pt>
                <c:pt idx="6">
                  <c:v>2011</c:v>
                </c:pt>
                <c:pt idx="7">
                  <c:v>2012</c:v>
                </c:pt>
                <c:pt idx="8">
                  <c:v>2013</c:v>
                </c:pt>
                <c:pt idx="9">
                  <c:v>2014</c:v>
                </c:pt>
                <c:pt idx="10">
                  <c:v>2015</c:v>
                </c:pt>
                <c:pt idx="11">
                  <c:v>2016</c:v>
                </c:pt>
                <c:pt idx="12">
                  <c:v>2017</c:v>
                </c:pt>
                <c:pt idx="13">
                  <c:v>2018</c:v>
                </c:pt>
              </c:numCache>
            </c:numRef>
          </c:xVal>
          <c:yVal>
            <c:numRef>
              <c:f>РЕЗУЛЬТАТЫ!$UB$23:$UB$36</c:f>
              <c:numCache>
                <c:formatCode>0.000</c:formatCode>
                <c:ptCount val="14"/>
                <c:pt idx="0">
                  <c:v>0.81699999999999995</c:v>
                </c:pt>
                <c:pt idx="1">
                  <c:v>0.98299999999999987</c:v>
                </c:pt>
                <c:pt idx="2">
                  <c:v>1.0269999999999999</c:v>
                </c:pt>
                <c:pt idx="3">
                  <c:v>0.98599999999999999</c:v>
                </c:pt>
                <c:pt idx="4">
                  <c:v>0.92</c:v>
                </c:pt>
                <c:pt idx="5">
                  <c:v>0.995</c:v>
                </c:pt>
                <c:pt idx="6">
                  <c:v>0.95099999999999996</c:v>
                </c:pt>
                <c:pt idx="7">
                  <c:v>0.99</c:v>
                </c:pt>
                <c:pt idx="8">
                  <c:v>0.9880000000000001</c:v>
                </c:pt>
                <c:pt idx="9">
                  <c:v>1</c:v>
                </c:pt>
                <c:pt idx="10">
                  <c:v>0.97099999999999986</c:v>
                </c:pt>
                <c:pt idx="11">
                  <c:v>1.01</c:v>
                </c:pt>
                <c:pt idx="12">
                  <c:v>1.0049999999999999</c:v>
                </c:pt>
                <c:pt idx="13">
                  <c:v>1.0449999999999999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F56-4A31-8D83-DF3F277C63ED}"/>
            </c:ext>
          </c:extLst>
        </c:ser>
        <c:ser>
          <c:idx val="2"/>
          <c:order val="2"/>
          <c:spPr>
            <a:ln w="38100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РЕЗУЛЬТАТЫ!$TZ$36:$TZ$53</c:f>
              <c:numCache>
                <c:formatCode>General</c:formatCode>
                <c:ptCount val="18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</c:numCache>
            </c:numRef>
          </c:xVal>
          <c:yVal>
            <c:numRef>
              <c:f>РЕЗУЛЬТАТЫ!$UC$36:$UC$53</c:f>
              <c:numCache>
                <c:formatCode>0.000</c:formatCode>
                <c:ptCount val="18"/>
                <c:pt idx="0">
                  <c:v>1.0449999999999999</c:v>
                </c:pt>
                <c:pt idx="1">
                  <c:v>1.0409090909090908</c:v>
                </c:pt>
                <c:pt idx="2">
                  <c:v>1.0373362445414847</c:v>
                </c:pt>
                <c:pt idx="3">
                  <c:v>1.0341928015154704</c:v>
                </c:pt>
                <c:pt idx="4">
                  <c:v>1.0314091931331344</c:v>
                </c:pt>
                <c:pt idx="5">
                  <c:v>1.0289300635239016</c:v>
                </c:pt>
                <c:pt idx="6">
                  <c:v>1.0267108147793642</c:v>
                </c:pt>
                <c:pt idx="7">
                  <c:v>1.0247151132286936</c:v>
                </c:pt>
                <c:pt idx="8">
                  <c:v>1.0229130587264197</c:v>
                </c:pt>
                <c:pt idx="9">
                  <c:v>1.0212798200241966</c:v>
                </c:pt>
                <c:pt idx="10">
                  <c:v>1.0197946034246597</c:v>
                </c:pt>
                <c:pt idx="11">
                  <c:v>1.0184398634688558</c:v>
                </c:pt>
                <c:pt idx="12">
                  <c:v>1.017200691885475</c:v>
                </c:pt>
                <c:pt idx="13">
                  <c:v>1.0160643395364903</c:v>
                </c:pt>
                <c:pt idx="14">
                  <c:v>1.0150198387698832</c:v>
                </c:pt>
                <c:pt idx="15">
                  <c:v>1.0140577024077495</c:v>
                </c:pt>
                <c:pt idx="16">
                  <c:v>1.0131696818195381</c:v>
                </c:pt>
                <c:pt idx="17">
                  <c:v>1.012348570977857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F56-4A31-8D83-DF3F277C63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449920"/>
        <c:axId val="146451456"/>
      </c:scatterChart>
      <c:valAx>
        <c:axId val="146449920"/>
        <c:scaling>
          <c:orientation val="minMax"/>
          <c:max val="2035"/>
          <c:min val="1995"/>
        </c:scaling>
        <c:delete val="0"/>
        <c:axPos val="b"/>
        <c:numFmt formatCode="#,##0" sourceLinked="0"/>
        <c:majorTickMark val="in"/>
        <c:minorTickMark val="none"/>
        <c:tickLblPos val="nextTo"/>
        <c:spPr>
          <a:ln/>
        </c:spPr>
        <c:txPr>
          <a:bodyPr rot="0" vert="horz"/>
          <a:lstStyle/>
          <a:p>
            <a:pPr>
              <a:defRPr sz="18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46451456"/>
        <c:crosses val="autoZero"/>
        <c:crossBetween val="midCat"/>
        <c:majorUnit val="5"/>
      </c:valAx>
      <c:valAx>
        <c:axId val="146451456"/>
        <c:scaling>
          <c:orientation val="minMax"/>
          <c:max val="1.2"/>
          <c:min val="0.70000000000000062"/>
        </c:scaling>
        <c:delete val="0"/>
        <c:axPos val="l"/>
        <c:majorGridlines/>
        <c:numFmt formatCode="0.00" sourceLinked="0"/>
        <c:majorTickMark val="out"/>
        <c:minorTickMark val="none"/>
        <c:tickLblPos val="nextTo"/>
        <c:txPr>
          <a:bodyPr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46449920"/>
        <c:crosses val="autoZero"/>
        <c:crossBetween val="midCat"/>
        <c:majorUnit val="0.1"/>
      </c:valAx>
      <c:spPr>
        <a:solidFill>
          <a:sysClr val="window" lastClr="FFFFFF"/>
        </a:solidFill>
      </c:spPr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2800"/>
            </a:pPr>
            <a:r>
              <a:rPr lang="en-US" sz="3200"/>
              <a:t>Pnk</a:t>
            </a:r>
            <a:endParaRPr lang="ru-RU" sz="3200"/>
          </a:p>
        </c:rich>
      </c:tx>
      <c:layout>
        <c:manualLayout>
          <c:xMode val="edge"/>
          <c:yMode val="edge"/>
          <c:x val="0.10078613393957229"/>
          <c:y val="4.4532967186932185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6.1657400263084146E-2"/>
          <c:y val="2.6680946709735805E-2"/>
          <c:w val="0.90308770243222136"/>
          <c:h val="0.91527890352118391"/>
        </c:manualLayout>
      </c:layout>
      <c:scatterChart>
        <c:scatterStyle val="smoothMarker"/>
        <c:varyColors val="0"/>
        <c:ser>
          <c:idx val="0"/>
          <c:order val="0"/>
          <c:spPr>
            <a:ln w="95250"/>
          </c:spPr>
          <c:marker>
            <c:symbol val="none"/>
          </c:marker>
          <c:xVal>
            <c:numRef>
              <c:f>РЕЗУЛЬТАТЫ!$UW$13:$UW$36</c:f>
              <c:numCache>
                <c:formatCode>General</c:formatCode>
                <c:ptCount val="24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</c:numCache>
            </c:numRef>
          </c:xVal>
          <c:yVal>
            <c:numRef>
              <c:f>РЕЗУЛЬТАТЫ!$UX$13:$UX$36</c:f>
              <c:numCache>
                <c:formatCode>0.000</c:formatCode>
                <c:ptCount val="24"/>
                <c:pt idx="0">
                  <c:v>1</c:v>
                </c:pt>
                <c:pt idx="1">
                  <c:v>1.006</c:v>
                </c:pt>
                <c:pt idx="2">
                  <c:v>0.99795199999999995</c:v>
                </c:pt>
                <c:pt idx="3">
                  <c:v>1.0029417599999999</c:v>
                </c:pt>
                <c:pt idx="4">
                  <c:v>0.98890057535999987</c:v>
                </c:pt>
                <c:pt idx="5">
                  <c:v>1.0047229845657599</c:v>
                </c:pt>
                <c:pt idx="6">
                  <c:v>1.0238127212725092</c:v>
                </c:pt>
                <c:pt idx="7">
                  <c:v>1.0320032230426892</c:v>
                </c:pt>
                <c:pt idx="8">
                  <c:v>1.0330352262657319</c:v>
                </c:pt>
                <c:pt idx="9">
                  <c:v>0.91836831615023562</c:v>
                </c:pt>
                <c:pt idx="10">
                  <c:v>0.7503069142947425</c:v>
                </c:pt>
                <c:pt idx="11">
                  <c:v>0.73755169675173182</c:v>
                </c:pt>
                <c:pt idx="12">
                  <c:v>0.75746559256402857</c:v>
                </c:pt>
                <c:pt idx="13">
                  <c:v>0.7468610742681322</c:v>
                </c:pt>
                <c:pt idx="14">
                  <c:v>0.68711218832668164</c:v>
                </c:pt>
                <c:pt idx="15">
                  <c:v>0.6836766273850482</c:v>
                </c:pt>
                <c:pt idx="16">
                  <c:v>0.65017647264318079</c:v>
                </c:pt>
                <c:pt idx="17">
                  <c:v>0.64367470791674897</c:v>
                </c:pt>
                <c:pt idx="18">
                  <c:v>0.63595061142174802</c:v>
                </c:pt>
                <c:pt idx="19">
                  <c:v>0.63595061142174802</c:v>
                </c:pt>
                <c:pt idx="20">
                  <c:v>0.61750804369051726</c:v>
                </c:pt>
                <c:pt idx="21">
                  <c:v>0.62368312412742244</c:v>
                </c:pt>
                <c:pt idx="22">
                  <c:v>0.62680153974805952</c:v>
                </c:pt>
                <c:pt idx="23">
                  <c:v>0.65500760903672217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492-4287-B2F7-0749580BF11F}"/>
            </c:ext>
          </c:extLst>
        </c:ser>
        <c:ser>
          <c:idx val="1"/>
          <c:order val="1"/>
          <c:spPr>
            <a:ln w="2857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РЕЗУЛЬТАТЫ!$UW$33:$UW$53</c:f>
              <c:numCache>
                <c:formatCode>General</c:formatCode>
                <c:ptCount val="21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  <c:pt idx="8">
                  <c:v>2023</c:v>
                </c:pt>
                <c:pt idx="9">
                  <c:v>2024</c:v>
                </c:pt>
                <c:pt idx="10">
                  <c:v>2025</c:v>
                </c:pt>
                <c:pt idx="11">
                  <c:v>2026</c:v>
                </c:pt>
                <c:pt idx="12">
                  <c:v>2027</c:v>
                </c:pt>
                <c:pt idx="13">
                  <c:v>2028</c:v>
                </c:pt>
                <c:pt idx="14">
                  <c:v>2029</c:v>
                </c:pt>
                <c:pt idx="15">
                  <c:v>2030</c:v>
                </c:pt>
                <c:pt idx="16">
                  <c:v>2031</c:v>
                </c:pt>
                <c:pt idx="17">
                  <c:v>2032</c:v>
                </c:pt>
                <c:pt idx="18">
                  <c:v>2033</c:v>
                </c:pt>
                <c:pt idx="19">
                  <c:v>2034</c:v>
                </c:pt>
                <c:pt idx="20">
                  <c:v>2035</c:v>
                </c:pt>
              </c:numCache>
            </c:numRef>
          </c:xVal>
          <c:yVal>
            <c:numRef>
              <c:f>РЕЗУЛЬТАТЫ!$UY$33:$UY$53</c:f>
              <c:numCache>
                <c:formatCode>0.000</c:formatCode>
                <c:ptCount val="21"/>
                <c:pt idx="3">
                  <c:v>0.65500760903672217</c:v>
                </c:pt>
                <c:pt idx="4">
                  <c:v>0.68180337486095166</c:v>
                </c:pt>
                <c:pt idx="5">
                  <c:v>0.70725935239396964</c:v>
                </c:pt>
                <c:pt idx="6">
                  <c:v>0.73144253105033674</c:v>
                </c:pt>
                <c:pt idx="7">
                  <c:v>0.75441655077388547</c:v>
                </c:pt>
                <c:pt idx="8">
                  <c:v>0.77624186951125673</c:v>
                </c:pt>
                <c:pt idx="9">
                  <c:v>0.7969759223117594</c:v>
                </c:pt>
                <c:pt idx="10">
                  <c:v>0.81667327247223698</c:v>
                </c:pt>
                <c:pt idx="11">
                  <c:v>0.83538575512469071</c:v>
                </c:pt>
                <c:pt idx="12">
                  <c:v>0.85316261364452173</c:v>
                </c:pt>
                <c:pt idx="13">
                  <c:v>0.87005062923836118</c:v>
                </c:pt>
                <c:pt idx="14">
                  <c:v>0.88609424405250869</c:v>
                </c:pt>
                <c:pt idx="15">
                  <c:v>0.90133567812594884</c:v>
                </c:pt>
                <c:pt idx="16">
                  <c:v>0.91581504049571694</c:v>
                </c:pt>
                <c:pt idx="17">
                  <c:v>0.92957043474699663</c:v>
                </c:pt>
                <c:pt idx="18">
                  <c:v>0.94263805928571232</c:v>
                </c:pt>
                <c:pt idx="19">
                  <c:v>0.95505230259749219</c:v>
                </c:pt>
                <c:pt idx="20">
                  <c:v>0.96684583374368305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76A-4D58-9B06-A7E6514BB2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505728"/>
        <c:axId val="146507264"/>
      </c:scatterChart>
      <c:valAx>
        <c:axId val="146505728"/>
        <c:scaling>
          <c:orientation val="minMax"/>
          <c:max val="2035"/>
          <c:min val="1995"/>
        </c:scaling>
        <c:delete val="0"/>
        <c:axPos val="b"/>
        <c:numFmt formatCode="#,##0" sourceLinked="0"/>
        <c:majorTickMark val="in"/>
        <c:minorTickMark val="none"/>
        <c:tickLblPos val="nextTo"/>
        <c:spPr>
          <a:ln/>
        </c:spPr>
        <c:txPr>
          <a:bodyPr rot="0" vert="horz"/>
          <a:lstStyle/>
          <a:p>
            <a:pPr>
              <a:defRPr sz="18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46507264"/>
        <c:crosses val="autoZero"/>
        <c:crossBetween val="midCat"/>
        <c:majorUnit val="5"/>
      </c:valAx>
      <c:valAx>
        <c:axId val="146507264"/>
        <c:scaling>
          <c:orientation val="minMax"/>
          <c:max val="1.1000000000000001"/>
          <c:min val="0.5"/>
        </c:scaling>
        <c:delete val="0"/>
        <c:axPos val="l"/>
        <c:majorGridlines/>
        <c:numFmt formatCode="0.0" sourceLinked="0"/>
        <c:majorTickMark val="out"/>
        <c:minorTickMark val="none"/>
        <c:tickLblPos val="nextTo"/>
        <c:txPr>
          <a:bodyPr/>
          <a:lstStyle/>
          <a:p>
            <a:pPr>
              <a:defRPr sz="18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46505728"/>
        <c:crosses val="autoZero"/>
        <c:crossBetween val="midCat"/>
        <c:majorUnit val="0.1"/>
      </c:valAx>
      <c:spPr>
        <a:solidFill>
          <a:sysClr val="window" lastClr="FFFFFF"/>
        </a:solidFill>
      </c:spPr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2800"/>
            </a:pPr>
            <a:r>
              <a:rPr lang="en-US" sz="2800"/>
              <a:t>Dem</a:t>
            </a:r>
            <a:endParaRPr lang="ru-RU" sz="2800"/>
          </a:p>
        </c:rich>
      </c:tx>
      <c:layout>
        <c:manualLayout>
          <c:xMode val="edge"/>
          <c:yMode val="edge"/>
          <c:x val="0.10195723303057443"/>
          <c:y val="6.0058680032674124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6.1657400263084146E-2"/>
          <c:y val="2.6680946709735805E-2"/>
          <c:w val="0.90308770243222136"/>
          <c:h val="0.91527890352118391"/>
        </c:manualLayout>
      </c:layout>
      <c:scatterChart>
        <c:scatterStyle val="smoothMarker"/>
        <c:varyColors val="0"/>
        <c:ser>
          <c:idx val="0"/>
          <c:order val="0"/>
          <c:spPr>
            <a:ln w="127000">
              <a:solidFill>
                <a:schemeClr val="accent5">
                  <a:lumMod val="75000"/>
                  <a:alpha val="70000"/>
                </a:schemeClr>
              </a:solidFill>
            </a:ln>
          </c:spPr>
          <c:marker>
            <c:symbol val="none"/>
          </c:marker>
          <c:xVal>
            <c:numRef>
              <c:f>РЕЗУЛЬТАТЫ!$BA$14:$BA$36</c:f>
              <c:numCache>
                <c:formatCode>General</c:formatCode>
                <c:ptCount val="23"/>
                <c:pt idx="0">
                  <c:v>1996</c:v>
                </c:pt>
                <c:pt idx="1">
                  <c:v>1997</c:v>
                </c:pt>
                <c:pt idx="2">
                  <c:v>1998</c:v>
                </c:pt>
                <c:pt idx="3">
                  <c:v>1999</c:v>
                </c:pt>
                <c:pt idx="4">
                  <c:v>2000</c:v>
                </c:pt>
                <c:pt idx="5">
                  <c:v>2001</c:v>
                </c:pt>
                <c:pt idx="6">
                  <c:v>2002</c:v>
                </c:pt>
                <c:pt idx="7">
                  <c:v>2003</c:v>
                </c:pt>
                <c:pt idx="8">
                  <c:v>2004</c:v>
                </c:pt>
                <c:pt idx="9">
                  <c:v>2005</c:v>
                </c:pt>
                <c:pt idx="10">
                  <c:v>2006</c:v>
                </c:pt>
                <c:pt idx="11">
                  <c:v>2007</c:v>
                </c:pt>
                <c:pt idx="12">
                  <c:v>2008</c:v>
                </c:pt>
                <c:pt idx="13">
                  <c:v>2009</c:v>
                </c:pt>
                <c:pt idx="14">
                  <c:v>2010</c:v>
                </c:pt>
                <c:pt idx="15">
                  <c:v>2011</c:v>
                </c:pt>
                <c:pt idx="16">
                  <c:v>2012</c:v>
                </c:pt>
                <c:pt idx="17">
                  <c:v>2013</c:v>
                </c:pt>
                <c:pt idx="18">
                  <c:v>2014</c:v>
                </c:pt>
                <c:pt idx="19">
                  <c:v>2015</c:v>
                </c:pt>
                <c:pt idx="20">
                  <c:v>2016</c:v>
                </c:pt>
                <c:pt idx="21">
                  <c:v>2017</c:v>
                </c:pt>
                <c:pt idx="22">
                  <c:v>2018</c:v>
                </c:pt>
              </c:numCache>
            </c:numRef>
          </c:xVal>
          <c:yVal>
            <c:numRef>
              <c:f>РЕЗУЛЬТАТЫ!$BB$14:$BB$36</c:f>
              <c:numCache>
                <c:formatCode>0.0</c:formatCode>
                <c:ptCount val="23"/>
                <c:pt idx="0">
                  <c:v>1.1463921152743077</c:v>
                </c:pt>
                <c:pt idx="1">
                  <c:v>1.2513079717780982</c:v>
                </c:pt>
                <c:pt idx="2">
                  <c:v>1.7757982734232494</c:v>
                </c:pt>
                <c:pt idx="3">
                  <c:v>4.3836468174313525</c:v>
                </c:pt>
                <c:pt idx="4">
                  <c:v>5.422670804728047</c:v>
                </c:pt>
                <c:pt idx="5">
                  <c:v>5.4161394271000169</c:v>
                </c:pt>
                <c:pt idx="6">
                  <c:v>5.5899915734957792</c:v>
                </c:pt>
                <c:pt idx="7">
                  <c:v>6.1009492646947514</c:v>
                </c:pt>
                <c:pt idx="8">
                  <c:v>6.8314599646456458</c:v>
                </c:pt>
                <c:pt idx="9">
                  <c:v>8.0203116455157293</c:v>
                </c:pt>
                <c:pt idx="10">
                  <c:v>8.5777715926432858</c:v>
                </c:pt>
                <c:pt idx="11">
                  <c:v>8.5612179305936174</c:v>
                </c:pt>
                <c:pt idx="12">
                  <c:v>10.360928463828223</c:v>
                </c:pt>
                <c:pt idx="13">
                  <c:v>10.685163024983835</c:v>
                </c:pt>
                <c:pt idx="14">
                  <c:v>12.376778209553063</c:v>
                </c:pt>
                <c:pt idx="15">
                  <c:v>14.886630426588821</c:v>
                </c:pt>
                <c:pt idx="16">
                  <c:v>15.682710215951944</c:v>
                </c:pt>
                <c:pt idx="17">
                  <c:v>15.596922733834738</c:v>
                </c:pt>
                <c:pt idx="18">
                  <c:v>19.408072573294923</c:v>
                </c:pt>
                <c:pt idx="19">
                  <c:v>25.392619710313024</c:v>
                </c:pt>
                <c:pt idx="20">
                  <c:v>24.686694352693262</c:v>
                </c:pt>
                <c:pt idx="21">
                  <c:v>23.815961506525245</c:v>
                </c:pt>
                <c:pt idx="22">
                  <c:v>28.984298505855161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78A-471E-ACD0-24DADA15D0D9}"/>
            </c:ext>
          </c:extLst>
        </c:ser>
        <c:ser>
          <c:idx val="1"/>
          <c:order val="1"/>
          <c:spPr>
            <a:ln w="63500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РЕЗУЛЬТАТЫ!$BA$37:$BA$53</c:f>
              <c:numCache>
                <c:formatCode>General</c:formatCode>
                <c:ptCount val="17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</c:numCache>
            </c:numRef>
          </c:xVal>
          <c:yVal>
            <c:numRef>
              <c:f>РЕЗУЛЬТАТЫ!$BC$37:$BC$53</c:f>
              <c:numCache>
                <c:formatCode>0.00</c:formatCode>
                <c:ptCount val="17"/>
                <c:pt idx="0">
                  <c:v>28.287941205989458</c:v>
                </c:pt>
                <c:pt idx="1">
                  <c:v>30.295292486376674</c:v>
                </c:pt>
                <c:pt idx="2">
                  <c:v>32.50839100920102</c:v>
                </c:pt>
                <c:pt idx="3">
                  <c:v>34.908397682763393</c:v>
                </c:pt>
                <c:pt idx="4">
                  <c:v>37.512473870121873</c:v>
                </c:pt>
                <c:pt idx="5">
                  <c:v>40.339440137928356</c:v>
                </c:pt>
                <c:pt idx="6">
                  <c:v>43.409941332990961</c:v>
                </c:pt>
                <c:pt idx="7">
                  <c:v>46.746628329593726</c:v>
                </c:pt>
                <c:pt idx="8">
                  <c:v>50.374358143846841</c:v>
                </c:pt>
                <c:pt idx="9">
                  <c:v>54.32041428458438</c:v>
                </c:pt>
                <c:pt idx="10">
                  <c:v>58.614749401297182</c:v>
                </c:pt>
                <c:pt idx="11">
                  <c:v>63.290252500100188</c:v>
                </c:pt>
                <c:pt idx="12">
                  <c:v>68.383043230789013</c:v>
                </c:pt>
                <c:pt idx="13">
                  <c:v>73.932796003844885</c:v>
                </c:pt>
                <c:pt idx="14">
                  <c:v>79.983096978233959</c:v>
                </c:pt>
                <c:pt idx="15">
                  <c:v>86.581837271697665</c:v>
                </c:pt>
                <c:pt idx="16">
                  <c:v>93.781646087901152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847-4EC3-9F4B-9222962500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285696"/>
        <c:axId val="146287232"/>
      </c:scatterChart>
      <c:valAx>
        <c:axId val="146285696"/>
        <c:scaling>
          <c:orientation val="minMax"/>
          <c:max val="2035"/>
          <c:min val="1995"/>
        </c:scaling>
        <c:delete val="0"/>
        <c:axPos val="b"/>
        <c:numFmt formatCode="#,##0" sourceLinked="0"/>
        <c:majorTickMark val="in"/>
        <c:minorTickMark val="none"/>
        <c:tickLblPos val="nextTo"/>
        <c:spPr>
          <a:ln/>
        </c:spPr>
        <c:txPr>
          <a:bodyPr rot="0" vert="horz"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46287232"/>
        <c:crosses val="autoZero"/>
        <c:crossBetween val="midCat"/>
        <c:majorUnit val="5"/>
      </c:valAx>
      <c:valAx>
        <c:axId val="146287232"/>
        <c:scaling>
          <c:orientation val="minMax"/>
          <c:max val="60"/>
          <c:min val="0"/>
        </c:scaling>
        <c:delete val="0"/>
        <c:axPos val="l"/>
        <c:majorGridlines/>
        <c:numFmt formatCode="0.0" sourceLinked="0"/>
        <c:majorTickMark val="out"/>
        <c:minorTickMark val="none"/>
        <c:tickLblPos val="nextTo"/>
        <c:txPr>
          <a:bodyPr/>
          <a:lstStyle/>
          <a:p>
            <a:pPr>
              <a:defRPr sz="18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46285696"/>
        <c:crosses val="autoZero"/>
        <c:crossBetween val="midCat"/>
        <c:majorUnit val="10"/>
      </c:valAx>
      <c:spPr>
        <a:solidFill>
          <a:sysClr val="window" lastClr="FFFFFF"/>
        </a:solidFill>
      </c:spPr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2800"/>
            </a:pPr>
            <a:r>
              <a:rPr lang="en-US" sz="3200"/>
              <a:t>Pem</a:t>
            </a:r>
            <a:endParaRPr lang="ru-RU" sz="3200"/>
          </a:p>
        </c:rich>
      </c:tx>
      <c:layout>
        <c:manualLayout>
          <c:xMode val="edge"/>
          <c:yMode val="edge"/>
          <c:x val="9.9542897983531026E-2"/>
          <c:y val="4.4532947718814324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6.1657400263084146E-2"/>
          <c:y val="2.6680946709735805E-2"/>
          <c:w val="0.90308770243222136"/>
          <c:h val="0.91527890352118391"/>
        </c:manualLayout>
      </c:layout>
      <c:scatterChart>
        <c:scatterStyle val="smoothMarker"/>
        <c:varyColors val="0"/>
        <c:ser>
          <c:idx val="0"/>
          <c:order val="0"/>
          <c:spPr>
            <a:ln w="120650">
              <a:solidFill>
                <a:schemeClr val="accent1">
                  <a:alpha val="65000"/>
                </a:schemeClr>
              </a:solidFill>
            </a:ln>
          </c:spPr>
          <c:marker>
            <c:symbol val="none"/>
          </c:marker>
          <c:xVal>
            <c:numRef>
              <c:f>РЕЗУЛЬТАТЫ!$BW$13:$BW$36</c:f>
              <c:numCache>
                <c:formatCode>General</c:formatCode>
                <c:ptCount val="24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</c:numCache>
            </c:numRef>
          </c:xVal>
          <c:yVal>
            <c:numRef>
              <c:f>РЕЗУЛЬТАТЫ!$BX$13:$BX$36</c:f>
              <c:numCache>
                <c:formatCode>0.000</c:formatCode>
                <c:ptCount val="24"/>
                <c:pt idx="0">
                  <c:v>1</c:v>
                </c:pt>
                <c:pt idx="1">
                  <c:v>1.0551238685898738</c:v>
                </c:pt>
                <c:pt idx="2">
                  <c:v>1.0637144494078237</c:v>
                </c:pt>
                <c:pt idx="3">
                  <c:v>0.88314350986207779</c:v>
                </c:pt>
                <c:pt idx="4">
                  <c:v>0.94351698193098643</c:v>
                </c:pt>
                <c:pt idx="5">
                  <c:v>1.2247490822844354</c:v>
                </c:pt>
                <c:pt idx="6">
                  <c:v>1.3476545615734206</c:v>
                </c:pt>
                <c:pt idx="7">
                  <c:v>1.4665088426814834</c:v>
                </c:pt>
                <c:pt idx="8">
                  <c:v>1.6632756085335001</c:v>
                </c:pt>
                <c:pt idx="9">
                  <c:v>1.8635096058631688</c:v>
                </c:pt>
                <c:pt idx="10">
                  <c:v>2.0184806102920132</c:v>
                </c:pt>
                <c:pt idx="11">
                  <c:v>2.2752161070197054</c:v>
                </c:pt>
                <c:pt idx="12">
                  <c:v>2.574224804669774</c:v>
                </c:pt>
                <c:pt idx="13">
                  <c:v>2.7497210051148255</c:v>
                </c:pt>
                <c:pt idx="14">
                  <c:v>1.8560505362598563</c:v>
                </c:pt>
                <c:pt idx="15">
                  <c:v>2.3303907302212532</c:v>
                </c:pt>
                <c:pt idx="16">
                  <c:v>2.683219177751119</c:v>
                </c:pt>
                <c:pt idx="17">
                  <c:v>2.7827564782033063</c:v>
                </c:pt>
                <c:pt idx="18">
                  <c:v>2.7806418221752773</c:v>
                </c:pt>
                <c:pt idx="19">
                  <c:v>2.5425932511944835</c:v>
                </c:pt>
                <c:pt idx="20">
                  <c:v>2.1845595087999583</c:v>
                </c:pt>
                <c:pt idx="21">
                  <c:v>2.1739835580660896</c:v>
                </c:pt>
                <c:pt idx="22">
                  <c:v>2.4593278252133119</c:v>
                </c:pt>
                <c:pt idx="23">
                  <c:v>2.5430346985333676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FF1-4E25-B720-57FAEDC1BFD8}"/>
            </c:ext>
          </c:extLst>
        </c:ser>
        <c:ser>
          <c:idx val="1"/>
          <c:order val="1"/>
          <c:spPr>
            <a:ln w="69850">
              <a:solidFill>
                <a:schemeClr val="tx1">
                  <a:alpha val="46000"/>
                </a:schemeClr>
              </a:solidFill>
              <a:prstDash val="solid"/>
            </a:ln>
          </c:spPr>
          <c:marker>
            <c:symbol val="none"/>
          </c:marker>
          <c:xVal>
            <c:numRef>
              <c:f>РЕЗУЛЬТАТЫ!$BW$13:$BW$36</c:f>
              <c:numCache>
                <c:formatCode>General</c:formatCode>
                <c:ptCount val="24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</c:numCache>
            </c:numRef>
          </c:xVal>
          <c:yVal>
            <c:numRef>
              <c:f>РЕЗУЛЬТАТЫ!$BY$13:$BY$36</c:f>
              <c:numCache>
                <c:formatCode>0.000</c:formatCode>
                <c:ptCount val="24"/>
                <c:pt idx="0">
                  <c:v>1</c:v>
                </c:pt>
                <c:pt idx="1">
                  <c:v>1.0369999999999999</c:v>
                </c:pt>
                <c:pt idx="2">
                  <c:v>1.0318149999999999</c:v>
                </c:pt>
                <c:pt idx="3">
                  <c:v>1.0514194849999998</c:v>
                </c:pt>
                <c:pt idx="4">
                  <c:v>1.1691784673199999</c:v>
                </c:pt>
                <c:pt idx="5">
                  <c:v>1.2802504217153998</c:v>
                </c:pt>
                <c:pt idx="6">
                  <c:v>1.3340209394274467</c:v>
                </c:pt>
                <c:pt idx="7">
                  <c:v>1.4714250961884736</c:v>
                </c:pt>
                <c:pt idx="8">
                  <c:v>1.6568246583082211</c:v>
                </c:pt>
                <c:pt idx="9">
                  <c:v>1.8523299679885914</c:v>
                </c:pt>
                <c:pt idx="10">
                  <c:v>1.9727314159078497</c:v>
                </c:pt>
                <c:pt idx="11">
                  <c:v>2.1167408092691224</c:v>
                </c:pt>
                <c:pt idx="12">
                  <c:v>2.2500954802530773</c:v>
                </c:pt>
                <c:pt idx="13">
                  <c:v>2.2635960531345956</c:v>
                </c:pt>
                <c:pt idx="14">
                  <c:v>2.1572070386372695</c:v>
                </c:pt>
                <c:pt idx="15">
                  <c:v>2.3082115313418785</c:v>
                </c:pt>
                <c:pt idx="16">
                  <c:v>2.315136165935904</c:v>
                </c:pt>
                <c:pt idx="17">
                  <c:v>2.3475480722590065</c:v>
                </c:pt>
                <c:pt idx="18">
                  <c:v>2.4555352835829209</c:v>
                </c:pt>
                <c:pt idx="19">
                  <c:v>2.4678129600008352</c:v>
                </c:pt>
                <c:pt idx="20">
                  <c:v>2.559122039520866</c:v>
                </c:pt>
                <c:pt idx="21">
                  <c:v>2.6410139447855339</c:v>
                </c:pt>
                <c:pt idx="22">
                  <c:v>2.7730646420248108</c:v>
                </c:pt>
                <c:pt idx="23">
                  <c:v>2.9255831973361754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B98-4373-BBF3-BD8AF86C4664}"/>
            </c:ext>
          </c:extLst>
        </c:ser>
        <c:ser>
          <c:idx val="2"/>
          <c:order val="2"/>
          <c:spPr>
            <a:ln w="120650">
              <a:solidFill>
                <a:srgbClr val="FF0000"/>
              </a:solidFill>
              <a:prstDash val="lgDash"/>
            </a:ln>
          </c:spPr>
          <c:marker>
            <c:symbol val="none"/>
          </c:marker>
          <c:xVal>
            <c:numRef>
              <c:f>РЕЗУЛЬТАТЫ!$BW$33:$BW$53</c:f>
              <c:numCache>
                <c:formatCode>General</c:formatCode>
                <c:ptCount val="21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  <c:pt idx="8">
                  <c:v>2023</c:v>
                </c:pt>
                <c:pt idx="9">
                  <c:v>2024</c:v>
                </c:pt>
                <c:pt idx="10">
                  <c:v>2025</c:v>
                </c:pt>
                <c:pt idx="11">
                  <c:v>2026</c:v>
                </c:pt>
                <c:pt idx="12">
                  <c:v>2027</c:v>
                </c:pt>
                <c:pt idx="13">
                  <c:v>2028</c:v>
                </c:pt>
                <c:pt idx="14">
                  <c:v>2029</c:v>
                </c:pt>
                <c:pt idx="15">
                  <c:v>2030</c:v>
                </c:pt>
                <c:pt idx="16">
                  <c:v>2031</c:v>
                </c:pt>
                <c:pt idx="17">
                  <c:v>2032</c:v>
                </c:pt>
                <c:pt idx="18">
                  <c:v>2033</c:v>
                </c:pt>
                <c:pt idx="19">
                  <c:v>2034</c:v>
                </c:pt>
                <c:pt idx="20">
                  <c:v>2035</c:v>
                </c:pt>
              </c:numCache>
            </c:numRef>
          </c:xVal>
          <c:yVal>
            <c:numRef>
              <c:f>РЕЗУЛЬТАТЫ!$BZ$33:$BZ$53</c:f>
              <c:numCache>
                <c:formatCode>0.000</c:formatCode>
                <c:ptCount val="21"/>
                <c:pt idx="3">
                  <c:v>2.5430346985333676</c:v>
                </c:pt>
                <c:pt idx="4">
                  <c:v>2.5932588225254012</c:v>
                </c:pt>
                <c:pt idx="5">
                  <c:v>2.6233932969206215</c:v>
                </c:pt>
                <c:pt idx="6">
                  <c:v>2.6414739815577537</c:v>
                </c:pt>
                <c:pt idx="7">
                  <c:v>2.6523223923400332</c:v>
                </c:pt>
                <c:pt idx="8">
                  <c:v>2.658831438809401</c:v>
                </c:pt>
                <c:pt idx="9">
                  <c:v>2.6627368666910218</c:v>
                </c:pt>
                <c:pt idx="10">
                  <c:v>2.6650801234199943</c:v>
                </c:pt>
                <c:pt idx="11">
                  <c:v>2.6664860774573778</c:v>
                </c:pt>
                <c:pt idx="12">
                  <c:v>2.6673296498798078</c:v>
                </c:pt>
                <c:pt idx="13">
                  <c:v>2.6678357933332659</c:v>
                </c:pt>
                <c:pt idx="14">
                  <c:v>2.6681394794053408</c:v>
                </c:pt>
                <c:pt idx="15">
                  <c:v>2.6683216910485856</c:v>
                </c:pt>
                <c:pt idx="16">
                  <c:v>2.6684310180345325</c:v>
                </c:pt>
                <c:pt idx="17">
                  <c:v>2.6684966142261008</c:v>
                </c:pt>
                <c:pt idx="18">
                  <c:v>2.6685359719410418</c:v>
                </c:pt>
                <c:pt idx="19">
                  <c:v>2.6685595865700065</c:v>
                </c:pt>
                <c:pt idx="20">
                  <c:v>2.6685737553473854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0C8-4D01-849C-AC02015991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556032"/>
        <c:axId val="146557568"/>
      </c:scatterChart>
      <c:valAx>
        <c:axId val="146556032"/>
        <c:scaling>
          <c:orientation val="minMax"/>
          <c:max val="2035"/>
          <c:min val="1995"/>
        </c:scaling>
        <c:delete val="0"/>
        <c:axPos val="b"/>
        <c:numFmt formatCode="#,##0" sourceLinked="0"/>
        <c:majorTickMark val="in"/>
        <c:minorTickMark val="none"/>
        <c:tickLblPos val="nextTo"/>
        <c:spPr>
          <a:ln/>
        </c:spPr>
        <c:txPr>
          <a:bodyPr rot="0" vert="horz"/>
          <a:lstStyle/>
          <a:p>
            <a:pPr>
              <a:defRPr sz="18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46557568"/>
        <c:crosses val="autoZero"/>
        <c:crossBetween val="midCat"/>
        <c:majorUnit val="5"/>
      </c:valAx>
      <c:valAx>
        <c:axId val="146557568"/>
        <c:scaling>
          <c:orientation val="minMax"/>
          <c:max val="3.5"/>
          <c:min val="0.5"/>
        </c:scaling>
        <c:delete val="0"/>
        <c:axPos val="l"/>
        <c:majorGridlines/>
        <c:numFmt formatCode="0.0" sourceLinked="0"/>
        <c:majorTickMark val="out"/>
        <c:minorTickMark val="none"/>
        <c:tickLblPos val="nextTo"/>
        <c:txPr>
          <a:bodyPr/>
          <a:lstStyle/>
          <a:p>
            <a:pPr>
              <a:defRPr sz="18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46556032"/>
        <c:crosses val="autoZero"/>
        <c:crossBetween val="midCat"/>
        <c:majorUnit val="0.5"/>
      </c:valAx>
      <c:spPr>
        <a:solidFill>
          <a:sysClr val="window" lastClr="FFFFFF"/>
        </a:solidFill>
        <a:ln cmpd="sng">
          <a:solidFill>
            <a:srgbClr val="00B050"/>
          </a:solidFill>
          <a:prstDash val="solid"/>
        </a:ln>
      </c:spPr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ru-RU" b="0"/>
              <a:t>ПРОГНОЗ</a:t>
            </a:r>
          </a:p>
        </c:rich>
      </c:tx>
      <c:layout>
        <c:manualLayout>
          <c:xMode val="edge"/>
          <c:yMode val="edge"/>
          <c:x val="0.76852613269520065"/>
          <c:y val="0.34775731364069784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6.7955520827072194E-2"/>
          <c:y val="2.5980106332862237E-2"/>
          <c:w val="0.89231544148584452"/>
          <c:h val="0.92957168046301963"/>
        </c:manualLayout>
      </c:layout>
      <c:scatterChart>
        <c:scatterStyle val="smoothMarker"/>
        <c:varyColors val="0"/>
        <c:ser>
          <c:idx val="0"/>
          <c:order val="0"/>
          <c:spPr>
            <a:ln w="101600">
              <a:solidFill>
                <a:schemeClr val="accent1">
                  <a:alpha val="75000"/>
                </a:schemeClr>
              </a:solidFill>
            </a:ln>
          </c:spPr>
          <c:marker>
            <c:symbol val="none"/>
          </c:marker>
          <c:xVal>
            <c:numRef>
              <c:f>РЕЗУЛЬТАТЫ!$GU$13:$GU$36</c:f>
              <c:numCache>
                <c:formatCode>General</c:formatCode>
                <c:ptCount val="24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</c:numCache>
            </c:numRef>
          </c:xVal>
          <c:yVal>
            <c:numRef>
              <c:f>РЕЗУЛЬТАТЫ!$GV$13:$GV$36</c:f>
              <c:numCache>
                <c:formatCode>0.00</c:formatCode>
                <c:ptCount val="24"/>
                <c:pt idx="0">
                  <c:v>1</c:v>
                </c:pt>
                <c:pt idx="1">
                  <c:v>1.0129999999999999</c:v>
                </c:pt>
                <c:pt idx="2">
                  <c:v>1.0170519999999998</c:v>
                </c:pt>
                <c:pt idx="3">
                  <c:v>0.84008495199999988</c:v>
                </c:pt>
                <c:pt idx="4">
                  <c:v>0.69727051015999986</c:v>
                </c:pt>
                <c:pt idx="5">
                  <c:v>0.9231861554518398</c:v>
                </c:pt>
                <c:pt idx="6">
                  <c:v>1.0958219665213338</c:v>
                </c:pt>
                <c:pt idx="7">
                  <c:v>1.2558119736334485</c:v>
                </c:pt>
                <c:pt idx="8">
                  <c:v>1.4730674450720351</c:v>
                </c:pt>
                <c:pt idx="9">
                  <c:v>1.8162921597738195</c:v>
                </c:pt>
                <c:pt idx="10">
                  <c:v>2.1177966582962737</c:v>
                </c:pt>
                <c:pt idx="11">
                  <c:v>2.5688873465133799</c:v>
                </c:pt>
                <c:pt idx="12">
                  <c:v>3.2419358312998856</c:v>
                </c:pt>
                <c:pt idx="13">
                  <c:v>3.7217423343322684</c:v>
                </c:pt>
                <c:pt idx="14">
                  <c:v>2.5903326646952589</c:v>
                </c:pt>
                <c:pt idx="15">
                  <c:v>3.2586384921866354</c:v>
                </c:pt>
                <c:pt idx="16">
                  <c:v>3.9201421061005219</c:v>
                </c:pt>
                <c:pt idx="17">
                  <c:v>4.3003958903922728</c:v>
                </c:pt>
                <c:pt idx="18">
                  <c:v>4.4509097465560021</c:v>
                </c:pt>
                <c:pt idx="19">
                  <c:v>4.1259933350574141</c:v>
                </c:pt>
                <c:pt idx="20">
                  <c:v>3.0903690079580031</c:v>
                </c:pt>
                <c:pt idx="21">
                  <c:v>2.9791157236715149</c:v>
                </c:pt>
                <c:pt idx="22">
                  <c:v>3.4974818595903581</c:v>
                </c:pt>
                <c:pt idx="23">
                  <c:v>3.5919138697992974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41D-4151-84BF-5CEEE276C884}"/>
            </c:ext>
          </c:extLst>
        </c:ser>
        <c:ser>
          <c:idx val="1"/>
          <c:order val="1"/>
          <c:spPr>
            <a:ln w="25400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РЕЗУЛЬТАТЫ!$GU$34:$GU$53</c:f>
              <c:numCache>
                <c:formatCode>General</c:formatCode>
                <c:ptCount val="20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  <c:pt idx="6">
                  <c:v>2022</c:v>
                </c:pt>
                <c:pt idx="7">
                  <c:v>2023</c:v>
                </c:pt>
                <c:pt idx="8">
                  <c:v>2024</c:v>
                </c:pt>
                <c:pt idx="9">
                  <c:v>2025</c:v>
                </c:pt>
                <c:pt idx="10">
                  <c:v>2026</c:v>
                </c:pt>
                <c:pt idx="11">
                  <c:v>2027</c:v>
                </c:pt>
                <c:pt idx="12">
                  <c:v>2028</c:v>
                </c:pt>
                <c:pt idx="13">
                  <c:v>2029</c:v>
                </c:pt>
                <c:pt idx="14">
                  <c:v>2030</c:v>
                </c:pt>
                <c:pt idx="15">
                  <c:v>2031</c:v>
                </c:pt>
                <c:pt idx="16">
                  <c:v>2032</c:v>
                </c:pt>
                <c:pt idx="17">
                  <c:v>2033</c:v>
                </c:pt>
                <c:pt idx="18">
                  <c:v>2034</c:v>
                </c:pt>
                <c:pt idx="19">
                  <c:v>2035</c:v>
                </c:pt>
              </c:numCache>
            </c:numRef>
          </c:xVal>
          <c:yVal>
            <c:numRef>
              <c:f>РЕЗУЛЬТАТЫ!$GX$34:$GX$53</c:f>
              <c:numCache>
                <c:formatCode>0.00</c:formatCode>
                <c:ptCount val="20"/>
                <c:pt idx="0">
                  <c:v>2.9791157236715149</c:v>
                </c:pt>
                <c:pt idx="1">
                  <c:v>3.4974818595903581</c:v>
                </c:pt>
                <c:pt idx="2">
                  <c:v>3.5919138697992974</c:v>
                </c:pt>
                <c:pt idx="3">
                  <c:v>3.7594795354810144</c:v>
                </c:pt>
                <c:pt idx="4">
                  <c:v>3.8786474990364632</c:v>
                </c:pt>
                <c:pt idx="5">
                  <c:v>4.0726307350523765</c:v>
                </c:pt>
                <c:pt idx="6">
                  <c:v>4.2339601300567509</c:v>
                </c:pt>
                <c:pt idx="7">
                  <c:v>4.3946367635686654</c:v>
                </c:pt>
                <c:pt idx="8">
                  <c:v>4.5580532686080861</c:v>
                </c:pt>
                <c:pt idx="9">
                  <c:v>4.7264696668583097</c:v>
                </c:pt>
                <c:pt idx="10">
                  <c:v>4.9014565702932025</c:v>
                </c:pt>
                <c:pt idx="11">
                  <c:v>5.0841688271488916</c:v>
                </c:pt>
                <c:pt idx="12">
                  <c:v>5.2755147390748123</c:v>
                </c:pt>
                <c:pt idx="13">
                  <c:v>5.4762609464205978</c:v>
                </c:pt>
                <c:pt idx="14">
                  <c:v>5.6870976781136333</c:v>
                </c:pt>
                <c:pt idx="15">
                  <c:v>5.9086795833607573</c:v>
                </c:pt>
                <c:pt idx="16">
                  <c:v>6.1416515256655435</c:v>
                </c:pt>
                <c:pt idx="17">
                  <c:v>6.386665124425428</c:v>
                </c:pt>
                <c:pt idx="18">
                  <c:v>6.6443896140490546</c:v>
                </c:pt>
                <c:pt idx="19">
                  <c:v>6.9155192250114128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E76-4BC2-A8BC-DD359D277AC2}"/>
            </c:ext>
          </c:extLst>
        </c:ser>
        <c:ser>
          <c:idx val="2"/>
          <c:order val="2"/>
          <c:spPr>
            <a:ln w="41275">
              <a:solidFill>
                <a:srgbClr val="FF0000"/>
              </a:solidFill>
              <a:prstDash val="lgDash"/>
            </a:ln>
          </c:spPr>
          <c:marker>
            <c:symbol val="none"/>
          </c:marker>
          <c:xVal>
            <c:numRef>
              <c:f>РЕЗУЛЬТАТЫ!$GU$13:$GU$53</c:f>
              <c:numCache>
                <c:formatCode>General</c:formatCode>
                <c:ptCount val="41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  <c:pt idx="36">
                  <c:v>2031</c:v>
                </c:pt>
                <c:pt idx="37">
                  <c:v>2032</c:v>
                </c:pt>
                <c:pt idx="38">
                  <c:v>2033</c:v>
                </c:pt>
                <c:pt idx="39">
                  <c:v>2034</c:v>
                </c:pt>
                <c:pt idx="40">
                  <c:v>2035</c:v>
                </c:pt>
              </c:numCache>
            </c:numRef>
          </c:xVal>
          <c:yVal>
            <c:numRef>
              <c:f>РЕЗУЛЬТАТЫ!$GW$13:$GW$53</c:f>
              <c:numCache>
                <c:formatCode>0.00</c:formatCode>
                <c:ptCount val="41"/>
                <c:pt idx="0">
                  <c:v>1.3365369276604215</c:v>
                </c:pt>
                <c:pt idx="1">
                  <c:v>1.3929134853086491</c:v>
                </c:pt>
                <c:pt idx="2">
                  <c:v>1.3791766659269069</c:v>
                </c:pt>
                <c:pt idx="3">
                  <c:v>1.2004214183937039</c:v>
                </c:pt>
                <c:pt idx="4">
                  <c:v>0.94172946811604352</c:v>
                </c:pt>
                <c:pt idx="5">
                  <c:v>1.1397164678113725</c:v>
                </c:pt>
                <c:pt idx="6">
                  <c:v>1.2896505693918963</c:v>
                </c:pt>
                <c:pt idx="7">
                  <c:v>1.4156509123784609</c:v>
                </c:pt>
                <c:pt idx="8">
                  <c:v>1.5432700002044</c:v>
                </c:pt>
                <c:pt idx="9">
                  <c:v>1.7618999169000236</c:v>
                </c:pt>
                <c:pt idx="10">
                  <c:v>1.9435906368074052</c:v>
                </c:pt>
                <c:pt idx="11">
                  <c:v>2.1648993961867609</c:v>
                </c:pt>
                <c:pt idx="12">
                  <c:v>2.5111241157975113</c:v>
                </c:pt>
                <c:pt idx="13">
                  <c:v>2.7454956999386115</c:v>
                </c:pt>
                <c:pt idx="14">
                  <c:v>2.0635691222000796</c:v>
                </c:pt>
                <c:pt idx="15">
                  <c:v>2.4723523387882858</c:v>
                </c:pt>
                <c:pt idx="16">
                  <c:v>2.851620195169998</c:v>
                </c:pt>
                <c:pt idx="17">
                  <c:v>3.0108059231005662</c:v>
                </c:pt>
                <c:pt idx="18">
                  <c:v>3.0520902354643349</c:v>
                </c:pt>
                <c:pt idx="19">
                  <c:v>2.806832984400236</c:v>
                </c:pt>
                <c:pt idx="20">
                  <c:v>2.1300080094384772</c:v>
                </c:pt>
                <c:pt idx="21">
                  <c:v>2.0289799615599726</c:v>
                </c:pt>
                <c:pt idx="22">
                  <c:v>2.3239243657282023</c:v>
                </c:pt>
                <c:pt idx="23">
                  <c:v>2.3284588522954772</c:v>
                </c:pt>
                <c:pt idx="24">
                  <c:v>2.338458852295477</c:v>
                </c:pt>
                <c:pt idx="25">
                  <c:v>2.3484588522954772</c:v>
                </c:pt>
                <c:pt idx="26">
                  <c:v>2.358458852295477</c:v>
                </c:pt>
                <c:pt idx="27">
                  <c:v>2.3684588522954773</c:v>
                </c:pt>
                <c:pt idx="28">
                  <c:v>2.378458852295477</c:v>
                </c:pt>
                <c:pt idx="29">
                  <c:v>2.3884588522954773</c:v>
                </c:pt>
                <c:pt idx="30">
                  <c:v>2.3984588522954771</c:v>
                </c:pt>
                <c:pt idx="31">
                  <c:v>2.4084588522954773</c:v>
                </c:pt>
                <c:pt idx="32">
                  <c:v>2.4184588522954771</c:v>
                </c:pt>
                <c:pt idx="33">
                  <c:v>2.4284588522954773</c:v>
                </c:pt>
                <c:pt idx="34">
                  <c:v>2.4384588522954771</c:v>
                </c:pt>
                <c:pt idx="35">
                  <c:v>2.4484588522954773</c:v>
                </c:pt>
                <c:pt idx="36">
                  <c:v>2.4584588522954771</c:v>
                </c:pt>
                <c:pt idx="37">
                  <c:v>2.4684588522954773</c:v>
                </c:pt>
                <c:pt idx="38">
                  <c:v>2.4784588522954771</c:v>
                </c:pt>
                <c:pt idx="39">
                  <c:v>2.4884588522954774</c:v>
                </c:pt>
                <c:pt idx="40">
                  <c:v>2.4984588522954772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265-4DD7-A0F8-450D33850E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610816"/>
        <c:axId val="146616704"/>
      </c:scatterChart>
      <c:valAx>
        <c:axId val="146610816"/>
        <c:scaling>
          <c:orientation val="minMax"/>
          <c:max val="2030"/>
          <c:min val="1995"/>
        </c:scaling>
        <c:delete val="0"/>
        <c:axPos val="b"/>
        <c:numFmt formatCode="#,##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46616704"/>
        <c:crosses val="autoZero"/>
        <c:crossBetween val="midCat"/>
        <c:majorUnit val="5"/>
      </c:valAx>
      <c:valAx>
        <c:axId val="146616704"/>
        <c:scaling>
          <c:orientation val="minMax"/>
          <c:max val="6"/>
          <c:min val="0"/>
        </c:scaling>
        <c:delete val="0"/>
        <c:axPos val="l"/>
        <c:majorGridlines/>
        <c:numFmt formatCode="0.0" sourceLinked="0"/>
        <c:majorTickMark val="out"/>
        <c:minorTickMark val="none"/>
        <c:tickLblPos val="nextTo"/>
        <c:txPr>
          <a:bodyPr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46610816"/>
        <c:crosses val="autoZero"/>
        <c:crossBetween val="midCat"/>
        <c:majorUnit val="1"/>
      </c:valAx>
      <c:spPr>
        <a:solidFill>
          <a:sysClr val="window" lastClr="FFFFFF"/>
        </a:solidFill>
      </c:spPr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2800"/>
            </a:pPr>
            <a:r>
              <a:rPr lang="en-US" sz="2800"/>
              <a:t>pIM</a:t>
            </a:r>
            <a:endParaRPr lang="ru-RU" sz="2800"/>
          </a:p>
        </c:rich>
      </c:tx>
      <c:layout>
        <c:manualLayout>
          <c:xMode val="edge"/>
          <c:yMode val="edge"/>
          <c:x val="8.3947340357544767E-2"/>
          <c:y val="4.0603470286058603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6.1657400263084146E-2"/>
          <c:y val="2.6680946709735805E-2"/>
          <c:w val="0.90308770243222136"/>
          <c:h val="0.91527890352118391"/>
        </c:manualLayout>
      </c:layout>
      <c:scatterChart>
        <c:scatterStyle val="smoothMarker"/>
        <c:varyColors val="0"/>
        <c:ser>
          <c:idx val="0"/>
          <c:order val="0"/>
          <c:spPr>
            <a:ln w="101600">
              <a:solidFill>
                <a:srgbClr val="FF0000">
                  <a:alpha val="67000"/>
                </a:srgbClr>
              </a:solidFill>
            </a:ln>
          </c:spPr>
          <c:marker>
            <c:symbol val="none"/>
          </c:marker>
          <c:xVal>
            <c:numRef>
              <c:f>РЕЗУЛЬТАТЫ!$FY$13:$FY$36</c:f>
              <c:numCache>
                <c:formatCode>General</c:formatCode>
                <c:ptCount val="24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</c:numCache>
            </c:numRef>
          </c:xVal>
          <c:yVal>
            <c:numRef>
              <c:f>РЕЗУЛЬТАТЫ!$FZ$13:$FZ$36</c:f>
              <c:numCache>
                <c:formatCode>0.000</c:formatCode>
                <c:ptCount val="24"/>
                <c:pt idx="0">
                  <c:v>1.07</c:v>
                </c:pt>
                <c:pt idx="1">
                  <c:v>1.0129999999999999</c:v>
                </c:pt>
                <c:pt idx="2">
                  <c:v>1.004</c:v>
                </c:pt>
                <c:pt idx="3">
                  <c:v>0.82600000000000007</c:v>
                </c:pt>
                <c:pt idx="4">
                  <c:v>0.83</c:v>
                </c:pt>
                <c:pt idx="5">
                  <c:v>1.3240000000000001</c:v>
                </c:pt>
                <c:pt idx="6">
                  <c:v>1.1870000000000001</c:v>
                </c:pt>
                <c:pt idx="7">
                  <c:v>1.1459999999999999</c:v>
                </c:pt>
                <c:pt idx="8">
                  <c:v>1.173</c:v>
                </c:pt>
                <c:pt idx="9">
                  <c:v>1.2330000000000001</c:v>
                </c:pt>
                <c:pt idx="10">
                  <c:v>1.1660000000000001</c:v>
                </c:pt>
                <c:pt idx="11">
                  <c:v>1.2129999999999999</c:v>
                </c:pt>
                <c:pt idx="12">
                  <c:v>1.262</c:v>
                </c:pt>
                <c:pt idx="13">
                  <c:v>1.1479999999999999</c:v>
                </c:pt>
                <c:pt idx="14">
                  <c:v>0.69600000000000006</c:v>
                </c:pt>
                <c:pt idx="15">
                  <c:v>1.2579999999999998</c:v>
                </c:pt>
                <c:pt idx="16">
                  <c:v>1.2029999999999998</c:v>
                </c:pt>
                <c:pt idx="17">
                  <c:v>1.097</c:v>
                </c:pt>
                <c:pt idx="18">
                  <c:v>1.0349999999999999</c:v>
                </c:pt>
                <c:pt idx="19">
                  <c:v>0.92700000000000005</c:v>
                </c:pt>
                <c:pt idx="20">
                  <c:v>0.749</c:v>
                </c:pt>
                <c:pt idx="21">
                  <c:v>0.96399999999999997</c:v>
                </c:pt>
                <c:pt idx="22">
                  <c:v>1.1739999999999999</c:v>
                </c:pt>
                <c:pt idx="23">
                  <c:v>1.0269999999999999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954-4BD9-A503-0129C6879B12}"/>
            </c:ext>
          </c:extLst>
        </c:ser>
        <c:ser>
          <c:idx val="1"/>
          <c:order val="1"/>
          <c:spPr>
            <a:ln w="2857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РЕЗУЛЬТАТЫ!$FY$35:$FY$53</c:f>
              <c:numCache>
                <c:formatCode>General</c:formatCode>
                <c:ptCount val="19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  <c:pt idx="4">
                  <c:v>2021</c:v>
                </c:pt>
                <c:pt idx="5">
                  <c:v>2022</c:v>
                </c:pt>
                <c:pt idx="6">
                  <c:v>2023</c:v>
                </c:pt>
                <c:pt idx="7">
                  <c:v>2024</c:v>
                </c:pt>
                <c:pt idx="8">
                  <c:v>2025</c:v>
                </c:pt>
                <c:pt idx="9">
                  <c:v>2026</c:v>
                </c:pt>
                <c:pt idx="10">
                  <c:v>2027</c:v>
                </c:pt>
                <c:pt idx="11">
                  <c:v>2028</c:v>
                </c:pt>
                <c:pt idx="12">
                  <c:v>2029</c:v>
                </c:pt>
                <c:pt idx="13">
                  <c:v>2030</c:v>
                </c:pt>
                <c:pt idx="14">
                  <c:v>2031</c:v>
                </c:pt>
                <c:pt idx="15">
                  <c:v>2032</c:v>
                </c:pt>
                <c:pt idx="16">
                  <c:v>2033</c:v>
                </c:pt>
                <c:pt idx="17">
                  <c:v>2034</c:v>
                </c:pt>
                <c:pt idx="18">
                  <c:v>2035</c:v>
                </c:pt>
              </c:numCache>
            </c:numRef>
          </c:xVal>
          <c:yVal>
            <c:numRef>
              <c:f>РЕЗУЛЬТАТЫ!$GA$35:$GA$53</c:f>
              <c:numCache>
                <c:formatCode>0.000</c:formatCode>
                <c:ptCount val="19"/>
                <c:pt idx="1">
                  <c:v>1.0269999999999999</c:v>
                </c:pt>
                <c:pt idx="2">
                  <c:v>1.0466508028186878</c:v>
                </c:pt>
                <c:pt idx="3">
                  <c:v>1.0316979950098868</c:v>
                </c:pt>
                <c:pt idx="4">
                  <c:v>1.0500131130926704</c:v>
                </c:pt>
                <c:pt idx="5">
                  <c:v>1.0396130672039186</c:v>
                </c:pt>
                <c:pt idx="6">
                  <c:v>1.0379494913925325</c:v>
                </c:pt>
                <c:pt idx="7">
                  <c:v>1.0371854407613699</c:v>
                </c:pt>
                <c:pt idx="8">
                  <c:v>1.0369491948262495</c:v>
                </c:pt>
                <c:pt idx="9">
                  <c:v>1.0370227496987634</c:v>
                </c:pt>
                <c:pt idx="10">
                  <c:v>1.0372771347119694</c:v>
                </c:pt>
                <c:pt idx="11">
                  <c:v>1.0376356329679999</c:v>
                </c:pt>
                <c:pt idx="12">
                  <c:v>1.0380524398612505</c:v>
                </c:pt>
                <c:pt idx="13">
                  <c:v>1.0385001251320654</c:v>
                </c:pt>
                <c:pt idx="14">
                  <c:v>1.0389622119732294</c:v>
                </c:pt>
                <c:pt idx="15">
                  <c:v>1.0394287656011758</c:v>
                </c:pt>
                <c:pt idx="16">
                  <c:v>1.0398937643622386</c:v>
                </c:pt>
                <c:pt idx="17">
                  <c:v>1.0403535310843175</c:v>
                </c:pt>
                <c:pt idx="18">
                  <c:v>1.0408057965759674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678-43EF-AFC0-A679CA5561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674432"/>
        <c:axId val="146675968"/>
      </c:scatterChart>
      <c:valAx>
        <c:axId val="146674432"/>
        <c:scaling>
          <c:orientation val="minMax"/>
          <c:max val="2035"/>
          <c:min val="1995"/>
        </c:scaling>
        <c:delete val="0"/>
        <c:axPos val="b"/>
        <c:numFmt formatCode="#,##0" sourceLinked="0"/>
        <c:majorTickMark val="in"/>
        <c:minorTickMark val="none"/>
        <c:tickLblPos val="nextTo"/>
        <c:spPr>
          <a:ln/>
        </c:spPr>
        <c:txPr>
          <a:bodyPr rot="0" vert="horz"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46675968"/>
        <c:crosses val="autoZero"/>
        <c:crossBetween val="midCat"/>
        <c:majorUnit val="5"/>
      </c:valAx>
      <c:valAx>
        <c:axId val="146675968"/>
        <c:scaling>
          <c:orientation val="minMax"/>
          <c:max val="1.5"/>
          <c:min val="0.5"/>
        </c:scaling>
        <c:delete val="0"/>
        <c:axPos val="l"/>
        <c:majorGridlines/>
        <c:numFmt formatCode="0.00" sourceLinked="0"/>
        <c:majorTickMark val="out"/>
        <c:minorTickMark val="none"/>
        <c:tickLblPos val="nextTo"/>
        <c:txPr>
          <a:bodyPr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46674432"/>
        <c:crosses val="autoZero"/>
        <c:crossBetween val="midCat"/>
        <c:majorUnit val="0.25"/>
      </c:valAx>
      <c:spPr>
        <a:solidFill>
          <a:sysClr val="window" lastClr="FFFFFF"/>
        </a:solidFill>
      </c:spPr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2800"/>
            </a:pPr>
            <a:r>
              <a:rPr lang="en-US" sz="2800"/>
              <a:t>LZ</a:t>
            </a:r>
            <a:endParaRPr lang="ru-RU" sz="2800"/>
          </a:p>
        </c:rich>
      </c:tx>
      <c:layout>
        <c:manualLayout>
          <c:xMode val="edge"/>
          <c:yMode val="edge"/>
          <c:x val="0.10195723303057443"/>
          <c:y val="6.0058680032674124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6.1657400263084146E-2"/>
          <c:y val="2.6680946709735805E-2"/>
          <c:w val="0.90308770243222136"/>
          <c:h val="0.91527890352118391"/>
        </c:manualLayout>
      </c:layout>
      <c:scatterChart>
        <c:scatterStyle val="smoothMarker"/>
        <c:varyColors val="0"/>
        <c:ser>
          <c:idx val="0"/>
          <c:order val="0"/>
          <c:spPr>
            <a:ln w="127000">
              <a:solidFill>
                <a:schemeClr val="accent1">
                  <a:alpha val="58000"/>
                </a:schemeClr>
              </a:solidFill>
            </a:ln>
          </c:spPr>
          <c:marker>
            <c:symbol val="none"/>
          </c:marker>
          <c:xVal>
            <c:numRef>
              <c:f>РЕЗУЛЬТАТЫ!$LE$13:$LE$36</c:f>
              <c:numCache>
                <c:formatCode>General</c:formatCode>
                <c:ptCount val="24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</c:numCache>
            </c:numRef>
          </c:xVal>
          <c:yVal>
            <c:numRef>
              <c:f>РЕЗУЛЬТАТЫ!$LF$13:$LF$36</c:f>
              <c:numCache>
                <c:formatCode>0.00</c:formatCode>
                <c:ptCount val="24"/>
                <c:pt idx="0">
                  <c:v>64.055000000000007</c:v>
                </c:pt>
                <c:pt idx="1">
                  <c:v>62.927999999999997</c:v>
                </c:pt>
                <c:pt idx="2">
                  <c:v>60.021000000000001</c:v>
                </c:pt>
                <c:pt idx="3">
                  <c:v>58.436999999999998</c:v>
                </c:pt>
                <c:pt idx="4">
                  <c:v>63.082000000000001</c:v>
                </c:pt>
                <c:pt idx="5">
                  <c:v>65.069999999999993</c:v>
                </c:pt>
                <c:pt idx="6">
                  <c:v>65.123000000000005</c:v>
                </c:pt>
                <c:pt idx="7">
                  <c:v>66.659000000000006</c:v>
                </c:pt>
                <c:pt idx="8">
                  <c:v>66.338999999999999</c:v>
                </c:pt>
                <c:pt idx="9">
                  <c:v>67.319000000000003</c:v>
                </c:pt>
                <c:pt idx="10">
                  <c:v>68.338999999999999</c:v>
                </c:pt>
                <c:pt idx="11">
                  <c:v>69.168999999999997</c:v>
                </c:pt>
                <c:pt idx="12">
                  <c:v>70.77</c:v>
                </c:pt>
                <c:pt idx="13">
                  <c:v>71.003</c:v>
                </c:pt>
                <c:pt idx="14">
                  <c:v>69.41</c:v>
                </c:pt>
                <c:pt idx="15">
                  <c:v>69.933708461473046</c:v>
                </c:pt>
                <c:pt idx="16">
                  <c:v>70.85661311334043</c:v>
                </c:pt>
                <c:pt idx="17">
                  <c:v>71.545415863579535</c:v>
                </c:pt>
                <c:pt idx="18">
                  <c:v>71.391459581339006</c:v>
                </c:pt>
                <c:pt idx="19">
                  <c:v>71.539043569577998</c:v>
                </c:pt>
                <c:pt idx="20">
                  <c:v>72.323622532452006</c:v>
                </c:pt>
                <c:pt idx="21">
                  <c:v>72.393000000000001</c:v>
                </c:pt>
                <c:pt idx="22">
                  <c:v>72.141999999999996</c:v>
                </c:pt>
                <c:pt idx="23">
                  <c:v>72.353999999999999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0F9-4C7D-A3A2-89E32E2D4D2E}"/>
            </c:ext>
          </c:extLst>
        </c:ser>
        <c:ser>
          <c:idx val="1"/>
          <c:order val="1"/>
          <c:spPr>
            <a:ln w="127000"/>
          </c:spPr>
          <c:marker>
            <c:symbol val="none"/>
          </c:marker>
          <c:xVal>
            <c:numRef>
              <c:f>РЕЗУЛЬТАТЫ!$LE$13:$LE$36</c:f>
              <c:numCache>
                <c:formatCode>General</c:formatCode>
                <c:ptCount val="24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</c:numCache>
            </c:numRef>
          </c:xVal>
          <c:yVal>
            <c:numRef>
              <c:f>РЕЗУЛЬТАТЫ!$LH$13:$LH$36</c:f>
              <c:numCache>
                <c:formatCode>0.00</c:formatCode>
                <c:ptCount val="24"/>
                <c:pt idx="0">
                  <c:v>6.6840000000000002</c:v>
                </c:pt>
                <c:pt idx="1">
                  <c:v>6.7320000000000002</c:v>
                </c:pt>
                <c:pt idx="2">
                  <c:v>8.0579999999999998</c:v>
                </c:pt>
                <c:pt idx="3">
                  <c:v>8.9019999999999992</c:v>
                </c:pt>
                <c:pt idx="4">
                  <c:v>9.0939999999999994</c:v>
                </c:pt>
                <c:pt idx="5">
                  <c:v>7.7000000000000028</c:v>
                </c:pt>
                <c:pt idx="6">
                  <c:v>6.421999999999997</c:v>
                </c:pt>
                <c:pt idx="7">
                  <c:v>5.6979999999999933</c:v>
                </c:pt>
                <c:pt idx="8">
                  <c:v>5.9339999999999975</c:v>
                </c:pt>
                <c:pt idx="9">
                  <c:v>5.6659999999999968</c:v>
                </c:pt>
                <c:pt idx="10">
                  <c:v>5.2420000000000044</c:v>
                </c:pt>
                <c:pt idx="11">
                  <c:v>5.25</c:v>
                </c:pt>
                <c:pt idx="12">
                  <c:v>4.5190000000000055</c:v>
                </c:pt>
                <c:pt idx="13">
                  <c:v>4.6970000000000027</c:v>
                </c:pt>
                <c:pt idx="14">
                  <c:v>6.284000000000006</c:v>
                </c:pt>
                <c:pt idx="15">
                  <c:v>5.5441655838158379</c:v>
                </c:pt>
                <c:pt idx="16">
                  <c:v>4.9223997554548067</c:v>
                </c:pt>
                <c:pt idx="17">
                  <c:v>4.1306599945102453</c:v>
                </c:pt>
                <c:pt idx="18">
                  <c:v>4.1374433479760002</c:v>
                </c:pt>
                <c:pt idx="19">
                  <c:v>3.889373856792</c:v>
                </c:pt>
                <c:pt idx="20">
                  <c:v>4.2639265933380006</c:v>
                </c:pt>
                <c:pt idx="21">
                  <c:v>4.2430000000000003</c:v>
                </c:pt>
                <c:pt idx="22">
                  <c:v>3.9670000000000001</c:v>
                </c:pt>
                <c:pt idx="23">
                  <c:v>3.657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0F9-4C7D-A3A2-89E32E2D4D2E}"/>
            </c:ext>
          </c:extLst>
        </c:ser>
        <c:ser>
          <c:idx val="2"/>
          <c:order val="2"/>
          <c:spPr>
            <a:ln w="25400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РЕЗУЛЬТАТЫ!$LE$35:$LE$53</c:f>
              <c:numCache>
                <c:formatCode>General</c:formatCode>
                <c:ptCount val="19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  <c:pt idx="4">
                  <c:v>2021</c:v>
                </c:pt>
                <c:pt idx="5">
                  <c:v>2022</c:v>
                </c:pt>
                <c:pt idx="6">
                  <c:v>2023</c:v>
                </c:pt>
                <c:pt idx="7">
                  <c:v>2024</c:v>
                </c:pt>
                <c:pt idx="8">
                  <c:v>2025</c:v>
                </c:pt>
                <c:pt idx="9">
                  <c:v>2026</c:v>
                </c:pt>
                <c:pt idx="10">
                  <c:v>2027</c:v>
                </c:pt>
                <c:pt idx="11">
                  <c:v>2028</c:v>
                </c:pt>
                <c:pt idx="12">
                  <c:v>2029</c:v>
                </c:pt>
                <c:pt idx="13">
                  <c:v>2030</c:v>
                </c:pt>
                <c:pt idx="14">
                  <c:v>2031</c:v>
                </c:pt>
                <c:pt idx="15">
                  <c:v>2032</c:v>
                </c:pt>
                <c:pt idx="16">
                  <c:v>2033</c:v>
                </c:pt>
                <c:pt idx="17">
                  <c:v>2034</c:v>
                </c:pt>
                <c:pt idx="18">
                  <c:v>2035</c:v>
                </c:pt>
              </c:numCache>
            </c:numRef>
          </c:xVal>
          <c:yVal>
            <c:numRef>
              <c:f>РЕЗУЛЬТАТЫ!$LG$35:$LG$53</c:f>
              <c:numCache>
                <c:formatCode>0.00</c:formatCode>
                <c:ptCount val="19"/>
                <c:pt idx="0">
                  <c:v>72.393000000000001</c:v>
                </c:pt>
                <c:pt idx="1">
                  <c:v>72.141999999999996</c:v>
                </c:pt>
                <c:pt idx="2">
                  <c:v>72.353999999999999</c:v>
                </c:pt>
                <c:pt idx="3">
                  <c:v>73.189834561052962</c:v>
                </c:pt>
                <c:pt idx="4">
                  <c:v>73.708730923434331</c:v>
                </c:pt>
                <c:pt idx="5">
                  <c:v>74.626291214110296</c:v>
                </c:pt>
                <c:pt idx="6">
                  <c:v>75.35563102517942</c:v>
                </c:pt>
                <c:pt idx="7">
                  <c:v>76.071638919977261</c:v>
                </c:pt>
                <c:pt idx="8">
                  <c:v>76.792560028524406</c:v>
                </c:pt>
                <c:pt idx="9">
                  <c:v>77.530191119224753</c:v>
                </c:pt>
                <c:pt idx="10">
                  <c:v>78.292407698046887</c:v>
                </c:pt>
                <c:pt idx="11">
                  <c:v>79.084712972946079</c:v>
                </c:pt>
                <c:pt idx="12">
                  <c:v>79.911188181231992</c:v>
                </c:pt>
                <c:pt idx="13">
                  <c:v>80.775076420358346</c:v>
                </c:pt>
                <c:pt idx="14">
                  <c:v>81.679142040078716</c:v>
                </c:pt>
                <c:pt idx="15">
                  <c:v>82.625892563147602</c:v>
                </c:pt>
                <c:pt idx="16">
                  <c:v>83.617716397469906</c:v>
                </c:pt>
                <c:pt idx="17">
                  <c:v>84.656968974552157</c:v>
                </c:pt>
                <c:pt idx="18">
                  <c:v>85.746027319293603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A4E-4CFA-9185-341198A10D06}"/>
            </c:ext>
          </c:extLst>
        </c:ser>
        <c:ser>
          <c:idx val="3"/>
          <c:order val="3"/>
          <c:spPr>
            <a:ln w="41275">
              <a:solidFill>
                <a:schemeClr val="tx1"/>
              </a:solidFill>
              <a:prstDash val="dash"/>
            </a:ln>
          </c:spPr>
          <c:marker>
            <c:symbol val="none"/>
          </c:marker>
          <c:xVal>
            <c:numRef>
              <c:f>РЕЗУЛЬТАТЫ!$LE$35:$LE$53</c:f>
              <c:numCache>
                <c:formatCode>General</c:formatCode>
                <c:ptCount val="19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  <c:pt idx="4">
                  <c:v>2021</c:v>
                </c:pt>
                <c:pt idx="5">
                  <c:v>2022</c:v>
                </c:pt>
                <c:pt idx="6">
                  <c:v>2023</c:v>
                </c:pt>
                <c:pt idx="7">
                  <c:v>2024</c:v>
                </c:pt>
                <c:pt idx="8">
                  <c:v>2025</c:v>
                </c:pt>
                <c:pt idx="9">
                  <c:v>2026</c:v>
                </c:pt>
                <c:pt idx="10">
                  <c:v>2027</c:v>
                </c:pt>
                <c:pt idx="11">
                  <c:v>2028</c:v>
                </c:pt>
                <c:pt idx="12">
                  <c:v>2029</c:v>
                </c:pt>
                <c:pt idx="13">
                  <c:v>2030</c:v>
                </c:pt>
                <c:pt idx="14">
                  <c:v>2031</c:v>
                </c:pt>
                <c:pt idx="15">
                  <c:v>2032</c:v>
                </c:pt>
                <c:pt idx="16">
                  <c:v>2033</c:v>
                </c:pt>
                <c:pt idx="17">
                  <c:v>2034</c:v>
                </c:pt>
                <c:pt idx="18">
                  <c:v>2035</c:v>
                </c:pt>
              </c:numCache>
            </c:numRef>
          </c:xVal>
          <c:yVal>
            <c:numRef>
              <c:f>РЕЗУЛЬТАТЫ!$LI$35:$LI$53</c:f>
              <c:numCache>
                <c:formatCode>0.00</c:formatCode>
                <c:ptCount val="19"/>
                <c:pt idx="0">
                  <c:v>3.9670000000000001</c:v>
                </c:pt>
                <c:pt idx="1">
                  <c:v>3.657</c:v>
                </c:pt>
                <c:pt idx="2">
                  <c:v>2.710165438947044</c:v>
                </c:pt>
                <c:pt idx="3">
                  <c:v>4.0422690765656739</c:v>
                </c:pt>
                <c:pt idx="4">
                  <c:v>3.0929087858897049</c:v>
                </c:pt>
                <c:pt idx="5">
                  <c:v>2.3211689748205657</c:v>
                </c:pt>
                <c:pt idx="6">
                  <c:v>1.5415610800227313</c:v>
                </c:pt>
                <c:pt idx="7">
                  <c:v>0.757039971475578</c:v>
                </c:pt>
                <c:pt idx="8">
                  <c:v>-6.5391119224770478E-2</c:v>
                </c:pt>
                <c:pt idx="9">
                  <c:v>-0.91240769804689137</c:v>
                </c:pt>
                <c:pt idx="10">
                  <c:v>-1.7895129729460848</c:v>
                </c:pt>
                <c:pt idx="11">
                  <c:v>-2.7007881812319994</c:v>
                </c:pt>
                <c:pt idx="12">
                  <c:v>-3.6600764203583509</c:v>
                </c:pt>
                <c:pt idx="13">
                  <c:v>-4.6595420400787333</c:v>
                </c:pt>
                <c:pt idx="14">
                  <c:v>-5.701692563147617</c:v>
                </c:pt>
                <c:pt idx="15">
                  <c:v>-6.7889163974699329</c:v>
                </c:pt>
                <c:pt idx="16">
                  <c:v>-7.9341689745521791</c:v>
                </c:pt>
                <c:pt idx="17">
                  <c:v>-9.1186273192936227</c:v>
                </c:pt>
                <c:pt idx="18">
                  <c:v>-10.355325320444564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615-49C8-84F9-2821028AB7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744064"/>
        <c:axId val="146745600"/>
      </c:scatterChart>
      <c:valAx>
        <c:axId val="146744064"/>
        <c:scaling>
          <c:orientation val="minMax"/>
          <c:max val="2035"/>
          <c:min val="1995"/>
        </c:scaling>
        <c:delete val="0"/>
        <c:axPos val="b"/>
        <c:numFmt formatCode="#,##0" sourceLinked="0"/>
        <c:majorTickMark val="in"/>
        <c:minorTickMark val="none"/>
        <c:tickLblPos val="nextTo"/>
        <c:spPr>
          <a:ln/>
        </c:spPr>
        <c:txPr>
          <a:bodyPr rot="0" vert="horz"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46745600"/>
        <c:crosses val="autoZero"/>
        <c:crossBetween val="midCat"/>
        <c:majorUnit val="5"/>
      </c:valAx>
      <c:valAx>
        <c:axId val="146745600"/>
        <c:scaling>
          <c:orientation val="minMax"/>
          <c:max val="100"/>
          <c:min val="-20"/>
        </c:scaling>
        <c:delete val="0"/>
        <c:axPos val="l"/>
        <c:majorGridlines/>
        <c:numFmt formatCode="0.0" sourceLinked="0"/>
        <c:majorTickMark val="out"/>
        <c:minorTickMark val="none"/>
        <c:tickLblPos val="nextTo"/>
        <c:txPr>
          <a:bodyPr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46744064"/>
        <c:crosses val="autoZero"/>
        <c:crossBetween val="midCat"/>
        <c:majorUnit val="20"/>
      </c:valAx>
      <c:spPr>
        <a:solidFill>
          <a:sysClr val="window" lastClr="FFFFFF"/>
        </a:solidFill>
      </c:spPr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2000"/>
            </a:pPr>
            <a:r>
              <a:rPr lang="en-US" sz="2000"/>
              <a:t>XOS (</a:t>
            </a:r>
            <a:r>
              <a:rPr lang="ru-RU" sz="2000"/>
              <a:t>млрд</a:t>
            </a:r>
            <a:r>
              <a:rPr lang="ru-RU" sz="2000" baseline="0"/>
              <a:t> руб)</a:t>
            </a:r>
            <a:endParaRPr lang="ru-RU" sz="2000"/>
          </a:p>
        </c:rich>
      </c:tx>
      <c:layout>
        <c:manualLayout>
          <c:xMode val="edge"/>
          <c:yMode val="edge"/>
          <c:x val="9.7254749255421324E-2"/>
          <c:y val="6.7472017610702012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6.1657436785485062E-2"/>
          <c:y val="4.2451500014111139E-2"/>
          <c:w val="0.90308770243222136"/>
          <c:h val="0.91527890352118391"/>
        </c:manualLayout>
      </c:layout>
      <c:scatterChart>
        <c:scatterStyle val="smoothMarker"/>
        <c:varyColors val="0"/>
        <c:ser>
          <c:idx val="0"/>
          <c:order val="0"/>
          <c:spPr>
            <a:ln w="127000">
              <a:solidFill>
                <a:schemeClr val="accent1">
                  <a:alpha val="57000"/>
                </a:schemeClr>
              </a:solidFill>
            </a:ln>
          </c:spPr>
          <c:marker>
            <c:symbol val="none"/>
          </c:marker>
          <c:xVal>
            <c:numRef>
              <c:f>РЕЗУЛЬТАТЫ!$MB$13:$MB$36</c:f>
              <c:numCache>
                <c:formatCode>General</c:formatCode>
                <c:ptCount val="24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</c:numCache>
            </c:numRef>
          </c:xVal>
          <c:yVal>
            <c:numRef>
              <c:f>РЕЗУЛЬТАТЫ!$MC$13:$MC$36</c:f>
              <c:numCache>
                <c:formatCode>0</c:formatCode>
                <c:ptCount val="24"/>
                <c:pt idx="0">
                  <c:v>2767.6205</c:v>
                </c:pt>
                <c:pt idx="1">
                  <c:v>2690.1271259999999</c:v>
                </c:pt>
                <c:pt idx="2">
                  <c:v>2727.788905764</c:v>
                </c:pt>
                <c:pt idx="3">
                  <c:v>2588.6716715700359</c:v>
                </c:pt>
                <c:pt idx="4">
                  <c:v>2738.8146285210983</c:v>
                </c:pt>
                <c:pt idx="5">
                  <c:v>2996.2632036020818</c:v>
                </c:pt>
                <c:pt idx="6">
                  <c:v>3143.0801005785834</c:v>
                </c:pt>
                <c:pt idx="7">
                  <c:v>3281.3756250040415</c:v>
                </c:pt>
                <c:pt idx="8">
                  <c:v>3530.7601725043487</c:v>
                </c:pt>
                <c:pt idx="9">
                  <c:v>3813.2209863046965</c:v>
                </c:pt>
                <c:pt idx="10">
                  <c:v>4030.5745825240638</c:v>
                </c:pt>
                <c:pt idx="11">
                  <c:v>4389.2957203687056</c:v>
                </c:pt>
                <c:pt idx="12">
                  <c:v>4775.553743761152</c:v>
                </c:pt>
                <c:pt idx="13">
                  <c:v>5014.3314309492098</c:v>
                </c:pt>
                <c:pt idx="14">
                  <c:v>4643.2709050589683</c:v>
                </c:pt>
                <c:pt idx="15">
                  <c:v>4875.4344503119164</c:v>
                </c:pt>
                <c:pt idx="16">
                  <c:v>5085.0781316753291</c:v>
                </c:pt>
                <c:pt idx="17">
                  <c:v>5283.3961788106672</c:v>
                </c:pt>
                <c:pt idx="18">
                  <c:v>5394.3474985656912</c:v>
                </c:pt>
                <c:pt idx="19">
                  <c:v>5437.5022785542169</c:v>
                </c:pt>
                <c:pt idx="20">
                  <c:v>5366.8147489330113</c:v>
                </c:pt>
                <c:pt idx="21">
                  <c:v>5431.2165259202075</c:v>
                </c:pt>
                <c:pt idx="22">
                  <c:v>5566.9969390682127</c:v>
                </c:pt>
                <c:pt idx="23">
                  <c:v>5706.1718625449175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046-4188-A6EF-8C38243A96A2}"/>
            </c:ext>
          </c:extLst>
        </c:ser>
        <c:ser>
          <c:idx val="1"/>
          <c:order val="1"/>
          <c:spPr>
            <a:ln w="2857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РЕЗУЛЬТАТЫ!$MB$35:$MB$53</c:f>
              <c:numCache>
                <c:formatCode>General</c:formatCode>
                <c:ptCount val="19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  <c:pt idx="4">
                  <c:v>2021</c:v>
                </c:pt>
                <c:pt idx="5">
                  <c:v>2022</c:v>
                </c:pt>
                <c:pt idx="6">
                  <c:v>2023</c:v>
                </c:pt>
                <c:pt idx="7">
                  <c:v>2024</c:v>
                </c:pt>
                <c:pt idx="8">
                  <c:v>2025</c:v>
                </c:pt>
                <c:pt idx="9">
                  <c:v>2026</c:v>
                </c:pt>
                <c:pt idx="10">
                  <c:v>2027</c:v>
                </c:pt>
                <c:pt idx="11">
                  <c:v>2028</c:v>
                </c:pt>
                <c:pt idx="12">
                  <c:v>2029</c:v>
                </c:pt>
                <c:pt idx="13">
                  <c:v>2030</c:v>
                </c:pt>
                <c:pt idx="14">
                  <c:v>2031</c:v>
                </c:pt>
                <c:pt idx="15">
                  <c:v>2032</c:v>
                </c:pt>
                <c:pt idx="16">
                  <c:v>2033</c:v>
                </c:pt>
                <c:pt idx="17">
                  <c:v>2034</c:v>
                </c:pt>
                <c:pt idx="18">
                  <c:v>2035</c:v>
                </c:pt>
              </c:numCache>
            </c:numRef>
          </c:xVal>
          <c:yVal>
            <c:numRef>
              <c:f>РЕЗУЛЬТАТЫ!$MD$35:$MD$53</c:f>
              <c:numCache>
                <c:formatCode>0</c:formatCode>
                <c:ptCount val="19"/>
                <c:pt idx="0">
                  <c:v>5566.9969390682127</c:v>
                </c:pt>
                <c:pt idx="1">
                  <c:v>5706.1718625449175</c:v>
                </c:pt>
                <c:pt idx="2">
                  <c:v>5946.8295942179684</c:v>
                </c:pt>
                <c:pt idx="3">
                  <c:v>6109.2072396307076</c:v>
                </c:pt>
                <c:pt idx="4">
                  <c:v>6387.5488161797339</c:v>
                </c:pt>
                <c:pt idx="5">
                  <c:v>6612.5416630415566</c:v>
                </c:pt>
                <c:pt idx="6">
                  <c:v>6834.6274008248565</c:v>
                </c:pt>
                <c:pt idx="7">
                  <c:v>7059.0967442522897</c:v>
                </c:pt>
                <c:pt idx="8">
                  <c:v>7289.4054011630133</c:v>
                </c:pt>
                <c:pt idx="9">
                  <c:v>7527.8928579418525</c:v>
                </c:pt>
                <c:pt idx="10">
                  <c:v>7776.2239974982122</c:v>
                </c:pt>
                <c:pt idx="11">
                  <c:v>8035.6607402633208</c:v>
                </c:pt>
                <c:pt idx="12">
                  <c:v>8307.2294128671838</c:v>
                </c:pt>
                <c:pt idx="13">
                  <c:v>8591.8241359283202</c:v>
                </c:pt>
                <c:pt idx="14">
                  <c:v>8890.2709487257744</c:v>
                </c:pt>
                <c:pt idx="15">
                  <c:v>9203.3678409919248</c:v>
                </c:pt>
                <c:pt idx="16">
                  <c:v>9531.9100066267929</c:v>
                </c:pt>
                <c:pt idx="17">
                  <c:v>9876.7060416591885</c:v>
                </c:pt>
                <c:pt idx="18">
                  <c:v>10238.588603864273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CE8-487C-A3E0-08941BEE9545}"/>
            </c:ext>
          </c:extLst>
        </c:ser>
        <c:ser>
          <c:idx val="2"/>
          <c:order val="2"/>
          <c:marker>
            <c:symbol val="none"/>
          </c:marker>
          <c:trendline>
            <c:spPr>
              <a:ln w="34925">
                <a:prstDash val="dash"/>
              </a:ln>
            </c:spPr>
            <c:trendlineType val="linear"/>
            <c:forward val="10"/>
            <c:dispRSqr val="0"/>
            <c:dispEq val="0"/>
          </c:trendline>
          <c:xVal>
            <c:numRef>
              <c:f>РЕЗУЛЬТАТЫ!$MB$23:$MB$26</c:f>
              <c:numCache>
                <c:formatCode>General</c:formatCode>
                <c:ptCount val="4"/>
                <c:pt idx="0">
                  <c:v>2005</c:v>
                </c:pt>
                <c:pt idx="1">
                  <c:v>2006</c:v>
                </c:pt>
                <c:pt idx="2">
                  <c:v>2007</c:v>
                </c:pt>
                <c:pt idx="3">
                  <c:v>2008</c:v>
                </c:pt>
              </c:numCache>
            </c:numRef>
          </c:xVal>
          <c:yVal>
            <c:numRef>
              <c:f>РЕЗУЛЬТАТЫ!$MC$23:$MC$26</c:f>
              <c:numCache>
                <c:formatCode>0</c:formatCode>
                <c:ptCount val="4"/>
                <c:pt idx="0">
                  <c:v>4030.5745825240638</c:v>
                </c:pt>
                <c:pt idx="1">
                  <c:v>4389.2957203687056</c:v>
                </c:pt>
                <c:pt idx="2">
                  <c:v>4775.553743761152</c:v>
                </c:pt>
                <c:pt idx="3">
                  <c:v>5014.3314309492098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CE8-487C-A3E0-08941BEE95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811520"/>
        <c:axId val="146817408"/>
      </c:scatterChart>
      <c:valAx>
        <c:axId val="146811520"/>
        <c:scaling>
          <c:orientation val="minMax"/>
          <c:max val="2035"/>
          <c:min val="1995"/>
        </c:scaling>
        <c:delete val="0"/>
        <c:axPos val="b"/>
        <c:numFmt formatCode="#,##0" sourceLinked="0"/>
        <c:majorTickMark val="in"/>
        <c:minorTickMark val="none"/>
        <c:tickLblPos val="nextTo"/>
        <c:spPr>
          <a:ln/>
        </c:spPr>
        <c:txPr>
          <a:bodyPr rot="0" vert="horz"/>
          <a:lstStyle/>
          <a:p>
            <a:pPr>
              <a:defRPr sz="1600"/>
            </a:pPr>
            <a:endParaRPr lang="ru-RU"/>
          </a:p>
        </c:txPr>
        <c:crossAx val="146817408"/>
        <c:crosses val="autoZero"/>
        <c:crossBetween val="midCat"/>
        <c:majorUnit val="5"/>
      </c:valAx>
      <c:valAx>
        <c:axId val="146817408"/>
        <c:scaling>
          <c:orientation val="minMax"/>
          <c:max val="10000"/>
          <c:min val="200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txPr>
          <a:bodyPr/>
          <a:lstStyle/>
          <a:p>
            <a:pPr>
              <a:defRPr sz="1800"/>
            </a:pPr>
            <a:endParaRPr lang="ru-RU"/>
          </a:p>
        </c:txPr>
        <c:crossAx val="146811520"/>
        <c:crosses val="autoZero"/>
        <c:crossBetween val="midCat"/>
        <c:majorUnit val="2000"/>
      </c:valAx>
      <c:spPr>
        <a:solidFill>
          <a:sysClr val="window" lastClr="FFFFFF"/>
        </a:solidFill>
      </c:spPr>
    </c:plotArea>
    <c:plotVisOnly val="1"/>
    <c:dispBlanksAs val="gap"/>
    <c:showDLblsOverMax val="0"/>
  </c:chart>
  <c:spPr>
    <a:solidFill>
      <a:schemeClr val="bg1">
        <a:lumMod val="85000"/>
      </a:schemeClr>
    </a:solidFill>
  </c:spPr>
  <c:txPr>
    <a:bodyPr/>
    <a:lstStyle/>
    <a:p>
      <a:pPr>
        <a:defRPr sz="1050">
          <a:latin typeface="Arial" panose="020B0604020202020204" pitchFamily="34" charset="0"/>
          <a:cs typeface="Arial" panose="020B0604020202020204" pitchFamily="34" charset="0"/>
        </a:defRPr>
      </a:pPr>
      <a:endParaRPr lang="ru-RU"/>
    </a:p>
  </c:tx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2800"/>
            </a:pPr>
            <a:r>
              <a:rPr lang="en-US" sz="2800"/>
              <a:t>pW</a:t>
            </a:r>
            <a:endParaRPr lang="ru-RU" sz="2800"/>
          </a:p>
        </c:rich>
      </c:tx>
      <c:layout>
        <c:manualLayout>
          <c:xMode val="edge"/>
          <c:yMode val="edge"/>
          <c:x val="0.10195723303057443"/>
          <c:y val="6.0058680032674124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6.1657400263084146E-2"/>
          <c:y val="2.6680946709735805E-2"/>
          <c:w val="0.90308770243222136"/>
          <c:h val="0.91527890352118391"/>
        </c:manualLayout>
      </c:layout>
      <c:scatterChart>
        <c:scatterStyle val="smoothMarker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axId val="146830848"/>
        <c:axId val="146832384"/>
      </c:scatterChart>
      <c:valAx>
        <c:axId val="146830848"/>
        <c:scaling>
          <c:orientation val="minMax"/>
          <c:max val="2035"/>
          <c:min val="1995"/>
        </c:scaling>
        <c:delete val="0"/>
        <c:axPos val="b"/>
        <c:numFmt formatCode="#,##0" sourceLinked="0"/>
        <c:majorTickMark val="in"/>
        <c:minorTickMark val="none"/>
        <c:tickLblPos val="nextTo"/>
        <c:spPr>
          <a:ln/>
        </c:spPr>
        <c:txPr>
          <a:bodyPr rot="0" vert="horz"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46832384"/>
        <c:crosses val="autoZero"/>
        <c:crossBetween val="midCat"/>
        <c:majorUnit val="5"/>
      </c:valAx>
      <c:valAx>
        <c:axId val="146832384"/>
        <c:scaling>
          <c:orientation val="minMax"/>
          <c:max val="1.2"/>
          <c:min val="0.85000000000000064"/>
        </c:scaling>
        <c:delete val="0"/>
        <c:axPos val="l"/>
        <c:majorGridlines/>
        <c:numFmt formatCode="0.00" sourceLinked="0"/>
        <c:majorTickMark val="out"/>
        <c:minorTickMark val="none"/>
        <c:tickLblPos val="nextTo"/>
        <c:txPr>
          <a:bodyPr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46830848"/>
        <c:crosses val="autoZero"/>
        <c:crossBetween val="midCat"/>
        <c:majorUnit val="5.0000000000000024E-2"/>
      </c:valAx>
      <c:spPr>
        <a:solidFill>
          <a:sysClr val="window" lastClr="FFFFFF"/>
        </a:solidFill>
      </c:spPr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2800"/>
            </a:pPr>
            <a:r>
              <a:rPr lang="en-US" sz="3200"/>
              <a:t>FS</a:t>
            </a:r>
            <a:endParaRPr lang="ru-RU" sz="3200"/>
          </a:p>
        </c:rich>
      </c:tx>
      <c:layout>
        <c:manualLayout>
          <c:xMode val="edge"/>
          <c:yMode val="edge"/>
          <c:x val="9.9542897983531026E-2"/>
          <c:y val="4.4532947718814324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8.7793204819187648E-2"/>
          <c:y val="1.7677697040281538E-2"/>
          <c:w val="0.90308770243222136"/>
          <c:h val="0.91527890352118391"/>
        </c:manualLayout>
      </c:layout>
      <c:scatterChart>
        <c:scatterStyle val="smoothMarker"/>
        <c:varyColors val="0"/>
        <c:ser>
          <c:idx val="0"/>
          <c:order val="0"/>
          <c:spPr>
            <a:ln w="238125">
              <a:solidFill>
                <a:srgbClr val="FFC000"/>
              </a:solidFill>
            </a:ln>
          </c:spPr>
          <c:marker>
            <c:symbol val="none"/>
          </c:marker>
          <c:xVal>
            <c:numRef>
              <c:f>РЕЗУЛЬТАТЫ!$RI$13:$RI$36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РЕЗУЛЬТАТЫ!$RK$13:$RK$36</c:f>
              <c:numCache>
                <c:formatCode>0</c:formatCode>
                <c:ptCount val="24"/>
                <c:pt idx="0">
                  <c:v>5306</c:v>
                </c:pt>
                <c:pt idx="1">
                  <c:v>5300.6940000000004</c:v>
                </c:pt>
                <c:pt idx="2">
                  <c:v>5279.4912240000003</c:v>
                </c:pt>
                <c:pt idx="3">
                  <c:v>5263.6527503280004</c:v>
                </c:pt>
                <c:pt idx="4">
                  <c:v>5274.1800558286568</c:v>
                </c:pt>
                <c:pt idx="5">
                  <c:v>5300.5509561077997</c:v>
                </c:pt>
                <c:pt idx="6">
                  <c:v>5348.2559147127704</c:v>
                </c:pt>
                <c:pt idx="7">
                  <c:v>5401.7384738598985</c:v>
                </c:pt>
                <c:pt idx="8">
                  <c:v>5471.9610740200769</c:v>
                </c:pt>
                <c:pt idx="9">
                  <c:v>5559.5124512043985</c:v>
                </c:pt>
                <c:pt idx="10">
                  <c:v>5665.1431877772829</c:v>
                </c:pt>
                <c:pt idx="11">
                  <c:v>5801.1066242839379</c:v>
                </c:pt>
                <c:pt idx="12">
                  <c:v>5980.9409296367394</c:v>
                </c:pt>
                <c:pt idx="13">
                  <c:v>6196.2548031036622</c:v>
                </c:pt>
                <c:pt idx="14">
                  <c:v>6394.5349568029797</c:v>
                </c:pt>
                <c:pt idx="15">
                  <c:v>6586.3710055070696</c:v>
                </c:pt>
                <c:pt idx="16">
                  <c:v>6849.8258457273523</c:v>
                </c:pt>
                <c:pt idx="17">
                  <c:v>7144.3683570936282</c:v>
                </c:pt>
                <c:pt idx="18">
                  <c:v>7437.2874597344662</c:v>
                </c:pt>
                <c:pt idx="19">
                  <c:v>7712.4670957446406</c:v>
                </c:pt>
                <c:pt idx="20">
                  <c:v>7959.2660428084691</c:v>
                </c:pt>
                <c:pt idx="21">
                  <c:v>8269.6774184779988</c:v>
                </c:pt>
                <c:pt idx="22">
                  <c:v>8583.9251603801622</c:v>
                </c:pt>
                <c:pt idx="23">
                  <c:v>8944.4500171161289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2E0-4236-8441-4746BCACCD60}"/>
            </c:ext>
          </c:extLst>
        </c:ser>
        <c:ser>
          <c:idx val="1"/>
          <c:order val="1"/>
          <c:spPr>
            <a:ln w="31750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РЕЗУЛЬТАТЫ!$RI$37:$RI$53</c:f>
              <c:numCache>
                <c:formatCode>General</c:formatCode>
                <c:ptCount val="17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</c:numCache>
            </c:numRef>
          </c:xVal>
          <c:yVal>
            <c:numRef>
              <c:f>РЕЗУЛЬТАТЫ!$RM$37:$RM$53</c:f>
              <c:numCache>
                <c:formatCode>0</c:formatCode>
                <c:ptCount val="17"/>
                <c:pt idx="0">
                  <c:v>9315.4794364663703</c:v>
                </c:pt>
                <c:pt idx="1">
                  <c:v>9701.5634658874351</c:v>
                </c:pt>
                <c:pt idx="2">
                  <c:v>10100.449024754149</c:v>
                </c:pt>
                <c:pt idx="3">
                  <c:v>10526.232536339399</c:v>
                </c:pt>
                <c:pt idx="4">
                  <c:v>10976.127338183813</c:v>
                </c:pt>
                <c:pt idx="5">
                  <c:v>11450.376438115263</c:v>
                </c:pt>
                <c:pt idx="6">
                  <c:v>11948.374451382973</c:v>
                </c:pt>
                <c:pt idx="7">
                  <c:v>12470.493165184831</c:v>
                </c:pt>
                <c:pt idx="8">
                  <c:v>13017.144068658055</c:v>
                </c:pt>
                <c:pt idx="9">
                  <c:v>13588.769822736602</c:v>
                </c:pt>
                <c:pt idx="10">
                  <c:v>14185.83670455504</c:v>
                </c:pt>
                <c:pt idx="11">
                  <c:v>14808.82788562779</c:v>
                </c:pt>
                <c:pt idx="12">
                  <c:v>15458.237424001558</c:v>
                </c:pt>
                <c:pt idx="13">
                  <c:v>16134.564868588497</c:v>
                </c:pt>
                <c:pt idx="14">
                  <c:v>16838.310389353599</c:v>
                </c:pt>
                <c:pt idx="15">
                  <c:v>17569.97036030794</c:v>
                </c:pt>
                <c:pt idx="16">
                  <c:v>18330.033333654035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135-4151-AB07-A9A1D55CCA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907136"/>
        <c:axId val="146908672"/>
      </c:scatterChart>
      <c:valAx>
        <c:axId val="146907136"/>
        <c:scaling>
          <c:orientation val="minMax"/>
          <c:max val="41"/>
          <c:min val="0"/>
        </c:scaling>
        <c:delete val="0"/>
        <c:axPos val="b"/>
        <c:numFmt formatCode="#,##0" sourceLinked="0"/>
        <c:majorTickMark val="in"/>
        <c:minorTickMark val="none"/>
        <c:tickLblPos val="nextTo"/>
        <c:spPr>
          <a:ln/>
        </c:spPr>
        <c:txPr>
          <a:bodyPr rot="0" vert="horz"/>
          <a:lstStyle/>
          <a:p>
            <a:pPr>
              <a:defRPr sz="18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46908672"/>
        <c:crosses val="autoZero"/>
        <c:crossBetween val="midCat"/>
        <c:majorUnit val="5"/>
      </c:valAx>
      <c:valAx>
        <c:axId val="146908672"/>
        <c:scaling>
          <c:orientation val="minMax"/>
          <c:max val="15000"/>
          <c:min val="500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txPr>
          <a:bodyPr/>
          <a:lstStyle/>
          <a:p>
            <a:pPr>
              <a:defRPr sz="18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46907136"/>
        <c:crosses val="autoZero"/>
        <c:crossBetween val="midCat"/>
        <c:majorUnit val="2500"/>
      </c:valAx>
      <c:spPr>
        <a:solidFill>
          <a:sysClr val="window" lastClr="FFFFFF"/>
        </a:solidFill>
      </c:spPr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ru-RU" b="0"/>
              <a:t>ПРОГНОЗ</a:t>
            </a:r>
          </a:p>
        </c:rich>
      </c:tx>
      <c:layout>
        <c:manualLayout>
          <c:xMode val="edge"/>
          <c:yMode val="edge"/>
          <c:x val="0.73780585442089519"/>
          <c:y val="0.5999850292936415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6.7955520827072194E-2"/>
          <c:y val="2.5980106332862237E-2"/>
          <c:w val="0.89231544148584452"/>
          <c:h val="0.92957168046301963"/>
        </c:manualLayout>
      </c:layout>
      <c:scatterChart>
        <c:scatterStyle val="smoothMarker"/>
        <c:varyColors val="0"/>
        <c:ser>
          <c:idx val="0"/>
          <c:order val="0"/>
          <c:spPr>
            <a:ln w="76200"/>
          </c:spPr>
          <c:marker>
            <c:symbol val="none"/>
          </c:marker>
          <c:xVal>
            <c:numRef>
              <c:f>РЕЗУЛЬТАТЫ!$AD$13:$AD$34</c:f>
              <c:numCache>
                <c:formatCode>General</c:formatCode>
                <c:ptCount val="22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</c:numCache>
            </c:numRef>
          </c:xVal>
          <c:yVal>
            <c:numRef>
              <c:f>РЕЗУЛЬТАТЫ!$AE$13:$AE$34</c:f>
              <c:numCache>
                <c:formatCode>0.000</c:formatCode>
                <c:ptCount val="22"/>
                <c:pt idx="0">
                  <c:v>1</c:v>
                </c:pt>
                <c:pt idx="1">
                  <c:v>0.96399999999999997</c:v>
                </c:pt>
                <c:pt idx="2">
                  <c:v>0.97749600000000003</c:v>
                </c:pt>
                <c:pt idx="3">
                  <c:v>0.92568871200000002</c:v>
                </c:pt>
                <c:pt idx="4">
                  <c:v>0.98493278956800012</c:v>
                </c:pt>
                <c:pt idx="5">
                  <c:v>1.0834260685248003</c:v>
                </c:pt>
                <c:pt idx="6">
                  <c:v>1.138680798019565</c:v>
                </c:pt>
                <c:pt idx="7">
                  <c:v>1.1921987955264846</c:v>
                </c:pt>
                <c:pt idx="8">
                  <c:v>1.2792293075999179</c:v>
                </c:pt>
                <c:pt idx="9">
                  <c:v>1.3713338177471122</c:v>
                </c:pt>
                <c:pt idx="10">
                  <c:v>1.4590991820829273</c:v>
                </c:pt>
                <c:pt idx="11">
                  <c:v>1.5787453150137274</c:v>
                </c:pt>
                <c:pt idx="12">
                  <c:v>1.7129386667898943</c:v>
                </c:pt>
                <c:pt idx="13">
                  <c:v>1.8020114774629687</c:v>
                </c:pt>
                <c:pt idx="14">
                  <c:v>1.6596525707433942</c:v>
                </c:pt>
                <c:pt idx="15">
                  <c:v>1.7343369364268468</c:v>
                </c:pt>
                <c:pt idx="16">
                  <c:v>1.808913424693201</c:v>
                </c:pt>
                <c:pt idx="17">
                  <c:v>1.8750455190419226</c:v>
                </c:pt>
                <c:pt idx="18">
                  <c:v>1.9085217286102596</c:v>
                </c:pt>
                <c:pt idx="19">
                  <c:v>1.9226180848563927</c:v>
                </c:pt>
                <c:pt idx="20">
                  <c:v>1.8783978689046956</c:v>
                </c:pt>
                <c:pt idx="21">
                  <c:v>1.8821546646425049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FC7-4A1A-BBD5-E8EE5CB3AE6C}"/>
            </c:ext>
          </c:extLst>
        </c:ser>
        <c:ser>
          <c:idx val="1"/>
          <c:order val="1"/>
          <c:spPr>
            <a:ln w="38100"/>
          </c:spPr>
          <c:marker>
            <c:symbol val="none"/>
          </c:marker>
          <c:xVal>
            <c:numRef>
              <c:f>РЕЗУЛЬТАТЫ!$AD$34:$AD$48</c:f>
              <c:numCache>
                <c:formatCode>General</c:formatCode>
                <c:ptCount val="15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  <c:pt idx="6">
                  <c:v>2022</c:v>
                </c:pt>
                <c:pt idx="7">
                  <c:v>2023</c:v>
                </c:pt>
                <c:pt idx="8">
                  <c:v>2024</c:v>
                </c:pt>
                <c:pt idx="9">
                  <c:v>2025</c:v>
                </c:pt>
                <c:pt idx="10">
                  <c:v>2026</c:v>
                </c:pt>
                <c:pt idx="11">
                  <c:v>2027</c:v>
                </c:pt>
                <c:pt idx="12">
                  <c:v>2028</c:v>
                </c:pt>
                <c:pt idx="13">
                  <c:v>2029</c:v>
                </c:pt>
                <c:pt idx="14">
                  <c:v>2030</c:v>
                </c:pt>
              </c:numCache>
            </c:numRef>
          </c:xVal>
          <c:yVal>
            <c:numRef>
              <c:f>РЕЗУЛЬТАТЫ!$AE$34:$AE$48</c:f>
              <c:numCache>
                <c:formatCode>0.000</c:formatCode>
                <c:ptCount val="15"/>
                <c:pt idx="0">
                  <c:v>1.8821546646425049</c:v>
                </c:pt>
                <c:pt idx="1">
                  <c:v>1.9160334486060699</c:v>
                </c:pt>
                <c:pt idx="2">
                  <c:v>1.96968238516704</c:v>
                </c:pt>
                <c:pt idx="3">
                  <c:v>2.0090760328703809</c:v>
                </c:pt>
                <c:pt idx="4">
                  <c:v>1.9488037518842694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FC7-4A1A-BBD5-E8EE5CB3AE6C}"/>
            </c:ext>
          </c:extLst>
        </c:ser>
        <c:ser>
          <c:idx val="2"/>
          <c:order val="2"/>
          <c:spPr>
            <a:ln w="76200"/>
          </c:spPr>
          <c:marker>
            <c:symbol val="none"/>
          </c:marker>
          <c:xVal>
            <c:numRef>
              <c:f>РЕЗУЛЬТАТЫ!$AD$38:$AD$48</c:f>
              <c:numCache>
                <c:formatCode>General</c:formatCode>
                <c:ptCount val="1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</c:numCache>
            </c:numRef>
          </c:xVal>
          <c:yVal>
            <c:numRef>
              <c:f>РЕЗУЛЬТАТЫ!$AG$38:$AG$48</c:f>
              <c:numCache>
                <c:formatCode>0.000</c:formatCode>
                <c:ptCount val="11"/>
                <c:pt idx="0">
                  <c:v>2.0876247754015491</c:v>
                </c:pt>
                <c:pt idx="1">
                  <c:v>2.1780916658454892</c:v>
                </c:pt>
                <c:pt idx="2">
                  <c:v>2.2500009512133055</c:v>
                </c:pt>
                <c:pt idx="3">
                  <c:v>2.3205957758083766</c:v>
                </c:pt>
                <c:pt idx="4">
                  <c:v>2.3916750188928955</c:v>
                </c:pt>
                <c:pt idx="5">
                  <c:v>2.4644017832794307</c:v>
                </c:pt>
                <c:pt idx="6">
                  <c:v>2.5395525547672171</c:v>
                </c:pt>
                <c:pt idx="7">
                  <c:v>2.6176699223460349</c:v>
                </c:pt>
                <c:pt idx="8">
                  <c:v>2.6991562757578107</c:v>
                </c:pt>
                <c:pt idx="9">
                  <c:v>2.7843313683147004</c:v>
                </c:pt>
                <c:pt idx="10">
                  <c:v>2.8734677511818374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FC7-4A1A-BBD5-E8EE5CB3AE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7110528"/>
        <c:axId val="147124608"/>
      </c:scatterChart>
      <c:valAx>
        <c:axId val="147110528"/>
        <c:scaling>
          <c:orientation val="minMax"/>
          <c:max val="2030"/>
          <c:min val="1995"/>
        </c:scaling>
        <c:delete val="0"/>
        <c:axPos val="b"/>
        <c:numFmt formatCode="#,##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47124608"/>
        <c:crosses val="autoZero"/>
        <c:crossBetween val="midCat"/>
        <c:majorUnit val="5"/>
      </c:valAx>
      <c:valAx>
        <c:axId val="147124608"/>
        <c:scaling>
          <c:orientation val="minMax"/>
          <c:max val="2.5"/>
          <c:min val="0.5"/>
        </c:scaling>
        <c:delete val="0"/>
        <c:axPos val="l"/>
        <c:majorGridlines/>
        <c:numFmt formatCode="0.0" sourceLinked="0"/>
        <c:majorTickMark val="out"/>
        <c:minorTickMark val="none"/>
        <c:tickLblPos val="nextTo"/>
        <c:txPr>
          <a:bodyPr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47110528"/>
        <c:crosses val="autoZero"/>
        <c:crossBetween val="midCat"/>
        <c:majorUnit val="0.5"/>
      </c:valAx>
      <c:spPr>
        <a:solidFill>
          <a:sysClr val="window" lastClr="FFFFFF"/>
        </a:solidFill>
      </c:spPr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2800"/>
            </a:pPr>
            <a:r>
              <a:rPr lang="en-US" sz="2800"/>
              <a:t>pW</a:t>
            </a:r>
            <a:endParaRPr lang="ru-RU" sz="2800"/>
          </a:p>
        </c:rich>
      </c:tx>
      <c:layout>
        <c:manualLayout>
          <c:xMode val="edge"/>
          <c:yMode val="edge"/>
          <c:x val="0.10195723303057443"/>
          <c:y val="6.0058680032674124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6.1657400263084146E-2"/>
          <c:y val="2.6680946709735805E-2"/>
          <c:w val="0.90308770243222136"/>
          <c:h val="0.91527890352118391"/>
        </c:manualLayout>
      </c:layout>
      <c:scatterChart>
        <c:scatterStyle val="smoothMarker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axId val="147130240"/>
        <c:axId val="147131776"/>
      </c:scatterChart>
      <c:valAx>
        <c:axId val="147130240"/>
        <c:scaling>
          <c:orientation val="minMax"/>
          <c:max val="2035"/>
          <c:min val="1995"/>
        </c:scaling>
        <c:delete val="0"/>
        <c:axPos val="b"/>
        <c:numFmt formatCode="#,##0" sourceLinked="0"/>
        <c:majorTickMark val="in"/>
        <c:minorTickMark val="none"/>
        <c:tickLblPos val="nextTo"/>
        <c:spPr>
          <a:ln/>
        </c:spPr>
        <c:txPr>
          <a:bodyPr rot="0" vert="horz"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47131776"/>
        <c:crosses val="autoZero"/>
        <c:crossBetween val="midCat"/>
        <c:majorUnit val="5"/>
      </c:valAx>
      <c:valAx>
        <c:axId val="147131776"/>
        <c:scaling>
          <c:orientation val="minMax"/>
          <c:max val="1.2"/>
          <c:min val="0.85000000000000064"/>
        </c:scaling>
        <c:delete val="0"/>
        <c:axPos val="l"/>
        <c:majorGridlines/>
        <c:numFmt formatCode="0.00" sourceLinked="0"/>
        <c:majorTickMark val="out"/>
        <c:minorTickMark val="none"/>
        <c:tickLblPos val="nextTo"/>
        <c:txPr>
          <a:bodyPr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47130240"/>
        <c:crosses val="autoZero"/>
        <c:crossBetween val="midCat"/>
        <c:majorUnit val="5.0000000000000024E-2"/>
      </c:valAx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2000">
                <a:latin typeface="Arial" panose="020B0604020202020204" pitchFamily="34" charset="0"/>
                <a:cs typeface="Arial" panose="020B0604020202020204" pitchFamily="34" charset="0"/>
              </a:defRPr>
            </a:pPr>
            <a:r>
              <a:rPr lang="en-US" sz="2000">
                <a:latin typeface="Arial" panose="020B0604020202020204" pitchFamily="34" charset="0"/>
                <a:cs typeface="Arial" panose="020B0604020202020204" pitchFamily="34" charset="0"/>
              </a:rPr>
              <a:t>XOS</a:t>
            </a:r>
            <a:endParaRPr lang="ru-RU" sz="2000"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layout>
        <c:manualLayout>
          <c:xMode val="edge"/>
          <c:yMode val="edge"/>
          <c:x val="9.9542897983531026E-2"/>
          <c:y val="4.4532947718814324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7.5518925126947523E-2"/>
          <c:y val="2.6680946709735805E-2"/>
          <c:w val="0.88814407671335782"/>
          <c:h val="0.91527890352118391"/>
        </c:manualLayout>
      </c:layout>
      <c:scatterChart>
        <c:scatterStyle val="smoothMarker"/>
        <c:varyColors val="0"/>
        <c:ser>
          <c:idx val="0"/>
          <c:order val="0"/>
          <c:spPr>
            <a:ln w="114300">
              <a:solidFill>
                <a:schemeClr val="accent1">
                  <a:alpha val="52000"/>
                </a:schemeClr>
              </a:solidFill>
            </a:ln>
          </c:spPr>
          <c:marker>
            <c:symbol val="none"/>
          </c:marker>
          <c:xVal>
            <c:numRef>
              <c:f>РЕЗУЛЬТАТЫ!$WO$13:$WO$36</c:f>
              <c:numCache>
                <c:formatCode>General</c:formatCode>
                <c:ptCount val="24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</c:numCache>
            </c:numRef>
          </c:xVal>
          <c:yVal>
            <c:numRef>
              <c:f>РЕЗУЛЬТАТЫ!$WP$13:$WP$36</c:f>
              <c:numCache>
                <c:formatCode>0</c:formatCode>
                <c:ptCount val="24"/>
                <c:pt idx="0">
                  <c:v>2767.6205</c:v>
                </c:pt>
                <c:pt idx="1">
                  <c:v>2690.1271259999999</c:v>
                </c:pt>
                <c:pt idx="2">
                  <c:v>2727.788905764</c:v>
                </c:pt>
                <c:pt idx="3">
                  <c:v>2588.6716715700359</c:v>
                </c:pt>
                <c:pt idx="4">
                  <c:v>2738.8146285210983</c:v>
                </c:pt>
                <c:pt idx="5">
                  <c:v>2996.2632036020818</c:v>
                </c:pt>
                <c:pt idx="6">
                  <c:v>3143.0801005785834</c:v>
                </c:pt>
                <c:pt idx="7">
                  <c:v>3281.3756250040415</c:v>
                </c:pt>
                <c:pt idx="8">
                  <c:v>3530.7601725043487</c:v>
                </c:pt>
                <c:pt idx="9">
                  <c:v>3813.2209863046965</c:v>
                </c:pt>
                <c:pt idx="10">
                  <c:v>4030.5745825240638</c:v>
                </c:pt>
                <c:pt idx="11">
                  <c:v>4389.2957203687056</c:v>
                </c:pt>
                <c:pt idx="12">
                  <c:v>4775.553743761152</c:v>
                </c:pt>
                <c:pt idx="13">
                  <c:v>5014.3314309492098</c:v>
                </c:pt>
                <c:pt idx="14">
                  <c:v>4643.2709050589683</c:v>
                </c:pt>
                <c:pt idx="15">
                  <c:v>4875.4344503119164</c:v>
                </c:pt>
                <c:pt idx="16">
                  <c:v>5085.0781316753291</c:v>
                </c:pt>
                <c:pt idx="17">
                  <c:v>5283.3961788106672</c:v>
                </c:pt>
                <c:pt idx="18">
                  <c:v>5394.3474985656912</c:v>
                </c:pt>
                <c:pt idx="19">
                  <c:v>5437.5022785542169</c:v>
                </c:pt>
                <c:pt idx="20">
                  <c:v>5366.8147489330113</c:v>
                </c:pt>
                <c:pt idx="21">
                  <c:v>5431.2165259202075</c:v>
                </c:pt>
                <c:pt idx="22">
                  <c:v>5566.9969390682127</c:v>
                </c:pt>
                <c:pt idx="23">
                  <c:v>5706.1718625449175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B87-4673-8B41-D08E105B3145}"/>
            </c:ext>
          </c:extLst>
        </c:ser>
        <c:ser>
          <c:idx val="1"/>
          <c:order val="1"/>
          <c:spPr>
            <a:ln w="69850">
              <a:prstDash val="dash"/>
            </a:ln>
          </c:spPr>
          <c:marker>
            <c:symbol val="none"/>
          </c:marker>
          <c:xVal>
            <c:numRef>
              <c:f>РЕЗУЛЬТАТЫ!$WO$26:$WO$53</c:f>
              <c:numCache>
                <c:formatCode>General</c:formatCode>
                <c:ptCount val="28"/>
                <c:pt idx="0">
                  <c:v>2008</c:v>
                </c:pt>
                <c:pt idx="1">
                  <c:v>2009</c:v>
                </c:pt>
                <c:pt idx="2">
                  <c:v>2010</c:v>
                </c:pt>
                <c:pt idx="3">
                  <c:v>2011</c:v>
                </c:pt>
                <c:pt idx="4">
                  <c:v>2012</c:v>
                </c:pt>
                <c:pt idx="5">
                  <c:v>2013</c:v>
                </c:pt>
                <c:pt idx="6">
                  <c:v>2014</c:v>
                </c:pt>
                <c:pt idx="7">
                  <c:v>2015</c:v>
                </c:pt>
                <c:pt idx="8">
                  <c:v>2016</c:v>
                </c:pt>
                <c:pt idx="9">
                  <c:v>2017</c:v>
                </c:pt>
                <c:pt idx="10">
                  <c:v>2018</c:v>
                </c:pt>
                <c:pt idx="11">
                  <c:v>2019</c:v>
                </c:pt>
                <c:pt idx="12">
                  <c:v>2020</c:v>
                </c:pt>
                <c:pt idx="13">
                  <c:v>2021</c:v>
                </c:pt>
                <c:pt idx="14">
                  <c:v>2022</c:v>
                </c:pt>
                <c:pt idx="15">
                  <c:v>2023</c:v>
                </c:pt>
                <c:pt idx="16">
                  <c:v>2024</c:v>
                </c:pt>
                <c:pt idx="17">
                  <c:v>2025</c:v>
                </c:pt>
                <c:pt idx="18">
                  <c:v>2026</c:v>
                </c:pt>
                <c:pt idx="19">
                  <c:v>2027</c:v>
                </c:pt>
                <c:pt idx="20">
                  <c:v>2028</c:v>
                </c:pt>
                <c:pt idx="21">
                  <c:v>2029</c:v>
                </c:pt>
                <c:pt idx="22">
                  <c:v>2030</c:v>
                </c:pt>
                <c:pt idx="23">
                  <c:v>2031</c:v>
                </c:pt>
                <c:pt idx="24">
                  <c:v>2032</c:v>
                </c:pt>
                <c:pt idx="25">
                  <c:v>2033</c:v>
                </c:pt>
                <c:pt idx="26">
                  <c:v>2034</c:v>
                </c:pt>
                <c:pt idx="27">
                  <c:v>2035</c:v>
                </c:pt>
              </c:numCache>
            </c:numRef>
          </c:xVal>
          <c:yVal>
            <c:numRef>
              <c:f>РЕЗУЛЬТАТЫ!$WQ$26:$WQ$53</c:f>
              <c:numCache>
                <c:formatCode>0</c:formatCode>
                <c:ptCount val="28"/>
                <c:pt idx="0">
                  <c:v>5012.7701357108626</c:v>
                </c:pt>
                <c:pt idx="1">
                  <c:v>5173.1787800536113</c:v>
                </c:pt>
                <c:pt idx="2">
                  <c:v>5328.3741434552194</c:v>
                </c:pt>
                <c:pt idx="3">
                  <c:v>5541.5091091934282</c:v>
                </c:pt>
                <c:pt idx="4">
                  <c:v>5779.7940008887454</c:v>
                </c:pt>
                <c:pt idx="5">
                  <c:v>6016.765554925184</c:v>
                </c:pt>
                <c:pt idx="6">
                  <c:v>6239.3858804574147</c:v>
                </c:pt>
                <c:pt idx="7">
                  <c:v>6439.0462286320517</c:v>
                </c:pt>
                <c:pt idx="8">
                  <c:v>6690.1690315487012</c:v>
                </c:pt>
                <c:pt idx="9">
                  <c:v>6944.3954547475514</c:v>
                </c:pt>
                <c:pt idx="10">
                  <c:v>7236.0600638469487</c:v>
                </c:pt>
                <c:pt idx="11">
                  <c:v>7536.2228641012944</c:v>
                </c:pt>
                <c:pt idx="12">
                  <c:v>7848.5648439029355</c:v>
                </c:pt>
                <c:pt idx="13">
                  <c:v>8171.2632610261071</c:v>
                </c:pt>
                <c:pt idx="14">
                  <c:v>8515.7221218985742</c:v>
                </c:pt>
                <c:pt idx="15">
                  <c:v>8879.6870165907058</c:v>
                </c:pt>
                <c:pt idx="16">
                  <c:v>9263.3545384352492</c:v>
                </c:pt>
                <c:pt idx="17">
                  <c:v>9666.2349311688267</c:v>
                </c:pt>
                <c:pt idx="18">
                  <c:v>10088.628970634529</c:v>
                </c:pt>
                <c:pt idx="19">
                  <c:v>10530.869551544367</c:v>
                </c:pt>
                <c:pt idx="20">
                  <c:v>10993.314786593912</c:v>
                </c:pt>
                <c:pt idx="21">
                  <c:v>11476.341893985029</c:v>
                </c:pt>
                <c:pt idx="22">
                  <c:v>11980.341759472883</c:v>
                </c:pt>
                <c:pt idx="23">
                  <c:v>12505.714076017261</c:v>
                </c:pt>
                <c:pt idx="24">
                  <c:v>13052.862978688096</c:v>
                </c:pt>
                <c:pt idx="25">
                  <c:v>13622.193104987062</c:v>
                </c:pt>
                <c:pt idx="26">
                  <c:v>14214.106021489124</c:v>
                </c:pt>
                <c:pt idx="27">
                  <c:v>14828.996966926115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B87-4673-8B41-D08E105B3145}"/>
            </c:ext>
          </c:extLst>
        </c:ser>
        <c:ser>
          <c:idx val="2"/>
          <c:order val="2"/>
          <c:spPr>
            <a:ln w="31750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РЕЗУЛЬТАТЫ!$WO$35:$WO$53</c:f>
              <c:numCache>
                <c:formatCode>General</c:formatCode>
                <c:ptCount val="19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  <c:pt idx="4">
                  <c:v>2021</c:v>
                </c:pt>
                <c:pt idx="5">
                  <c:v>2022</c:v>
                </c:pt>
                <c:pt idx="6">
                  <c:v>2023</c:v>
                </c:pt>
                <c:pt idx="7">
                  <c:v>2024</c:v>
                </c:pt>
                <c:pt idx="8">
                  <c:v>2025</c:v>
                </c:pt>
                <c:pt idx="9">
                  <c:v>2026</c:v>
                </c:pt>
                <c:pt idx="10">
                  <c:v>2027</c:v>
                </c:pt>
                <c:pt idx="11">
                  <c:v>2028</c:v>
                </c:pt>
                <c:pt idx="12">
                  <c:v>2029</c:v>
                </c:pt>
                <c:pt idx="13">
                  <c:v>2030</c:v>
                </c:pt>
                <c:pt idx="14">
                  <c:v>2031</c:v>
                </c:pt>
                <c:pt idx="15">
                  <c:v>2032</c:v>
                </c:pt>
                <c:pt idx="16">
                  <c:v>2033</c:v>
                </c:pt>
                <c:pt idx="17">
                  <c:v>2034</c:v>
                </c:pt>
                <c:pt idx="18">
                  <c:v>2035</c:v>
                </c:pt>
              </c:numCache>
            </c:numRef>
          </c:xVal>
          <c:yVal>
            <c:numRef>
              <c:f>РЕЗУЛЬТАТЫ!$WR$35:$WR$53</c:f>
              <c:numCache>
                <c:formatCode>0</c:formatCode>
                <c:ptCount val="19"/>
                <c:pt idx="0">
                  <c:v>5566.9969390682127</c:v>
                </c:pt>
                <c:pt idx="1">
                  <c:v>5706.1718625449175</c:v>
                </c:pt>
                <c:pt idx="2">
                  <c:v>5813.9801221261396</c:v>
                </c:pt>
                <c:pt idx="3">
                  <c:v>5817.1195025668831</c:v>
                </c:pt>
                <c:pt idx="4">
                  <c:v>5819.6048892330591</c:v>
                </c:pt>
                <c:pt idx="5">
                  <c:v>5999.5152654098065</c:v>
                </c:pt>
                <c:pt idx="6">
                  <c:v>6094.9411984717672</c:v>
                </c:pt>
                <c:pt idx="7">
                  <c:v>6193.1184796046173</c:v>
                </c:pt>
                <c:pt idx="8">
                  <c:v>6293.9954958463259</c:v>
                </c:pt>
                <c:pt idx="9">
                  <c:v>6397.5193143208744</c:v>
                </c:pt>
                <c:pt idx="10">
                  <c:v>6503.6353530367069</c:v>
                </c:pt>
                <c:pt idx="11">
                  <c:v>6612.2870813952477</c:v>
                </c:pt>
                <c:pt idx="12">
                  <c:v>6723.41574803002</c:v>
                </c:pt>
                <c:pt idx="13">
                  <c:v>6836.960134007385</c:v>
                </c:pt>
                <c:pt idx="14">
                  <c:v>6952.8563297610699</c:v>
                </c:pt>
                <c:pt idx="15">
                  <c:v>7071.0375344150143</c:v>
                </c:pt>
                <c:pt idx="16">
                  <c:v>7191.4338763837186</c:v>
                </c:pt>
                <c:pt idx="17">
                  <c:v>7313.9722543336802</c:v>
                </c:pt>
                <c:pt idx="18">
                  <c:v>7438.5761977500297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9E1-4020-9444-94B1FDA148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7014784"/>
        <c:axId val="147016320"/>
      </c:scatterChart>
      <c:valAx>
        <c:axId val="147014784"/>
        <c:scaling>
          <c:orientation val="minMax"/>
          <c:max val="2035"/>
          <c:min val="1995"/>
        </c:scaling>
        <c:delete val="0"/>
        <c:axPos val="b"/>
        <c:numFmt formatCode="#,##0" sourceLinked="0"/>
        <c:majorTickMark val="in"/>
        <c:minorTickMark val="none"/>
        <c:tickLblPos val="nextTo"/>
        <c:spPr>
          <a:ln/>
        </c:spPr>
        <c:txPr>
          <a:bodyPr rot="0" vert="horz"/>
          <a:lstStyle/>
          <a:p>
            <a:pPr>
              <a:defRPr sz="18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47016320"/>
        <c:crosses val="autoZero"/>
        <c:crossBetween val="midCat"/>
        <c:majorUnit val="5"/>
      </c:valAx>
      <c:valAx>
        <c:axId val="147016320"/>
        <c:scaling>
          <c:orientation val="minMax"/>
          <c:max val="10000"/>
          <c:min val="200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txPr>
          <a:bodyPr/>
          <a:lstStyle/>
          <a:p>
            <a:pPr>
              <a:defRPr sz="18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47014784"/>
        <c:crosses val="autoZero"/>
        <c:crossBetween val="midCat"/>
        <c:majorUnit val="2000"/>
      </c:valAx>
      <c:spPr>
        <a:solidFill>
          <a:sysClr val="window" lastClr="FFFFFF"/>
        </a:solidFill>
      </c:spPr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2800"/>
            </a:pPr>
            <a:r>
              <a:rPr lang="en-US" sz="2800"/>
              <a:t>pW</a:t>
            </a:r>
            <a:endParaRPr lang="ru-RU" sz="2800"/>
          </a:p>
        </c:rich>
      </c:tx>
      <c:layout>
        <c:manualLayout>
          <c:xMode val="edge"/>
          <c:yMode val="edge"/>
          <c:x val="0.10195723303057443"/>
          <c:y val="6.0058680032674124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6.2421634274212434E-2"/>
          <c:y val="3.1865626323605206E-2"/>
          <c:w val="0.90308770243222136"/>
          <c:h val="0.91527890352118391"/>
        </c:manualLayout>
      </c:layout>
      <c:scatterChart>
        <c:scatterStyle val="smoothMarker"/>
        <c:varyColors val="0"/>
        <c:ser>
          <c:idx val="0"/>
          <c:order val="0"/>
          <c:spPr>
            <a:ln w="158750">
              <a:solidFill>
                <a:schemeClr val="accent2">
                  <a:lumMod val="60000"/>
                  <a:lumOff val="40000"/>
                </a:schemeClr>
              </a:solidFill>
            </a:ln>
          </c:spPr>
          <c:marker>
            <c:symbol val="none"/>
          </c:marker>
          <c:trendline>
            <c:spPr>
              <a:ln w="34925">
                <a:prstDash val="lgDash"/>
              </a:ln>
            </c:spPr>
            <c:trendlineType val="poly"/>
            <c:order val="2"/>
            <c:forward val="15"/>
            <c:dispRSqr val="1"/>
            <c:dispEq val="1"/>
            <c:trendlineLbl>
              <c:layout>
                <c:manualLayout>
                  <c:x val="-8.1551374675907964E-2"/>
                  <c:y val="0.60455692714366638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sz="2000">
                      <a:latin typeface="Arial" panose="020B0604020202020204" pitchFamily="34" charset="0"/>
                      <a:cs typeface="Arial" panose="020B0604020202020204" pitchFamily="34" charset="0"/>
                    </a:defRPr>
                  </a:pPr>
                  <a:endParaRPr lang="ru-RU"/>
                </a:p>
              </c:txPr>
            </c:trendlineLbl>
          </c:trendline>
          <c:xVal>
            <c:numRef>
              <c:f>РЕЗУЛЬТАТЫ!$CT$13:$CT$36</c:f>
              <c:numCache>
                <c:formatCode>General</c:formatCode>
                <c:ptCount val="24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</c:numCache>
            </c:numRef>
          </c:xVal>
          <c:yVal>
            <c:numRef>
              <c:f>РЕЗУЛЬТАТЫ!$CU$13:$CU$36</c:f>
              <c:numCache>
                <c:formatCode>0</c:formatCode>
                <c:ptCount val="24"/>
                <c:pt idx="0">
                  <c:v>230.40700000000001</c:v>
                </c:pt>
                <c:pt idx="1">
                  <c:v>197.18216614420064</c:v>
                </c:pt>
                <c:pt idx="2">
                  <c:v>168.29100626959249</c:v>
                </c:pt>
                <c:pt idx="3">
                  <c:v>160.34593730407522</c:v>
                </c:pt>
                <c:pt idx="4">
                  <c:v>171.18012225705328</c:v>
                </c:pt>
                <c:pt idx="5">
                  <c:v>213.79458307210035</c:v>
                </c:pt>
                <c:pt idx="6">
                  <c:v>254.24220689655175</c:v>
                </c:pt>
                <c:pt idx="7">
                  <c:v>274.46601880877739</c:v>
                </c:pt>
                <c:pt idx="8">
                  <c:v>307.69085266457677</c:v>
                </c:pt>
                <c:pt idx="9">
                  <c:v>343.804802507837</c:v>
                </c:pt>
                <c:pt idx="10">
                  <c:v>381.3633103448276</c:v>
                </c:pt>
                <c:pt idx="11">
                  <c:v>443.47930407523512</c:v>
                </c:pt>
                <c:pt idx="12">
                  <c:v>540.98696865203772</c:v>
                </c:pt>
                <c:pt idx="13">
                  <c:v>616.82626332288407</c:v>
                </c:pt>
                <c:pt idx="14">
                  <c:v>595.88017241379305</c:v>
                </c:pt>
                <c:pt idx="15">
                  <c:v>556.55208103448274</c:v>
                </c:pt>
                <c:pt idx="16">
                  <c:v>717.5262886488664</c:v>
                </c:pt>
                <c:pt idx="17">
                  <c:v>780.3098389056421</c:v>
                </c:pt>
                <c:pt idx="18">
                  <c:v>788.24558996731253</c:v>
                </c:pt>
                <c:pt idx="19">
                  <c:v>764.59822226829317</c:v>
                </c:pt>
                <c:pt idx="20">
                  <c:v>722.545320043537</c:v>
                </c:pt>
                <c:pt idx="21">
                  <c:v>843.93293381085118</c:v>
                </c:pt>
                <c:pt idx="22">
                  <c:v>844.7768667446619</c:v>
                </c:pt>
                <c:pt idx="23">
                  <c:v>968.11428928938244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052-436C-9647-8663AEAB3D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7212928"/>
        <c:axId val="147214720"/>
      </c:scatterChart>
      <c:valAx>
        <c:axId val="147212928"/>
        <c:scaling>
          <c:orientation val="minMax"/>
          <c:max val="2035"/>
          <c:min val="1995"/>
        </c:scaling>
        <c:delete val="0"/>
        <c:axPos val="b"/>
        <c:numFmt formatCode="#,##0" sourceLinked="0"/>
        <c:majorTickMark val="in"/>
        <c:minorTickMark val="none"/>
        <c:tickLblPos val="nextTo"/>
        <c:spPr>
          <a:ln/>
        </c:spPr>
        <c:txPr>
          <a:bodyPr rot="0" vert="horz"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47214720"/>
        <c:crosses val="autoZero"/>
        <c:crossBetween val="midCat"/>
        <c:majorUnit val="5"/>
      </c:valAx>
      <c:valAx>
        <c:axId val="147214720"/>
        <c:scaling>
          <c:orientation val="minMax"/>
          <c:max val="1500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txPr>
          <a:bodyPr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47212928"/>
        <c:crosses val="autoZero"/>
        <c:crossBetween val="midCat"/>
        <c:majorUnit val="500"/>
      </c:valAx>
      <c:spPr>
        <a:solidFill>
          <a:sysClr val="window" lastClr="FFFFFF"/>
        </a:solidFill>
      </c:spPr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2800"/>
            </a:pPr>
            <a:r>
              <a:rPr lang="en-US" sz="3200"/>
              <a:t>kS</a:t>
            </a:r>
          </a:p>
        </c:rich>
      </c:tx>
      <c:layout>
        <c:manualLayout>
          <c:xMode val="edge"/>
          <c:yMode val="edge"/>
          <c:x val="9.9542897983531026E-2"/>
          <c:y val="4.4532947718814324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6.1657400263084146E-2"/>
          <c:y val="2.6680946709735805E-2"/>
          <c:w val="0.90308770243222136"/>
          <c:h val="0.91527890352118391"/>
        </c:manualLayout>
      </c:layout>
      <c:scatterChart>
        <c:scatterStyle val="smoothMarker"/>
        <c:varyColors val="0"/>
        <c:ser>
          <c:idx val="0"/>
          <c:order val="0"/>
          <c:spPr>
            <a:ln w="69850">
              <a:solidFill>
                <a:srgbClr val="00B050"/>
              </a:solidFill>
            </a:ln>
          </c:spPr>
          <c:marker>
            <c:symbol val="none"/>
          </c:marker>
          <c:xVal>
            <c:numRef>
              <c:f>РЕЗУЛЬТАТЫ!#REF!</c:f>
            </c:numRef>
          </c:xVal>
          <c:yVal>
            <c:numRef>
              <c:f>РЕЗУЛЬТАТЫ!$DQ$15:$DQ$36</c:f>
              <c:numCache>
                <c:formatCode>0.00</c:formatCode>
                <c:ptCount val="22"/>
                <c:pt idx="0">
                  <c:v>0.77973464546216686</c:v>
                </c:pt>
                <c:pt idx="1">
                  <c:v>0.83791078704066091</c:v>
                </c:pt>
                <c:pt idx="2">
                  <c:v>0.89303662587642096</c:v>
                </c:pt>
                <c:pt idx="3">
                  <c:v>0.99719539911793087</c:v>
                </c:pt>
                <c:pt idx="4">
                  <c:v>1.0693134213844868</c:v>
                </c:pt>
                <c:pt idx="5">
                  <c:v>1.0958197641540484</c:v>
                </c:pt>
                <c:pt idx="6">
                  <c:v>1.1131971038726729</c:v>
                </c:pt>
                <c:pt idx="7">
                  <c:v>1.1056351693502098</c:v>
                </c:pt>
                <c:pt idx="8">
                  <c:v>1.1045459834675206</c:v>
                </c:pt>
                <c:pt idx="9">
                  <c:v>1.1147466941063877</c:v>
                </c:pt>
                <c:pt idx="10">
                  <c:v>1.1276365658003269</c:v>
                </c:pt>
                <c:pt idx="11">
                  <c:v>1.1444304358295734</c:v>
                </c:pt>
                <c:pt idx="12">
                  <c:v>1.1798455326378989</c:v>
                </c:pt>
                <c:pt idx="13">
                  <c:v>1.0781457205437925</c:v>
                </c:pt>
                <c:pt idx="14">
                  <c:v>1.2954205891742936</c:v>
                </c:pt>
                <c:pt idx="15">
                  <c:v>1.3104358474452877</c:v>
                </c:pt>
                <c:pt idx="16">
                  <c:v>1.2873835370755577</c:v>
                </c:pt>
                <c:pt idx="17">
                  <c:v>1.2520410860736908</c:v>
                </c:pt>
                <c:pt idx="18">
                  <c:v>1.2758935714304587</c:v>
                </c:pt>
                <c:pt idx="19">
                  <c:v>1.5279682872837883</c:v>
                </c:pt>
                <c:pt idx="20">
                  <c:v>1.4970333407952048</c:v>
                </c:pt>
                <c:pt idx="21">
                  <c:v>1.6502412323517661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804-4D87-85DF-53ED5B7B8B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7262848"/>
        <c:axId val="147264640"/>
      </c:scatterChart>
      <c:valAx>
        <c:axId val="147262848"/>
        <c:scaling>
          <c:orientation val="minMax"/>
          <c:max val="2035"/>
          <c:min val="1995"/>
        </c:scaling>
        <c:delete val="0"/>
        <c:axPos val="b"/>
        <c:numFmt formatCode="#,##0" sourceLinked="0"/>
        <c:majorTickMark val="in"/>
        <c:minorTickMark val="none"/>
        <c:tickLblPos val="nextTo"/>
        <c:spPr>
          <a:ln/>
        </c:spPr>
        <c:txPr>
          <a:bodyPr rot="0" vert="horz"/>
          <a:lstStyle/>
          <a:p>
            <a:pPr>
              <a:defRPr sz="18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47264640"/>
        <c:crosses val="autoZero"/>
        <c:crossBetween val="midCat"/>
        <c:majorUnit val="5"/>
      </c:valAx>
      <c:valAx>
        <c:axId val="147264640"/>
        <c:scaling>
          <c:orientation val="minMax"/>
          <c:max val="2"/>
          <c:min val="0.5"/>
        </c:scaling>
        <c:delete val="0"/>
        <c:axPos val="l"/>
        <c:majorGridlines/>
        <c:numFmt formatCode="0.0" sourceLinked="0"/>
        <c:majorTickMark val="out"/>
        <c:minorTickMark val="none"/>
        <c:tickLblPos val="nextTo"/>
        <c:txPr>
          <a:bodyPr/>
          <a:lstStyle/>
          <a:p>
            <a:pPr>
              <a:defRPr sz="18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47262848"/>
        <c:crosses val="autoZero"/>
        <c:crossBetween val="midCat"/>
        <c:majorUnit val="0.5"/>
      </c:valAx>
      <c:spPr>
        <a:solidFill>
          <a:sysClr val="window" lastClr="FFFFFF"/>
        </a:solidFill>
      </c:spPr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2800"/>
            </a:pPr>
            <a:r>
              <a:rPr lang="en-US" sz="2800"/>
              <a:t>qIM</a:t>
            </a:r>
            <a:endParaRPr lang="ru-RU" sz="2800"/>
          </a:p>
        </c:rich>
      </c:tx>
      <c:layout>
        <c:manualLayout>
          <c:xMode val="edge"/>
          <c:yMode val="edge"/>
          <c:x val="7.8640730542495693E-2"/>
          <c:y val="2.9659657014057556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5.7975852920577546E-2"/>
          <c:y val="1.1481501797709544E-2"/>
          <c:w val="0.90308770243222136"/>
          <c:h val="0.91527890352118391"/>
        </c:manualLayout>
      </c:layout>
      <c:scatterChart>
        <c:scatterStyle val="smoothMarker"/>
        <c:varyColors val="0"/>
        <c:ser>
          <c:idx val="0"/>
          <c:order val="0"/>
          <c:spPr>
            <a:ln w="73025">
              <a:solidFill>
                <a:schemeClr val="accent2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РЕЗУЛЬТАТЫ!$HR$13:$HR$53</c:f>
              <c:numCache>
                <c:formatCode>General</c:formatCode>
                <c:ptCount val="41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  <c:pt idx="36">
                  <c:v>2031</c:v>
                </c:pt>
                <c:pt idx="37">
                  <c:v>2032</c:v>
                </c:pt>
                <c:pt idx="38">
                  <c:v>2033</c:v>
                </c:pt>
                <c:pt idx="39">
                  <c:v>2034</c:v>
                </c:pt>
                <c:pt idx="40">
                  <c:v>2035</c:v>
                </c:pt>
              </c:numCache>
            </c:numRef>
          </c:xVal>
          <c:yVal>
            <c:numRef>
              <c:f>РЕЗУЛЬТАТЫ!$HS$13:$HS$53</c:f>
              <c:numCache>
                <c:formatCode>0.000</c:formatCode>
                <c:ptCount val="41"/>
                <c:pt idx="0">
                  <c:v>0.13365369276604216</c:v>
                </c:pt>
                <c:pt idx="1">
                  <c:v>0.13929134853086492</c:v>
                </c:pt>
                <c:pt idx="2">
                  <c:v>0.1379176665926907</c:v>
                </c:pt>
                <c:pt idx="3">
                  <c:v>0.12004214183937038</c:v>
                </c:pt>
                <c:pt idx="4">
                  <c:v>9.4172946811604347E-2</c:v>
                </c:pt>
                <c:pt idx="5">
                  <c:v>0.11397164678113725</c:v>
                </c:pt>
                <c:pt idx="6">
                  <c:v>0.12896505693918964</c:v>
                </c:pt>
                <c:pt idx="7">
                  <c:v>0.14156509123784608</c:v>
                </c:pt>
                <c:pt idx="8">
                  <c:v>0.15432700002044</c:v>
                </c:pt>
                <c:pt idx="9">
                  <c:v>0.17618999169000235</c:v>
                </c:pt>
                <c:pt idx="10">
                  <c:v>0.19435906368074052</c:v>
                </c:pt>
                <c:pt idx="11">
                  <c:v>0.2164899396186761</c:v>
                </c:pt>
                <c:pt idx="12">
                  <c:v>0.25111241157975112</c:v>
                </c:pt>
                <c:pt idx="13">
                  <c:v>0.27454956999386115</c:v>
                </c:pt>
                <c:pt idx="14">
                  <c:v>0.20635691222000796</c:v>
                </c:pt>
                <c:pt idx="15">
                  <c:v>0.24723523387882859</c:v>
                </c:pt>
                <c:pt idx="16">
                  <c:v>0.28516201951699982</c:v>
                </c:pt>
                <c:pt idx="17">
                  <c:v>0.30108059231005663</c:v>
                </c:pt>
                <c:pt idx="18">
                  <c:v>0.30520902354643348</c:v>
                </c:pt>
                <c:pt idx="19">
                  <c:v>0.2806832984400236</c:v>
                </c:pt>
                <c:pt idx="20">
                  <c:v>0.21300080094384774</c:v>
                </c:pt>
                <c:pt idx="21">
                  <c:v>0.20289799615599724</c:v>
                </c:pt>
                <c:pt idx="22">
                  <c:v>0.23239243657282024</c:v>
                </c:pt>
                <c:pt idx="23">
                  <c:v>0.23284588522954772</c:v>
                </c:pt>
                <c:pt idx="24">
                  <c:v>0.23384588522954772</c:v>
                </c:pt>
                <c:pt idx="25">
                  <c:v>0.23484588522954772</c:v>
                </c:pt>
                <c:pt idx="26">
                  <c:v>0.23584588522954772</c:v>
                </c:pt>
                <c:pt idx="27">
                  <c:v>0.23684588522954772</c:v>
                </c:pt>
                <c:pt idx="28">
                  <c:v>0.23784588522954772</c:v>
                </c:pt>
                <c:pt idx="29">
                  <c:v>0.23884588522954772</c:v>
                </c:pt>
                <c:pt idx="30">
                  <c:v>0.23984588522954772</c:v>
                </c:pt>
                <c:pt idx="31">
                  <c:v>0.24084588522954772</c:v>
                </c:pt>
                <c:pt idx="32">
                  <c:v>0.24184588522954772</c:v>
                </c:pt>
                <c:pt idx="33">
                  <c:v>0.24284588522954773</c:v>
                </c:pt>
                <c:pt idx="34">
                  <c:v>0.24384588522954773</c:v>
                </c:pt>
                <c:pt idx="35">
                  <c:v>0.24484588522954773</c:v>
                </c:pt>
                <c:pt idx="36">
                  <c:v>0.24584588522954773</c:v>
                </c:pt>
                <c:pt idx="37">
                  <c:v>0.24684588522954773</c:v>
                </c:pt>
                <c:pt idx="38">
                  <c:v>0.24784588522954773</c:v>
                </c:pt>
                <c:pt idx="39">
                  <c:v>0.24884588522954773</c:v>
                </c:pt>
                <c:pt idx="40">
                  <c:v>0.24984588522954773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EF6-4855-9BC6-A76DB9113B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599936"/>
        <c:axId val="146601472"/>
      </c:scatterChart>
      <c:valAx>
        <c:axId val="146599936"/>
        <c:scaling>
          <c:orientation val="minMax"/>
          <c:max val="2035"/>
          <c:min val="1995"/>
        </c:scaling>
        <c:delete val="0"/>
        <c:axPos val="b"/>
        <c:numFmt formatCode="#,##0" sourceLinked="0"/>
        <c:majorTickMark val="in"/>
        <c:minorTickMark val="none"/>
        <c:tickLblPos val="nextTo"/>
        <c:spPr>
          <a:ln/>
        </c:spPr>
        <c:txPr>
          <a:bodyPr rot="0" vert="horz"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46601472"/>
        <c:crosses val="autoZero"/>
        <c:crossBetween val="midCat"/>
        <c:majorUnit val="5"/>
      </c:valAx>
      <c:valAx>
        <c:axId val="146601472"/>
        <c:scaling>
          <c:orientation val="minMax"/>
          <c:max val="0.4"/>
          <c:min val="0"/>
        </c:scaling>
        <c:delete val="0"/>
        <c:axPos val="l"/>
        <c:majorGridlines/>
        <c:numFmt formatCode="0.00" sourceLinked="0"/>
        <c:majorTickMark val="out"/>
        <c:minorTickMark val="none"/>
        <c:tickLblPos val="nextTo"/>
        <c:txPr>
          <a:bodyPr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46599936"/>
        <c:crosses val="autoZero"/>
        <c:crossBetween val="midCat"/>
        <c:majorUnit val="0.1"/>
      </c:valAx>
      <c:spPr>
        <a:solidFill>
          <a:sysClr val="window" lastClr="FFFFFF"/>
        </a:solidFill>
      </c:spPr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2400"/>
            </a:pPr>
            <a:r>
              <a:rPr lang="en-US" sz="2400"/>
              <a:t>WW</a:t>
            </a:r>
            <a:endParaRPr lang="ru-RU" sz="2400"/>
          </a:p>
        </c:rich>
      </c:tx>
      <c:layout>
        <c:manualLayout>
          <c:xMode val="edge"/>
          <c:yMode val="edge"/>
          <c:x val="9.9542897983531026E-2"/>
          <c:y val="4.4532947718814324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8.2653855802094708E-2"/>
          <c:y val="2.6680946709735805E-2"/>
          <c:w val="0.87645581062293765"/>
          <c:h val="0.91527890352118391"/>
        </c:manualLayout>
      </c:layout>
      <c:scatterChart>
        <c:scatterStyle val="smoothMarker"/>
        <c:varyColors val="0"/>
        <c:ser>
          <c:idx val="0"/>
          <c:order val="0"/>
          <c:spPr>
            <a:ln w="161925">
              <a:solidFill>
                <a:srgbClr val="FFC000"/>
              </a:solidFill>
            </a:ln>
          </c:spPr>
          <c:marker>
            <c:symbol val="none"/>
          </c:marker>
          <c:xVal>
            <c:numRef>
              <c:f>РЕЗУЛЬТАТЫ!$IP$15:$IP$36</c:f>
              <c:numCache>
                <c:formatCode>0</c:formatCode>
                <c:ptCount val="22"/>
                <c:pt idx="0">
                  <c:v>388.04689999999999</c:v>
                </c:pt>
                <c:pt idx="1">
                  <c:v>404.31540000000001</c:v>
                </c:pt>
                <c:pt idx="2">
                  <c:v>591.60419999999988</c:v>
                </c:pt>
                <c:pt idx="3">
                  <c:v>990.46019999999999</c:v>
                </c:pt>
                <c:pt idx="4">
                  <c:v>1353.3806999999999</c:v>
                </c:pt>
                <c:pt idx="5">
                  <c:v>1651.1434000000002</c:v>
                </c:pt>
                <c:pt idx="6">
                  <c:v>2033.43</c:v>
                </c:pt>
                <c:pt idx="7">
                  <c:v>2619.0199999999995</c:v>
                </c:pt>
                <c:pt idx="8">
                  <c:v>3319.41</c:v>
                </c:pt>
                <c:pt idx="9">
                  <c:v>4319.72</c:v>
                </c:pt>
                <c:pt idx="10">
                  <c:v>6008.4653999999991</c:v>
                </c:pt>
                <c:pt idx="11">
                  <c:v>7963.3755999999994</c:v>
                </c:pt>
                <c:pt idx="12">
                  <c:v>8011.1544999999996</c:v>
                </c:pt>
                <c:pt idx="13">
                  <c:v>8879.8341999999993</c:v>
                </c:pt>
                <c:pt idx="14">
                  <c:v>10352.977699999999</c:v>
                </c:pt>
                <c:pt idx="15">
                  <c:v>11932.60368</c:v>
                </c:pt>
                <c:pt idx="16">
                  <c:v>13035.95002</c:v>
                </c:pt>
                <c:pt idx="17">
                  <c:v>13680.508389999999</c:v>
                </c:pt>
                <c:pt idx="18">
                  <c:v>13853.59288</c:v>
                </c:pt>
                <c:pt idx="19">
                  <c:v>14493.864529999999</c:v>
                </c:pt>
                <c:pt idx="20">
                  <c:v>15558.59</c:v>
                </c:pt>
                <c:pt idx="21">
                  <c:v>16996.84</c:v>
                </c:pt>
              </c:numCache>
            </c:numRef>
          </c:xVal>
          <c:yVal>
            <c:numRef>
              <c:f>РЕЗУЛЬТАТЫ!$IO$15:$IO$36</c:f>
              <c:numCache>
                <c:formatCode>0</c:formatCode>
                <c:ptCount val="22"/>
                <c:pt idx="0">
                  <c:v>406.47199999999998</c:v>
                </c:pt>
                <c:pt idx="1">
                  <c:v>428.56400000000002</c:v>
                </c:pt>
                <c:pt idx="2">
                  <c:v>597.30600000000004</c:v>
                </c:pt>
                <c:pt idx="3">
                  <c:v>843.37800000000004</c:v>
                </c:pt>
                <c:pt idx="4">
                  <c:v>1117.655</c:v>
                </c:pt>
                <c:pt idx="5">
                  <c:v>1615.0630000000001</c:v>
                </c:pt>
                <c:pt idx="6">
                  <c:v>1815.6579999999999</c:v>
                </c:pt>
                <c:pt idx="7">
                  <c:v>1972.1120000000001</c:v>
                </c:pt>
                <c:pt idx="8">
                  <c:v>2943.6860000000001</c:v>
                </c:pt>
                <c:pt idx="9">
                  <c:v>3252.4360000000001</c:v>
                </c:pt>
                <c:pt idx="10">
                  <c:v>4296.4110000000001</c:v>
                </c:pt>
                <c:pt idx="11">
                  <c:v>5744.8469999999998</c:v>
                </c:pt>
                <c:pt idx="12">
                  <c:v>6356.223</c:v>
                </c:pt>
                <c:pt idx="13">
                  <c:v>6275.9309999999996</c:v>
                </c:pt>
                <c:pt idx="14">
                  <c:v>8813.3140000000003</c:v>
                </c:pt>
                <c:pt idx="15">
                  <c:v>10338.4</c:v>
                </c:pt>
                <c:pt idx="16">
                  <c:v>11160.485000000001</c:v>
                </c:pt>
                <c:pt idx="17">
                  <c:v>10888</c:v>
                </c:pt>
                <c:pt idx="18">
                  <c:v>10721</c:v>
                </c:pt>
                <c:pt idx="19">
                  <c:v>13256</c:v>
                </c:pt>
                <c:pt idx="20">
                  <c:v>12484.1</c:v>
                </c:pt>
                <c:pt idx="21">
                  <c:v>14909.4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091-4681-86A8-49B94A1E104C}"/>
            </c:ext>
          </c:extLst>
        </c:ser>
        <c:ser>
          <c:idx val="1"/>
          <c:order val="1"/>
          <c:marker>
            <c:symbol val="none"/>
          </c:marker>
          <c:trendline>
            <c:spPr>
              <a:ln w="25400">
                <a:prstDash val="lgDash"/>
              </a:ln>
            </c:spPr>
            <c:trendlineType val="linear"/>
            <c:forward val="5000"/>
            <c:dispRSqr val="1"/>
            <c:dispEq val="1"/>
            <c:trendlineLbl>
              <c:layout>
                <c:manualLayout>
                  <c:x val="0.17452334771233052"/>
                  <c:y val="0.19904782574725041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sz="1800">
                      <a:latin typeface="Arial" panose="020B0604020202020204" pitchFamily="34" charset="0"/>
                      <a:cs typeface="Arial" panose="020B0604020202020204" pitchFamily="34" charset="0"/>
                    </a:defRPr>
                  </a:pPr>
                  <a:endParaRPr lang="ru-RU"/>
                </a:p>
              </c:txPr>
            </c:trendlineLbl>
          </c:trendline>
          <c:xVal>
            <c:numRef>
              <c:f>РЕЗУЛЬТАТЫ!$IP$28:$IP$36</c:f>
              <c:numCache>
                <c:formatCode>0</c:formatCode>
                <c:ptCount val="9"/>
                <c:pt idx="0">
                  <c:v>8879.8341999999993</c:v>
                </c:pt>
                <c:pt idx="1">
                  <c:v>10352.977699999999</c:v>
                </c:pt>
                <c:pt idx="2">
                  <c:v>11932.60368</c:v>
                </c:pt>
                <c:pt idx="3">
                  <c:v>13035.95002</c:v>
                </c:pt>
                <c:pt idx="4">
                  <c:v>13680.508389999999</c:v>
                </c:pt>
                <c:pt idx="5">
                  <c:v>13853.59288</c:v>
                </c:pt>
                <c:pt idx="6">
                  <c:v>14493.864529999999</c:v>
                </c:pt>
                <c:pt idx="7">
                  <c:v>15558.59</c:v>
                </c:pt>
                <c:pt idx="8">
                  <c:v>16996.84</c:v>
                </c:pt>
              </c:numCache>
            </c:numRef>
          </c:xVal>
          <c:yVal>
            <c:numRef>
              <c:f>РЕЗУЛЬТАТЫ!$IO$28:$IO$36</c:f>
              <c:numCache>
                <c:formatCode>0</c:formatCode>
                <c:ptCount val="9"/>
                <c:pt idx="0">
                  <c:v>6275.9309999999996</c:v>
                </c:pt>
                <c:pt idx="1">
                  <c:v>8813.3140000000003</c:v>
                </c:pt>
                <c:pt idx="2">
                  <c:v>10338.4</c:v>
                </c:pt>
                <c:pt idx="3">
                  <c:v>11160.485000000001</c:v>
                </c:pt>
                <c:pt idx="4">
                  <c:v>10888</c:v>
                </c:pt>
                <c:pt idx="5">
                  <c:v>10721</c:v>
                </c:pt>
                <c:pt idx="6">
                  <c:v>13256</c:v>
                </c:pt>
                <c:pt idx="7">
                  <c:v>12484.1</c:v>
                </c:pt>
                <c:pt idx="8">
                  <c:v>14909.4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30E-4B6C-A6A4-0D44F92564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7364864"/>
        <c:axId val="147370752"/>
      </c:scatterChart>
      <c:valAx>
        <c:axId val="147364864"/>
        <c:scaling>
          <c:orientation val="minMax"/>
          <c:max val="30000"/>
          <c:min val="0"/>
        </c:scaling>
        <c:delete val="0"/>
        <c:axPos val="b"/>
        <c:numFmt formatCode="#,##0" sourceLinked="0"/>
        <c:majorTickMark val="in"/>
        <c:minorTickMark val="none"/>
        <c:tickLblPos val="nextTo"/>
        <c:spPr>
          <a:ln/>
        </c:spPr>
        <c:txPr>
          <a:bodyPr rot="0" vert="horz"/>
          <a:lstStyle/>
          <a:p>
            <a:pPr>
              <a:defRPr sz="18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47370752"/>
        <c:crosses val="autoZero"/>
        <c:crossBetween val="midCat"/>
        <c:majorUnit val="5000"/>
      </c:valAx>
      <c:valAx>
        <c:axId val="147370752"/>
        <c:scaling>
          <c:orientation val="minMax"/>
          <c:max val="25000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txPr>
          <a:bodyPr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47364864"/>
        <c:crosses val="autoZero"/>
        <c:crossBetween val="midCat"/>
        <c:majorUnit val="5000"/>
      </c:valAx>
      <c:spPr>
        <a:solidFill>
          <a:sysClr val="window" lastClr="FFFFFF"/>
        </a:solidFill>
      </c:spPr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2800"/>
            </a:pPr>
            <a:r>
              <a:rPr lang="en-US" sz="2800"/>
              <a:t> POS = XOS / LZ </a:t>
            </a:r>
          </a:p>
        </c:rich>
      </c:tx>
      <c:layout>
        <c:manualLayout>
          <c:xMode val="edge"/>
          <c:yMode val="edge"/>
          <c:x val="8.1095094827359646E-2"/>
          <c:y val="5.0094320060526533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6.1657400263084146E-2"/>
          <c:y val="2.6680946709735805E-2"/>
          <c:w val="0.90308770243222136"/>
          <c:h val="0.91527890352118391"/>
        </c:manualLayout>
      </c:layout>
      <c:scatterChart>
        <c:scatterStyle val="smoothMarker"/>
        <c:varyColors val="0"/>
        <c:ser>
          <c:idx val="0"/>
          <c:order val="0"/>
          <c:spPr>
            <a:ln w="130175">
              <a:solidFill>
                <a:srgbClr val="00B050">
                  <a:alpha val="62000"/>
                </a:srgbClr>
              </a:solidFill>
            </a:ln>
          </c:spPr>
          <c:marker>
            <c:symbol val="none"/>
          </c:marker>
          <c:xVal>
            <c:numRef>
              <c:f>РЕЗУЛЬТАТЫ!$MY$13:$MY$36</c:f>
              <c:numCache>
                <c:formatCode>General</c:formatCode>
                <c:ptCount val="24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</c:numCache>
            </c:numRef>
          </c:xVal>
          <c:yVal>
            <c:numRef>
              <c:f>РЕЗУЛЬТАТЫ!$MZ$13:$MZ$36</c:f>
              <c:numCache>
                <c:formatCode>0.00</c:formatCode>
                <c:ptCount val="24"/>
                <c:pt idx="0">
                  <c:v>43.206939348996954</c:v>
                </c:pt>
                <c:pt idx="1">
                  <c:v>42.749286899313503</c:v>
                </c:pt>
                <c:pt idx="2">
                  <c:v>45.447241894736841</c:v>
                </c:pt>
                <c:pt idx="3">
                  <c:v>44.298503885723704</c:v>
                </c:pt>
                <c:pt idx="4">
                  <c:v>43.416737397690277</c:v>
                </c:pt>
                <c:pt idx="5">
                  <c:v>46.046768151253758</c:v>
                </c:pt>
                <c:pt idx="6">
                  <c:v>48.263748607689806</c:v>
                </c:pt>
                <c:pt idx="7">
                  <c:v>49.226295399031507</c:v>
                </c:pt>
                <c:pt idx="8">
                  <c:v>53.222993601114709</c:v>
                </c:pt>
                <c:pt idx="9">
                  <c:v>56.644052738523989</c:v>
                </c:pt>
                <c:pt idx="10">
                  <c:v>58.979127328817569</c:v>
                </c:pt>
                <c:pt idx="11">
                  <c:v>63.457556425113935</c:v>
                </c:pt>
                <c:pt idx="12">
                  <c:v>67.479917249698346</c:v>
                </c:pt>
                <c:pt idx="13">
                  <c:v>70.621402348481183</c:v>
                </c:pt>
                <c:pt idx="14">
                  <c:v>66.896281588517056</c:v>
                </c:pt>
                <c:pt idx="15">
                  <c:v>69.715085293922698</c:v>
                </c:pt>
                <c:pt idx="16">
                  <c:v>71.765752104766392</c:v>
                </c:pt>
                <c:pt idx="17">
                  <c:v>73.846746364363511</c:v>
                </c:pt>
                <c:pt idx="18">
                  <c:v>75.560123440531513</c:v>
                </c:pt>
                <c:pt idx="19">
                  <c:v>76.007477976215441</c:v>
                </c:pt>
                <c:pt idx="20">
                  <c:v>74.205557755695821</c:v>
                </c:pt>
                <c:pt idx="21">
                  <c:v>75.024056551326893</c:v>
                </c:pt>
                <c:pt idx="22">
                  <c:v>77.167211043056923</c:v>
                </c:pt>
                <c:pt idx="23">
                  <c:v>78.864635853510762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8D8-48F5-B2F3-051B886A285C}"/>
            </c:ext>
          </c:extLst>
        </c:ser>
        <c:ser>
          <c:idx val="1"/>
          <c:order val="1"/>
          <c:marker>
            <c:symbol val="none"/>
          </c:marker>
          <c:trendline>
            <c:spPr>
              <a:ln>
                <a:prstDash val="lgDash"/>
              </a:ln>
            </c:spPr>
            <c:trendlineType val="linear"/>
            <c:forward val="10"/>
            <c:dispRSqr val="0"/>
            <c:dispEq val="0"/>
          </c:trendline>
          <c:xVal>
            <c:numRef>
              <c:f>РЕЗУЛЬТАТЫ!$MY$21:$MY$27</c:f>
              <c:numCache>
                <c:formatCode>General</c:formatCode>
                <c:ptCount val="7"/>
                <c:pt idx="0">
                  <c:v>2003</c:v>
                </c:pt>
                <c:pt idx="1">
                  <c:v>2004</c:v>
                </c:pt>
                <c:pt idx="2">
                  <c:v>2005</c:v>
                </c:pt>
                <c:pt idx="3">
                  <c:v>2006</c:v>
                </c:pt>
                <c:pt idx="4">
                  <c:v>2007</c:v>
                </c:pt>
                <c:pt idx="5">
                  <c:v>2008</c:v>
                </c:pt>
                <c:pt idx="6">
                  <c:v>2009</c:v>
                </c:pt>
              </c:numCache>
            </c:numRef>
          </c:xVal>
          <c:yVal>
            <c:numRef>
              <c:f>РЕЗУЛЬТАТЫ!$MZ$21:$MZ$26</c:f>
              <c:numCache>
                <c:formatCode>0.00</c:formatCode>
                <c:ptCount val="6"/>
                <c:pt idx="0">
                  <c:v>53.222993601114709</c:v>
                </c:pt>
                <c:pt idx="1">
                  <c:v>56.644052738523989</c:v>
                </c:pt>
                <c:pt idx="2">
                  <c:v>58.979127328817569</c:v>
                </c:pt>
                <c:pt idx="3">
                  <c:v>63.457556425113935</c:v>
                </c:pt>
                <c:pt idx="4">
                  <c:v>67.479917249698346</c:v>
                </c:pt>
                <c:pt idx="5">
                  <c:v>70.621402348481183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D8D8-48F5-B2F3-051B886A285C}"/>
            </c:ext>
          </c:extLst>
        </c:ser>
        <c:ser>
          <c:idx val="2"/>
          <c:order val="2"/>
          <c:marker>
            <c:symbol val="none"/>
          </c:marker>
          <c:xVal>
            <c:numRef>
              <c:f>РЕЗУЛЬТАТЫ!$MY$34:$MY$36</c:f>
              <c:numCache>
                <c:formatCode>General</c:formatCode>
                <c:ptCount val="3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</c:numCache>
            </c:numRef>
          </c:xVal>
          <c:yVal>
            <c:numRef>
              <c:f>РЕЗУЛЬТАТЫ!$MZ$34:$MZ$36</c:f>
              <c:numCache>
                <c:formatCode>0.00</c:formatCode>
                <c:ptCount val="3"/>
                <c:pt idx="0">
                  <c:v>75.024056551326893</c:v>
                </c:pt>
                <c:pt idx="1">
                  <c:v>77.167211043056923</c:v>
                </c:pt>
                <c:pt idx="2">
                  <c:v>78.864635853510762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D8D8-48F5-B2F3-051B886A285C}"/>
            </c:ext>
          </c:extLst>
        </c:ser>
        <c:ser>
          <c:idx val="3"/>
          <c:order val="3"/>
          <c:spPr>
            <a:ln w="2857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РЕЗУЛЬТАТЫ!$MY$35:$MY$53</c:f>
              <c:numCache>
                <c:formatCode>General</c:formatCode>
                <c:ptCount val="19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  <c:pt idx="4">
                  <c:v>2021</c:v>
                </c:pt>
                <c:pt idx="5">
                  <c:v>2022</c:v>
                </c:pt>
                <c:pt idx="6">
                  <c:v>2023</c:v>
                </c:pt>
                <c:pt idx="7">
                  <c:v>2024</c:v>
                </c:pt>
                <c:pt idx="8">
                  <c:v>2025</c:v>
                </c:pt>
                <c:pt idx="9">
                  <c:v>2026</c:v>
                </c:pt>
                <c:pt idx="10">
                  <c:v>2027</c:v>
                </c:pt>
                <c:pt idx="11">
                  <c:v>2028</c:v>
                </c:pt>
                <c:pt idx="12">
                  <c:v>2029</c:v>
                </c:pt>
                <c:pt idx="13">
                  <c:v>2030</c:v>
                </c:pt>
                <c:pt idx="14">
                  <c:v>2031</c:v>
                </c:pt>
                <c:pt idx="15">
                  <c:v>2032</c:v>
                </c:pt>
                <c:pt idx="16">
                  <c:v>2033</c:v>
                </c:pt>
                <c:pt idx="17">
                  <c:v>2034</c:v>
                </c:pt>
                <c:pt idx="18">
                  <c:v>2035</c:v>
                </c:pt>
              </c:numCache>
            </c:numRef>
          </c:xVal>
          <c:yVal>
            <c:numRef>
              <c:f>РЕЗУЛЬТАТЫ!$NA$35:$NA$53</c:f>
              <c:numCache>
                <c:formatCode>0.00</c:formatCode>
                <c:ptCount val="19"/>
                <c:pt idx="0">
                  <c:v>77.167211043056923</c:v>
                </c:pt>
                <c:pt idx="1">
                  <c:v>78.864635853510762</c:v>
                </c:pt>
                <c:pt idx="2">
                  <c:v>79.940971174109237</c:v>
                </c:pt>
                <c:pt idx="3">
                  <c:v>80.019369981581406</c:v>
                </c:pt>
                <c:pt idx="4">
                  <c:v>80.091381773154495</c:v>
                </c:pt>
                <c:pt idx="5">
                  <c:v>81.915820010252475</c:v>
                </c:pt>
                <c:pt idx="6">
                  <c:v>82.896899731222646</c:v>
                </c:pt>
                <c:pt idx="7">
                  <c:v>83.898550764360792</c:v>
                </c:pt>
                <c:pt idx="8">
                  <c:v>84.919779616660918</c:v>
                </c:pt>
                <c:pt idx="9">
                  <c:v>85.959594939183901</c:v>
                </c:pt>
                <c:pt idx="10">
                  <c:v>87.017006170284546</c:v>
                </c:pt>
                <c:pt idx="11">
                  <c:v>88.091022509927015</c:v>
                </c:pt>
                <c:pt idx="12">
                  <c:v>89.18065218920745</c:v>
                </c:pt>
                <c:pt idx="13">
                  <c:v>90.284902002720656</c:v>
                </c:pt>
                <c:pt idx="14">
                  <c:v>91.402777074367563</c:v>
                </c:pt>
                <c:pt idx="15">
                  <c:v>92.533280829697134</c:v>
                </c:pt>
                <c:pt idx="16">
                  <c:v>93.675415150025771</c:v>
                </c:pt>
                <c:pt idx="17">
                  <c:v>94.828180685442121</c:v>
                </c:pt>
                <c:pt idx="18">
                  <c:v>95.990577305453172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AE9-4614-8F09-7F7DEAD575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7504128"/>
        <c:axId val="147395328"/>
      </c:scatterChart>
      <c:valAx>
        <c:axId val="147504128"/>
        <c:scaling>
          <c:orientation val="minMax"/>
          <c:max val="2035"/>
          <c:min val="1995"/>
        </c:scaling>
        <c:delete val="0"/>
        <c:axPos val="b"/>
        <c:numFmt formatCode="#,##0" sourceLinked="0"/>
        <c:majorTickMark val="in"/>
        <c:minorTickMark val="none"/>
        <c:tickLblPos val="nextTo"/>
        <c:spPr>
          <a:ln/>
        </c:spPr>
        <c:txPr>
          <a:bodyPr rot="0" vert="horz"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47395328"/>
        <c:crosses val="autoZero"/>
        <c:crossBetween val="midCat"/>
        <c:majorUnit val="5"/>
      </c:valAx>
      <c:valAx>
        <c:axId val="147395328"/>
        <c:scaling>
          <c:orientation val="minMax"/>
          <c:max val="100"/>
          <c:min val="40"/>
        </c:scaling>
        <c:delete val="0"/>
        <c:axPos val="l"/>
        <c:majorGridlines/>
        <c:numFmt formatCode="0.0" sourceLinked="0"/>
        <c:majorTickMark val="out"/>
        <c:minorTickMark val="none"/>
        <c:tickLblPos val="nextTo"/>
        <c:txPr>
          <a:bodyPr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47504128"/>
        <c:crosses val="autoZero"/>
        <c:crossBetween val="midCat"/>
        <c:majorUnit val="10"/>
      </c:valAx>
      <c:spPr>
        <a:solidFill>
          <a:sysClr val="window" lastClr="FFFFFF"/>
        </a:solidFill>
      </c:spPr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2800"/>
            </a:pPr>
            <a:r>
              <a:rPr lang="en-US" sz="2800"/>
              <a:t>Dww</a:t>
            </a:r>
            <a:endParaRPr lang="ru-RU" sz="2800"/>
          </a:p>
        </c:rich>
      </c:tx>
      <c:layout>
        <c:manualLayout>
          <c:xMode val="edge"/>
          <c:yMode val="edge"/>
          <c:x val="9.9542897983531026E-2"/>
          <c:y val="4.4532947718814324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6.1657400263084146E-2"/>
          <c:y val="2.6680946709735805E-2"/>
          <c:w val="0.90308770243222136"/>
          <c:h val="0.91527890352118391"/>
        </c:manualLayout>
      </c:layout>
      <c:scatterChart>
        <c:scatterStyle val="smoothMarker"/>
        <c:varyColors val="0"/>
        <c:ser>
          <c:idx val="0"/>
          <c:order val="0"/>
          <c:spPr>
            <a:ln w="63500">
              <a:solidFill>
                <a:srgbClr val="00B0F0"/>
              </a:solidFill>
            </a:ln>
          </c:spPr>
          <c:marker>
            <c:symbol val="none"/>
          </c:marker>
          <c:xVal>
            <c:numRef>
              <c:f>РЕЗУЛЬТАТЫ!$NV$13:$NV$36</c:f>
              <c:numCache>
                <c:formatCode>General</c:formatCode>
                <c:ptCount val="24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</c:numCache>
            </c:numRef>
          </c:xVal>
          <c:yVal>
            <c:numRef>
              <c:f>РЕЗУЛЬТАТЫ!$NW$13:$NW$36</c:f>
              <c:numCache>
                <c:formatCode>0.000</c:formatCode>
                <c:ptCount val="24"/>
                <c:pt idx="0">
                  <c:v>1</c:v>
                </c:pt>
                <c:pt idx="1">
                  <c:v>1.6953967315458069</c:v>
                </c:pt>
                <c:pt idx="2">
                  <c:v>2.415292468742241</c:v>
                </c:pt>
                <c:pt idx="3">
                  <c:v>2.6727462335842294</c:v>
                </c:pt>
                <c:pt idx="4">
                  <c:v>3.4893420575027583</c:v>
                </c:pt>
                <c:pt idx="5">
                  <c:v>3.9448052793534916</c:v>
                </c:pt>
                <c:pt idx="6">
                  <c:v>4.3960246162225971</c:v>
                </c:pt>
                <c:pt idx="7">
                  <c:v>5.8843823618297426</c:v>
                </c:pt>
                <c:pt idx="8">
                  <c:v>5.9009164044902702</c:v>
                </c:pt>
                <c:pt idx="9">
                  <c:v>5.7361386042739939</c:v>
                </c:pt>
                <c:pt idx="10">
                  <c:v>7.7188495068870884</c:v>
                </c:pt>
                <c:pt idx="11">
                  <c:v>7.333907061981483</c:v>
                </c:pt>
                <c:pt idx="12">
                  <c:v>7.9418012798076241</c:v>
                </c:pt>
                <c:pt idx="13">
                  <c:v>9.313557709187231</c:v>
                </c:pt>
                <c:pt idx="14">
                  <c:v>10.66694831320229</c:v>
                </c:pt>
                <c:pt idx="15">
                  <c:v>11.27644871677545</c:v>
                </c:pt>
                <c:pt idx="16">
                  <c:v>12.282914423380722</c:v>
                </c:pt>
                <c:pt idx="17">
                  <c:v>13.249096044334456</c:v>
                </c:pt>
                <c:pt idx="18">
                  <c:v>14.15863931501705</c:v>
                </c:pt>
                <c:pt idx="19">
                  <c:v>14.240158664898729</c:v>
                </c:pt>
                <c:pt idx="20">
                  <c:v>14.837823597492827</c:v>
                </c:pt>
                <c:pt idx="21">
                  <c:v>15.707409284457475</c:v>
                </c:pt>
                <c:pt idx="22">
                  <c:v>14.777985159687598</c:v>
                </c:pt>
                <c:pt idx="23">
                  <c:v>15.400454434924034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9CA-4EC4-A77C-0D7EFC0F0DBA}"/>
            </c:ext>
          </c:extLst>
        </c:ser>
        <c:ser>
          <c:idx val="1"/>
          <c:order val="1"/>
          <c:spPr>
            <a:ln w="60325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РЕЗУЛЬТАТЫ!$NV$13:$NV$36</c:f>
              <c:numCache>
                <c:formatCode>General</c:formatCode>
                <c:ptCount val="24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</c:numCache>
            </c:numRef>
          </c:xVal>
          <c:yVal>
            <c:numRef>
              <c:f>РЕЗУЛЬТАТЫ!$NZ$13:$NZ$36</c:f>
              <c:numCache>
                <c:formatCode>0.000</c:formatCode>
                <c:ptCount val="24"/>
                <c:pt idx="0">
                  <c:v>1</c:v>
                </c:pt>
                <c:pt idx="1">
                  <c:v>1.7194377618988257</c:v>
                </c:pt>
                <c:pt idx="2">
                  <c:v>1.9680277801214476</c:v>
                </c:pt>
                <c:pt idx="3">
                  <c:v>2.2270348811115843</c:v>
                </c:pt>
                <c:pt idx="4">
                  <c:v>3.493098424873764</c:v>
                </c:pt>
                <c:pt idx="5">
                  <c:v>5.1712627496070169</c:v>
                </c:pt>
                <c:pt idx="6">
                  <c:v>6.0707268468539191</c:v>
                </c:pt>
                <c:pt idx="7">
                  <c:v>6.9167509862711283</c:v>
                </c:pt>
                <c:pt idx="8">
                  <c:v>7.6273689193439225</c:v>
                </c:pt>
                <c:pt idx="9">
                  <c:v>8.7904133177964692</c:v>
                </c:pt>
                <c:pt idx="10">
                  <c:v>10.054085870175701</c:v>
                </c:pt>
                <c:pt idx="11">
                  <c:v>11.28478682823815</c:v>
                </c:pt>
                <c:pt idx="12">
                  <c:v>13.059083510568804</c:v>
                </c:pt>
                <c:pt idx="13">
                  <c:v>15.593657080025292</c:v>
                </c:pt>
                <c:pt idx="14">
                  <c:v>16.373566297801105</c:v>
                </c:pt>
                <c:pt idx="15">
                  <c:v>17.674409856030426</c:v>
                </c:pt>
                <c:pt idx="16">
                  <c:v>19.234566440524752</c:v>
                </c:pt>
                <c:pt idx="17">
                  <c:v>20.540168341333807</c:v>
                </c:pt>
                <c:pt idx="18">
                  <c:v>21.776225011581559</c:v>
                </c:pt>
                <c:pt idx="19">
                  <c:v>22.851453644141124</c:v>
                </c:pt>
                <c:pt idx="20">
                  <c:v>25.408791247612854</c:v>
                </c:pt>
                <c:pt idx="21">
                  <c:v>27.019844336572895</c:v>
                </c:pt>
                <c:pt idx="22">
                  <c:v>28.017232863734257</c:v>
                </c:pt>
                <c:pt idx="23">
                  <c:v>29.489664817255768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9CA-4EC4-A77C-0D7EFC0F0DBA}"/>
            </c:ext>
          </c:extLst>
        </c:ser>
        <c:ser>
          <c:idx val="2"/>
          <c:order val="2"/>
          <c:spPr>
            <a:ln w="63500">
              <a:solidFill>
                <a:srgbClr val="92D050"/>
              </a:solidFill>
            </a:ln>
          </c:spPr>
          <c:marker>
            <c:symbol val="none"/>
          </c:marker>
          <c:xVal>
            <c:numRef>
              <c:f>РЕЗУЛЬТАТЫ!$NV$13:$NV$36</c:f>
              <c:numCache>
                <c:formatCode>General</c:formatCode>
                <c:ptCount val="24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</c:numCache>
            </c:numRef>
          </c:xVal>
          <c:yVal>
            <c:numRef>
              <c:f>РЕЗУЛЬТАТЫ!$NY$13:$NY$36</c:f>
              <c:numCache>
                <c:formatCode>0.000</c:formatCode>
                <c:ptCount val="24"/>
                <c:pt idx="0">
                  <c:v>1</c:v>
                </c:pt>
                <c:pt idx="1">
                  <c:v>2.4661634872716665</c:v>
                </c:pt>
                <c:pt idx="2">
                  <c:v>2.5165818894824628</c:v>
                </c:pt>
                <c:pt idx="3">
                  <c:v>2.6836249787031963</c:v>
                </c:pt>
                <c:pt idx="4">
                  <c:v>2.701164323022275</c:v>
                </c:pt>
                <c:pt idx="5">
                  <c:v>3.2947518370474893</c:v>
                </c:pt>
                <c:pt idx="6">
                  <c:v>3.7846782806927575</c:v>
                </c:pt>
                <c:pt idx="7">
                  <c:v>4.5228031897927927</c:v>
                </c:pt>
                <c:pt idx="8">
                  <c:v>5.542638112686384</c:v>
                </c:pt>
                <c:pt idx="9">
                  <c:v>6.2728522161048463</c:v>
                </c:pt>
                <c:pt idx="10">
                  <c:v>7.3244397581202456</c:v>
                </c:pt>
                <c:pt idx="11">
                  <c:v>8.1861967165379976</c:v>
                </c:pt>
                <c:pt idx="12">
                  <c:v>10.097240670067599</c:v>
                </c:pt>
                <c:pt idx="13">
                  <c:v>12.014838376677151</c:v>
                </c:pt>
                <c:pt idx="14">
                  <c:v>12.870829474853368</c:v>
                </c:pt>
                <c:pt idx="15">
                  <c:v>14.148307151553455</c:v>
                </c:pt>
                <c:pt idx="16">
                  <c:v>15.766970202222982</c:v>
                </c:pt>
                <c:pt idx="17">
                  <c:v>16.974068796381736</c:v>
                </c:pt>
                <c:pt idx="18">
                  <c:v>17.953158422730532</c:v>
                </c:pt>
                <c:pt idx="19">
                  <c:v>19.115802786548628</c:v>
                </c:pt>
                <c:pt idx="20">
                  <c:v>20.193444864834213</c:v>
                </c:pt>
                <c:pt idx="21">
                  <c:v>22.177890468882978</c:v>
                </c:pt>
                <c:pt idx="22">
                  <c:v>22.675989872141365</c:v>
                </c:pt>
                <c:pt idx="23">
                  <c:v>23.085153319082956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9CA-4EC4-A77C-0D7EFC0F0DBA}"/>
            </c:ext>
          </c:extLst>
        </c:ser>
        <c:ser>
          <c:idx val="3"/>
          <c:order val="3"/>
          <c:spPr>
            <a:ln w="31750">
              <a:solidFill>
                <a:schemeClr val="tx1"/>
              </a:solidFill>
            </a:ln>
          </c:spPr>
          <c:xVal>
            <c:numRef>
              <c:f>РЕЗУЛЬТАТЫ!$NV$13:$NV$37</c:f>
              <c:numCache>
                <c:formatCode>General</c:formatCode>
                <c:ptCount val="25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</c:numCache>
            </c:numRef>
          </c:xVal>
          <c:yVal>
            <c:numRef>
              <c:f>РЕЗУЛЬТАТЫ!$NX$13:$NX$37</c:f>
              <c:numCache>
                <c:formatCode>0.00</c:formatCode>
                <c:ptCount val="25"/>
                <c:pt idx="0">
                  <c:v>1</c:v>
                </c:pt>
                <c:pt idx="1">
                  <c:v>1.218</c:v>
                </c:pt>
                <c:pt idx="2">
                  <c:v>1.3519800000000002</c:v>
                </c:pt>
                <c:pt idx="3">
                  <c:v>2.4930511200000005</c:v>
                </c:pt>
                <c:pt idx="4">
                  <c:v>3.4030147788000007</c:v>
                </c:pt>
                <c:pt idx="5">
                  <c:v>4.0904237641176007</c:v>
                </c:pt>
                <c:pt idx="6">
                  <c:v>4.8512425842434741</c:v>
                </c:pt>
                <c:pt idx="7">
                  <c:v>5.5837802144642392</c:v>
                </c:pt>
                <c:pt idx="8">
                  <c:v>6.2538338401999489</c:v>
                </c:pt>
                <c:pt idx="9">
                  <c:v>6.9855323995033425</c:v>
                </c:pt>
                <c:pt idx="10">
                  <c:v>7.7469554310492068</c:v>
                </c:pt>
                <c:pt idx="11">
                  <c:v>8.4441814198436358</c:v>
                </c:pt>
                <c:pt idx="12">
                  <c:v>9.4465057543790749</c:v>
                </c:pt>
                <c:pt idx="13">
                  <c:v>10.701001718560617</c:v>
                </c:pt>
                <c:pt idx="14">
                  <c:v>11.642689869793951</c:v>
                </c:pt>
                <c:pt idx="15">
                  <c:v>12.664918040361862</c:v>
                </c:pt>
                <c:pt idx="16">
                  <c:v>13.437478040823935</c:v>
                </c:pt>
                <c:pt idx="17">
                  <c:v>14.321664095910151</c:v>
                </c:pt>
                <c:pt idx="18">
                  <c:v>15.245411430096356</c:v>
                </c:pt>
                <c:pt idx="19">
                  <c:v>17.318787384589459</c:v>
                </c:pt>
                <c:pt idx="20">
                  <c:v>19.552910957201501</c:v>
                </c:pt>
                <c:pt idx="21">
                  <c:v>20.608768148890384</c:v>
                </c:pt>
                <c:pt idx="22">
                  <c:v>21.123987352612641</c:v>
                </c:pt>
                <c:pt idx="23">
                  <c:v>22.032318808774981</c:v>
                </c:pt>
                <c:pt idx="24">
                  <c:v>22.693288373038232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B7A-4375-867D-DCACC6518F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7456000"/>
        <c:axId val="147457536"/>
      </c:scatterChart>
      <c:valAx>
        <c:axId val="147456000"/>
        <c:scaling>
          <c:orientation val="minMax"/>
          <c:max val="2035"/>
          <c:min val="1995"/>
        </c:scaling>
        <c:delete val="0"/>
        <c:axPos val="b"/>
        <c:numFmt formatCode="#,##0" sourceLinked="0"/>
        <c:majorTickMark val="in"/>
        <c:minorTickMark val="none"/>
        <c:tickLblPos val="nextTo"/>
        <c:spPr>
          <a:ln/>
        </c:spPr>
        <c:txPr>
          <a:bodyPr rot="0" vert="horz"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47457536"/>
        <c:crosses val="autoZero"/>
        <c:crossBetween val="midCat"/>
        <c:majorUnit val="5"/>
      </c:valAx>
      <c:valAx>
        <c:axId val="147457536"/>
        <c:scaling>
          <c:orientation val="minMax"/>
          <c:max val="40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txPr>
          <a:bodyPr/>
          <a:lstStyle/>
          <a:p>
            <a:pPr>
              <a:defRPr sz="18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47456000"/>
        <c:crosses val="autoZero"/>
        <c:crossBetween val="midCat"/>
        <c:majorUnit val="10"/>
      </c:valAx>
      <c:spPr>
        <a:solidFill>
          <a:sysClr val="window" lastClr="FFFFFF"/>
        </a:solidFill>
      </c:spPr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2800"/>
            </a:pPr>
            <a:r>
              <a:rPr lang="en-US" sz="2800"/>
              <a:t>FOS</a:t>
            </a:r>
            <a:r>
              <a:rPr lang="ru-RU" sz="2800"/>
              <a:t>=</a:t>
            </a:r>
            <a:r>
              <a:rPr lang="en-US" sz="2800"/>
              <a:t>XOS/FS</a:t>
            </a:r>
            <a:endParaRPr lang="ru-RU" sz="2800"/>
          </a:p>
        </c:rich>
      </c:tx>
      <c:layout>
        <c:manualLayout>
          <c:xMode val="edge"/>
          <c:yMode val="edge"/>
          <c:x val="8.7231005539519527E-2"/>
          <c:y val="5.6280370495249796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5.7975852920577546E-2"/>
          <c:y val="2.6680976265867622E-2"/>
          <c:w val="0.90308770243222136"/>
          <c:h val="0.91527890352118391"/>
        </c:manualLayout>
      </c:layout>
      <c:scatterChart>
        <c:scatterStyle val="smoothMarker"/>
        <c:varyColors val="0"/>
        <c:ser>
          <c:idx val="0"/>
          <c:order val="0"/>
          <c:spPr>
            <a:ln w="85725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РЕЗУЛЬТАТЫ!$SG$13:$SG$36</c:f>
              <c:numCache>
                <c:formatCode>General</c:formatCode>
                <c:ptCount val="24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</c:numCache>
            </c:numRef>
          </c:xVal>
          <c:yVal>
            <c:numRef>
              <c:f>РЕЗУЛЬТАТЫ!$SH$13:$SH$36</c:f>
              <c:numCache>
                <c:formatCode>0.000</c:formatCode>
                <c:ptCount val="24"/>
                <c:pt idx="0">
                  <c:v>0.52160205427817563</c:v>
                </c:pt>
                <c:pt idx="1">
                  <c:v>0.5075047014598465</c:v>
                </c:pt>
                <c:pt idx="2">
                  <c:v>0.51667647317297627</c:v>
                </c:pt>
                <c:pt idx="3">
                  <c:v>0.49180137717267253</c:v>
                </c:pt>
                <c:pt idx="4">
                  <c:v>0.51928728248372014</c:v>
                </c:pt>
                <c:pt idx="5">
                  <c:v>0.56527391744994016</c:v>
                </c:pt>
                <c:pt idx="6">
                  <c:v>0.58768319068878805</c:v>
                </c:pt>
                <c:pt idx="7">
                  <c:v>0.60746658522682651</c:v>
                </c:pt>
                <c:pt idx="8">
                  <c:v>0.64524584965850473</c:v>
                </c:pt>
                <c:pt idx="9">
                  <c:v>0.68589125751100888</c:v>
                </c:pt>
                <c:pt idx="10">
                  <c:v>0.71146914542604145</c:v>
                </c:pt>
                <c:pt idx="11">
                  <c:v>0.75663076110249916</c:v>
                </c:pt>
                <c:pt idx="12">
                  <c:v>0.79846194770079459</c:v>
                </c:pt>
                <c:pt idx="13">
                  <c:v>0.80925197402107563</c:v>
                </c:pt>
                <c:pt idx="14">
                  <c:v>0.7261311317282132</c:v>
                </c:pt>
                <c:pt idx="15">
                  <c:v>0.74023076535400356</c:v>
                </c:pt>
                <c:pt idx="16">
                  <c:v>0.74236604640790949</c:v>
                </c:pt>
                <c:pt idx="17">
                  <c:v>0.73951900500270173</c:v>
                </c:pt>
                <c:pt idx="18">
                  <c:v>0.72531114707757793</c:v>
                </c:pt>
                <c:pt idx="19">
                  <c:v>0.70502761451706719</c:v>
                </c:pt>
                <c:pt idx="20">
                  <c:v>0.67428513132591583</c:v>
                </c:pt>
                <c:pt idx="21">
                  <c:v>0.65676280356287475</c:v>
                </c:pt>
                <c:pt idx="22">
                  <c:v>0.64853745053174061</c:v>
                </c:pt>
                <c:pt idx="23">
                  <c:v>0.63795670517757586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FEB-44AF-97D1-6A6B41BD2F92}"/>
            </c:ext>
          </c:extLst>
        </c:ser>
        <c:ser>
          <c:idx val="1"/>
          <c:order val="1"/>
          <c:marker>
            <c:symbol val="none"/>
          </c:marker>
          <c:xVal>
            <c:numRef>
              <c:f>РЕЗУЛЬТАТЫ!$SG$27:$SG$36</c:f>
              <c:numCache>
                <c:formatCode>General</c:formatCode>
                <c:ptCount val="10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  <c:pt idx="9">
                  <c:v>2018</c:v>
                </c:pt>
              </c:numCache>
            </c:numRef>
          </c:xVal>
          <c:yVal>
            <c:numRef>
              <c:f>РЕЗУЛЬТАТЫ!$SH$27:$SH$36</c:f>
              <c:numCache>
                <c:formatCode>0.000</c:formatCode>
                <c:ptCount val="10"/>
                <c:pt idx="0">
                  <c:v>0.7261311317282132</c:v>
                </c:pt>
                <c:pt idx="1">
                  <c:v>0.74023076535400356</c:v>
                </c:pt>
                <c:pt idx="2">
                  <c:v>0.74236604640790949</c:v>
                </c:pt>
                <c:pt idx="3">
                  <c:v>0.73951900500270173</c:v>
                </c:pt>
                <c:pt idx="4">
                  <c:v>0.72531114707757793</c:v>
                </c:pt>
                <c:pt idx="5">
                  <c:v>0.70502761451706719</c:v>
                </c:pt>
                <c:pt idx="6">
                  <c:v>0.67428513132591583</c:v>
                </c:pt>
                <c:pt idx="7">
                  <c:v>0.65676280356287475</c:v>
                </c:pt>
                <c:pt idx="8">
                  <c:v>0.64853745053174061</c:v>
                </c:pt>
                <c:pt idx="9">
                  <c:v>0.63795670517757586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EEC-48DE-980B-508CC46D064D}"/>
            </c:ext>
          </c:extLst>
        </c:ser>
        <c:ser>
          <c:idx val="2"/>
          <c:order val="2"/>
          <c:marker>
            <c:symbol val="none"/>
          </c:marker>
          <c:trendline>
            <c:spPr>
              <a:ln w="31750">
                <a:solidFill>
                  <a:schemeClr val="tx1"/>
                </a:solidFill>
                <a:prstDash val="lgDash"/>
              </a:ln>
            </c:spPr>
            <c:trendlineType val="linear"/>
            <c:forward val="5"/>
            <c:dispRSqr val="0"/>
            <c:dispEq val="0"/>
          </c:trendline>
          <c:xVal>
            <c:numRef>
              <c:f>РЕЗУЛЬТАТЫ!$SG$16:$SG$26</c:f>
              <c:numCache>
                <c:formatCode>General</c:formatCode>
                <c:ptCount val="11"/>
                <c:pt idx="0">
                  <c:v>1998</c:v>
                </c:pt>
                <c:pt idx="1">
                  <c:v>1999</c:v>
                </c:pt>
                <c:pt idx="2">
                  <c:v>2000</c:v>
                </c:pt>
                <c:pt idx="3">
                  <c:v>2001</c:v>
                </c:pt>
                <c:pt idx="4">
                  <c:v>2002</c:v>
                </c:pt>
                <c:pt idx="5">
                  <c:v>2003</c:v>
                </c:pt>
                <c:pt idx="6">
                  <c:v>2004</c:v>
                </c:pt>
                <c:pt idx="7">
                  <c:v>2005</c:v>
                </c:pt>
                <c:pt idx="8">
                  <c:v>2006</c:v>
                </c:pt>
                <c:pt idx="9">
                  <c:v>2007</c:v>
                </c:pt>
                <c:pt idx="10">
                  <c:v>2008</c:v>
                </c:pt>
              </c:numCache>
            </c:numRef>
          </c:xVal>
          <c:yVal>
            <c:numRef>
              <c:f>РЕЗУЛЬТАТЫ!$SH$16:$SH$26</c:f>
              <c:numCache>
                <c:formatCode>0.000</c:formatCode>
                <c:ptCount val="11"/>
                <c:pt idx="0">
                  <c:v>0.49180137717267253</c:v>
                </c:pt>
                <c:pt idx="1">
                  <c:v>0.51928728248372014</c:v>
                </c:pt>
                <c:pt idx="2">
                  <c:v>0.56527391744994016</c:v>
                </c:pt>
                <c:pt idx="3">
                  <c:v>0.58768319068878805</c:v>
                </c:pt>
                <c:pt idx="4">
                  <c:v>0.60746658522682651</c:v>
                </c:pt>
                <c:pt idx="5">
                  <c:v>0.64524584965850473</c:v>
                </c:pt>
                <c:pt idx="6">
                  <c:v>0.68589125751100888</c:v>
                </c:pt>
                <c:pt idx="7">
                  <c:v>0.71146914542604145</c:v>
                </c:pt>
                <c:pt idx="8">
                  <c:v>0.75663076110249916</c:v>
                </c:pt>
                <c:pt idx="9">
                  <c:v>0.79846194770079459</c:v>
                </c:pt>
                <c:pt idx="10">
                  <c:v>0.80925197402107563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246-4F60-8B8F-7BC767F7045B}"/>
            </c:ext>
          </c:extLst>
        </c:ser>
        <c:ser>
          <c:idx val="3"/>
          <c:order val="3"/>
          <c:spPr>
            <a:ln w="3492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РЕЗУЛЬТАТЫ!$SG$35:$SG$53</c:f>
              <c:numCache>
                <c:formatCode>General</c:formatCode>
                <c:ptCount val="19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  <c:pt idx="4">
                  <c:v>2021</c:v>
                </c:pt>
                <c:pt idx="5">
                  <c:v>2022</c:v>
                </c:pt>
                <c:pt idx="6">
                  <c:v>2023</c:v>
                </c:pt>
                <c:pt idx="7">
                  <c:v>2024</c:v>
                </c:pt>
                <c:pt idx="8">
                  <c:v>2025</c:v>
                </c:pt>
                <c:pt idx="9">
                  <c:v>2026</c:v>
                </c:pt>
                <c:pt idx="10">
                  <c:v>2027</c:v>
                </c:pt>
                <c:pt idx="11">
                  <c:v>2028</c:v>
                </c:pt>
                <c:pt idx="12">
                  <c:v>2029</c:v>
                </c:pt>
                <c:pt idx="13">
                  <c:v>2030</c:v>
                </c:pt>
                <c:pt idx="14">
                  <c:v>2031</c:v>
                </c:pt>
                <c:pt idx="15">
                  <c:v>2032</c:v>
                </c:pt>
                <c:pt idx="16">
                  <c:v>2033</c:v>
                </c:pt>
                <c:pt idx="17">
                  <c:v>2034</c:v>
                </c:pt>
                <c:pt idx="18">
                  <c:v>2035</c:v>
                </c:pt>
              </c:numCache>
            </c:numRef>
          </c:xVal>
          <c:yVal>
            <c:numRef>
              <c:f>РЕЗУЛЬТАТЫ!$SI$35:$SI$53</c:f>
              <c:numCache>
                <c:formatCode>0.000</c:formatCode>
                <c:ptCount val="19"/>
                <c:pt idx="2">
                  <c:v>0.63838148479384893</c:v>
                </c:pt>
                <c:pt idx="3">
                  <c:v>0.62971368080122925</c:v>
                </c:pt>
                <c:pt idx="4">
                  <c:v>0.63240246057627236</c:v>
                </c:pt>
                <c:pt idx="5">
                  <c:v>0.62819642642448525</c:v>
                </c:pt>
                <c:pt idx="6">
                  <c:v>0.62268113244718992</c:v>
                </c:pt>
                <c:pt idx="7">
                  <c:v>0.61649473119105769</c:v>
                </c:pt>
                <c:pt idx="8">
                  <c:v>0.61007507178679821</c:v>
                </c:pt>
                <c:pt idx="9">
                  <c:v>0.60365638778089803</c:v>
                </c:pt>
                <c:pt idx="10">
                  <c:v>0.59738326290951682</c:v>
                </c:pt>
                <c:pt idx="11">
                  <c:v>0.59134571010380421</c:v>
                </c:pt>
                <c:pt idx="12">
                  <c:v>0.58560024240232167</c:v>
                </c:pt>
                <c:pt idx="13">
                  <c:v>0.58018259124118976</c:v>
                </c:pt>
                <c:pt idx="14">
                  <c:v>0.57511543553614386</c:v>
                </c:pt>
                <c:pt idx="15">
                  <c:v>0.57041314196885839</c:v>
                </c:pt>
                <c:pt idx="16">
                  <c:v>0.56608470720753301</c:v>
                </c:pt>
                <c:pt idx="17">
                  <c:v>0.56213561201967133</c:v>
                </c:pt>
                <c:pt idx="18">
                  <c:v>0.55856901171402518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6DE-4CF0-AC9F-49EAA899F5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7593472"/>
        <c:axId val="147599360"/>
      </c:scatterChart>
      <c:valAx>
        <c:axId val="147593472"/>
        <c:scaling>
          <c:orientation val="minMax"/>
          <c:max val="2035"/>
          <c:min val="1995"/>
        </c:scaling>
        <c:delete val="0"/>
        <c:axPos val="b"/>
        <c:numFmt formatCode="#,##0" sourceLinked="0"/>
        <c:majorTickMark val="in"/>
        <c:minorTickMark val="none"/>
        <c:tickLblPos val="nextTo"/>
        <c:spPr>
          <a:ln/>
        </c:spPr>
        <c:txPr>
          <a:bodyPr rot="0" vert="horz"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47599360"/>
        <c:crosses val="autoZero"/>
        <c:crossBetween val="midCat"/>
        <c:majorUnit val="5"/>
      </c:valAx>
      <c:valAx>
        <c:axId val="147599360"/>
        <c:scaling>
          <c:orientation val="minMax"/>
          <c:max val="0.9"/>
          <c:min val="0.4"/>
        </c:scaling>
        <c:delete val="0"/>
        <c:axPos val="l"/>
        <c:majorGridlines/>
        <c:numFmt formatCode="0.00" sourceLinked="0"/>
        <c:majorTickMark val="out"/>
        <c:minorTickMark val="none"/>
        <c:tickLblPos val="nextTo"/>
        <c:txPr>
          <a:bodyPr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47593472"/>
        <c:crosses val="autoZero"/>
        <c:crossBetween val="midCat"/>
        <c:majorUnit val="0.1"/>
      </c:valAx>
      <c:spPr>
        <a:solidFill>
          <a:sysClr val="window" lastClr="FFFFFF"/>
        </a:solidFill>
      </c:spPr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2800"/>
            </a:pPr>
            <a:r>
              <a:rPr lang="en-US" sz="3200"/>
              <a:t>Pw</a:t>
            </a:r>
            <a:endParaRPr lang="ru-RU" sz="3200"/>
          </a:p>
        </c:rich>
      </c:tx>
      <c:layout>
        <c:manualLayout>
          <c:xMode val="edge"/>
          <c:yMode val="edge"/>
          <c:x val="9.9542897983531026E-2"/>
          <c:y val="4.4532947718814324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6.1657400263084146E-2"/>
          <c:y val="2.6680946709735805E-2"/>
          <c:w val="0.90308770243222136"/>
          <c:h val="0.91527890352118391"/>
        </c:manualLayout>
      </c:layout>
      <c:scatterChart>
        <c:scatterStyle val="smoothMarker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axId val="147616512"/>
        <c:axId val="147649280"/>
      </c:scatterChart>
      <c:valAx>
        <c:axId val="147616512"/>
        <c:scaling>
          <c:orientation val="minMax"/>
          <c:max val="2035"/>
          <c:min val="1995"/>
        </c:scaling>
        <c:delete val="0"/>
        <c:axPos val="b"/>
        <c:numFmt formatCode="#,##0" sourceLinked="0"/>
        <c:majorTickMark val="in"/>
        <c:minorTickMark val="none"/>
        <c:tickLblPos val="nextTo"/>
        <c:spPr>
          <a:ln/>
        </c:spPr>
        <c:txPr>
          <a:bodyPr rot="0" vert="horz"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47649280"/>
        <c:crosses val="autoZero"/>
        <c:crossBetween val="midCat"/>
        <c:majorUnit val="5"/>
      </c:valAx>
      <c:valAx>
        <c:axId val="147649280"/>
        <c:scaling>
          <c:orientation val="minMax"/>
          <c:max val="2.4"/>
          <c:min val="0.8"/>
        </c:scaling>
        <c:delete val="0"/>
        <c:axPos val="l"/>
        <c:majorGridlines/>
        <c:numFmt formatCode="0.0" sourceLinked="0"/>
        <c:majorTickMark val="out"/>
        <c:minorTickMark val="none"/>
        <c:tickLblPos val="nextTo"/>
        <c:txPr>
          <a:bodyPr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47616512"/>
        <c:crosses val="autoZero"/>
        <c:crossBetween val="midCat"/>
        <c:majorUnit val="0.2"/>
      </c:valAx>
      <c:spPr>
        <a:solidFill>
          <a:sysClr val="window" lastClr="FFFFFF"/>
        </a:solidFill>
      </c:spPr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2800"/>
            </a:pPr>
            <a:r>
              <a:rPr lang="en-US" sz="2800"/>
              <a:t>kZG</a:t>
            </a:r>
            <a:endParaRPr lang="ru-RU" sz="2800"/>
          </a:p>
        </c:rich>
      </c:tx>
      <c:layout>
        <c:manualLayout>
          <c:xMode val="edge"/>
          <c:yMode val="edge"/>
          <c:x val="0.10195723303057443"/>
          <c:y val="6.0058680032674124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6.1657400263084146E-2"/>
          <c:y val="2.6680946709735805E-2"/>
          <c:w val="0.90308770243222136"/>
          <c:h val="0.91527890352118391"/>
        </c:manualLayout>
      </c:layout>
      <c:scatterChart>
        <c:scatterStyle val="smoothMarker"/>
        <c:varyColors val="0"/>
        <c:ser>
          <c:idx val="0"/>
          <c:order val="0"/>
          <c:spPr>
            <a:ln w="139700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РЕЗУЛЬТАТЫ!$XK$13:$XK$36</c:f>
              <c:numCache>
                <c:formatCode>General</c:formatCode>
                <c:ptCount val="24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</c:numCache>
            </c:numRef>
          </c:xVal>
          <c:yVal>
            <c:numRef>
              <c:f>РЕЗУЛЬТАТЫ!$XL$13:$XL$36</c:f>
              <c:numCache>
                <c:formatCode>0.000</c:formatCode>
                <c:ptCount val="2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0.89756629385440423</c:v>
                </c:pt>
                <c:pt idx="15">
                  <c:v>0.91499476557973247</c:v>
                </c:pt>
                <c:pt idx="16">
                  <c:v>0.91763417355736643</c:v>
                </c:pt>
                <c:pt idx="17">
                  <c:v>0.9141149629205213</c:v>
                </c:pt>
                <c:pt idx="18">
                  <c:v>0.89655271579428653</c:v>
                </c:pt>
                <c:pt idx="19">
                  <c:v>0.87148036405076279</c:v>
                </c:pt>
                <c:pt idx="20">
                  <c:v>0.83347976678110736</c:v>
                </c:pt>
                <c:pt idx="21">
                  <c:v>0.81182052356350409</c:v>
                </c:pt>
                <c:pt idx="22">
                  <c:v>0.80165321450153337</c:v>
                </c:pt>
                <c:pt idx="23">
                  <c:v>0.7885744192553471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6A1-4860-B21A-9DE91D3BD382}"/>
            </c:ext>
          </c:extLst>
        </c:ser>
        <c:ser>
          <c:idx val="1"/>
          <c:order val="1"/>
          <c:spPr>
            <a:ln w="44450">
              <a:solidFill>
                <a:schemeClr val="tx1"/>
              </a:solidFill>
              <a:prstDash val="dash"/>
            </a:ln>
          </c:spPr>
          <c:marker>
            <c:symbol val="none"/>
          </c:marker>
          <c:xVal>
            <c:numRef>
              <c:f>РЕЗУЛЬТАТЫ!$XK$36:$XK$53</c:f>
              <c:numCache>
                <c:formatCode>General</c:formatCode>
                <c:ptCount val="18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</c:numCache>
            </c:numRef>
          </c:xVal>
          <c:yVal>
            <c:numRef>
              <c:f>РЕЗУЛЬТАТЫ!$XM$36:$XM$53</c:f>
              <c:numCache>
                <c:formatCode>0.000</c:formatCode>
                <c:ptCount val="18"/>
                <c:pt idx="0">
                  <c:v>0.7885744192553471</c:v>
                </c:pt>
                <c:pt idx="1">
                  <c:v>0.77147136263989258</c:v>
                </c:pt>
                <c:pt idx="2">
                  <c:v>0.74116983400931491</c:v>
                </c:pt>
                <c:pt idx="3">
                  <c:v>0.71220381761415208</c:v>
                </c:pt>
                <c:pt idx="4">
                  <c:v>0.70452219782768333</c:v>
                </c:pt>
                <c:pt idx="5">
                  <c:v>0.68639144455024703</c:v>
                </c:pt>
                <c:pt idx="6">
                  <c:v>0.66856109780839157</c:v>
                </c:pt>
                <c:pt idx="7">
                  <c:v>0.65113206337984852</c:v>
                </c:pt>
                <c:pt idx="8">
                  <c:v>0.63413168756056448</c:v>
                </c:pt>
                <c:pt idx="9">
                  <c:v>0.61757818964559674</c:v>
                </c:pt>
                <c:pt idx="10">
                  <c:v>0.60148255642227</c:v>
                </c:pt>
                <c:pt idx="11">
                  <c:v>0.58585007401652012</c:v>
                </c:pt>
                <c:pt idx="12">
                  <c:v>0.57068156078280363</c:v>
                </c:pt>
                <c:pt idx="13">
                  <c:v>0.55597435600217815</c:v>
                </c:pt>
                <c:pt idx="14">
                  <c:v>0.54172311055131472</c:v>
                </c:pt>
                <c:pt idx="15">
                  <c:v>0.52792041787683563</c:v>
                </c:pt>
                <c:pt idx="16">
                  <c:v>0.51455731674410576</c:v>
                </c:pt>
                <c:pt idx="17">
                  <c:v>0.50162369136231355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290-4407-A387-43628E4ED2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7707776"/>
        <c:axId val="147709312"/>
      </c:scatterChart>
      <c:valAx>
        <c:axId val="147707776"/>
        <c:scaling>
          <c:orientation val="minMax"/>
          <c:max val="2035"/>
          <c:min val="1995"/>
        </c:scaling>
        <c:delete val="0"/>
        <c:axPos val="b"/>
        <c:numFmt formatCode="#,##0" sourceLinked="0"/>
        <c:majorTickMark val="in"/>
        <c:minorTickMark val="none"/>
        <c:tickLblPos val="nextTo"/>
        <c:spPr>
          <a:ln/>
        </c:spPr>
        <c:txPr>
          <a:bodyPr rot="0" vert="horz"/>
          <a:lstStyle/>
          <a:p>
            <a:pPr>
              <a:defRPr sz="18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47709312"/>
        <c:crosses val="autoZero"/>
        <c:crossBetween val="midCat"/>
        <c:majorUnit val="5"/>
      </c:valAx>
      <c:valAx>
        <c:axId val="147709312"/>
        <c:scaling>
          <c:orientation val="minMax"/>
          <c:max val="1.2"/>
          <c:min val="0.4"/>
        </c:scaling>
        <c:delete val="0"/>
        <c:axPos val="l"/>
        <c:majorGridlines/>
        <c:numFmt formatCode="0.00" sourceLinked="0"/>
        <c:majorTickMark val="out"/>
        <c:minorTickMark val="none"/>
        <c:tickLblPos val="nextTo"/>
        <c:txPr>
          <a:bodyPr/>
          <a:lstStyle/>
          <a:p>
            <a:pPr>
              <a:defRPr sz="18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47707776"/>
        <c:crosses val="autoZero"/>
        <c:crossBetween val="midCat"/>
        <c:majorUnit val="0.2"/>
      </c:valAx>
      <c:spPr>
        <a:solidFill>
          <a:sysClr val="window" lastClr="FFFFFF"/>
        </a:solidFill>
      </c:spPr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2800"/>
            </a:pPr>
            <a:r>
              <a:rPr lang="en-US" sz="3200"/>
              <a:t>Pw</a:t>
            </a:r>
            <a:endParaRPr lang="ru-RU" sz="3200"/>
          </a:p>
        </c:rich>
      </c:tx>
      <c:layout>
        <c:manualLayout>
          <c:xMode val="edge"/>
          <c:yMode val="edge"/>
          <c:x val="9.9542897983531026E-2"/>
          <c:y val="4.4532947718814324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6.1657400263084146E-2"/>
          <c:y val="2.6680946709735805E-2"/>
          <c:w val="0.90308770243222136"/>
          <c:h val="0.91527890352118391"/>
        </c:manualLayout>
      </c:layout>
      <c:scatterChart>
        <c:scatterStyle val="smoothMarker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axId val="147817600"/>
        <c:axId val="147819136"/>
      </c:scatterChart>
      <c:valAx>
        <c:axId val="147817600"/>
        <c:scaling>
          <c:orientation val="minMax"/>
          <c:max val="2035"/>
          <c:min val="1995"/>
        </c:scaling>
        <c:delete val="0"/>
        <c:axPos val="b"/>
        <c:numFmt formatCode="#,##0" sourceLinked="0"/>
        <c:majorTickMark val="in"/>
        <c:minorTickMark val="none"/>
        <c:tickLblPos val="nextTo"/>
        <c:spPr>
          <a:ln/>
        </c:spPr>
        <c:txPr>
          <a:bodyPr rot="0" vert="horz"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47819136"/>
        <c:crosses val="autoZero"/>
        <c:crossBetween val="midCat"/>
        <c:majorUnit val="5"/>
      </c:valAx>
      <c:valAx>
        <c:axId val="147819136"/>
        <c:scaling>
          <c:orientation val="minMax"/>
          <c:max val="2.4"/>
          <c:min val="0.8"/>
        </c:scaling>
        <c:delete val="0"/>
        <c:axPos val="l"/>
        <c:majorGridlines/>
        <c:numFmt formatCode="0.0" sourceLinked="0"/>
        <c:majorTickMark val="out"/>
        <c:minorTickMark val="none"/>
        <c:tickLblPos val="nextTo"/>
        <c:txPr>
          <a:bodyPr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47817600"/>
        <c:crosses val="autoZero"/>
        <c:crossBetween val="midCat"/>
        <c:majorUnit val="0.2"/>
      </c:valAx>
      <c:spPr>
        <a:solidFill>
          <a:sysClr val="window" lastClr="FFFFFF"/>
        </a:solidFill>
      </c:spPr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870226928256859E-2"/>
          <c:y val="1.6025287317392483E-2"/>
          <c:w val="0.89172381167922365"/>
          <c:h val="0.93227684620912465"/>
        </c:manualLayout>
      </c:layout>
      <c:lineChart>
        <c:grouping val="standard"/>
        <c:varyColors val="0"/>
        <c:ser>
          <c:idx val="0"/>
          <c:order val="0"/>
          <c:spPr>
            <a:ln w="98425">
              <a:solidFill>
                <a:srgbClr val="00B0F0"/>
              </a:solidFill>
            </a:ln>
          </c:spPr>
          <c:marker>
            <c:symbol val="none"/>
          </c:marker>
          <c:cat>
            <c:numRef>
              <c:f>ОТЧЁТ!$EZ$138:$EZ$173</c:f>
              <c:numCache>
                <c:formatCode>General</c:formatCode>
                <c:ptCount val="36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</c:numCache>
            </c:numRef>
          </c:cat>
          <c:val>
            <c:numRef>
              <c:f>ОТЧЁТ!$FA$138:$FA$173</c:f>
              <c:numCache>
                <c:formatCode>General</c:formatCode>
                <c:ptCount val="36"/>
                <c:pt idx="0">
                  <c:v>17.100000000000001</c:v>
                </c:pt>
                <c:pt idx="1">
                  <c:v>20.5</c:v>
                </c:pt>
                <c:pt idx="2">
                  <c:v>19.100000000000001</c:v>
                </c:pt>
                <c:pt idx="3">
                  <c:v>12.7</c:v>
                </c:pt>
                <c:pt idx="4">
                  <c:v>17.7</c:v>
                </c:pt>
                <c:pt idx="5">
                  <c:v>28.3</c:v>
                </c:pt>
                <c:pt idx="6">
                  <c:v>24.4</c:v>
                </c:pt>
                <c:pt idx="7">
                  <c:v>25</c:v>
                </c:pt>
                <c:pt idx="8">
                  <c:v>28.9</c:v>
                </c:pt>
                <c:pt idx="9">
                  <c:v>38.299999999999997</c:v>
                </c:pt>
                <c:pt idx="10">
                  <c:v>54.4</c:v>
                </c:pt>
                <c:pt idx="11">
                  <c:v>65.400000000000006</c:v>
                </c:pt>
                <c:pt idx="12">
                  <c:v>72.7</c:v>
                </c:pt>
                <c:pt idx="13">
                  <c:v>97.7</c:v>
                </c:pt>
                <c:pt idx="14">
                  <c:v>61.9</c:v>
                </c:pt>
                <c:pt idx="15">
                  <c:v>79.599999999999994</c:v>
                </c:pt>
                <c:pt idx="16">
                  <c:v>111</c:v>
                </c:pt>
                <c:pt idx="17">
                  <c:v>111.4</c:v>
                </c:pt>
                <c:pt idx="18">
                  <c:v>108.8</c:v>
                </c:pt>
                <c:pt idx="19">
                  <c:v>98.9</c:v>
                </c:pt>
                <c:pt idx="20">
                  <c:v>50.2</c:v>
                </c:pt>
                <c:pt idx="21">
                  <c:v>44</c:v>
                </c:pt>
                <c:pt idx="22">
                  <c:v>54.53</c:v>
                </c:pt>
                <c:pt idx="23">
                  <c:v>72.930000000000007</c:v>
                </c:pt>
                <c:pt idx="24">
                  <c:v>63.33</c:v>
                </c:pt>
                <c:pt idx="25">
                  <c:v>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A45-48D4-B8A1-152A3F02B9E7}"/>
            </c:ext>
          </c:extLst>
        </c:ser>
        <c:ser>
          <c:idx val="1"/>
          <c:order val="1"/>
          <c:spPr>
            <a:ln w="41275">
              <a:prstDash val="lgDash"/>
            </a:ln>
          </c:spPr>
          <c:marker>
            <c:symbol val="none"/>
          </c:marker>
          <c:cat>
            <c:numRef>
              <c:f>ОТЧЁТ!$EZ$138:$EZ$173</c:f>
              <c:numCache>
                <c:formatCode>General</c:formatCode>
                <c:ptCount val="36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</c:numCache>
            </c:numRef>
          </c:cat>
          <c:val>
            <c:numRef>
              <c:f>ОТЧЁТ!$FB$138:$FB$173</c:f>
              <c:numCache>
                <c:formatCode>General</c:formatCode>
                <c:ptCount val="36"/>
                <c:pt idx="10" formatCode="0.0">
                  <c:v>54.4</c:v>
                </c:pt>
                <c:pt idx="11" formatCode="0.0">
                  <c:v>65.400000000000006</c:v>
                </c:pt>
                <c:pt idx="12" formatCode="0.0">
                  <c:v>74.970000000000013</c:v>
                </c:pt>
                <c:pt idx="13" formatCode="0.0">
                  <c:v>83.295900000000017</c:v>
                </c:pt>
                <c:pt idx="14" formatCode="0.0">
                  <c:v>90.539433000000017</c:v>
                </c:pt>
                <c:pt idx="15" formatCode="0.0">
                  <c:v>96.841306710000012</c:v>
                </c:pt>
                <c:pt idx="16" formatCode="0.0">
                  <c:v>102.3239368377</c:v>
                </c:pt>
                <c:pt idx="17" formatCode="0.0">
                  <c:v>107.09382504879899</c:v>
                </c:pt>
                <c:pt idx="18" formatCode="0.0">
                  <c:v>111.24362779245511</c:v>
                </c:pt>
                <c:pt idx="19" formatCode="0.0">
                  <c:v>114.85395617943594</c:v>
                </c:pt>
                <c:pt idx="20" formatCode="0.0">
                  <c:v>117.99494187610925</c:v>
                </c:pt>
                <c:pt idx="21" formatCode="0.0">
                  <c:v>120.72759943221503</c:v>
                </c:pt>
                <c:pt idx="22" formatCode="0.0">
                  <c:v>123.10501150602705</c:v>
                </c:pt>
                <c:pt idx="23" formatCode="0.0">
                  <c:v>125.17336001024351</c:v>
                </c:pt>
                <c:pt idx="24" formatCode="0.0">
                  <c:v>126.97282320891183</c:v>
                </c:pt>
                <c:pt idx="25" formatCode="0.0">
                  <c:v>128.53835619175328</c:v>
                </c:pt>
                <c:pt idx="26" formatCode="0.0">
                  <c:v>129.90036988682533</c:v>
                </c:pt>
                <c:pt idx="27" formatCode="0.0">
                  <c:v>131.08532180153802</c:v>
                </c:pt>
                <c:pt idx="28" formatCode="0.0">
                  <c:v>132.11622996733806</c:v>
                </c:pt>
                <c:pt idx="29" formatCode="0.0">
                  <c:v>133.0131200715841</c:v>
                </c:pt>
                <c:pt idx="30" formatCode="0.0">
                  <c:v>133.79341446227815</c:v>
                </c:pt>
                <c:pt idx="31" formatCode="0.0">
                  <c:v>134.47227058218198</c:v>
                </c:pt>
                <c:pt idx="32" formatCode="0.0">
                  <c:v>135.06287540649831</c:v>
                </c:pt>
                <c:pt idx="33" formatCode="0.0">
                  <c:v>135.5767016036535</c:v>
                </c:pt>
                <c:pt idx="34" formatCode="0.0">
                  <c:v>136.02373039517852</c:v>
                </c:pt>
                <c:pt idx="35" formatCode="0.0">
                  <c:v>136.41264544380527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A45-48D4-B8A1-152A3F02B9E7}"/>
            </c:ext>
          </c:extLst>
        </c:ser>
        <c:ser>
          <c:idx val="2"/>
          <c:order val="2"/>
          <c:spPr>
            <a:ln w="57150">
              <a:solidFill>
                <a:srgbClr val="FF0000"/>
              </a:solidFill>
              <a:prstDash val="lgDash"/>
            </a:ln>
          </c:spPr>
          <c:marker>
            <c:symbol val="none"/>
          </c:marker>
          <c:cat>
            <c:numRef>
              <c:f>ОТЧЁТ!$EZ$138:$EZ$173</c:f>
              <c:numCache>
                <c:formatCode>General</c:formatCode>
                <c:ptCount val="36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</c:numCache>
            </c:numRef>
          </c:cat>
          <c:val>
            <c:numRef>
              <c:f>ОТЧЁТ!$FC$138:$FC$173</c:f>
              <c:numCache>
                <c:formatCode>General</c:formatCode>
                <c:ptCount val="36"/>
                <c:pt idx="25">
                  <c:v>40</c:v>
                </c:pt>
                <c:pt idx="26" formatCode="0.0">
                  <c:v>50</c:v>
                </c:pt>
                <c:pt idx="27" formatCode="0.0">
                  <c:v>57</c:v>
                </c:pt>
                <c:pt idx="28" formatCode="0.0">
                  <c:v>61.9</c:v>
                </c:pt>
                <c:pt idx="29" formatCode="0.0">
                  <c:v>65.33</c:v>
                </c:pt>
                <c:pt idx="30" formatCode="0.0">
                  <c:v>67.730999999999995</c:v>
                </c:pt>
                <c:pt idx="31" formatCode="0.0">
                  <c:v>69.411699999999996</c:v>
                </c:pt>
                <c:pt idx="32" formatCode="0.0">
                  <c:v>70.588189999999997</c:v>
                </c:pt>
                <c:pt idx="33" formatCode="0.0">
                  <c:v>71.411732999999998</c:v>
                </c:pt>
                <c:pt idx="34" formatCode="0.0">
                  <c:v>71.988213099999996</c:v>
                </c:pt>
                <c:pt idx="35" formatCode="0.0">
                  <c:v>72.391749169999997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A45-48D4-B8A1-152A3F02B9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8447616"/>
        <c:axId val="148449152"/>
      </c:lineChart>
      <c:catAx>
        <c:axId val="1484476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48449152"/>
        <c:crosses val="autoZero"/>
        <c:auto val="1"/>
        <c:lblAlgn val="ctr"/>
        <c:lblOffset val="100"/>
        <c:tickLblSkip val="5"/>
        <c:tickMarkSkip val="5"/>
        <c:noMultiLvlLbl val="0"/>
      </c:catAx>
      <c:valAx>
        <c:axId val="148449152"/>
        <c:scaling>
          <c:orientation val="minMax"/>
          <c:max val="160"/>
          <c:min val="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2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48447616"/>
        <c:crosses val="autoZero"/>
        <c:crossBetween val="between"/>
        <c:majorUnit val="40"/>
      </c:valAx>
    </c:plotArea>
    <c:plotVisOnly val="1"/>
    <c:dispBlanksAs val="gap"/>
    <c:showDLblsOverMax val="0"/>
  </c:chart>
  <c:spPr>
    <a:solidFill>
      <a:schemeClr val="bg2">
        <a:lumMod val="90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>
                <a:latin typeface="Arial" panose="020B0604020202020204" pitchFamily="34" charset="0"/>
                <a:cs typeface="Arial" panose="020B0604020202020204" pitchFamily="34" charset="0"/>
              </a:defRPr>
            </a:pPr>
            <a:r>
              <a:rPr lang="ru-RU" sz="1800" b="0">
                <a:latin typeface="Arial" panose="020B0604020202020204" pitchFamily="34" charset="0"/>
                <a:cs typeface="Arial" panose="020B0604020202020204" pitchFamily="34" charset="0"/>
              </a:rPr>
              <a:t>Тренд 2</a:t>
            </a:r>
          </a:p>
        </c:rich>
      </c:tx>
      <c:layout>
        <c:manualLayout>
          <c:xMode val="edge"/>
          <c:yMode val="edge"/>
          <c:x val="0.76360741625355166"/>
          <c:y val="0.4207564509807287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8.8823953794404747E-2"/>
          <c:y val="3.5009736757165212E-2"/>
          <c:w val="0.84915801754523634"/>
          <c:h val="0.90549931580067455"/>
        </c:manualLayout>
      </c:layout>
      <c:scatterChart>
        <c:scatterStyle val="smoothMarker"/>
        <c:varyColors val="0"/>
        <c:ser>
          <c:idx val="0"/>
          <c:order val="0"/>
          <c:spPr>
            <a:ln w="107950">
              <a:solidFill>
                <a:schemeClr val="accent1">
                  <a:alpha val="78000"/>
                </a:schemeClr>
              </a:solidFill>
            </a:ln>
          </c:spPr>
          <c:marker>
            <c:symbol val="circle"/>
            <c:size val="16"/>
            <c:spPr>
              <a:noFill/>
              <a:ln>
                <a:solidFill>
                  <a:schemeClr val="tx1"/>
                </a:solidFill>
              </a:ln>
            </c:spPr>
          </c:marker>
          <c:xVal>
            <c:numRef>
              <c:f>ОТЧЁТ!$CV$9:$CV$32</c:f>
              <c:numCache>
                <c:formatCode>0</c:formatCode>
                <c:ptCount val="24"/>
                <c:pt idx="0">
                  <c:v>1428.5209</c:v>
                </c:pt>
                <c:pt idx="1">
                  <c:v>2007.8252000000002</c:v>
                </c:pt>
                <c:pt idx="2">
                  <c:v>2342.5137</c:v>
                </c:pt>
                <c:pt idx="3">
                  <c:v>2629.6228999999998</c:v>
                </c:pt>
                <c:pt idx="4">
                  <c:v>4823.2329</c:v>
                </c:pt>
                <c:pt idx="5">
                  <c:v>7305.6466</c:v>
                </c:pt>
                <c:pt idx="6">
                  <c:v>8943.5825999999997</c:v>
                </c:pt>
                <c:pt idx="7">
                  <c:v>10819.270899999998</c:v>
                </c:pt>
                <c:pt idx="8">
                  <c:v>13208.250299999998</c:v>
                </c:pt>
                <c:pt idx="9">
                  <c:v>17027.166999999998</c:v>
                </c:pt>
                <c:pt idx="10">
                  <c:v>21609.765799999997</c:v>
                </c:pt>
                <c:pt idx="11">
                  <c:v>26917.203699999998</c:v>
                </c:pt>
                <c:pt idx="12">
                  <c:v>33247.513200000001</c:v>
                </c:pt>
                <c:pt idx="13">
                  <c:v>41276.849199999997</c:v>
                </c:pt>
                <c:pt idx="14">
                  <c:v>38807.270899999996</c:v>
                </c:pt>
                <c:pt idx="15">
                  <c:v>46308.53100000001</c:v>
                </c:pt>
                <c:pt idx="16">
                  <c:v>60282.540400000005</c:v>
                </c:pt>
                <c:pt idx="17">
                  <c:v>68163.883100000006</c:v>
                </c:pt>
                <c:pt idx="18">
                  <c:v>73133.89509999998</c:v>
                </c:pt>
                <c:pt idx="19">
                  <c:v>79058</c:v>
                </c:pt>
                <c:pt idx="20">
                  <c:v>83094</c:v>
                </c:pt>
                <c:pt idx="21">
                  <c:v>86014</c:v>
                </c:pt>
                <c:pt idx="22">
                  <c:v>92101</c:v>
                </c:pt>
                <c:pt idx="23">
                  <c:v>103876</c:v>
                </c:pt>
              </c:numCache>
            </c:numRef>
          </c:xVal>
          <c:yVal>
            <c:numRef>
              <c:f>ОТЧЁТ!$CU$9:$CU$32</c:f>
              <c:numCache>
                <c:formatCode>0</c:formatCode>
                <c:ptCount val="24"/>
                <c:pt idx="0">
                  <c:v>437</c:v>
                </c:pt>
                <c:pt idx="1">
                  <c:v>558.5</c:v>
                </c:pt>
                <c:pt idx="2">
                  <c:v>711.6</c:v>
                </c:pt>
                <c:pt idx="3">
                  <c:v>686.8</c:v>
                </c:pt>
                <c:pt idx="4">
                  <c:v>1213.5999999999999</c:v>
                </c:pt>
                <c:pt idx="5">
                  <c:v>2097.6999999999998</c:v>
                </c:pt>
                <c:pt idx="6">
                  <c:v>2683.7</c:v>
                </c:pt>
                <c:pt idx="7">
                  <c:v>3519.2</c:v>
                </c:pt>
                <c:pt idx="8">
                  <c:v>4138.7</c:v>
                </c:pt>
                <c:pt idx="9">
                  <c:v>5429.9</c:v>
                </c:pt>
                <c:pt idx="10">
                  <c:v>8579.6</c:v>
                </c:pt>
                <c:pt idx="11">
                  <c:v>10625.8</c:v>
                </c:pt>
                <c:pt idx="12">
                  <c:v>13368.262000000001</c:v>
                </c:pt>
                <c:pt idx="13">
                  <c:v>16003.86</c:v>
                </c:pt>
                <c:pt idx="14">
                  <c:v>13599.7</c:v>
                </c:pt>
                <c:pt idx="15">
                  <c:v>16031.9</c:v>
                </c:pt>
                <c:pt idx="16">
                  <c:v>20855</c:v>
                </c:pt>
                <c:pt idx="17">
                  <c:v>23435</c:v>
                </c:pt>
                <c:pt idx="18">
                  <c:v>24442</c:v>
                </c:pt>
                <c:pt idx="19">
                  <c:v>26766</c:v>
                </c:pt>
                <c:pt idx="20">
                  <c:v>26922</c:v>
                </c:pt>
                <c:pt idx="21">
                  <c:v>28182</c:v>
                </c:pt>
                <c:pt idx="22">
                  <c:v>31047</c:v>
                </c:pt>
                <c:pt idx="23">
                  <c:v>37320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6B8-41BF-A72F-15E35EB73BAA}"/>
            </c:ext>
          </c:extLst>
        </c:ser>
        <c:ser>
          <c:idx val="1"/>
          <c:order val="1"/>
          <c:trendline>
            <c:spPr>
              <a:ln w="22225">
                <a:prstDash val="lgDash"/>
              </a:ln>
            </c:spPr>
            <c:trendlineType val="linear"/>
            <c:forward val="30000"/>
            <c:dispRSqr val="1"/>
            <c:dispEq val="1"/>
            <c:trendlineLbl>
              <c:layout>
                <c:manualLayout>
                  <c:x val="-0.34288405828478002"/>
                  <c:y val="0.14987778882368177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sz="1400">
                      <a:latin typeface="Arial" panose="020B0604020202020204" pitchFamily="34" charset="0"/>
                      <a:cs typeface="Arial" panose="020B0604020202020204" pitchFamily="34" charset="0"/>
                    </a:defRPr>
                  </a:pPr>
                  <a:endParaRPr lang="ru-RU"/>
                </a:p>
              </c:txPr>
            </c:trendlineLbl>
          </c:trendline>
          <c:xVal>
            <c:numRef>
              <c:f>ОТЧЁТ!$CV$9:$CV$29</c:f>
              <c:numCache>
                <c:formatCode>0</c:formatCode>
                <c:ptCount val="21"/>
                <c:pt idx="0">
                  <c:v>1428.5209</c:v>
                </c:pt>
                <c:pt idx="1">
                  <c:v>2007.8252000000002</c:v>
                </c:pt>
                <c:pt idx="2">
                  <c:v>2342.5137</c:v>
                </c:pt>
                <c:pt idx="3">
                  <c:v>2629.6228999999998</c:v>
                </c:pt>
                <c:pt idx="4">
                  <c:v>4823.2329</c:v>
                </c:pt>
                <c:pt idx="5">
                  <c:v>7305.6466</c:v>
                </c:pt>
                <c:pt idx="6">
                  <c:v>8943.5825999999997</c:v>
                </c:pt>
                <c:pt idx="7">
                  <c:v>10819.270899999998</c:v>
                </c:pt>
                <c:pt idx="8">
                  <c:v>13208.250299999998</c:v>
                </c:pt>
                <c:pt idx="9">
                  <c:v>17027.166999999998</c:v>
                </c:pt>
                <c:pt idx="10">
                  <c:v>21609.765799999997</c:v>
                </c:pt>
                <c:pt idx="11">
                  <c:v>26917.203699999998</c:v>
                </c:pt>
                <c:pt idx="12">
                  <c:v>33247.513200000001</c:v>
                </c:pt>
                <c:pt idx="13">
                  <c:v>41276.849199999997</c:v>
                </c:pt>
                <c:pt idx="14">
                  <c:v>38807.270899999996</c:v>
                </c:pt>
                <c:pt idx="15">
                  <c:v>46308.53100000001</c:v>
                </c:pt>
                <c:pt idx="16">
                  <c:v>60282.540400000005</c:v>
                </c:pt>
                <c:pt idx="17">
                  <c:v>68163.883100000006</c:v>
                </c:pt>
                <c:pt idx="18">
                  <c:v>73133.89509999998</c:v>
                </c:pt>
                <c:pt idx="19">
                  <c:v>79058</c:v>
                </c:pt>
                <c:pt idx="20">
                  <c:v>83094</c:v>
                </c:pt>
              </c:numCache>
            </c:numRef>
          </c:xVal>
          <c:yVal>
            <c:numRef>
              <c:f>ОТЧЁТ!$CW$9:$CW$29</c:f>
              <c:numCache>
                <c:formatCode>0</c:formatCode>
                <c:ptCount val="21"/>
                <c:pt idx="0">
                  <c:v>437</c:v>
                </c:pt>
                <c:pt idx="1">
                  <c:v>558.5</c:v>
                </c:pt>
                <c:pt idx="2">
                  <c:v>711.6</c:v>
                </c:pt>
                <c:pt idx="3">
                  <c:v>686.8</c:v>
                </c:pt>
                <c:pt idx="4">
                  <c:v>1213.5999999999999</c:v>
                </c:pt>
                <c:pt idx="5">
                  <c:v>2097.6999999999998</c:v>
                </c:pt>
                <c:pt idx="6">
                  <c:v>2683.7</c:v>
                </c:pt>
                <c:pt idx="7">
                  <c:v>3519.2</c:v>
                </c:pt>
                <c:pt idx="8">
                  <c:v>4138.7</c:v>
                </c:pt>
                <c:pt idx="9">
                  <c:v>5429.9</c:v>
                </c:pt>
                <c:pt idx="10">
                  <c:v>8579.6</c:v>
                </c:pt>
                <c:pt idx="11">
                  <c:v>10625.8</c:v>
                </c:pt>
                <c:pt idx="12">
                  <c:v>13368.262000000001</c:v>
                </c:pt>
                <c:pt idx="13">
                  <c:v>16003.86</c:v>
                </c:pt>
                <c:pt idx="14">
                  <c:v>13599.7</c:v>
                </c:pt>
                <c:pt idx="15">
                  <c:v>16031.9</c:v>
                </c:pt>
                <c:pt idx="16">
                  <c:v>20855</c:v>
                </c:pt>
                <c:pt idx="17">
                  <c:v>23435</c:v>
                </c:pt>
                <c:pt idx="18">
                  <c:v>24442</c:v>
                </c:pt>
                <c:pt idx="19">
                  <c:v>26766</c:v>
                </c:pt>
                <c:pt idx="20">
                  <c:v>26922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1B3-4BF4-B809-671D327ADF1E}"/>
            </c:ext>
          </c:extLst>
        </c:ser>
        <c:ser>
          <c:idx val="2"/>
          <c:order val="2"/>
          <c:trendline>
            <c:spPr>
              <a:ln w="12700">
                <a:prstDash val="lgDash"/>
              </a:ln>
            </c:spPr>
            <c:trendlineType val="linear"/>
            <c:forward val="30000"/>
            <c:dispRSqr val="1"/>
            <c:dispEq val="1"/>
            <c:trendlineLbl>
              <c:layout>
                <c:manualLayout>
                  <c:x val="6.7398688282485894E-2"/>
                  <c:y val="0.36289821233165076"/>
                </c:manualLayout>
              </c:layout>
              <c:tx>
                <c:rich>
                  <a:bodyPr/>
                  <a:lstStyle/>
                  <a:p>
                    <a:pPr>
                      <a:defRPr sz="1200">
                        <a:latin typeface="Arial" panose="020B0604020202020204" pitchFamily="34" charset="0"/>
                        <a:cs typeface="Arial" panose="020B0604020202020204" pitchFamily="34" charset="0"/>
                      </a:defRPr>
                    </a:pPr>
                    <a:r>
                      <a:rPr lang="en-US" sz="1400" baseline="0">
                        <a:latin typeface="Arial" panose="020B0604020202020204" pitchFamily="34" charset="0"/>
                        <a:cs typeface="Arial" panose="020B0604020202020204" pitchFamily="34" charset="0"/>
                      </a:rPr>
                      <a:t>y = 0,5355x - 18298</a:t>
                    </a:r>
                    <a:br>
                      <a:rPr lang="en-US" sz="1400" baseline="0">
                        <a:latin typeface="Arial" panose="020B0604020202020204" pitchFamily="34" charset="0"/>
                        <a:cs typeface="Arial" panose="020B0604020202020204" pitchFamily="34" charset="0"/>
                      </a:rPr>
                    </a:br>
                    <a:r>
                      <a:rPr lang="en-US" sz="1400" baseline="0">
                        <a:latin typeface="Arial" panose="020B0604020202020204" pitchFamily="34" charset="0"/>
                        <a:cs typeface="Arial" panose="020B0604020202020204" pitchFamily="34" charset="0"/>
                      </a:rPr>
                      <a:t>R² = 1</a:t>
                    </a:r>
                    <a:endParaRPr lang="en-US" sz="1400">
                      <a:latin typeface="Arial" panose="020B0604020202020204" pitchFamily="34" charset="0"/>
                      <a:cs typeface="Arial" panose="020B0604020202020204" pitchFamily="34" charset="0"/>
                    </a:endParaRPr>
                  </a:p>
                </c:rich>
              </c:tx>
              <c:numFmt formatCode="General" sourceLinked="0"/>
            </c:trendlineLbl>
          </c:trendline>
          <c:xVal>
            <c:numRef>
              <c:f>ОТЧЁТ!$CV$30:$CV$32</c:f>
              <c:numCache>
                <c:formatCode>0</c:formatCode>
                <c:ptCount val="3"/>
                <c:pt idx="0">
                  <c:v>86014</c:v>
                </c:pt>
                <c:pt idx="1">
                  <c:v>92101</c:v>
                </c:pt>
                <c:pt idx="2">
                  <c:v>103876</c:v>
                </c:pt>
              </c:numCache>
            </c:numRef>
          </c:xVal>
          <c:yVal>
            <c:numRef>
              <c:f>ОТЧЁТ!$CX$30:$CX$32</c:f>
              <c:numCache>
                <c:formatCode>0</c:formatCode>
                <c:ptCount val="3"/>
                <c:pt idx="0">
                  <c:v>28182</c:v>
                </c:pt>
                <c:pt idx="1">
                  <c:v>31047</c:v>
                </c:pt>
                <c:pt idx="2">
                  <c:v>37320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1B3-4BF4-B809-671D327ADF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589184"/>
        <c:axId val="148607360"/>
      </c:scatterChart>
      <c:valAx>
        <c:axId val="148589184"/>
        <c:scaling>
          <c:orientation val="minMax"/>
          <c:max val="150000"/>
          <c:min val="0"/>
        </c:scaling>
        <c:delete val="0"/>
        <c:axPos val="b"/>
        <c:numFmt formatCode="#,##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48607360"/>
        <c:crosses val="autoZero"/>
        <c:crossBetween val="midCat"/>
        <c:majorUnit val="30000"/>
        <c:minorUnit val="20"/>
      </c:valAx>
      <c:valAx>
        <c:axId val="148607360"/>
        <c:scaling>
          <c:orientation val="minMax"/>
          <c:max val="60000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txPr>
          <a:bodyPr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48589184"/>
        <c:crosses val="autoZero"/>
        <c:crossBetween val="midCat"/>
        <c:majorUnit val="20000"/>
      </c:valAx>
      <c:spPr>
        <a:solidFill>
          <a:sysClr val="window" lastClr="FFFFFF"/>
        </a:solidFill>
      </c:spPr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landscape"/>
  </c:printSettings>
  <c:userShapes r:id="rId1"/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3112693655004484E-2"/>
          <c:y val="3.9803345477069804E-2"/>
          <c:w val="0.9136501152991876"/>
          <c:h val="0.90041049100522919"/>
        </c:manualLayout>
      </c:layout>
      <c:scatterChart>
        <c:scatterStyle val="smoothMarker"/>
        <c:varyColors val="0"/>
        <c:ser>
          <c:idx val="0"/>
          <c:order val="0"/>
          <c:spPr>
            <a:ln w="180975">
              <a:solidFill>
                <a:srgbClr val="92D050">
                  <a:alpha val="60000"/>
                </a:srgbClr>
              </a:solidFill>
            </a:ln>
          </c:spPr>
          <c:marker>
            <c:symbol val="none"/>
          </c:marker>
          <c:trendline>
            <c:spPr>
              <a:ln w="31750">
                <a:prstDash val="lgDashDotDot"/>
              </a:ln>
            </c:spPr>
            <c:trendlineType val="linear"/>
            <c:forward val="10"/>
            <c:dispRSqr val="1"/>
            <c:dispEq val="1"/>
            <c:trendlineLbl>
              <c:layout>
                <c:manualLayout>
                  <c:x val="-0.14429922398016587"/>
                  <c:y val="0.51292386394572786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sz="1600">
                      <a:latin typeface="Arial" panose="020B0604020202020204" pitchFamily="34" charset="0"/>
                      <a:cs typeface="Arial" panose="020B0604020202020204" pitchFamily="34" charset="0"/>
                    </a:defRPr>
                  </a:pPr>
                  <a:endParaRPr lang="ru-RU"/>
                </a:p>
              </c:txPr>
            </c:trendlineLbl>
          </c:trendline>
          <c:xVal>
            <c:numRef>
              <c:f>ОТЧЁТ!$CV$52:$CV$75</c:f>
              <c:numCache>
                <c:formatCode>0.00</c:formatCode>
                <c:ptCount val="24"/>
                <c:pt idx="0">
                  <c:v>1</c:v>
                </c:pt>
                <c:pt idx="1">
                  <c:v>1.218</c:v>
                </c:pt>
                <c:pt idx="2">
                  <c:v>1.3519800000000002</c:v>
                </c:pt>
                <c:pt idx="3">
                  <c:v>2.4930511200000005</c:v>
                </c:pt>
                <c:pt idx="4">
                  <c:v>3.4030147788000007</c:v>
                </c:pt>
                <c:pt idx="5">
                  <c:v>4.0904237641176007</c:v>
                </c:pt>
                <c:pt idx="6">
                  <c:v>4.8512425842434741</c:v>
                </c:pt>
                <c:pt idx="7">
                  <c:v>5.5837802144642392</c:v>
                </c:pt>
                <c:pt idx="8">
                  <c:v>6.2538338401999489</c:v>
                </c:pt>
                <c:pt idx="9">
                  <c:v>6.9855323995033425</c:v>
                </c:pt>
                <c:pt idx="10">
                  <c:v>7.7469554310492068</c:v>
                </c:pt>
                <c:pt idx="11">
                  <c:v>8.4441814198436358</c:v>
                </c:pt>
                <c:pt idx="12">
                  <c:v>9.4465057543790749</c:v>
                </c:pt>
                <c:pt idx="13">
                  <c:v>10.701001718560617</c:v>
                </c:pt>
                <c:pt idx="14">
                  <c:v>11.642689869793951</c:v>
                </c:pt>
                <c:pt idx="15">
                  <c:v>12.664918040361862</c:v>
                </c:pt>
                <c:pt idx="16">
                  <c:v>13.437478040823935</c:v>
                </c:pt>
                <c:pt idx="17">
                  <c:v>14.321664095910151</c:v>
                </c:pt>
                <c:pt idx="18">
                  <c:v>15.245411430096356</c:v>
                </c:pt>
                <c:pt idx="19">
                  <c:v>17.318787384589459</c:v>
                </c:pt>
                <c:pt idx="20">
                  <c:v>19.552910957201501</c:v>
                </c:pt>
                <c:pt idx="21">
                  <c:v>20.606812857794662</c:v>
                </c:pt>
                <c:pt idx="22">
                  <c:v>21.124043860525305</c:v>
                </c:pt>
                <c:pt idx="23">
                  <c:v>22.02392812898368</c:v>
                </c:pt>
              </c:numCache>
            </c:numRef>
          </c:xVal>
          <c:yVal>
            <c:numRef>
              <c:f>ОТЧЁТ!$CU$52:$CU$75</c:f>
              <c:numCache>
                <c:formatCode>0.00</c:formatCode>
                <c:ptCount val="24"/>
                <c:pt idx="0" formatCode="General">
                  <c:v>1</c:v>
                </c:pt>
                <c:pt idx="1">
                  <c:v>1.4723042021668387</c:v>
                </c:pt>
                <c:pt idx="2">
                  <c:v>1.718558670886825</c:v>
                </c:pt>
                <c:pt idx="3">
                  <c:v>2.1060897046594418</c:v>
                </c:pt>
                <c:pt idx="4">
                  <c:v>3.7278422973468679</c:v>
                </c:pt>
                <c:pt idx="5">
                  <c:v>4.5918326760987345</c:v>
                </c:pt>
                <c:pt idx="6">
                  <c:v>5.5611795404054956</c:v>
                </c:pt>
                <c:pt idx="7">
                  <c:v>6.4682386989177063</c:v>
                </c:pt>
                <c:pt idx="8">
                  <c:v>7.2584827706254744</c:v>
                </c:pt>
                <c:pt idx="9">
                  <c:v>8.3282279936178867</c:v>
                </c:pt>
                <c:pt idx="10">
                  <c:v>9.3704714639566831</c:v>
                </c:pt>
                <c:pt idx="11">
                  <c:v>10.171880121895711</c:v>
                </c:pt>
                <c:pt idx="12">
                  <c:v>10.996054426330467</c:v>
                </c:pt>
                <c:pt idx="13">
                  <c:v>12.382630991276981</c:v>
                </c:pt>
                <c:pt idx="14">
                  <c:v>13.714036448863869</c:v>
                </c:pt>
                <c:pt idx="15">
                  <c:v>14.629133800462956</c:v>
                </c:pt>
                <c:pt idx="16">
                  <c:v>17.36421630879255</c:v>
                </c:pt>
                <c:pt idx="17">
                  <c:v>18.540125110660799</c:v>
                </c:pt>
                <c:pt idx="18">
                  <c:v>19.653563919076568</c:v>
                </c:pt>
                <c:pt idx="19">
                  <c:v>21.016276952701091</c:v>
                </c:pt>
                <c:pt idx="20">
                  <c:v>23.908625308988828</c:v>
                </c:pt>
                <c:pt idx="21">
                  <c:v>25.541020349632802</c:v>
                </c:pt>
                <c:pt idx="22">
                  <c:v>26.262932750374507</c:v>
                </c:pt>
                <c:pt idx="23">
                  <c:v>27.120680464307846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147-4ED9-8635-2C6D5CFD82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622720"/>
        <c:axId val="148743680"/>
      </c:scatterChart>
      <c:valAx>
        <c:axId val="148622720"/>
        <c:scaling>
          <c:orientation val="minMax"/>
          <c:max val="40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sz="2400" b="1">
                    <a:latin typeface="Arial" panose="020B0604020202020204" pitchFamily="34" charset="0"/>
                    <a:cs typeface="Arial" panose="020B0604020202020204" pitchFamily="34" charset="0"/>
                  </a:rPr>
                  <a:t>Dd</a:t>
                </a:r>
                <a:endParaRPr lang="ru-RU" sz="2400" b="1"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layout>
            <c:manualLayout>
              <c:xMode val="edge"/>
              <c:yMode val="edge"/>
              <c:x val="9.194623181448798E-2"/>
              <c:y val="6.7183197543824832E-2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8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48743680"/>
        <c:crosses val="autoZero"/>
        <c:crossBetween val="midCat"/>
        <c:majorUnit val="10"/>
      </c:valAx>
      <c:valAx>
        <c:axId val="148743680"/>
        <c:scaling>
          <c:orientation val="minMax"/>
          <c:max val="40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txPr>
          <a:bodyPr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48622720"/>
        <c:crosses val="autoZero"/>
        <c:crossBetween val="midCat"/>
        <c:majorUnit val="10"/>
        <c:minorUnit val="10"/>
      </c:valAx>
      <c:spPr>
        <a:solidFill>
          <a:sysClr val="window" lastClr="FFFFFF"/>
        </a:solidFill>
      </c:spPr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2400"/>
              <a:t>YD</a:t>
            </a:r>
            <a:r>
              <a:rPr lang="ru-RU" sz="2400"/>
              <a:t> </a:t>
            </a:r>
            <a:r>
              <a:rPr lang="ru-RU" sz="2400" b="0"/>
              <a:t>(млрд руб)</a:t>
            </a:r>
          </a:p>
        </c:rich>
      </c:tx>
      <c:layout>
        <c:manualLayout>
          <c:xMode val="edge"/>
          <c:yMode val="edge"/>
          <c:x val="0.10610544378518336"/>
          <c:y val="4.7817417862799506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9.8715679454088726E-2"/>
          <c:y val="3.828779073288445E-2"/>
          <c:w val="0.84512739672089765"/>
          <c:h val="0.89932160737476063"/>
        </c:manualLayout>
      </c:layout>
      <c:scatterChart>
        <c:scatterStyle val="smoothMarker"/>
        <c:varyColors val="0"/>
        <c:ser>
          <c:idx val="0"/>
          <c:order val="0"/>
          <c:spPr>
            <a:ln w="155575">
              <a:solidFill>
                <a:srgbClr val="FFC000"/>
              </a:solidFill>
            </a:ln>
          </c:spPr>
          <c:marker>
            <c:symbol val="none"/>
          </c:marker>
          <c:trendline>
            <c:spPr>
              <a:ln w="28575">
                <a:prstDash val="lgDashDotDot"/>
              </a:ln>
            </c:spPr>
            <c:trendlineType val="linear"/>
            <c:forward val="10000"/>
            <c:dispRSqr val="1"/>
            <c:dispEq val="1"/>
            <c:trendlineLbl>
              <c:layout>
                <c:manualLayout>
                  <c:x val="-3.6262969918843556E-2"/>
                  <c:y val="0.48413522912017604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sz="1600">
                      <a:latin typeface="Arial" panose="020B0604020202020204" pitchFamily="34" charset="0"/>
                      <a:cs typeface="Arial" panose="020B0604020202020204" pitchFamily="34" charset="0"/>
                    </a:defRPr>
                  </a:pPr>
                  <a:endParaRPr lang="ru-RU"/>
                </a:p>
              </c:txPr>
            </c:trendlineLbl>
          </c:trendline>
          <c:xVal>
            <c:numRef>
              <c:f>ОТЧЁТ!$DK$52:$DK$73</c:f>
              <c:numCache>
                <c:formatCode>0</c:formatCode>
                <c:ptCount val="22"/>
                <c:pt idx="0">
                  <c:v>1428.5209</c:v>
                </c:pt>
                <c:pt idx="1">
                  <c:v>2007.8252000000002</c:v>
                </c:pt>
                <c:pt idx="2">
                  <c:v>2342.5137</c:v>
                </c:pt>
                <c:pt idx="3">
                  <c:v>2629.6228999999998</c:v>
                </c:pt>
                <c:pt idx="4">
                  <c:v>4823.2329</c:v>
                </c:pt>
                <c:pt idx="5">
                  <c:v>7305.6466</c:v>
                </c:pt>
                <c:pt idx="6">
                  <c:v>8943.5825999999997</c:v>
                </c:pt>
                <c:pt idx="7">
                  <c:v>10819.270899999998</c:v>
                </c:pt>
                <c:pt idx="8">
                  <c:v>13208.250299999998</c:v>
                </c:pt>
                <c:pt idx="9">
                  <c:v>17027.166999999998</c:v>
                </c:pt>
                <c:pt idx="10">
                  <c:v>21609.765799999997</c:v>
                </c:pt>
                <c:pt idx="11">
                  <c:v>26917.203699999998</c:v>
                </c:pt>
                <c:pt idx="12">
                  <c:v>33247.513200000001</c:v>
                </c:pt>
                <c:pt idx="13">
                  <c:v>41276.849199999997</c:v>
                </c:pt>
                <c:pt idx="14">
                  <c:v>38807.270899999996</c:v>
                </c:pt>
                <c:pt idx="15">
                  <c:v>46308.53100000001</c:v>
                </c:pt>
                <c:pt idx="16">
                  <c:v>60282.540400000005</c:v>
                </c:pt>
                <c:pt idx="17">
                  <c:v>68163.883100000006</c:v>
                </c:pt>
                <c:pt idx="18">
                  <c:v>73133.89509999998</c:v>
                </c:pt>
                <c:pt idx="19">
                  <c:v>79058</c:v>
                </c:pt>
                <c:pt idx="20">
                  <c:v>83094</c:v>
                </c:pt>
                <c:pt idx="21">
                  <c:v>86014</c:v>
                </c:pt>
              </c:numCache>
            </c:numRef>
          </c:xVal>
          <c:yVal>
            <c:numRef>
              <c:f>ОТЧЁТ!$DJ$52:$DJ$73</c:f>
              <c:numCache>
                <c:formatCode>0</c:formatCode>
                <c:ptCount val="22"/>
                <c:pt idx="0">
                  <c:v>719.79349999999999</c:v>
                </c:pt>
                <c:pt idx="1">
                  <c:v>1007.827</c:v>
                </c:pt>
                <c:pt idx="2">
                  <c:v>1235.2137</c:v>
                </c:pt>
                <c:pt idx="3">
                  <c:v>1462.2840000000001</c:v>
                </c:pt>
                <c:pt idx="4">
                  <c:v>2526.1678999999999</c:v>
                </c:pt>
                <c:pt idx="5">
                  <c:v>3295.2372999999998</c:v>
                </c:pt>
                <c:pt idx="6">
                  <c:v>4318.1211000000003</c:v>
                </c:pt>
                <c:pt idx="7">
                  <c:v>5409.1576999999997</c:v>
                </c:pt>
                <c:pt idx="8">
                  <c:v>6537.4014999999999</c:v>
                </c:pt>
                <c:pt idx="9">
                  <c:v>8438.4840999999997</c:v>
                </c:pt>
                <c:pt idx="10">
                  <c:v>10652.8578</c:v>
                </c:pt>
                <c:pt idx="11">
                  <c:v>12974.743399999999</c:v>
                </c:pt>
                <c:pt idx="12">
                  <c:v>16031.739799999999</c:v>
                </c:pt>
                <c:pt idx="13">
                  <c:v>19966.954699999998</c:v>
                </c:pt>
                <c:pt idx="14">
                  <c:v>20986.036</c:v>
                </c:pt>
                <c:pt idx="15">
                  <c:v>23617.623</c:v>
                </c:pt>
                <c:pt idx="16">
                  <c:v>29939.463500000002</c:v>
                </c:pt>
                <c:pt idx="17">
                  <c:v>34492.361700000001</c:v>
                </c:pt>
                <c:pt idx="18">
                  <c:v>38465.140799999994</c:v>
                </c:pt>
                <c:pt idx="19">
                  <c:v>41954.83</c:v>
                </c:pt>
                <c:pt idx="20">
                  <c:v>43242.32</c:v>
                </c:pt>
                <c:pt idx="21">
                  <c:v>45317.05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5EB-42DF-B290-CD22CCAE0D27}"/>
            </c:ext>
          </c:extLst>
        </c:ser>
        <c:ser>
          <c:idx val="1"/>
          <c:order val="1"/>
          <c:marker>
            <c:symbol val="none"/>
          </c:marker>
          <c:xVal>
            <c:numRef>
              <c:f>ОТЧЁТ!$DK$53:$DK$75</c:f>
              <c:numCache>
                <c:formatCode>0</c:formatCode>
                <c:ptCount val="23"/>
                <c:pt idx="0">
                  <c:v>2007.8252000000002</c:v>
                </c:pt>
                <c:pt idx="1">
                  <c:v>2342.5137</c:v>
                </c:pt>
                <c:pt idx="2">
                  <c:v>2629.6228999999998</c:v>
                </c:pt>
                <c:pt idx="3">
                  <c:v>4823.2329</c:v>
                </c:pt>
                <c:pt idx="4">
                  <c:v>7305.6466</c:v>
                </c:pt>
                <c:pt idx="5">
                  <c:v>8943.5825999999997</c:v>
                </c:pt>
                <c:pt idx="6">
                  <c:v>10819.270899999998</c:v>
                </c:pt>
                <c:pt idx="7">
                  <c:v>13208.250299999998</c:v>
                </c:pt>
                <c:pt idx="8">
                  <c:v>17027.166999999998</c:v>
                </c:pt>
                <c:pt idx="9">
                  <c:v>21609.765799999997</c:v>
                </c:pt>
                <c:pt idx="10">
                  <c:v>26917.203699999998</c:v>
                </c:pt>
                <c:pt idx="11">
                  <c:v>33247.513200000001</c:v>
                </c:pt>
                <c:pt idx="12">
                  <c:v>41276.849199999997</c:v>
                </c:pt>
                <c:pt idx="13">
                  <c:v>38807.270899999996</c:v>
                </c:pt>
                <c:pt idx="14">
                  <c:v>46308.53100000001</c:v>
                </c:pt>
                <c:pt idx="15">
                  <c:v>60282.540400000005</c:v>
                </c:pt>
                <c:pt idx="16">
                  <c:v>68163.883100000006</c:v>
                </c:pt>
                <c:pt idx="17">
                  <c:v>73133.89509999998</c:v>
                </c:pt>
                <c:pt idx="18">
                  <c:v>79058</c:v>
                </c:pt>
                <c:pt idx="19">
                  <c:v>83094</c:v>
                </c:pt>
                <c:pt idx="20">
                  <c:v>86014</c:v>
                </c:pt>
                <c:pt idx="21" formatCode="General">
                  <c:v>92101</c:v>
                </c:pt>
                <c:pt idx="22" formatCode="General">
                  <c:v>103876</c:v>
                </c:pt>
              </c:numCache>
            </c:numRef>
          </c:xVal>
          <c:yVal>
            <c:numRef>
              <c:f>ОТЧЁТ!#REF!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E22-4FCC-899B-FB1089CF01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756736"/>
        <c:axId val="148828160"/>
      </c:scatterChart>
      <c:valAx>
        <c:axId val="148756736"/>
        <c:scaling>
          <c:orientation val="minMax"/>
          <c:max val="120000"/>
          <c:min val="0"/>
        </c:scaling>
        <c:delete val="0"/>
        <c:axPos val="b"/>
        <c:numFmt formatCode="#,##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48828160"/>
        <c:crosses val="autoZero"/>
        <c:crossBetween val="midCat"/>
        <c:majorUnit val="20000"/>
        <c:minorUnit val="20"/>
      </c:valAx>
      <c:valAx>
        <c:axId val="148828160"/>
        <c:scaling>
          <c:orientation val="minMax"/>
          <c:max val="60000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txPr>
          <a:bodyPr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48756736"/>
        <c:crosses val="autoZero"/>
        <c:crossBetween val="midCat"/>
        <c:majorUnit val="20000"/>
        <c:minorUnit val="20"/>
      </c:valAx>
      <c:spPr>
        <a:solidFill>
          <a:sysClr val="window" lastClr="FFFFFF"/>
        </a:solidFill>
      </c:spPr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/>
            </a:pPr>
            <a:r>
              <a:rPr lang="en-US" sz="1400" b="0">
                <a:latin typeface="Arial" panose="020B0604020202020204" pitchFamily="34" charset="0"/>
                <a:cs typeface="Arial" panose="020B0604020202020204" pitchFamily="34" charset="0"/>
              </a:rPr>
              <a:t>2013</a:t>
            </a:r>
            <a:endParaRPr lang="ru-RU" sz="1400"/>
          </a:p>
        </c:rich>
      </c:tx>
      <c:layout>
        <c:manualLayout>
          <c:xMode val="edge"/>
          <c:yMode val="edge"/>
          <c:x val="0.30863873976860284"/>
          <c:y val="0.52523397075365175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6.3259383579285206E-2"/>
          <c:y val="4.1196850393700787E-2"/>
          <c:w val="0.8954090951582887"/>
          <c:h val="0.90222121668189992"/>
        </c:manualLayout>
      </c:layout>
      <c:scatterChart>
        <c:scatterStyle val="smoothMarker"/>
        <c:varyColors val="0"/>
        <c:ser>
          <c:idx val="0"/>
          <c:order val="0"/>
          <c:spPr>
            <a:ln w="117475">
              <a:solidFill>
                <a:schemeClr val="accent1">
                  <a:alpha val="67000"/>
                </a:schemeClr>
              </a:solidFill>
            </a:ln>
          </c:spPr>
          <c:marker>
            <c:symbol val="circle"/>
            <c:size val="17"/>
            <c:spPr>
              <a:noFill/>
            </c:spPr>
          </c:marker>
          <c:trendline>
            <c:trendlineType val="linear"/>
            <c:dispRSqr val="1"/>
            <c:dispEq val="1"/>
            <c:trendlineLbl>
              <c:layout>
                <c:manualLayout>
                  <c:x val="0.46594361257884082"/>
                  <c:y val="-0.19435365579302588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sz="2000">
                      <a:latin typeface="Arial" pitchFamily="34" charset="0"/>
                      <a:cs typeface="Arial" pitchFamily="34" charset="0"/>
                    </a:defRPr>
                  </a:pPr>
                  <a:endParaRPr lang="ru-RU"/>
                </a:p>
              </c:txPr>
            </c:trendlineLbl>
          </c:trendline>
          <c:xVal>
            <c:numRef>
              <c:f>ОТЧЁТ!$CW$92:$CW$115</c:f>
              <c:numCache>
                <c:formatCode>0.00</c:formatCode>
                <c:ptCount val="24"/>
                <c:pt idx="0">
                  <c:v>1</c:v>
                </c:pt>
                <c:pt idx="1">
                  <c:v>1.218</c:v>
                </c:pt>
                <c:pt idx="2">
                  <c:v>1.3519800000000002</c:v>
                </c:pt>
                <c:pt idx="3">
                  <c:v>2.4930511200000005</c:v>
                </c:pt>
                <c:pt idx="4">
                  <c:v>3.4030147788000007</c:v>
                </c:pt>
                <c:pt idx="5">
                  <c:v>4.0904237641176007</c:v>
                </c:pt>
                <c:pt idx="6">
                  <c:v>4.8512425842434741</c:v>
                </c:pt>
                <c:pt idx="7">
                  <c:v>5.5837802144642392</c:v>
                </c:pt>
                <c:pt idx="8">
                  <c:v>6.2538338401999489</c:v>
                </c:pt>
                <c:pt idx="9">
                  <c:v>6.9855323995033425</c:v>
                </c:pt>
                <c:pt idx="10">
                  <c:v>7.7469554310492068</c:v>
                </c:pt>
                <c:pt idx="11">
                  <c:v>8.4441814198436358</c:v>
                </c:pt>
                <c:pt idx="12">
                  <c:v>9.4465057543790749</c:v>
                </c:pt>
                <c:pt idx="13">
                  <c:v>10.701001718560617</c:v>
                </c:pt>
                <c:pt idx="14">
                  <c:v>11.642689869793951</c:v>
                </c:pt>
                <c:pt idx="15">
                  <c:v>12.664918040361862</c:v>
                </c:pt>
                <c:pt idx="16">
                  <c:v>13.437478040823935</c:v>
                </c:pt>
                <c:pt idx="17">
                  <c:v>14.321664095910151</c:v>
                </c:pt>
                <c:pt idx="18">
                  <c:v>15.245411430096356</c:v>
                </c:pt>
                <c:pt idx="19">
                  <c:v>17.318787384589459</c:v>
                </c:pt>
                <c:pt idx="20">
                  <c:v>19.552910957201501</c:v>
                </c:pt>
                <c:pt idx="21">
                  <c:v>20.606812857794662</c:v>
                </c:pt>
                <c:pt idx="22">
                  <c:v>21.124043860525305</c:v>
                </c:pt>
                <c:pt idx="23">
                  <c:v>22.02392812898368</c:v>
                </c:pt>
              </c:numCache>
            </c:numRef>
          </c:xVal>
          <c:yVal>
            <c:numRef>
              <c:f>ОТЧЁТ!$CU$92:$CU$115</c:f>
              <c:numCache>
                <c:formatCode>0.00</c:formatCode>
                <c:ptCount val="24"/>
                <c:pt idx="0" formatCode="General">
                  <c:v>1</c:v>
                </c:pt>
                <c:pt idx="1">
                  <c:v>1.3930686182271845</c:v>
                </c:pt>
                <c:pt idx="2">
                  <c:v>1.8000080782573098</c:v>
                </c:pt>
                <c:pt idx="3">
                  <c:v>1.7787455021088285</c:v>
                </c:pt>
                <c:pt idx="4">
                  <c:v>2.4627881934761957</c:v>
                </c:pt>
                <c:pt idx="5">
                  <c:v>3.7854704885295649</c:v>
                </c:pt>
                <c:pt idx="6">
                  <c:v>5.0878645956391404</c:v>
                </c:pt>
                <c:pt idx="7">
                  <c:v>6.5528675715584006</c:v>
                </c:pt>
                <c:pt idx="8">
                  <c:v>7.7958923176158716</c:v>
                </c:pt>
                <c:pt idx="9">
                  <c:v>9.32454487174126</c:v>
                </c:pt>
                <c:pt idx="10">
                  <c:v>11.601834838997735</c:v>
                </c:pt>
                <c:pt idx="11">
                  <c:v>14.558879763670303</c:v>
                </c:pt>
                <c:pt idx="12">
                  <c:v>17.418642331419541</c:v>
                </c:pt>
                <c:pt idx="13">
                  <c:v>21.558658204106848</c:v>
                </c:pt>
                <c:pt idx="14">
                  <c:v>23.771830652990928</c:v>
                </c:pt>
                <c:pt idx="15">
                  <c:v>25.942740710668115</c:v>
                </c:pt>
                <c:pt idx="16">
                  <c:v>31.060937552257776</c:v>
                </c:pt>
                <c:pt idx="17">
                  <c:v>34.957056458668305</c:v>
                </c:pt>
                <c:pt idx="18">
                  <c:v>38.623860073036887</c:v>
                </c:pt>
                <c:pt idx="19">
                  <c:v>41.260921847659759</c:v>
                </c:pt>
                <c:pt idx="20">
                  <c:v>44.344749772395339</c:v>
                </c:pt>
                <c:pt idx="21">
                  <c:v>46.796704667591264</c:v>
                </c:pt>
                <c:pt idx="22">
                  <c:v>48.327851197265097</c:v>
                </c:pt>
                <c:pt idx="23">
                  <c:v>52.235265501486438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804-4BA9-A790-F2B90A5DA9FF}"/>
            </c:ext>
          </c:extLst>
        </c:ser>
        <c:ser>
          <c:idx val="1"/>
          <c:order val="1"/>
          <c:xVal>
            <c:numRef>
              <c:f>ОТЧЁТ!$CW$114:$CW$132</c:f>
              <c:numCache>
                <c:formatCode>0.00</c:formatCode>
                <c:ptCount val="19"/>
                <c:pt idx="0">
                  <c:v>21.124043860525305</c:v>
                </c:pt>
                <c:pt idx="1">
                  <c:v>22.02392812898368</c:v>
                </c:pt>
                <c:pt idx="2">
                  <c:v>22.693455544104783</c:v>
                </c:pt>
                <c:pt idx="3">
                  <c:v>23.807704211320324</c:v>
                </c:pt>
                <c:pt idx="4">
                  <c:v>24.998089421886341</c:v>
                </c:pt>
                <c:pt idx="5">
                  <c:v>26.247993892980659</c:v>
                </c:pt>
                <c:pt idx="6">
                  <c:v>27.560393587629694</c:v>
                </c:pt>
                <c:pt idx="7">
                  <c:v>28.938413267011178</c:v>
                </c:pt>
                <c:pt idx="8">
                  <c:v>30.385333930361739</c:v>
                </c:pt>
                <c:pt idx="9">
                  <c:v>31.904600626879827</c:v>
                </c:pt>
                <c:pt idx="10">
                  <c:v>33.499830658223821</c:v>
                </c:pt>
                <c:pt idx="11">
                  <c:v>35.174822191135014</c:v>
                </c:pt>
                <c:pt idx="12">
                  <c:v>36.933563300691766</c:v>
                </c:pt>
                <c:pt idx="13">
                  <c:v>38.780241465726355</c:v>
                </c:pt>
                <c:pt idx="14">
                  <c:v>40.719253539012676</c:v>
                </c:pt>
                <c:pt idx="15">
                  <c:v>42.755216215963316</c:v>
                </c:pt>
                <c:pt idx="16">
                  <c:v>44.892977026761486</c:v>
                </c:pt>
                <c:pt idx="17">
                  <c:v>47.137625878099563</c:v>
                </c:pt>
                <c:pt idx="18">
                  <c:v>49.494507172004546</c:v>
                </c:pt>
              </c:numCache>
            </c:numRef>
          </c:xVal>
          <c:yVal>
            <c:numRef>
              <c:f>ОТЧЁТ!$CV$114:$CV$132</c:f>
              <c:numCache>
                <c:formatCode>0.00</c:formatCode>
                <c:ptCount val="19"/>
                <c:pt idx="0">
                  <c:v>49.123056439104232</c:v>
                </c:pt>
                <c:pt idx="1">
                  <c:v>51.446377643410067</c:v>
                </c:pt>
                <c:pt idx="2">
                  <c:v>53.174963523769726</c:v>
                </c:pt>
                <c:pt idx="3">
                  <c:v>56.051730732786808</c:v>
                </c:pt>
                <c:pt idx="4">
                  <c:v>59.125067269426147</c:v>
                </c:pt>
                <c:pt idx="5">
                  <c:v>62.352070632897458</c:v>
                </c:pt>
                <c:pt idx="6">
                  <c:v>65.740424164542333</c:v>
                </c:pt>
                <c:pt idx="7">
                  <c:v>69.298195372769456</c:v>
                </c:pt>
                <c:pt idx="8">
                  <c:v>73.033855141407926</c:v>
                </c:pt>
                <c:pt idx="9">
                  <c:v>76.956297898478326</c:v>
                </c:pt>
                <c:pt idx="10">
                  <c:v>81.074862793402247</c:v>
                </c:pt>
                <c:pt idx="11">
                  <c:v>85.399355933072371</c:v>
                </c:pt>
                <c:pt idx="12">
                  <c:v>89.940073729725995</c:v>
                </c:pt>
                <c:pt idx="13">
                  <c:v>94.707827416212297</c:v>
                </c:pt>
                <c:pt idx="14">
                  <c:v>99.713968787022921</c:v>
                </c:pt>
                <c:pt idx="15">
                  <c:v>104.97041722637408</c:v>
                </c:pt>
                <c:pt idx="16">
                  <c:v>110.4896880876928</c:v>
                </c:pt>
                <c:pt idx="17">
                  <c:v>116.28492249207744</c:v>
                </c:pt>
                <c:pt idx="18">
                  <c:v>122.36991861668132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CD3-4498-BEBD-3995D89ACC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787584"/>
        <c:axId val="148789504"/>
      </c:scatterChart>
      <c:valAx>
        <c:axId val="148787584"/>
        <c:scaling>
          <c:orientation val="minMax"/>
          <c:max val="50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sz="2000">
                    <a:latin typeface="Arial" panose="020B0604020202020204" pitchFamily="34" charset="0"/>
                    <a:cs typeface="Arial" panose="020B0604020202020204" pitchFamily="34" charset="0"/>
                  </a:rPr>
                  <a:t>Dg</a:t>
                </a:r>
              </a:p>
            </c:rich>
          </c:tx>
          <c:layout>
            <c:manualLayout>
              <c:xMode val="edge"/>
              <c:yMode val="edge"/>
              <c:x val="8.8804228365935767E-2"/>
              <c:y val="6.7976661190732923E-2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48789504"/>
        <c:crosses val="autoZero"/>
        <c:crossBetween val="midCat"/>
        <c:majorUnit val="10"/>
      </c:valAx>
      <c:valAx>
        <c:axId val="148789504"/>
        <c:scaling>
          <c:orientation val="minMax"/>
          <c:max val="100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txPr>
          <a:bodyPr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48787584"/>
        <c:crosses val="autoZero"/>
        <c:crossBetween val="midCat"/>
        <c:majorUnit val="20"/>
        <c:minorUnit val="20"/>
      </c:valAx>
      <c:spPr>
        <a:solidFill>
          <a:sysClr val="window" lastClr="FFFFFF"/>
        </a:solidFill>
      </c:spPr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2800"/>
            </a:pPr>
            <a:r>
              <a:rPr lang="en-US" sz="2800"/>
              <a:t>Pg</a:t>
            </a:r>
            <a:endParaRPr lang="ru-RU" sz="2800"/>
          </a:p>
        </c:rich>
      </c:tx>
      <c:layout>
        <c:manualLayout>
          <c:xMode val="edge"/>
          <c:yMode val="edge"/>
          <c:x val="9.9542897983531026E-2"/>
          <c:y val="4.4532947718814324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6.1657400263084146E-2"/>
          <c:y val="2.6680946709735805E-2"/>
          <c:w val="0.90308770243222136"/>
          <c:h val="0.91527890352118391"/>
        </c:manualLayout>
      </c:layout>
      <c:scatterChart>
        <c:scatterStyle val="smoothMarker"/>
        <c:varyColors val="0"/>
        <c:ser>
          <c:idx val="0"/>
          <c:order val="0"/>
          <c:spPr>
            <a:ln w="114300">
              <a:solidFill>
                <a:srgbClr val="7030A0"/>
              </a:solidFill>
            </a:ln>
          </c:spPr>
          <c:marker>
            <c:symbol val="none"/>
          </c:marker>
          <c:xVal>
            <c:numRef>
              <c:f>ОТЧЁТ!$DL$92:$DL$115</c:f>
              <c:numCache>
                <c:formatCode>General</c:formatCode>
                <c:ptCount val="24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</c:numCache>
            </c:numRef>
          </c:xVal>
          <c:yVal>
            <c:numRef>
              <c:f>ОТЧЁТ!$DM$92:$DM$115</c:f>
              <c:numCache>
                <c:formatCode>0.000</c:formatCode>
                <c:ptCount val="24"/>
                <c:pt idx="0" formatCode="0">
                  <c:v>1</c:v>
                </c:pt>
                <c:pt idx="1">
                  <c:v>1.0309999999999999</c:v>
                </c:pt>
                <c:pt idx="2">
                  <c:v>1.0062559999999998</c:v>
                </c:pt>
                <c:pt idx="3">
                  <c:v>1.0163185599999998</c:v>
                </c:pt>
                <c:pt idx="4">
                  <c:v>1.0478244353599997</c:v>
                </c:pt>
                <c:pt idx="5">
                  <c:v>1.0687809240671997</c:v>
                </c:pt>
                <c:pt idx="6">
                  <c:v>1.0602306766746621</c:v>
                </c:pt>
                <c:pt idx="7">
                  <c:v>1.0877966742682033</c:v>
                </c:pt>
                <c:pt idx="8">
                  <c:v>1.1139037944506402</c:v>
                </c:pt>
                <c:pt idx="9">
                  <c:v>1.1372957741341037</c:v>
                </c:pt>
                <c:pt idx="10">
                  <c:v>1.1532179149719812</c:v>
                </c:pt>
                <c:pt idx="11">
                  <c:v>1.1797419270163367</c:v>
                </c:pt>
                <c:pt idx="12">
                  <c:v>1.2115949590457777</c:v>
                </c:pt>
                <c:pt idx="13">
                  <c:v>1.2527891876533341</c:v>
                </c:pt>
                <c:pt idx="14">
                  <c:v>1.2452724525274141</c:v>
                </c:pt>
                <c:pt idx="15">
                  <c:v>1.2265933657395029</c:v>
                </c:pt>
                <c:pt idx="16">
                  <c:v>1.2437656728598561</c:v>
                </c:pt>
                <c:pt idx="17">
                  <c:v>1.2761035803542125</c:v>
                </c:pt>
                <c:pt idx="18">
                  <c:v>1.2875885125774005</c:v>
                </c:pt>
                <c:pt idx="19">
                  <c:v>1.2605491538132751</c:v>
                </c:pt>
                <c:pt idx="20">
                  <c:v>1.2151693842759972</c:v>
                </c:pt>
                <c:pt idx="21">
                  <c:v>1.2333969250401371</c:v>
                </c:pt>
                <c:pt idx="22">
                  <c:v>1.2642318481661403</c:v>
                </c:pt>
                <c:pt idx="23">
                  <c:v>1.2680245437106386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AED-47B3-8241-2FB18822E862}"/>
            </c:ext>
          </c:extLst>
        </c:ser>
        <c:ser>
          <c:idx val="1"/>
          <c:order val="1"/>
          <c:spPr>
            <a:ln w="50800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ОТЧЁТ!$DL$115:$DL$132</c:f>
              <c:numCache>
                <c:formatCode>General</c:formatCode>
                <c:ptCount val="18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</c:numCache>
            </c:numRef>
          </c:xVal>
          <c:yVal>
            <c:numRef>
              <c:f>ОТЧЁТ!$DN$115:$DN$132</c:f>
              <c:numCache>
                <c:formatCode>0.000</c:formatCode>
                <c:ptCount val="18"/>
                <c:pt idx="0">
                  <c:v>1.2680245437106386</c:v>
                </c:pt>
                <c:pt idx="1">
                  <c:v>1.3249159206294971</c:v>
                </c:pt>
                <c:pt idx="2">
                  <c:v>1.342524810257228</c:v>
                </c:pt>
                <c:pt idx="3">
                  <c:v>1.442031647242126</c:v>
                </c:pt>
                <c:pt idx="4">
                  <c:v>1.5056835404483333</c:v>
                </c:pt>
                <c:pt idx="5">
                  <c:v>1.5695274698488424</c:v>
                </c:pt>
                <c:pt idx="6">
                  <c:v>1.6347565687736516</c:v>
                </c:pt>
                <c:pt idx="7">
                  <c:v>1.7021685764197234</c:v>
                </c:pt>
                <c:pt idx="8">
                  <c:v>1.7723199006893267</c:v>
                </c:pt>
                <c:pt idx="9">
                  <c:v>1.8456209985557013</c:v>
                </c:pt>
                <c:pt idx="10">
                  <c:v>1.9223955088928635</c:v>
                </c:pt>
                <c:pt idx="11">
                  <c:v>2.0029169884589542</c:v>
                </c:pt>
                <c:pt idx="12">
                  <c:v>2.0874318063378641</c:v>
                </c:pt>
                <c:pt idx="13">
                  <c:v>2.1761734838733555</c:v>
                </c:pt>
                <c:pt idx="14">
                  <c:v>2.2693717489888452</c:v>
                </c:pt>
                <c:pt idx="15">
                  <c:v>2.3672583270152621</c:v>
                </c:pt>
                <c:pt idx="16">
                  <c:v>2.4700707195799612</c:v>
                </c:pt>
                <c:pt idx="17">
                  <c:v>2.5780547466615831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FF0-4EA3-B34E-ABDF10B97C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945152"/>
        <c:axId val="148955136"/>
      </c:scatterChart>
      <c:valAx>
        <c:axId val="148945152"/>
        <c:scaling>
          <c:orientation val="minMax"/>
          <c:max val="2035"/>
          <c:min val="1995"/>
        </c:scaling>
        <c:delete val="0"/>
        <c:axPos val="b"/>
        <c:numFmt formatCode="#,##0" sourceLinked="0"/>
        <c:majorTickMark val="in"/>
        <c:minorTickMark val="none"/>
        <c:tickLblPos val="nextTo"/>
        <c:spPr>
          <a:ln/>
        </c:spPr>
        <c:txPr>
          <a:bodyPr rot="0" vert="horz"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48955136"/>
        <c:crosses val="autoZero"/>
        <c:crossBetween val="midCat"/>
        <c:majorUnit val="5"/>
      </c:valAx>
      <c:valAx>
        <c:axId val="148955136"/>
        <c:scaling>
          <c:orientation val="minMax"/>
          <c:max val="2.5"/>
          <c:min val="0.5"/>
        </c:scaling>
        <c:delete val="0"/>
        <c:axPos val="l"/>
        <c:majorGridlines/>
        <c:numFmt formatCode="0.0" sourceLinked="0"/>
        <c:majorTickMark val="out"/>
        <c:minorTickMark val="none"/>
        <c:tickLblPos val="nextTo"/>
        <c:txPr>
          <a:bodyPr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48945152"/>
        <c:crosses val="autoZero"/>
        <c:crossBetween val="midCat"/>
        <c:majorUnit val="0.5"/>
      </c:valAx>
      <c:spPr>
        <a:solidFill>
          <a:sysClr val="window" lastClr="FFFFFF"/>
        </a:solidFill>
      </c:spPr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>
                <a:latin typeface="Arial" panose="020B0604020202020204" pitchFamily="34" charset="0"/>
                <a:cs typeface="Arial" panose="020B0604020202020204" pitchFamily="34" charset="0"/>
              </a:defRPr>
            </a:pPr>
            <a:r>
              <a:rPr lang="en-US" sz="2000" b="1">
                <a:latin typeface="Arial" panose="020B0604020202020204" pitchFamily="34" charset="0"/>
                <a:cs typeface="Arial" panose="020B0604020202020204" pitchFamily="34" charset="0"/>
              </a:rPr>
              <a:t>Dnk = 1,0711*IPC + 4</a:t>
            </a:r>
            <a:r>
              <a:rPr lang="ru-RU" sz="2000" b="1">
                <a:latin typeface="Arial" panose="020B0604020202020204" pitchFamily="34" charset="0"/>
                <a:cs typeface="Arial" panose="020B0604020202020204" pitchFamily="34" charset="0"/>
              </a:rPr>
              <a:t> </a:t>
            </a:r>
          </a:p>
        </c:rich>
      </c:tx>
      <c:layout>
        <c:manualLayout>
          <c:xMode val="edge"/>
          <c:yMode val="edge"/>
          <c:x val="0.42185970871288403"/>
          <c:y val="0.66240352453546913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4.368236323400751E-2"/>
          <c:y val="2.7621013846757012E-2"/>
          <c:w val="0.90491895285640334"/>
          <c:h val="0.92888784958009163"/>
        </c:manualLayout>
      </c:layout>
      <c:scatterChart>
        <c:scatterStyle val="smoothMarker"/>
        <c:varyColors val="0"/>
        <c:ser>
          <c:idx val="0"/>
          <c:order val="0"/>
          <c:spPr>
            <a:ln w="111125">
              <a:solidFill>
                <a:srgbClr val="92D050"/>
              </a:solidFill>
            </a:ln>
          </c:spPr>
          <c:marker>
            <c:symbol val="circle"/>
            <c:size val="17"/>
            <c:spPr>
              <a:noFill/>
            </c:spPr>
          </c:marker>
          <c:xVal>
            <c:numRef>
              <c:f>ОТЧЁТ!$CX$136:$CX$159</c:f>
              <c:numCache>
                <c:formatCode>0.00</c:formatCode>
                <c:ptCount val="24"/>
                <c:pt idx="0" formatCode="0">
                  <c:v>1</c:v>
                </c:pt>
                <c:pt idx="1">
                  <c:v>1.218</c:v>
                </c:pt>
                <c:pt idx="2">
                  <c:v>1.3519800000000002</c:v>
                </c:pt>
                <c:pt idx="3">
                  <c:v>2.4930511200000005</c:v>
                </c:pt>
                <c:pt idx="4">
                  <c:v>3.4030147788000007</c:v>
                </c:pt>
                <c:pt idx="5">
                  <c:v>4.0904237641176007</c:v>
                </c:pt>
                <c:pt idx="6">
                  <c:v>4.8512425842434741</c:v>
                </c:pt>
                <c:pt idx="7">
                  <c:v>5.5837802144642392</c:v>
                </c:pt>
                <c:pt idx="8">
                  <c:v>6.2538338401999489</c:v>
                </c:pt>
                <c:pt idx="9">
                  <c:v>6.9855323995033425</c:v>
                </c:pt>
                <c:pt idx="10">
                  <c:v>7.7469554310492068</c:v>
                </c:pt>
                <c:pt idx="11">
                  <c:v>8.4441814198436358</c:v>
                </c:pt>
                <c:pt idx="12">
                  <c:v>9.4465057543790749</c:v>
                </c:pt>
                <c:pt idx="13">
                  <c:v>10.701001718560617</c:v>
                </c:pt>
                <c:pt idx="14">
                  <c:v>11.642689869793951</c:v>
                </c:pt>
                <c:pt idx="15">
                  <c:v>12.664918040361862</c:v>
                </c:pt>
                <c:pt idx="16">
                  <c:v>13.437478040823935</c:v>
                </c:pt>
                <c:pt idx="17">
                  <c:v>14.321664095910151</c:v>
                </c:pt>
                <c:pt idx="18">
                  <c:v>15.245411430096356</c:v>
                </c:pt>
                <c:pt idx="19">
                  <c:v>17.318787384589459</c:v>
                </c:pt>
                <c:pt idx="20">
                  <c:v>19.552910957201501</c:v>
                </c:pt>
                <c:pt idx="21">
                  <c:v>20.606812857794662</c:v>
                </c:pt>
                <c:pt idx="22">
                  <c:v>21.124043860525305</c:v>
                </c:pt>
                <c:pt idx="23">
                  <c:v>22.02392812898368</c:v>
                </c:pt>
              </c:numCache>
            </c:numRef>
          </c:xVal>
          <c:yVal>
            <c:numRef>
              <c:f>ОТЧЁТ!$CU$136:$CU$159</c:f>
              <c:numCache>
                <c:formatCode>0.00</c:formatCode>
                <c:ptCount val="24"/>
                <c:pt idx="0" formatCode="General">
                  <c:v>1</c:v>
                </c:pt>
                <c:pt idx="1">
                  <c:v>1.4997486735151189</c:v>
                </c:pt>
                <c:pt idx="2">
                  <c:v>1.9526312539350381</c:v>
                </c:pt>
                <c:pt idx="3">
                  <c:v>2.0059060303554479</c:v>
                </c:pt>
                <c:pt idx="4">
                  <c:v>2.3429902839701637</c:v>
                </c:pt>
                <c:pt idx="5">
                  <c:v>3.2406114791110681</c:v>
                </c:pt>
                <c:pt idx="6">
                  <c:v>3.97066356566005</c:v>
                </c:pt>
                <c:pt idx="7">
                  <c:v>5.2843734476785453</c:v>
                </c:pt>
                <c:pt idx="8">
                  <c:v>6.1715081316356093</c:v>
                </c:pt>
                <c:pt idx="9">
                  <c:v>6.7016025302099056</c:v>
                </c:pt>
                <c:pt idx="10">
                  <c:v>7.6444391008680617</c:v>
                </c:pt>
                <c:pt idx="11">
                  <c:v>8.6255823418854529</c:v>
                </c:pt>
                <c:pt idx="12">
                  <c:v>10.098705571453516</c:v>
                </c:pt>
                <c:pt idx="13">
                  <c:v>11.941266045828566</c:v>
                </c:pt>
                <c:pt idx="14">
                  <c:v>12.996640727607122</c:v>
                </c:pt>
                <c:pt idx="15">
                  <c:v>13.587422805401822</c:v>
                </c:pt>
                <c:pt idx="16">
                  <c:v>14.262597604124318</c:v>
                </c:pt>
                <c:pt idx="17">
                  <c:v>15.820545673088896</c:v>
                </c:pt>
                <c:pt idx="18">
                  <c:v>16.643637181160418</c:v>
                </c:pt>
                <c:pt idx="19">
                  <c:v>18.778754615584578</c:v>
                </c:pt>
                <c:pt idx="20">
                  <c:v>20.932137525435952</c:v>
                </c:pt>
                <c:pt idx="21">
                  <c:v>22.713794876355891</c:v>
                </c:pt>
                <c:pt idx="22">
                  <c:v>24.993896175246313</c:v>
                </c:pt>
                <c:pt idx="23">
                  <c:v>27.181442967904612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ACA5-41ED-9D73-E2FAA3E8862C}"/>
            </c:ext>
          </c:extLst>
        </c:ser>
        <c:ser>
          <c:idx val="1"/>
          <c:order val="1"/>
          <c:trendline>
            <c:spPr>
              <a:ln w="22225">
                <a:prstDash val="lgDash"/>
              </a:ln>
            </c:spPr>
            <c:trendlineType val="linear"/>
            <c:forward val="10"/>
            <c:dispRSqr val="1"/>
            <c:dispEq val="1"/>
            <c:trendlineLbl>
              <c:layout>
                <c:manualLayout>
                  <c:x val="8.4358808090165244E-2"/>
                  <c:y val="0.15519389369871883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sz="1600">
                      <a:latin typeface="Arial" panose="020B0604020202020204" pitchFamily="34" charset="0"/>
                      <a:cs typeface="Arial" panose="020B0604020202020204" pitchFamily="34" charset="0"/>
                    </a:defRPr>
                  </a:pPr>
                  <a:endParaRPr lang="ru-RU"/>
                </a:p>
              </c:txPr>
            </c:trendlineLbl>
          </c:trendline>
          <c:xVal>
            <c:numRef>
              <c:f>ОТЧЁТ!$CX$151:$CX$156</c:f>
              <c:numCache>
                <c:formatCode>0.00</c:formatCode>
                <c:ptCount val="6"/>
                <c:pt idx="0">
                  <c:v>12.664918040361862</c:v>
                </c:pt>
                <c:pt idx="1">
                  <c:v>13.437478040823935</c:v>
                </c:pt>
                <c:pt idx="2">
                  <c:v>14.321664095910151</c:v>
                </c:pt>
                <c:pt idx="3">
                  <c:v>15.245411430096356</c:v>
                </c:pt>
                <c:pt idx="4">
                  <c:v>17.318787384589459</c:v>
                </c:pt>
                <c:pt idx="5">
                  <c:v>19.552910957201501</c:v>
                </c:pt>
              </c:numCache>
            </c:numRef>
          </c:xVal>
          <c:yVal>
            <c:numRef>
              <c:f>ОТЧЁТ!$CV$151:$CV$156</c:f>
              <c:numCache>
                <c:formatCode>0.00</c:formatCode>
                <c:ptCount val="6"/>
                <c:pt idx="0">
                  <c:v>13.587422805401822</c:v>
                </c:pt>
                <c:pt idx="1">
                  <c:v>14.262597604124318</c:v>
                </c:pt>
                <c:pt idx="2">
                  <c:v>15.820545673088896</c:v>
                </c:pt>
                <c:pt idx="3">
                  <c:v>16.643637181160418</c:v>
                </c:pt>
                <c:pt idx="4">
                  <c:v>18.778754615584578</c:v>
                </c:pt>
                <c:pt idx="5">
                  <c:v>20.932137525435952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DAC-4A1C-9C47-4BEAF2B69637}"/>
            </c:ext>
          </c:extLst>
        </c:ser>
        <c:ser>
          <c:idx val="2"/>
          <c:order val="2"/>
          <c:xVal>
            <c:numRef>
              <c:f>ОТЧЁТ!$CX$157:$CX$176</c:f>
              <c:numCache>
                <c:formatCode>0.00</c:formatCode>
                <c:ptCount val="20"/>
                <c:pt idx="0">
                  <c:v>20.606812857794662</c:v>
                </c:pt>
                <c:pt idx="1">
                  <c:v>21.124043860525305</c:v>
                </c:pt>
                <c:pt idx="2">
                  <c:v>22.02392812898368</c:v>
                </c:pt>
                <c:pt idx="3">
                  <c:v>22.693455544104783</c:v>
                </c:pt>
                <c:pt idx="4">
                  <c:v>23.807704211320324</c:v>
                </c:pt>
                <c:pt idx="5">
                  <c:v>24.998089421886341</c:v>
                </c:pt>
                <c:pt idx="6">
                  <c:v>26.247993892980659</c:v>
                </c:pt>
                <c:pt idx="7">
                  <c:v>27.560393587629694</c:v>
                </c:pt>
                <c:pt idx="8">
                  <c:v>28.938413267011178</c:v>
                </c:pt>
                <c:pt idx="9">
                  <c:v>30.385333930361739</c:v>
                </c:pt>
                <c:pt idx="10">
                  <c:v>31.904600626879827</c:v>
                </c:pt>
                <c:pt idx="11">
                  <c:v>33.499830658223821</c:v>
                </c:pt>
                <c:pt idx="12">
                  <c:v>35.174822191135014</c:v>
                </c:pt>
                <c:pt idx="13">
                  <c:v>36.933563300691766</c:v>
                </c:pt>
                <c:pt idx="14">
                  <c:v>38.780241465726355</c:v>
                </c:pt>
                <c:pt idx="15">
                  <c:v>40.719253539012676</c:v>
                </c:pt>
                <c:pt idx="16">
                  <c:v>42.755216215963316</c:v>
                </c:pt>
                <c:pt idx="17">
                  <c:v>44.892977026761486</c:v>
                </c:pt>
                <c:pt idx="18">
                  <c:v>47.137625878099563</c:v>
                </c:pt>
                <c:pt idx="19">
                  <c:v>49.494507172004546</c:v>
                </c:pt>
              </c:numCache>
            </c:numRef>
          </c:xVal>
          <c:yVal>
            <c:numRef>
              <c:f>ОТЧЁТ!$CW$157:$CW$176</c:f>
              <c:numCache>
                <c:formatCode>0.00</c:formatCode>
                <c:ptCount val="20"/>
                <c:pt idx="0">
                  <c:v>22.713794876355891</c:v>
                </c:pt>
                <c:pt idx="1">
                  <c:v>24.993896175246313</c:v>
                </c:pt>
                <c:pt idx="2">
                  <c:v>27.181442967904612</c:v>
                </c:pt>
                <c:pt idx="3">
                  <c:v>28.304690887736221</c:v>
                </c:pt>
                <c:pt idx="4">
                  <c:v>29.498051210324068</c:v>
                </c:pt>
                <c:pt idx="5">
                  <c:v>30.772953770840271</c:v>
                </c:pt>
                <c:pt idx="6">
                  <c:v>32.111601459382285</c:v>
                </c:pt>
                <c:pt idx="7">
                  <c:v>33.517181532351401</c:v>
                </c:pt>
                <c:pt idx="8">
                  <c:v>34.993040608968968</c:v>
                </c:pt>
                <c:pt idx="9">
                  <c:v>36.542692639417417</c:v>
                </c:pt>
                <c:pt idx="10">
                  <c:v>38.169827271388293</c:v>
                </c:pt>
                <c:pt idx="11">
                  <c:v>39.878318634957708</c:v>
                </c:pt>
                <c:pt idx="12">
                  <c:v>41.672234566705598</c:v>
                </c:pt>
                <c:pt idx="13">
                  <c:v>43.55584629504088</c:v>
                </c:pt>
                <c:pt idx="14">
                  <c:v>45.533638609792924</c:v>
                </c:pt>
                <c:pt idx="15">
                  <c:v>47.610320540282572</c:v>
                </c:pt>
                <c:pt idx="16">
                  <c:v>49.790836567296708</c:v>
                </c:pt>
                <c:pt idx="17">
                  <c:v>52.080378395661548</c:v>
                </c:pt>
                <c:pt idx="18">
                  <c:v>54.484397315444632</c:v>
                </c:pt>
                <c:pt idx="19">
                  <c:v>57.00861718121687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DAC-4A1C-9C47-4BEAF2B696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005824"/>
        <c:axId val="149007744"/>
      </c:scatterChart>
      <c:valAx>
        <c:axId val="149005824"/>
        <c:scaling>
          <c:orientation val="minMax"/>
          <c:max val="40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sz="2000">
                    <a:latin typeface="Arial" panose="020B0604020202020204" pitchFamily="34" charset="0"/>
                    <a:cs typeface="Arial" panose="020B0604020202020204" pitchFamily="34" charset="0"/>
                  </a:rPr>
                  <a:t>Dnk</a:t>
                </a:r>
                <a:endParaRPr lang="ru-RU"/>
              </a:p>
            </c:rich>
          </c:tx>
          <c:layout>
            <c:manualLayout>
              <c:xMode val="edge"/>
              <c:yMode val="edge"/>
              <c:x val="8.0477699323729127E-2"/>
              <c:y val="4.3753893494006733E-2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49007744"/>
        <c:crosses val="autoZero"/>
        <c:crossBetween val="midCat"/>
        <c:majorUnit val="5"/>
      </c:valAx>
      <c:valAx>
        <c:axId val="149007744"/>
        <c:scaling>
          <c:orientation val="minMax"/>
          <c:max val="40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txPr>
          <a:bodyPr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49005824"/>
        <c:crosses val="autoZero"/>
        <c:crossBetween val="midCat"/>
        <c:majorUnit val="10"/>
      </c:valAx>
      <c:spPr>
        <a:solidFill>
          <a:sysClr val="window" lastClr="FFFFFF"/>
        </a:solidFill>
      </c:spPr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2400"/>
            </a:pPr>
            <a:r>
              <a:rPr lang="en-US" sz="2400"/>
              <a:t>YNK</a:t>
            </a:r>
            <a:r>
              <a:rPr lang="ru-RU" sz="2400"/>
              <a:t>(млрд руб)</a:t>
            </a:r>
            <a:endParaRPr lang="en-US" sz="2400"/>
          </a:p>
        </c:rich>
      </c:tx>
      <c:layout>
        <c:manualLayout>
          <c:xMode val="edge"/>
          <c:yMode val="edge"/>
          <c:x val="7.8311811023622113E-2"/>
          <c:y val="5.4851450337204864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7.1352753037017921E-2"/>
          <c:y val="4.5297923202588124E-2"/>
          <c:w val="0.87775832938915765"/>
          <c:h val="0.91343748268157965"/>
        </c:manualLayout>
      </c:layout>
      <c:scatterChart>
        <c:scatterStyle val="smoothMarker"/>
        <c:varyColors val="0"/>
        <c:ser>
          <c:idx val="0"/>
          <c:order val="0"/>
          <c:spPr>
            <a:ln w="50800"/>
          </c:spPr>
          <c:marker>
            <c:symbol val="none"/>
          </c:marker>
          <c:xVal>
            <c:numRef>
              <c:f>ОТЧЁТ!$DP$138:$DP$145</c:f>
              <c:numCache>
                <c:formatCode>0</c:formatCode>
                <c:ptCount val="8"/>
                <c:pt idx="0">
                  <c:v>1428.5209</c:v>
                </c:pt>
                <c:pt idx="1">
                  <c:v>2007.8252000000002</c:v>
                </c:pt>
                <c:pt idx="2">
                  <c:v>2342.5137</c:v>
                </c:pt>
                <c:pt idx="3">
                  <c:v>2629.6228999999998</c:v>
                </c:pt>
                <c:pt idx="4">
                  <c:v>4823.2329</c:v>
                </c:pt>
                <c:pt idx="5">
                  <c:v>7305.6466</c:v>
                </c:pt>
                <c:pt idx="6">
                  <c:v>8943.5825999999997</c:v>
                </c:pt>
                <c:pt idx="7">
                  <c:v>10819.270899999998</c:v>
                </c:pt>
              </c:numCache>
            </c:numRef>
          </c:xVal>
          <c:yVal>
            <c:numRef>
              <c:f>ОТЧЁТ!$DO$138:$DO$145</c:f>
              <c:numCache>
                <c:formatCode>0.0</c:formatCode>
                <c:ptCount val="8"/>
                <c:pt idx="0">
                  <c:v>24.299299999999999</c:v>
                </c:pt>
                <c:pt idx="1">
                  <c:v>36.661499999999997</c:v>
                </c:pt>
                <c:pt idx="2">
                  <c:v>47.3504</c:v>
                </c:pt>
                <c:pt idx="3">
                  <c:v>48.8855</c:v>
                </c:pt>
                <c:pt idx="4">
                  <c:v>56.301099999999998</c:v>
                </c:pt>
                <c:pt idx="5">
                  <c:v>79.116500000000002</c:v>
                </c:pt>
                <c:pt idx="6">
                  <c:v>98.781899999999993</c:v>
                </c:pt>
                <c:pt idx="7">
                  <c:v>132.51599999999999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D0A-4BD6-9BEB-07FDEE394340}"/>
            </c:ext>
          </c:extLst>
        </c:ser>
        <c:ser>
          <c:idx val="1"/>
          <c:order val="1"/>
          <c:spPr>
            <a:ln w="111125"/>
          </c:spPr>
          <c:marker>
            <c:symbol val="none"/>
          </c:marker>
          <c:trendline>
            <c:trendlineType val="linear"/>
            <c:dispRSqr val="1"/>
            <c:dispEq val="1"/>
            <c:trendlineLbl>
              <c:layout>
                <c:manualLayout>
                  <c:x val="-2.5991756247860372E-2"/>
                  <c:y val="0.35615065482775432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sz="1600">
                      <a:latin typeface="Arial" panose="020B0604020202020204" pitchFamily="34" charset="0"/>
                      <a:cs typeface="Arial" panose="020B0604020202020204" pitchFamily="34" charset="0"/>
                    </a:defRPr>
                  </a:pPr>
                  <a:endParaRPr lang="ru-RU"/>
                </a:p>
              </c:txPr>
            </c:trendlineLbl>
          </c:trendline>
          <c:xVal>
            <c:numRef>
              <c:f>ОТЧЁТ!$DP$146:$DP$159</c:f>
              <c:numCache>
                <c:formatCode>0</c:formatCode>
                <c:ptCount val="14"/>
                <c:pt idx="0">
                  <c:v>13208.250299999998</c:v>
                </c:pt>
                <c:pt idx="1">
                  <c:v>17027.166999999998</c:v>
                </c:pt>
                <c:pt idx="2">
                  <c:v>21609.765799999997</c:v>
                </c:pt>
                <c:pt idx="3">
                  <c:v>26917.203699999998</c:v>
                </c:pt>
                <c:pt idx="4">
                  <c:v>33247.513200000001</c:v>
                </c:pt>
                <c:pt idx="5">
                  <c:v>41276.849199999997</c:v>
                </c:pt>
                <c:pt idx="6">
                  <c:v>38807.270899999996</c:v>
                </c:pt>
                <c:pt idx="7">
                  <c:v>46308.53100000001</c:v>
                </c:pt>
                <c:pt idx="8">
                  <c:v>60282.540400000005</c:v>
                </c:pt>
                <c:pt idx="9">
                  <c:v>68163.883100000006</c:v>
                </c:pt>
                <c:pt idx="10">
                  <c:v>73133.89509999998</c:v>
                </c:pt>
                <c:pt idx="11">
                  <c:v>79058</c:v>
                </c:pt>
                <c:pt idx="12">
                  <c:v>83094</c:v>
                </c:pt>
                <c:pt idx="13">
                  <c:v>86014</c:v>
                </c:pt>
              </c:numCache>
            </c:numRef>
          </c:xVal>
          <c:yVal>
            <c:numRef>
              <c:f>ОТЧЁТ!$DO$146:$DO$159</c:f>
              <c:numCache>
                <c:formatCode>0.0</c:formatCode>
                <c:ptCount val="14"/>
                <c:pt idx="0">
                  <c:v>154.91739999999999</c:v>
                </c:pt>
                <c:pt idx="1">
                  <c:v>149.55099999999999</c:v>
                </c:pt>
                <c:pt idx="2">
                  <c:v>139.37289999999999</c:v>
                </c:pt>
                <c:pt idx="3">
                  <c:v>154.58760000000001</c:v>
                </c:pt>
                <c:pt idx="4">
                  <c:v>185.87559999999999</c:v>
                </c:pt>
                <c:pt idx="5">
                  <c:v>216.71250000000001</c:v>
                </c:pt>
                <c:pt idx="6">
                  <c:v>216.99639999999999</c:v>
                </c:pt>
                <c:pt idx="7">
                  <c:v>225.726</c:v>
                </c:pt>
                <c:pt idx="8">
                  <c:v>225.33240000000001</c:v>
                </c:pt>
                <c:pt idx="9">
                  <c:v>247.44670000000002</c:v>
                </c:pt>
                <c:pt idx="10">
                  <c:v>257.19670000000002</c:v>
                </c:pt>
                <c:pt idx="11">
                  <c:v>290.19099999999997</c:v>
                </c:pt>
                <c:pt idx="12">
                  <c:v>314.08699999999999</c:v>
                </c:pt>
                <c:pt idx="13">
                  <c:v>344.22899999999998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50E-4C81-A87A-F33065CC2E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040512"/>
        <c:axId val="148972672"/>
      </c:scatterChart>
      <c:valAx>
        <c:axId val="149040512"/>
        <c:scaling>
          <c:orientation val="minMax"/>
          <c:max val="120000"/>
          <c:min val="0"/>
        </c:scaling>
        <c:delete val="0"/>
        <c:axPos val="b"/>
        <c:numFmt formatCode="#,##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48972672"/>
        <c:crosses val="autoZero"/>
        <c:crossBetween val="midCat"/>
        <c:majorUnit val="20000"/>
        <c:minorUnit val="20"/>
      </c:valAx>
      <c:valAx>
        <c:axId val="148972672"/>
        <c:scaling>
          <c:orientation val="minMax"/>
          <c:max val="450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txPr>
          <a:bodyPr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49040512"/>
        <c:crosses val="autoZero"/>
        <c:crossBetween val="midCat"/>
        <c:majorUnit val="150"/>
        <c:minorUnit val="0.1"/>
      </c:valAx>
      <c:spPr>
        <a:solidFill>
          <a:sysClr val="window" lastClr="FFFFFF"/>
        </a:solidFill>
      </c:spPr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1788475070753167E-2"/>
          <c:y val="3.7115280169317005E-2"/>
          <c:w val="0.87265050772762998"/>
          <c:h val="0.92696547172246757"/>
        </c:manualLayout>
      </c:layout>
      <c:scatterChart>
        <c:scatterStyle val="smoothMarker"/>
        <c:varyColors val="0"/>
        <c:ser>
          <c:idx val="0"/>
          <c:order val="0"/>
          <c:spPr>
            <a:ln w="66675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ОТЧЁТ!$CZ$184:$CZ$207</c:f>
              <c:numCache>
                <c:formatCode>0</c:formatCode>
                <c:ptCount val="24"/>
                <c:pt idx="0">
                  <c:v>2767.6205</c:v>
                </c:pt>
                <c:pt idx="1">
                  <c:v>2690.1271259999999</c:v>
                </c:pt>
                <c:pt idx="2">
                  <c:v>2727.788905764</c:v>
                </c:pt>
                <c:pt idx="3">
                  <c:v>2588.6716715700359</c:v>
                </c:pt>
                <c:pt idx="4">
                  <c:v>2738.8146285210983</c:v>
                </c:pt>
                <c:pt idx="5">
                  <c:v>2996.2632036020818</c:v>
                </c:pt>
                <c:pt idx="6">
                  <c:v>3143.0801005785834</c:v>
                </c:pt>
                <c:pt idx="7">
                  <c:v>3281.3756250040415</c:v>
                </c:pt>
                <c:pt idx="8">
                  <c:v>3530.7601725043487</c:v>
                </c:pt>
                <c:pt idx="9">
                  <c:v>3813.2209863046965</c:v>
                </c:pt>
                <c:pt idx="10">
                  <c:v>4030.5745825240638</c:v>
                </c:pt>
                <c:pt idx="11">
                  <c:v>4389.2957203687056</c:v>
                </c:pt>
                <c:pt idx="12">
                  <c:v>4775.553743761152</c:v>
                </c:pt>
                <c:pt idx="13">
                  <c:v>5014.3314309492098</c:v>
                </c:pt>
                <c:pt idx="14">
                  <c:v>4643.2709050589683</c:v>
                </c:pt>
                <c:pt idx="15">
                  <c:v>4875.4344503119164</c:v>
                </c:pt>
                <c:pt idx="16">
                  <c:v>5085.0781316753291</c:v>
                </c:pt>
                <c:pt idx="17">
                  <c:v>5283.3961788106672</c:v>
                </c:pt>
                <c:pt idx="18">
                  <c:v>5394.3474985656912</c:v>
                </c:pt>
                <c:pt idx="19">
                  <c:v>5437.5022785542169</c:v>
                </c:pt>
                <c:pt idx="20">
                  <c:v>5366.8147489330113</c:v>
                </c:pt>
                <c:pt idx="21">
                  <c:v>5431.2165259202075</c:v>
                </c:pt>
                <c:pt idx="22">
                  <c:v>5566.9969390682127</c:v>
                </c:pt>
                <c:pt idx="23">
                  <c:v>5706.1718625449175</c:v>
                </c:pt>
              </c:numCache>
            </c:numRef>
          </c:xVal>
          <c:yVal>
            <c:numRef>
              <c:f>ОТЧЁТ!$CT$184:$CT$207</c:f>
              <c:numCache>
                <c:formatCode>0</c:formatCode>
                <c:ptCount val="24"/>
                <c:pt idx="0">
                  <c:v>266.97399999999999</c:v>
                </c:pt>
                <c:pt idx="1">
                  <c:v>218.65170599999999</c:v>
                </c:pt>
                <c:pt idx="2">
                  <c:v>207.71912069999996</c:v>
                </c:pt>
                <c:pt idx="3">
                  <c:v>182.79282621599998</c:v>
                </c:pt>
                <c:pt idx="4">
                  <c:v>191.93246752679997</c:v>
                </c:pt>
                <c:pt idx="5">
                  <c:v>225.32871687646315</c:v>
                </c:pt>
                <c:pt idx="6">
                  <c:v>247.86158856410947</c:v>
                </c:pt>
                <c:pt idx="7">
                  <c:v>254.80171304390456</c:v>
                </c:pt>
                <c:pt idx="8">
                  <c:v>286.6519271743926</c:v>
                </c:pt>
                <c:pt idx="9">
                  <c:v>325.92324119728437</c:v>
                </c:pt>
                <c:pt idx="10">
                  <c:v>359.16741179940743</c:v>
                </c:pt>
                <c:pt idx="11">
                  <c:v>419.14836956990848</c:v>
                </c:pt>
                <c:pt idx="12">
                  <c:v>514.29504946227769</c:v>
                </c:pt>
                <c:pt idx="13">
                  <c:v>563.15307916119411</c:v>
                </c:pt>
                <c:pt idx="14">
                  <c:v>487.1274134744329</c:v>
                </c:pt>
                <c:pt idx="15">
                  <c:v>517.81644052332217</c:v>
                </c:pt>
                <c:pt idx="16">
                  <c:v>573.74061609984096</c:v>
                </c:pt>
                <c:pt idx="17">
                  <c:v>612.75497799463017</c:v>
                </c:pt>
                <c:pt idx="18">
                  <c:v>617.65701781858718</c:v>
                </c:pt>
                <c:pt idx="19">
                  <c:v>608.39216255130839</c:v>
                </c:pt>
                <c:pt idx="20">
                  <c:v>546.9445541336263</c:v>
                </c:pt>
                <c:pt idx="21">
                  <c:v>545.85066502535915</c:v>
                </c:pt>
                <c:pt idx="22">
                  <c:v>572.05149694657644</c:v>
                </c:pt>
                <c:pt idx="23">
                  <c:v>596.64971131527921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5B5-4FB7-8076-6FAA64FEC3D2}"/>
            </c:ext>
          </c:extLst>
        </c:ser>
        <c:ser>
          <c:idx val="1"/>
          <c:order val="1"/>
          <c:spPr>
            <a:ln w="47625">
              <a:solidFill>
                <a:srgbClr val="00B0F0"/>
              </a:solidFill>
            </a:ln>
          </c:spPr>
          <c:marker>
            <c:symbol val="none"/>
          </c:marker>
          <c:xVal>
            <c:numRef>
              <c:f>ОТЧЁТ!$CZ$184:$CZ$207</c:f>
              <c:numCache>
                <c:formatCode>0</c:formatCode>
                <c:ptCount val="24"/>
                <c:pt idx="0">
                  <c:v>2767.6205</c:v>
                </c:pt>
                <c:pt idx="1">
                  <c:v>2690.1271259999999</c:v>
                </c:pt>
                <c:pt idx="2">
                  <c:v>2727.788905764</c:v>
                </c:pt>
                <c:pt idx="3">
                  <c:v>2588.6716715700359</c:v>
                </c:pt>
                <c:pt idx="4">
                  <c:v>2738.8146285210983</c:v>
                </c:pt>
                <c:pt idx="5">
                  <c:v>2996.2632036020818</c:v>
                </c:pt>
                <c:pt idx="6">
                  <c:v>3143.0801005785834</c:v>
                </c:pt>
                <c:pt idx="7">
                  <c:v>3281.3756250040415</c:v>
                </c:pt>
                <c:pt idx="8">
                  <c:v>3530.7601725043487</c:v>
                </c:pt>
                <c:pt idx="9">
                  <c:v>3813.2209863046965</c:v>
                </c:pt>
                <c:pt idx="10">
                  <c:v>4030.5745825240638</c:v>
                </c:pt>
                <c:pt idx="11">
                  <c:v>4389.2957203687056</c:v>
                </c:pt>
                <c:pt idx="12">
                  <c:v>4775.553743761152</c:v>
                </c:pt>
                <c:pt idx="13">
                  <c:v>5014.3314309492098</c:v>
                </c:pt>
                <c:pt idx="14">
                  <c:v>4643.2709050589683</c:v>
                </c:pt>
                <c:pt idx="15">
                  <c:v>4875.4344503119164</c:v>
                </c:pt>
                <c:pt idx="16">
                  <c:v>5085.0781316753291</c:v>
                </c:pt>
                <c:pt idx="17">
                  <c:v>5283.3961788106672</c:v>
                </c:pt>
                <c:pt idx="18">
                  <c:v>5394.3474985656912</c:v>
                </c:pt>
                <c:pt idx="19">
                  <c:v>5437.5022785542169</c:v>
                </c:pt>
                <c:pt idx="20">
                  <c:v>5366.8147489330113</c:v>
                </c:pt>
                <c:pt idx="21">
                  <c:v>5431.2165259202075</c:v>
                </c:pt>
                <c:pt idx="22">
                  <c:v>5566.9969390682127</c:v>
                </c:pt>
                <c:pt idx="23">
                  <c:v>5706.1718625449175</c:v>
                </c:pt>
              </c:numCache>
            </c:numRef>
          </c:xVal>
          <c:yVal>
            <c:numRef>
              <c:f>ОТЧЁТ!$CY$184:$CY$207</c:f>
              <c:numCache>
                <c:formatCode>0</c:formatCode>
                <c:ptCount val="24"/>
                <c:pt idx="0">
                  <c:v>385.85347955039356</c:v>
                </c:pt>
                <c:pt idx="1">
                  <c:v>325.117283695239</c:v>
                </c:pt>
                <c:pt idx="2">
                  <c:v>304.59706066121993</c:v>
                </c:pt>
                <c:pt idx="3">
                  <c:v>282.45038291029886</c:v>
                </c:pt>
                <c:pt idx="4">
                  <c:v>280.31465222666702</c:v>
                </c:pt>
                <c:pt idx="5">
                  <c:v>300.81298145713617</c:v>
                </c:pt>
                <c:pt idx="6">
                  <c:v>315.43782612283115</c:v>
                </c:pt>
                <c:pt idx="7">
                  <c:v>310.60352993704066</c:v>
                </c:pt>
                <c:pt idx="8">
                  <c:v>324.74811447878318</c:v>
                </c:pt>
                <c:pt idx="9">
                  <c:v>341.8875982984967</c:v>
                </c:pt>
                <c:pt idx="10">
                  <c:v>356.44288867071282</c:v>
                </c:pt>
                <c:pt idx="11">
                  <c:v>381.9732333137942</c:v>
                </c:pt>
                <c:pt idx="12">
                  <c:v>430.7731224963469</c:v>
                </c:pt>
                <c:pt idx="13">
                  <c:v>449.23482774619032</c:v>
                </c:pt>
                <c:pt idx="14">
                  <c:v>419.64160475211088</c:v>
                </c:pt>
                <c:pt idx="15">
                  <c:v>424.83716747761321</c:v>
                </c:pt>
                <c:pt idx="16">
                  <c:v>451.31311751217203</c:v>
                </c:pt>
                <c:pt idx="17">
                  <c:v>463.90992252454254</c:v>
                </c:pt>
                <c:pt idx="18">
                  <c:v>458.0031360477364</c:v>
                </c:pt>
                <c:pt idx="19">
                  <c:v>447.5526676656948</c:v>
                </c:pt>
                <c:pt idx="20">
                  <c:v>407.64928898830772</c:v>
                </c:pt>
                <c:pt idx="21">
                  <c:v>402.00987194696756</c:v>
                </c:pt>
                <c:pt idx="22">
                  <c:v>411.0305812687044</c:v>
                </c:pt>
                <c:pt idx="23">
                  <c:v>418.24867928122808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5B5-4FB7-8076-6FAA64FEC3D2}"/>
            </c:ext>
          </c:extLst>
        </c:ser>
        <c:ser>
          <c:idx val="2"/>
          <c:order val="2"/>
          <c:marker>
            <c:symbol val="none"/>
          </c:marker>
          <c:trendline>
            <c:spPr>
              <a:ln w="50800">
                <a:prstDash val="lgDash"/>
              </a:ln>
            </c:spPr>
            <c:trendlineType val="linear"/>
            <c:forward val="1000"/>
            <c:backward val="500"/>
            <c:dispRSqr val="1"/>
            <c:dispEq val="1"/>
            <c:trendlineLbl>
              <c:layout>
                <c:manualLayout>
                  <c:x val="-9.0603112775986705E-2"/>
                  <c:y val="0.63463427108728665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sz="2000">
                      <a:latin typeface="Arial" pitchFamily="34" charset="0"/>
                      <a:cs typeface="Arial" pitchFamily="34" charset="0"/>
                    </a:defRPr>
                  </a:pPr>
                  <a:endParaRPr lang="ru-RU"/>
                </a:p>
              </c:txPr>
            </c:trendlineLbl>
          </c:trendline>
          <c:xVal>
            <c:numRef>
              <c:f>ОТЧЁТ!$CZ$204:$CZ$207</c:f>
              <c:numCache>
                <c:formatCode>0</c:formatCode>
                <c:ptCount val="4"/>
                <c:pt idx="0">
                  <c:v>5366.8147489330113</c:v>
                </c:pt>
                <c:pt idx="1">
                  <c:v>5431.2165259202075</c:v>
                </c:pt>
                <c:pt idx="2">
                  <c:v>5566.9969390682127</c:v>
                </c:pt>
                <c:pt idx="3">
                  <c:v>5706.1718625449175</c:v>
                </c:pt>
              </c:numCache>
            </c:numRef>
          </c:xVal>
          <c:yVal>
            <c:numRef>
              <c:f>ОТЧЁТ!$CW$204:$CW$207</c:f>
              <c:numCache>
                <c:formatCode>0</c:formatCode>
                <c:ptCount val="4"/>
                <c:pt idx="0">
                  <c:v>546.9445541336263</c:v>
                </c:pt>
                <c:pt idx="1">
                  <c:v>545.85066502535915</c:v>
                </c:pt>
                <c:pt idx="2">
                  <c:v>572.05149694657644</c:v>
                </c:pt>
                <c:pt idx="3">
                  <c:v>596.64971131527921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D5B5-4FB7-8076-6FAA64FEC3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139840"/>
        <c:axId val="149141376"/>
      </c:scatterChart>
      <c:valAx>
        <c:axId val="149139840"/>
        <c:scaling>
          <c:orientation val="minMax"/>
          <c:max val="8000"/>
          <c:min val="2000"/>
        </c:scaling>
        <c:delete val="0"/>
        <c:axPos val="b"/>
        <c:numFmt formatCode="#,##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49141376"/>
        <c:crosses val="autoZero"/>
        <c:crossBetween val="midCat"/>
        <c:majorUnit val="1000"/>
        <c:minorUnit val="20"/>
      </c:valAx>
      <c:valAx>
        <c:axId val="149141376"/>
        <c:scaling>
          <c:orientation val="minMax"/>
          <c:max val="800"/>
          <c:min val="10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txPr>
          <a:bodyPr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49139840"/>
        <c:crosses val="autoZero"/>
        <c:crossBetween val="midCat"/>
        <c:majorUnit val="200"/>
      </c:valAx>
      <c:spPr>
        <a:solidFill>
          <a:sysClr val="window" lastClr="FFFFFF"/>
        </a:solidFill>
      </c:spPr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2000"/>
            </a:pPr>
            <a:r>
              <a:rPr lang="ru-RU" sz="2000" b="0"/>
              <a:t>Тренд </a:t>
            </a:r>
          </a:p>
        </c:rich>
      </c:tx>
      <c:layout>
        <c:manualLayout>
          <c:xMode val="edge"/>
          <c:yMode val="edge"/>
          <c:x val="0.69005261426085163"/>
          <c:y val="0.42391776625192051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6.995915009311264E-2"/>
          <c:y val="1.9307946574937517E-2"/>
          <c:w val="0.90545844763197625"/>
          <c:h val="0.91983587372679365"/>
        </c:manualLayout>
      </c:layout>
      <c:scatterChart>
        <c:scatterStyle val="smoothMarker"/>
        <c:varyColors val="0"/>
        <c:ser>
          <c:idx val="1"/>
          <c:order val="0"/>
          <c:spPr>
            <a:ln w="101600">
              <a:solidFill>
                <a:srgbClr val="FF0000"/>
              </a:solidFill>
            </a:ln>
          </c:spPr>
          <c:marker>
            <c:symbol val="circle"/>
            <c:size val="12"/>
            <c:spPr>
              <a:noFill/>
              <a:ln>
                <a:solidFill>
                  <a:schemeClr val="tx1"/>
                </a:solidFill>
              </a:ln>
            </c:spPr>
          </c:marker>
          <c:xVal>
            <c:numRef>
              <c:f>ОТЧЁТ!$CW$229:$CW$252</c:f>
              <c:numCache>
                <c:formatCode>0.00</c:formatCode>
                <c:ptCount val="24"/>
                <c:pt idx="0">
                  <c:v>1.65</c:v>
                </c:pt>
                <c:pt idx="1">
                  <c:v>2.0634999999999999</c:v>
                </c:pt>
                <c:pt idx="2">
                  <c:v>2.3889849999999999</c:v>
                </c:pt>
                <c:pt idx="3">
                  <c:v>4.2947883400000002</c:v>
                </c:pt>
                <c:pt idx="4">
                  <c:v>8.7072610841000007</c:v>
                </c:pt>
                <c:pt idx="5">
                  <c:v>10.1028178230882</c:v>
                </c:pt>
                <c:pt idx="6">
                  <c:v>10.930931938182606</c:v>
                </c:pt>
                <c:pt idx="7">
                  <c:v>12.025335160848179</c:v>
                </c:pt>
                <c:pt idx="8">
                  <c:v>12.362875380149962</c:v>
                </c:pt>
                <c:pt idx="9">
                  <c:v>12.441649299627507</c:v>
                </c:pt>
                <c:pt idx="10">
                  <c:v>12.885216573286904</c:v>
                </c:pt>
                <c:pt idx="11">
                  <c:v>13.125636064882727</c:v>
                </c:pt>
                <c:pt idx="12">
                  <c:v>13.479879315784306</c:v>
                </c:pt>
                <c:pt idx="13">
                  <c:v>14.240751288920462</c:v>
                </c:pt>
                <c:pt idx="14">
                  <c:v>16.689517402345462</c:v>
                </c:pt>
                <c:pt idx="15">
                  <c:v>17.088688530271398</c:v>
                </c:pt>
                <c:pt idx="16">
                  <c:v>17.42560853061795</c:v>
                </c:pt>
                <c:pt idx="17">
                  <c:v>18.511248071932613</c:v>
                </c:pt>
                <c:pt idx="18">
                  <c:v>19.396558572572268</c:v>
                </c:pt>
                <c:pt idx="19">
                  <c:v>21.171590538442096</c:v>
                </c:pt>
                <c:pt idx="20">
                  <c:v>28.729683217901126</c:v>
                </c:pt>
                <c:pt idx="21">
                  <c:v>33.675109643345991</c:v>
                </c:pt>
                <c:pt idx="22">
                  <c:v>31.008032895393978</c:v>
                </c:pt>
                <c:pt idx="23">
                  <c:v>30.917946096737758</c:v>
                </c:pt>
              </c:numCache>
            </c:numRef>
          </c:xVal>
          <c:yVal>
            <c:numRef>
              <c:f>ОТЧЁТ!$CU$229:$CU$252</c:f>
              <c:numCache>
                <c:formatCode>0.00</c:formatCode>
                <c:ptCount val="24"/>
                <c:pt idx="0" formatCode="General">
                  <c:v>1</c:v>
                </c:pt>
                <c:pt idx="1">
                  <c:v>1.170751567490661</c:v>
                </c:pt>
                <c:pt idx="2">
                  <c:v>1.4027022303089887</c:v>
                </c:pt>
                <c:pt idx="3">
                  <c:v>2.0776657762662096</c:v>
                </c:pt>
                <c:pt idx="4">
                  <c:v>4.8943006185343947</c:v>
                </c:pt>
                <c:pt idx="5">
                  <c:v>5.1416113994451784</c:v>
                </c:pt>
                <c:pt idx="6">
                  <c:v>5.3433855590626731</c:v>
                </c:pt>
                <c:pt idx="7">
                  <c:v>5.6965406483895427</c:v>
                </c:pt>
                <c:pt idx="8">
                  <c:v>5.7881234617249069</c:v>
                </c:pt>
                <c:pt idx="9">
                  <c:v>5.6171649663435339</c:v>
                </c:pt>
                <c:pt idx="10">
                  <c:v>5.9336563381172791</c:v>
                </c:pt>
                <c:pt idx="11">
                  <c:v>5.9494755268032113</c:v>
                </c:pt>
                <c:pt idx="12">
                  <c:v>5.972486590341231</c:v>
                </c:pt>
                <c:pt idx="13">
                  <c:v>6.6180737006266339</c:v>
                </c:pt>
                <c:pt idx="14">
                  <c:v>8.3015732196072332</c:v>
                </c:pt>
                <c:pt idx="15">
                  <c:v>8.1216053754514945</c:v>
                </c:pt>
                <c:pt idx="16">
                  <c:v>8.28287419187604</c:v>
                </c:pt>
                <c:pt idx="17">
                  <c:v>8.6670199170643656</c:v>
                </c:pt>
                <c:pt idx="18">
                  <c:v>9.0619465420277994</c:v>
                </c:pt>
                <c:pt idx="19">
                  <c:v>10.713774916786438</c:v>
                </c:pt>
                <c:pt idx="20">
                  <c:v>15.005583237946574</c:v>
                </c:pt>
                <c:pt idx="21">
                  <c:v>16.052012422908838</c:v>
                </c:pt>
                <c:pt idx="22">
                  <c:v>14.742627700481556</c:v>
                </c:pt>
                <c:pt idx="23">
                  <c:v>16.237654558609506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098-4961-AE4D-1175BA9775B8}"/>
            </c:ext>
          </c:extLst>
        </c:ser>
        <c:ser>
          <c:idx val="2"/>
          <c:order val="1"/>
          <c:trendline>
            <c:spPr>
              <a:ln w="28575">
                <a:prstDash val="lgDash"/>
              </a:ln>
            </c:spPr>
            <c:trendlineType val="linear"/>
            <c:forward val="20"/>
            <c:dispRSqr val="1"/>
            <c:dispEq val="1"/>
            <c:trendlineLbl>
              <c:layout>
                <c:manualLayout>
                  <c:x val="5.0600150176738239E-2"/>
                  <c:y val="0.38324602939991592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sz="1600">
                      <a:latin typeface="Arial" panose="020B0604020202020204" pitchFamily="34" charset="0"/>
                      <a:cs typeface="Arial" panose="020B0604020202020204" pitchFamily="34" charset="0"/>
                    </a:defRPr>
                  </a:pPr>
                  <a:endParaRPr lang="ru-RU"/>
                </a:p>
              </c:txPr>
            </c:trendlineLbl>
          </c:trendline>
          <c:xVal>
            <c:numRef>
              <c:f>ОТЧЁТ!$CW$244:$CW$249</c:f>
              <c:numCache>
                <c:formatCode>0.00</c:formatCode>
                <c:ptCount val="6"/>
                <c:pt idx="0">
                  <c:v>17.088688530271398</c:v>
                </c:pt>
                <c:pt idx="1">
                  <c:v>17.42560853061795</c:v>
                </c:pt>
                <c:pt idx="2">
                  <c:v>18.511248071932613</c:v>
                </c:pt>
                <c:pt idx="3">
                  <c:v>19.396558572572268</c:v>
                </c:pt>
                <c:pt idx="4">
                  <c:v>21.171590538442096</c:v>
                </c:pt>
                <c:pt idx="5">
                  <c:v>28.729683217901126</c:v>
                </c:pt>
              </c:numCache>
            </c:numRef>
          </c:xVal>
          <c:yVal>
            <c:numRef>
              <c:f>ОТЧЁТ!$CV$244:$CV$249</c:f>
              <c:numCache>
                <c:formatCode>0.00</c:formatCode>
                <c:ptCount val="6"/>
                <c:pt idx="0">
                  <c:v>8.1216053754514945</c:v>
                </c:pt>
                <c:pt idx="1">
                  <c:v>8.28287419187604</c:v>
                </c:pt>
                <c:pt idx="2">
                  <c:v>8.6670199170643656</c:v>
                </c:pt>
                <c:pt idx="3">
                  <c:v>9.0619465420277994</c:v>
                </c:pt>
                <c:pt idx="4">
                  <c:v>10.713774916786438</c:v>
                </c:pt>
                <c:pt idx="5">
                  <c:v>15.005583237946574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2098-4961-AE4D-1175BA9775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276160"/>
        <c:axId val="149277696"/>
      </c:scatterChart>
      <c:valAx>
        <c:axId val="149276160"/>
        <c:scaling>
          <c:orientation val="minMax"/>
          <c:max val="60"/>
          <c:min val="0"/>
        </c:scaling>
        <c:delete val="0"/>
        <c:axPos val="b"/>
        <c:numFmt formatCode="#,##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49277696"/>
        <c:crosses val="autoZero"/>
        <c:crossBetween val="midCat"/>
        <c:majorUnit val="20"/>
      </c:valAx>
      <c:valAx>
        <c:axId val="149277696"/>
        <c:scaling>
          <c:orientation val="minMax"/>
          <c:max val="30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txPr>
          <a:bodyPr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49276160"/>
        <c:crosses val="autoZero"/>
        <c:crossBetween val="midCat"/>
        <c:majorUnit val="10"/>
        <c:minorUnit val="10"/>
      </c:valAx>
      <c:spPr>
        <a:solidFill>
          <a:sysClr val="window" lastClr="FFFFFF"/>
        </a:solidFill>
      </c:spPr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ru-RU" sz="2000" b="0">
                <a:latin typeface="Arial" panose="020B0604020202020204" pitchFamily="34" charset="0"/>
                <a:cs typeface="Arial" panose="020B0604020202020204" pitchFamily="34" charset="0"/>
              </a:rPr>
              <a:t>Экспертный</a:t>
            </a:r>
            <a:r>
              <a:rPr lang="ru-RU" sz="2000" b="0" baseline="0">
                <a:latin typeface="Arial" panose="020B0604020202020204" pitchFamily="34" charset="0"/>
                <a:cs typeface="Arial" panose="020B0604020202020204" pitchFamily="34" charset="0"/>
              </a:rPr>
              <a:t>  прогноз</a:t>
            </a:r>
            <a:endParaRPr lang="ru-RU" sz="2000" b="0"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layout>
        <c:manualLayout>
          <c:xMode val="edge"/>
          <c:yMode val="edge"/>
          <c:x val="0.64229437105485865"/>
          <c:y val="0.5584506645092967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7.6747538294661341E-2"/>
          <c:y val="3.8287840759786411E-2"/>
          <c:w val="0.8954090951582887"/>
          <c:h val="0.90222121668189992"/>
        </c:manualLayout>
      </c:layout>
      <c:scatterChart>
        <c:scatterStyle val="smoothMarker"/>
        <c:varyColors val="0"/>
        <c:ser>
          <c:idx val="0"/>
          <c:order val="0"/>
          <c:spPr>
            <a:ln w="101600">
              <a:solidFill>
                <a:srgbClr val="0070C0">
                  <a:alpha val="48000"/>
                </a:srgbClr>
              </a:solidFill>
            </a:ln>
          </c:spPr>
          <c:marker>
            <c:symbol val="none"/>
          </c:marker>
          <c:xVal>
            <c:numRef>
              <c:f>ОТЧЁТ!$DO$227:$DO$250</c:f>
              <c:numCache>
                <c:formatCode>General</c:formatCode>
                <c:ptCount val="24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</c:numCache>
            </c:numRef>
          </c:xVal>
          <c:yVal>
            <c:numRef>
              <c:f>ОТЧЁТ!$DR$227:$DR$250</c:f>
              <c:numCache>
                <c:formatCode>General</c:formatCode>
                <c:ptCount val="24"/>
                <c:pt idx="0">
                  <c:v>0.13365369276604216</c:v>
                </c:pt>
                <c:pt idx="1">
                  <c:v>0.13929134853086492</c:v>
                </c:pt>
                <c:pt idx="2">
                  <c:v>0.1379176665926907</c:v>
                </c:pt>
                <c:pt idx="3">
                  <c:v>0.12004214183937038</c:v>
                </c:pt>
                <c:pt idx="4">
                  <c:v>9.4172946811604347E-2</c:v>
                </c:pt>
                <c:pt idx="5">
                  <c:v>0.11397164678113725</c:v>
                </c:pt>
                <c:pt idx="6">
                  <c:v>0.12896505693918964</c:v>
                </c:pt>
                <c:pt idx="7">
                  <c:v>0.14156509123784608</c:v>
                </c:pt>
                <c:pt idx="8">
                  <c:v>0.15432700002044</c:v>
                </c:pt>
                <c:pt idx="9">
                  <c:v>0.17618999169000235</c:v>
                </c:pt>
                <c:pt idx="10">
                  <c:v>0.19435906368074052</c:v>
                </c:pt>
                <c:pt idx="11">
                  <c:v>0.2164899396186761</c:v>
                </c:pt>
                <c:pt idx="12">
                  <c:v>0.25111241157975112</c:v>
                </c:pt>
                <c:pt idx="13">
                  <c:v>0.27454956999386115</c:v>
                </c:pt>
                <c:pt idx="14">
                  <c:v>0.20635691222000796</c:v>
                </c:pt>
                <c:pt idx="15">
                  <c:v>0.24723523387882859</c:v>
                </c:pt>
                <c:pt idx="16">
                  <c:v>0.28516201951699982</c:v>
                </c:pt>
                <c:pt idx="17">
                  <c:v>0.30108059231005663</c:v>
                </c:pt>
                <c:pt idx="18">
                  <c:v>0.30520902354643348</c:v>
                </c:pt>
                <c:pt idx="19">
                  <c:v>0.2806832984400236</c:v>
                </c:pt>
                <c:pt idx="20">
                  <c:v>0.21300080094384774</c:v>
                </c:pt>
                <c:pt idx="21">
                  <c:v>0.20289799615599724</c:v>
                </c:pt>
                <c:pt idx="22">
                  <c:v>0.23239243657282024</c:v>
                </c:pt>
                <c:pt idx="23">
                  <c:v>0.23284588522954772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EED-40A1-ACC6-122F4E58D14B}"/>
            </c:ext>
          </c:extLst>
        </c:ser>
        <c:ser>
          <c:idx val="1"/>
          <c:order val="1"/>
          <c:spPr>
            <a:ln w="50800">
              <a:solidFill>
                <a:srgbClr val="FF0000"/>
              </a:solidFill>
              <a:prstDash val="lgDash"/>
            </a:ln>
          </c:spPr>
          <c:marker>
            <c:symbol val="none"/>
          </c:marker>
          <c:xVal>
            <c:numRef>
              <c:f>ОТЧЁТ!$DO$250:$DO$267</c:f>
              <c:numCache>
                <c:formatCode>General</c:formatCode>
                <c:ptCount val="18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</c:numCache>
            </c:numRef>
          </c:xVal>
          <c:yVal>
            <c:numRef>
              <c:f>ОТЧЁТ!$DR$250:$DR$267</c:f>
              <c:numCache>
                <c:formatCode>0.000</c:formatCode>
                <c:ptCount val="18"/>
                <c:pt idx="0" formatCode="General">
                  <c:v>0.23284588522954772</c:v>
                </c:pt>
                <c:pt idx="1">
                  <c:v>0.23384588522954772</c:v>
                </c:pt>
                <c:pt idx="2">
                  <c:v>0.23484588522954772</c:v>
                </c:pt>
                <c:pt idx="3">
                  <c:v>0.23584588522954772</c:v>
                </c:pt>
                <c:pt idx="4">
                  <c:v>0.23684588522954772</c:v>
                </c:pt>
                <c:pt idx="5">
                  <c:v>0.23784588522954772</c:v>
                </c:pt>
                <c:pt idx="6">
                  <c:v>0.23884588522954772</c:v>
                </c:pt>
                <c:pt idx="7">
                  <c:v>0.23984588522954772</c:v>
                </c:pt>
                <c:pt idx="8">
                  <c:v>0.24084588522954772</c:v>
                </c:pt>
                <c:pt idx="9">
                  <c:v>0.24184588522954772</c:v>
                </c:pt>
                <c:pt idx="10">
                  <c:v>0.24284588522954773</c:v>
                </c:pt>
                <c:pt idx="11">
                  <c:v>0.24384588522954773</c:v>
                </c:pt>
                <c:pt idx="12">
                  <c:v>0.24484588522954773</c:v>
                </c:pt>
                <c:pt idx="13">
                  <c:v>0.24584588522954773</c:v>
                </c:pt>
                <c:pt idx="14">
                  <c:v>0.24684588522954773</c:v>
                </c:pt>
                <c:pt idx="15">
                  <c:v>0.24784588522954773</c:v>
                </c:pt>
                <c:pt idx="16">
                  <c:v>0.24884588522954773</c:v>
                </c:pt>
                <c:pt idx="17">
                  <c:v>0.24984588522954773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EED-40A1-ACC6-122F4E58D1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306368"/>
        <c:axId val="149324544"/>
      </c:scatterChart>
      <c:valAx>
        <c:axId val="149306368"/>
        <c:scaling>
          <c:orientation val="minMax"/>
          <c:max val="2035"/>
          <c:min val="1995"/>
        </c:scaling>
        <c:delete val="0"/>
        <c:axPos val="b"/>
        <c:numFmt formatCode="#,##0" sourceLinked="0"/>
        <c:majorTickMark val="in"/>
        <c:minorTickMark val="none"/>
        <c:tickLblPos val="nextTo"/>
        <c:spPr>
          <a:ln/>
        </c:spPr>
        <c:txPr>
          <a:bodyPr rot="0" vert="horz"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49324544"/>
        <c:crosses val="autoZero"/>
        <c:crossBetween val="midCat"/>
        <c:majorUnit val="5"/>
      </c:valAx>
      <c:valAx>
        <c:axId val="149324544"/>
        <c:scaling>
          <c:orientation val="minMax"/>
          <c:max val="0.4"/>
          <c:min val="0"/>
        </c:scaling>
        <c:delete val="0"/>
        <c:axPos val="l"/>
        <c:majorGridlines/>
        <c:numFmt formatCode="0.00" sourceLinked="0"/>
        <c:majorTickMark val="out"/>
        <c:minorTickMark val="none"/>
        <c:tickLblPos val="nextTo"/>
        <c:txPr>
          <a:bodyPr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49306368"/>
        <c:crosses val="autoZero"/>
        <c:crossBetween val="midCat"/>
        <c:majorUnit val="0.1"/>
      </c:valAx>
      <c:spPr>
        <a:solidFill>
          <a:sysClr val="window" lastClr="FFFFFF"/>
        </a:solidFill>
        <a:ln>
          <a:solidFill>
            <a:schemeClr val="accent2">
              <a:lumMod val="50000"/>
            </a:schemeClr>
          </a:solidFill>
          <a:prstDash val="lgDash"/>
        </a:ln>
      </c:spPr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landscape"/>
  </c:printSettings>
  <c:userShapes r:id="rId1"/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>
                <a:latin typeface="Arial" panose="020B0604020202020204" pitchFamily="34" charset="0"/>
                <a:cs typeface="Arial" panose="020B0604020202020204" pitchFamily="34" charset="0"/>
              </a:defRPr>
            </a:pPr>
            <a:r>
              <a:rPr lang="ru-RU" sz="1600" b="0">
                <a:latin typeface="Arial" panose="020B0604020202020204" pitchFamily="34" charset="0"/>
                <a:cs typeface="Arial" panose="020B0604020202020204" pitchFamily="34" charset="0"/>
              </a:rPr>
              <a:t>Тренд 2</a:t>
            </a:r>
          </a:p>
        </c:rich>
      </c:tx>
      <c:layout>
        <c:manualLayout>
          <c:xMode val="edge"/>
          <c:yMode val="edge"/>
          <c:x val="0.61279055724972464"/>
          <c:y val="0.36380582233152747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7.7598611648954124E-2"/>
          <c:y val="1.3474917612596119E-2"/>
          <c:w val="0.89969291546811303"/>
          <c:h val="0.93062493332603702"/>
        </c:manualLayout>
      </c:layout>
      <c:scatterChart>
        <c:scatterStyle val="smoothMarker"/>
        <c:varyColors val="0"/>
        <c:ser>
          <c:idx val="0"/>
          <c:order val="0"/>
          <c:spPr>
            <a:ln w="57150">
              <a:solidFill>
                <a:srgbClr val="00B0F0"/>
              </a:solidFill>
            </a:ln>
          </c:spPr>
          <c:marker>
            <c:symbol val="none"/>
          </c:marker>
          <c:trendline>
            <c:spPr>
              <a:ln>
                <a:prstDash val="lgDash"/>
              </a:ln>
            </c:spPr>
            <c:trendlineType val="linear"/>
            <c:forward val="5"/>
            <c:dispRSqr val="1"/>
            <c:dispEq val="1"/>
            <c:trendlineLbl>
              <c:layout>
                <c:manualLayout>
                  <c:x val="0.11086717439008648"/>
                  <c:y val="0.2381597366118709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sz="1600">
                      <a:latin typeface="Arial" panose="020B0604020202020204" pitchFamily="34" charset="0"/>
                      <a:cs typeface="Arial" panose="020B0604020202020204" pitchFamily="34" charset="0"/>
                    </a:defRPr>
                  </a:pPr>
                  <a:endParaRPr lang="ru-RU"/>
                </a:p>
              </c:txPr>
            </c:trendlineLbl>
          </c:trendline>
          <c:xVal>
            <c:numRef>
              <c:f>ОТЧЁТ!$DR$321:$DR$335</c:f>
              <c:numCache>
                <c:formatCode>0.00</c:formatCode>
                <c:ptCount val="15"/>
                <c:pt idx="0">
                  <c:v>1.0656000000000001</c:v>
                </c:pt>
                <c:pt idx="1">
                  <c:v>1.3617249999999999</c:v>
                </c:pt>
                <c:pt idx="2">
                  <c:v>1.6430500000000001</c:v>
                </c:pt>
                <c:pt idx="3">
                  <c:v>2.7226749999999997</c:v>
                </c:pt>
                <c:pt idx="4">
                  <c:v>6.6238250000000001</c:v>
                </c:pt>
                <c:pt idx="5">
                  <c:v>7.5709499999999998</c:v>
                </c:pt>
                <c:pt idx="6">
                  <c:v>8.1554500000000001</c:v>
                </c:pt>
                <c:pt idx="7">
                  <c:v>9.044550000000001</c:v>
                </c:pt>
                <c:pt idx="8">
                  <c:v>9.2703750000000014</c:v>
                </c:pt>
                <c:pt idx="9">
                  <c:v>9.6063999999999989</c:v>
                </c:pt>
                <c:pt idx="10">
                  <c:v>10.340425</c:v>
                </c:pt>
                <c:pt idx="11">
                  <c:v>11.316575</c:v>
                </c:pt>
                <c:pt idx="12">
                  <c:v>13.123025</c:v>
                </c:pt>
                <c:pt idx="13">
                  <c:v>15.86675</c:v>
                </c:pt>
                <c:pt idx="14">
                  <c:v>17.689425</c:v>
                </c:pt>
              </c:numCache>
            </c:numRef>
          </c:xVal>
          <c:yVal>
            <c:numRef>
              <c:f>ОТЧЁТ!$DP$321:$DP$335</c:f>
              <c:numCache>
                <c:formatCode>0.00</c:formatCode>
                <c:ptCount val="15"/>
                <c:pt idx="0" formatCode="General">
                  <c:v>1</c:v>
                </c:pt>
                <c:pt idx="1">
                  <c:v>1.218</c:v>
                </c:pt>
                <c:pt idx="2">
                  <c:v>1.3519800000000002</c:v>
                </c:pt>
                <c:pt idx="3">
                  <c:v>2.4930511200000005</c:v>
                </c:pt>
                <c:pt idx="4">
                  <c:v>3.4030147788000007</c:v>
                </c:pt>
                <c:pt idx="5">
                  <c:v>4.0904237641176007</c:v>
                </c:pt>
                <c:pt idx="6">
                  <c:v>4.8512425842434741</c:v>
                </c:pt>
                <c:pt idx="7">
                  <c:v>5.5837802144642392</c:v>
                </c:pt>
                <c:pt idx="8">
                  <c:v>6.2538338401999489</c:v>
                </c:pt>
                <c:pt idx="9">
                  <c:v>6.9855323995033425</c:v>
                </c:pt>
                <c:pt idx="10">
                  <c:v>7.7469554310492068</c:v>
                </c:pt>
                <c:pt idx="11">
                  <c:v>8.4441814198436358</c:v>
                </c:pt>
                <c:pt idx="12">
                  <c:v>9.4465057543790749</c:v>
                </c:pt>
                <c:pt idx="13">
                  <c:v>10.701001718560617</c:v>
                </c:pt>
                <c:pt idx="14">
                  <c:v>11.642689869793951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67F-4A90-A3BD-29F3EF780ED6}"/>
            </c:ext>
          </c:extLst>
        </c:ser>
        <c:ser>
          <c:idx val="1"/>
          <c:order val="1"/>
          <c:spPr>
            <a:ln w="161925">
              <a:solidFill>
                <a:srgbClr val="FFC000"/>
              </a:solidFill>
            </a:ln>
          </c:spPr>
          <c:marker>
            <c:symbol val="none"/>
          </c:marker>
          <c:trendline>
            <c:spPr>
              <a:ln w="28575">
                <a:prstDash val="lgDashDotDot"/>
              </a:ln>
            </c:spPr>
            <c:trendlineType val="linear"/>
            <c:forward val="10"/>
            <c:dispRSqr val="1"/>
            <c:dispEq val="1"/>
            <c:trendlineLbl>
              <c:layout>
                <c:manualLayout>
                  <c:x val="-2.2975029760624738E-2"/>
                  <c:y val="0.25702329971911408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sz="1600">
                      <a:latin typeface="Arial" panose="020B0604020202020204" pitchFamily="34" charset="0"/>
                      <a:cs typeface="Arial" panose="020B0604020202020204" pitchFamily="34" charset="0"/>
                    </a:defRPr>
                  </a:pPr>
                  <a:endParaRPr lang="ru-RU"/>
                </a:p>
              </c:txPr>
            </c:trendlineLbl>
          </c:trendline>
          <c:xVal>
            <c:numRef>
              <c:f>ОТЧЁТ!$DR$335:$DR$344</c:f>
              <c:numCache>
                <c:formatCode>0.00</c:formatCode>
                <c:ptCount val="10"/>
                <c:pt idx="0">
                  <c:v>17.689425</c:v>
                </c:pt>
                <c:pt idx="1">
                  <c:v>19.040700000000001</c:v>
                </c:pt>
                <c:pt idx="2">
                  <c:v>22.356425000000002</c:v>
                </c:pt>
                <c:pt idx="3">
                  <c:v>25.923599999999997</c:v>
                </c:pt>
                <c:pt idx="4">
                  <c:v>28.335949999999997</c:v>
                </c:pt>
                <c:pt idx="5">
                  <c:v>31.549199999999999</c:v>
                </c:pt>
                <c:pt idx="6">
                  <c:v>37.776775000000001</c:v>
                </c:pt>
                <c:pt idx="7">
                  <c:v>44.604774999999997</c:v>
                </c:pt>
                <c:pt idx="8">
                  <c:v>43.978499999999997</c:v>
                </c:pt>
                <c:pt idx="9">
                  <c:v>46.231650000000002</c:v>
                </c:pt>
              </c:numCache>
            </c:numRef>
          </c:xVal>
          <c:yVal>
            <c:numRef>
              <c:f>ОТЧЁТ!$DQ$335:$DQ$344</c:f>
              <c:numCache>
                <c:formatCode>0.00</c:formatCode>
                <c:ptCount val="10"/>
                <c:pt idx="0">
                  <c:v>11.642689869793951</c:v>
                </c:pt>
                <c:pt idx="1">
                  <c:v>12.664918040361862</c:v>
                </c:pt>
                <c:pt idx="2">
                  <c:v>13.437478040823935</c:v>
                </c:pt>
                <c:pt idx="3">
                  <c:v>14.321664095910151</c:v>
                </c:pt>
                <c:pt idx="4">
                  <c:v>15.245411430096356</c:v>
                </c:pt>
                <c:pt idx="5">
                  <c:v>17.318787384589459</c:v>
                </c:pt>
                <c:pt idx="6">
                  <c:v>19.552910957201501</c:v>
                </c:pt>
                <c:pt idx="7">
                  <c:v>20.606812857794662</c:v>
                </c:pt>
                <c:pt idx="8">
                  <c:v>21.124043860525305</c:v>
                </c:pt>
                <c:pt idx="9">
                  <c:v>22.02392812898368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467F-4A90-A3BD-29F3EF780E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407232"/>
        <c:axId val="149408768"/>
      </c:scatterChart>
      <c:valAx>
        <c:axId val="149407232"/>
        <c:scaling>
          <c:orientation val="minMax"/>
          <c:max val="70"/>
          <c:min val="0"/>
        </c:scaling>
        <c:delete val="0"/>
        <c:axPos val="b"/>
        <c:numFmt formatCode="#,##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49408768"/>
        <c:crosses val="autoZero"/>
        <c:crossBetween val="midCat"/>
        <c:majorUnit val="20"/>
        <c:minorUnit val="20"/>
      </c:valAx>
      <c:valAx>
        <c:axId val="149408768"/>
        <c:scaling>
          <c:orientation val="minMax"/>
          <c:max val="30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txPr>
          <a:bodyPr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49407232"/>
        <c:crosses val="autoZero"/>
        <c:crossBetween val="midCat"/>
        <c:majorUnit val="10"/>
        <c:minorUnit val="10"/>
      </c:valAx>
      <c:spPr>
        <a:solidFill>
          <a:sysClr val="window" lastClr="FFFFFF"/>
        </a:solidFill>
      </c:spPr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2400"/>
              <a:t>Pd</a:t>
            </a:r>
            <a:endParaRPr lang="ru-RU" sz="2400"/>
          </a:p>
        </c:rich>
      </c:tx>
      <c:layout>
        <c:manualLayout>
          <c:xMode val="edge"/>
          <c:yMode val="edge"/>
          <c:x val="8.1594814751735092E-2"/>
          <c:y val="4.7817444603561923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6.3026717158949933E-2"/>
          <c:y val="3.9682956442489085E-2"/>
          <c:w val="0.90474401401515658"/>
          <c:h val="0.90082606041883762"/>
        </c:manualLayout>
      </c:layout>
      <c:scatterChart>
        <c:scatterStyle val="smoothMarker"/>
        <c:varyColors val="0"/>
        <c:ser>
          <c:idx val="0"/>
          <c:order val="0"/>
          <c:spPr>
            <a:ln w="95250"/>
          </c:spPr>
          <c:marker>
            <c:symbol val="none"/>
          </c:marker>
          <c:xVal>
            <c:numRef>
              <c:f>ОТЧЁТ!$DZ$49:$DZ$89</c:f>
              <c:numCache>
                <c:formatCode>General</c:formatCode>
                <c:ptCount val="41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  <c:pt idx="36">
                  <c:v>2031</c:v>
                </c:pt>
                <c:pt idx="37">
                  <c:v>2032</c:v>
                </c:pt>
                <c:pt idx="38">
                  <c:v>2033</c:v>
                </c:pt>
                <c:pt idx="39">
                  <c:v>2034</c:v>
                </c:pt>
                <c:pt idx="40">
                  <c:v>2035</c:v>
                </c:pt>
              </c:numCache>
            </c:numRef>
          </c:xVal>
          <c:yVal>
            <c:numRef>
              <c:f>ОТЧЁТ!$EA$49:$EA$89</c:f>
              <c:numCache>
                <c:formatCode>0.00</c:formatCode>
                <c:ptCount val="41"/>
                <c:pt idx="0">
                  <c:v>1</c:v>
                </c:pt>
                <c:pt idx="1">
                  <c:v>0.95099999999999996</c:v>
                </c:pt>
                <c:pt idx="2">
                  <c:v>0.99855000000000005</c:v>
                </c:pt>
                <c:pt idx="3">
                  <c:v>0.96459930000000005</c:v>
                </c:pt>
                <c:pt idx="4">
                  <c:v>0.94144891679999998</c:v>
                </c:pt>
                <c:pt idx="5">
                  <c:v>0.99699440289119989</c:v>
                </c:pt>
                <c:pt idx="6">
                  <c:v>1.0787479439282783</c:v>
                </c:pt>
                <c:pt idx="7">
                  <c:v>1.1618115356107557</c:v>
                </c:pt>
                <c:pt idx="8">
                  <c:v>1.2512710238527838</c:v>
                </c:pt>
                <c:pt idx="9">
                  <c:v>1.4076799018343817</c:v>
                </c:pt>
                <c:pt idx="10">
                  <c:v>1.5794168498581764</c:v>
                </c:pt>
                <c:pt idx="11">
                  <c:v>1.7721057055408742</c:v>
                </c:pt>
                <c:pt idx="12">
                  <c:v>2.0255168214332193</c:v>
                </c:pt>
                <c:pt idx="13">
                  <c:v>2.2402216045051406</c:v>
                </c:pt>
                <c:pt idx="14">
                  <c:v>2.1259703026753782</c:v>
                </c:pt>
                <c:pt idx="15">
                  <c:v>2.2428986693225239</c:v>
                </c:pt>
                <c:pt idx="16">
                  <c:v>2.3954157788364556</c:v>
                </c:pt>
                <c:pt idx="17">
                  <c:v>2.5846536253645356</c:v>
                </c:pt>
                <c:pt idx="18">
                  <c:v>2.7190556138834916</c:v>
                </c:pt>
                <c:pt idx="19">
                  <c:v>2.7734367261611617</c:v>
                </c:pt>
                <c:pt idx="20">
                  <c:v>2.5127336739020127</c:v>
                </c:pt>
                <c:pt idx="21">
                  <c:v>2.4649917340978744</c:v>
                </c:pt>
                <c:pt idx="22">
                  <c:v>2.5463364613231039</c:v>
                </c:pt>
                <c:pt idx="23">
                  <c:v>2.6049021999335351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0B3-4DBD-8001-A545E57008D3}"/>
            </c:ext>
          </c:extLst>
        </c:ser>
        <c:ser>
          <c:idx val="1"/>
          <c:order val="1"/>
          <c:spPr>
            <a:ln w="34925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ОТЧЁТ!$DZ$49:$DZ$89</c:f>
              <c:numCache>
                <c:formatCode>General</c:formatCode>
                <c:ptCount val="41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  <c:pt idx="36">
                  <c:v>2031</c:v>
                </c:pt>
                <c:pt idx="37">
                  <c:v>2032</c:v>
                </c:pt>
                <c:pt idx="38">
                  <c:v>2033</c:v>
                </c:pt>
                <c:pt idx="39">
                  <c:v>2034</c:v>
                </c:pt>
                <c:pt idx="40">
                  <c:v>2035</c:v>
                </c:pt>
              </c:numCache>
            </c:numRef>
          </c:xVal>
          <c:yVal>
            <c:numRef>
              <c:f>ОТЧЁТ!$EB$49:$EB$89</c:f>
              <c:numCache>
                <c:formatCode>0.00</c:formatCode>
                <c:ptCount val="4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934-4964-B3B6-2A2BE3CEF2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197568"/>
        <c:axId val="149199488"/>
      </c:scatterChart>
      <c:valAx>
        <c:axId val="149197568"/>
        <c:scaling>
          <c:orientation val="minMax"/>
          <c:max val="2035"/>
          <c:min val="1995"/>
        </c:scaling>
        <c:delete val="0"/>
        <c:axPos val="b"/>
        <c:title>
          <c:tx>
            <c:rich>
              <a:bodyPr/>
              <a:lstStyle/>
              <a:p>
                <a:pPr>
                  <a:defRPr sz="2000"/>
                </a:pPr>
                <a:r>
                  <a:rPr lang="en-US" sz="2000" b="1"/>
                  <a:t>Pd</a:t>
                </a:r>
                <a:r>
                  <a:rPr lang="en-US" sz="2000" b="0" baseline="0"/>
                  <a:t> - </a:t>
                </a:r>
                <a:r>
                  <a:rPr lang="ru-RU" sz="2000" b="0" baseline="0"/>
                  <a:t>отчёт</a:t>
                </a:r>
                <a:endParaRPr lang="en-US" sz="2000" b="0"/>
              </a:p>
            </c:rich>
          </c:tx>
          <c:layout>
            <c:manualLayout>
              <c:xMode val="edge"/>
              <c:yMode val="edge"/>
              <c:x val="8.8251124477704945E-2"/>
              <c:y val="0.75710498400186288"/>
            </c:manualLayout>
          </c:layout>
          <c:overlay val="0"/>
        </c:title>
        <c:numFmt formatCode="#,##0" sourceLinked="0"/>
        <c:majorTickMark val="cross"/>
        <c:minorTickMark val="none"/>
        <c:tickLblPos val="low"/>
        <c:spPr>
          <a:ln/>
        </c:spPr>
        <c:txPr>
          <a:bodyPr rot="0" vert="horz"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49199488"/>
        <c:crosses val="autoZero"/>
        <c:crossBetween val="midCat"/>
        <c:majorUnit val="5"/>
      </c:valAx>
      <c:valAx>
        <c:axId val="149199488"/>
        <c:scaling>
          <c:orientation val="minMax"/>
          <c:max val="4"/>
          <c:min val="0"/>
        </c:scaling>
        <c:delete val="0"/>
        <c:axPos val="l"/>
        <c:majorGridlines/>
        <c:title>
          <c:tx>
            <c:rich>
              <a:bodyPr rot="0" vert="horz"/>
              <a:lstStyle/>
              <a:p>
                <a:pPr>
                  <a:defRPr sz="2000"/>
                </a:pPr>
                <a:r>
                  <a:rPr lang="en-US" sz="2000"/>
                  <a:t> Pd</a:t>
                </a:r>
                <a:r>
                  <a:rPr lang="ru-RU" sz="2000" b="0"/>
                  <a:t> - счёт</a:t>
                </a:r>
              </a:p>
            </c:rich>
          </c:tx>
          <c:layout>
            <c:manualLayout>
              <c:xMode val="edge"/>
              <c:yMode val="edge"/>
              <c:x val="9.8876167850993207E-2"/>
              <c:y val="0.8083752619641057"/>
            </c:manualLayout>
          </c:layout>
          <c:overlay val="0"/>
        </c:title>
        <c:numFmt formatCode="0.0" sourceLinked="0"/>
        <c:majorTickMark val="out"/>
        <c:minorTickMark val="none"/>
        <c:tickLblPos val="nextTo"/>
        <c:txPr>
          <a:bodyPr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49197568"/>
        <c:crossesAt val="1995"/>
        <c:crossBetween val="midCat"/>
        <c:majorUnit val="1"/>
      </c:valAx>
      <c:spPr>
        <a:solidFill>
          <a:sysClr val="window" lastClr="FFFFFF"/>
        </a:solidFill>
      </c:spPr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landscape"/>
  </c:printSettings>
  <c:userShapes r:id="rId1"/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6853159224078852E-2"/>
          <c:y val="2.5283652550430011E-2"/>
          <c:w val="0.86766091628433151"/>
          <c:h val="0.91813437577529156"/>
        </c:manualLayout>
      </c:layout>
      <c:scatterChart>
        <c:scatterStyle val="smoothMarker"/>
        <c:varyColors val="0"/>
        <c:ser>
          <c:idx val="0"/>
          <c:order val="0"/>
          <c:spPr>
            <a:ln w="127000">
              <a:solidFill>
                <a:schemeClr val="accent4">
                  <a:lumMod val="75000"/>
                  <a:alpha val="70000"/>
                </a:schemeClr>
              </a:solidFill>
            </a:ln>
          </c:spPr>
          <c:marker>
            <c:symbol val="none"/>
          </c:marker>
          <c:trendline>
            <c:spPr>
              <a:ln w="38100">
                <a:prstDash val="lgDashDotDot"/>
              </a:ln>
            </c:spPr>
            <c:trendlineType val="linear"/>
            <c:forward val="10000"/>
            <c:dispRSqr val="1"/>
            <c:dispEq val="1"/>
            <c:trendlineLbl>
              <c:layout>
                <c:manualLayout>
                  <c:x val="0.14163344052315779"/>
                  <c:y val="0.13874334546460657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sz="1600">
                      <a:latin typeface="Arial" panose="020B0604020202020204" pitchFamily="34" charset="0"/>
                      <a:cs typeface="Arial" panose="020B0604020202020204" pitchFamily="34" charset="0"/>
                    </a:defRPr>
                  </a:pPr>
                  <a:endParaRPr lang="ru-RU"/>
                </a:p>
              </c:txPr>
            </c:trendlineLbl>
          </c:trendline>
          <c:xVal>
            <c:numRef>
              <c:f>ОТЧЁТ!$EF$95:$EF$116</c:f>
              <c:numCache>
                <c:formatCode>0</c:formatCode>
                <c:ptCount val="22"/>
                <c:pt idx="0">
                  <c:v>1428.5209000000002</c:v>
                </c:pt>
                <c:pt idx="1">
                  <c:v>2007.8252000000007</c:v>
                </c:pt>
                <c:pt idx="2">
                  <c:v>2342.5136999999995</c:v>
                </c:pt>
                <c:pt idx="3">
                  <c:v>2629.6228999999998</c:v>
                </c:pt>
                <c:pt idx="4">
                  <c:v>4823.2329000000009</c:v>
                </c:pt>
                <c:pt idx="5">
                  <c:v>7305.6466</c:v>
                </c:pt>
                <c:pt idx="6">
                  <c:v>8943.5826000000015</c:v>
                </c:pt>
                <c:pt idx="7">
                  <c:v>10819.212299999999</c:v>
                </c:pt>
                <c:pt idx="8">
                  <c:v>13208.2338</c:v>
                </c:pt>
                <c:pt idx="9">
                  <c:v>17027.190900000001</c:v>
                </c:pt>
                <c:pt idx="10">
                  <c:v>21609.765500000001</c:v>
                </c:pt>
                <c:pt idx="11">
                  <c:v>26917.201400000002</c:v>
                </c:pt>
                <c:pt idx="12">
                  <c:v>33247.513200000001</c:v>
                </c:pt>
                <c:pt idx="13">
                  <c:v>41276.849199999997</c:v>
                </c:pt>
                <c:pt idx="14">
                  <c:v>38807.218999999997</c:v>
                </c:pt>
                <c:pt idx="15">
                  <c:v>46308.540999999997</c:v>
                </c:pt>
                <c:pt idx="16">
                  <c:v>60282.540399999998</c:v>
                </c:pt>
                <c:pt idx="17">
                  <c:v>68163.883099999992</c:v>
                </c:pt>
                <c:pt idx="18">
                  <c:v>73133.895099999994</c:v>
                </c:pt>
                <c:pt idx="19">
                  <c:v>79058.48</c:v>
                </c:pt>
                <c:pt idx="20">
                  <c:v>83094.3</c:v>
                </c:pt>
                <c:pt idx="21">
                  <c:v>86014.2</c:v>
                </c:pt>
              </c:numCache>
            </c:numRef>
          </c:xVal>
          <c:yVal>
            <c:numRef>
              <c:f>ОТЧЁТ!$EE$95:$EE$116</c:f>
              <c:numCache>
                <c:formatCode>0</c:formatCode>
                <c:ptCount val="22"/>
                <c:pt idx="0">
                  <c:v>272.50150000000002</c:v>
                </c:pt>
                <c:pt idx="1">
                  <c:v>391.38130000000001</c:v>
                </c:pt>
                <c:pt idx="2">
                  <c:v>493.57350000000002</c:v>
                </c:pt>
                <c:pt idx="3">
                  <c:v>492.62060000000002</c:v>
                </c:pt>
                <c:pt idx="4">
                  <c:v>703.20910000000003</c:v>
                </c:pt>
                <c:pt idx="5">
                  <c:v>1102.4971</c:v>
                </c:pt>
                <c:pt idx="6">
                  <c:v>1469.9576</c:v>
                </c:pt>
                <c:pt idx="7">
                  <c:v>1942.4418000000001</c:v>
                </c:pt>
                <c:pt idx="8">
                  <c:v>2366.3687</c:v>
                </c:pt>
                <c:pt idx="9">
                  <c:v>2889.8145</c:v>
                </c:pt>
                <c:pt idx="10">
                  <c:v>3645.9185000000002</c:v>
                </c:pt>
                <c:pt idx="11">
                  <c:v>4680.4097000000002</c:v>
                </c:pt>
                <c:pt idx="12">
                  <c:v>5750.9641000000001</c:v>
                </c:pt>
                <c:pt idx="13">
                  <c:v>7359.8441999999995</c:v>
                </c:pt>
                <c:pt idx="14">
                  <c:v>8066.7</c:v>
                </c:pt>
                <c:pt idx="15">
                  <c:v>8671.3230000000003</c:v>
                </c:pt>
                <c:pt idx="16">
                  <c:v>10527.4218</c:v>
                </c:pt>
                <c:pt idx="17">
                  <c:v>12155.9717</c:v>
                </c:pt>
                <c:pt idx="18">
                  <c:v>13551.946099999999</c:v>
                </c:pt>
                <c:pt idx="19">
                  <c:v>14173.19</c:v>
                </c:pt>
                <c:pt idx="20">
                  <c:v>14684.12</c:v>
                </c:pt>
                <c:pt idx="21">
                  <c:v>15728.49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180-47A3-8D18-728AE13E39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524864"/>
        <c:axId val="149526400"/>
      </c:scatterChart>
      <c:valAx>
        <c:axId val="149524864"/>
        <c:scaling>
          <c:orientation val="minMax"/>
          <c:max val="120000"/>
          <c:min val="0"/>
        </c:scaling>
        <c:delete val="0"/>
        <c:axPos val="b"/>
        <c:numFmt formatCode="#,##0" sourceLinked="0"/>
        <c:majorTickMark val="in"/>
        <c:minorTickMark val="none"/>
        <c:tickLblPos val="nextTo"/>
        <c:spPr>
          <a:ln/>
        </c:spPr>
        <c:txPr>
          <a:bodyPr rot="0" vert="horz"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49526400"/>
        <c:crosses val="autoZero"/>
        <c:crossBetween val="midCat"/>
        <c:majorUnit val="40000"/>
      </c:valAx>
      <c:valAx>
        <c:axId val="149526400"/>
        <c:scaling>
          <c:orientation val="minMax"/>
          <c:max val="20000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txPr>
          <a:bodyPr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49524864"/>
        <c:crosses val="autoZero"/>
        <c:crossBetween val="midCat"/>
        <c:majorUnit val="5000"/>
      </c:valAx>
      <c:spPr>
        <a:solidFill>
          <a:sysClr val="window" lastClr="FFFFFF"/>
        </a:solidFill>
        <a:ln w="41275">
          <a:solidFill>
            <a:schemeClr val="accent4">
              <a:lumMod val="7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2800"/>
            </a:pPr>
            <a:r>
              <a:rPr lang="en-US" sz="2800"/>
              <a:t>Pnk</a:t>
            </a:r>
            <a:endParaRPr lang="ru-RU" sz="2800"/>
          </a:p>
        </c:rich>
      </c:tx>
      <c:layout>
        <c:manualLayout>
          <c:xMode val="edge"/>
          <c:yMode val="edge"/>
          <c:x val="9.0742046755230246E-2"/>
          <c:y val="3.6469876190302813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7.2173921916162134E-2"/>
          <c:y val="2.8358745558580003E-2"/>
          <c:w val="0.88168822524234958"/>
          <c:h val="0.91516166393995957"/>
        </c:manualLayout>
      </c:layout>
      <c:scatterChart>
        <c:scatterStyle val="smoothMarker"/>
        <c:varyColors val="0"/>
        <c:ser>
          <c:idx val="0"/>
          <c:order val="0"/>
          <c:spPr>
            <a:ln w="107950"/>
          </c:spPr>
          <c:marker>
            <c:symbol val="none"/>
          </c:marker>
          <c:xVal>
            <c:numRef>
              <c:f>ОТЧЁТ!$EF$136:$EF$159</c:f>
              <c:numCache>
                <c:formatCode>General</c:formatCode>
                <c:ptCount val="24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</c:numCache>
            </c:numRef>
          </c:xVal>
          <c:yVal>
            <c:numRef>
              <c:f>ОТЧЁТ!$EG$136:$EG$159</c:f>
              <c:numCache>
                <c:formatCode>0.00</c:formatCode>
                <c:ptCount val="24"/>
                <c:pt idx="0">
                  <c:v>1</c:v>
                </c:pt>
                <c:pt idx="1">
                  <c:v>1.006</c:v>
                </c:pt>
                <c:pt idx="2">
                  <c:v>0.99795199999999995</c:v>
                </c:pt>
                <c:pt idx="3">
                  <c:v>1.0029417599999999</c:v>
                </c:pt>
                <c:pt idx="4">
                  <c:v>0.98890057535999987</c:v>
                </c:pt>
                <c:pt idx="5">
                  <c:v>1.0047229845657599</c:v>
                </c:pt>
                <c:pt idx="6">
                  <c:v>1.0238127212725092</c:v>
                </c:pt>
                <c:pt idx="7">
                  <c:v>1.0320032230426892</c:v>
                </c:pt>
                <c:pt idx="8">
                  <c:v>1.0330352262657319</c:v>
                </c:pt>
                <c:pt idx="9">
                  <c:v>0.91836831615023562</c:v>
                </c:pt>
                <c:pt idx="10">
                  <c:v>0.7503069142947425</c:v>
                </c:pt>
                <c:pt idx="11">
                  <c:v>0.73755169675173182</c:v>
                </c:pt>
                <c:pt idx="12">
                  <c:v>0.75746559256402857</c:v>
                </c:pt>
                <c:pt idx="13">
                  <c:v>0.7468610742681322</c:v>
                </c:pt>
                <c:pt idx="14">
                  <c:v>0.68711218832668164</c:v>
                </c:pt>
                <c:pt idx="15">
                  <c:v>0.6836766273850482</c:v>
                </c:pt>
                <c:pt idx="16">
                  <c:v>0.65017647264318079</c:v>
                </c:pt>
                <c:pt idx="17">
                  <c:v>0.64367470791674897</c:v>
                </c:pt>
                <c:pt idx="18">
                  <c:v>0.63595061142174802</c:v>
                </c:pt>
                <c:pt idx="19">
                  <c:v>0.63595061142174802</c:v>
                </c:pt>
                <c:pt idx="20">
                  <c:v>0.61750804369051726</c:v>
                </c:pt>
                <c:pt idx="21">
                  <c:v>0.62368312412742244</c:v>
                </c:pt>
                <c:pt idx="22">
                  <c:v>0.62680153974805952</c:v>
                </c:pt>
                <c:pt idx="23">
                  <c:v>0.65500760903672217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562-4E9B-A384-522672ECF61E}"/>
            </c:ext>
          </c:extLst>
        </c:ser>
        <c:ser>
          <c:idx val="1"/>
          <c:order val="1"/>
          <c:spPr>
            <a:ln w="69850">
              <a:solidFill>
                <a:srgbClr val="FF0000"/>
              </a:solidFill>
              <a:prstDash val="lgDash"/>
            </a:ln>
          </c:spPr>
          <c:marker>
            <c:symbol val="none"/>
          </c:marker>
          <c:xVal>
            <c:numRef>
              <c:f>ОТЧЁТ!$EF$160:$EF$176</c:f>
              <c:numCache>
                <c:formatCode>General</c:formatCode>
                <c:ptCount val="17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</c:numCache>
            </c:numRef>
          </c:xVal>
          <c:yVal>
            <c:numRef>
              <c:f>ОТЧЁТ!$EH$160:$EH$176</c:f>
              <c:numCache>
                <c:formatCode>0.000</c:formatCode>
                <c:ptCount val="17"/>
                <c:pt idx="0">
                  <c:v>0.68180337486095166</c:v>
                </c:pt>
                <c:pt idx="1">
                  <c:v>0.70725935239396964</c:v>
                </c:pt>
                <c:pt idx="2">
                  <c:v>0.73144253105033674</c:v>
                </c:pt>
                <c:pt idx="3">
                  <c:v>0.75441655077388547</c:v>
                </c:pt>
                <c:pt idx="4">
                  <c:v>0.77624186951125673</c:v>
                </c:pt>
                <c:pt idx="5">
                  <c:v>0.7969759223117594</c:v>
                </c:pt>
                <c:pt idx="6">
                  <c:v>0.81667327247223698</c:v>
                </c:pt>
                <c:pt idx="7">
                  <c:v>0.83538575512469071</c:v>
                </c:pt>
                <c:pt idx="8">
                  <c:v>0.85316261364452173</c:v>
                </c:pt>
                <c:pt idx="9">
                  <c:v>0.87005062923836118</c:v>
                </c:pt>
                <c:pt idx="10">
                  <c:v>0.88609424405250869</c:v>
                </c:pt>
                <c:pt idx="11">
                  <c:v>0.90133567812594884</c:v>
                </c:pt>
                <c:pt idx="12">
                  <c:v>0.91581504049571694</c:v>
                </c:pt>
                <c:pt idx="13">
                  <c:v>0.92957043474699663</c:v>
                </c:pt>
                <c:pt idx="14">
                  <c:v>0.94263805928571232</c:v>
                </c:pt>
                <c:pt idx="15">
                  <c:v>0.95505230259749219</c:v>
                </c:pt>
                <c:pt idx="16">
                  <c:v>0.96684583374368305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78D-4FA6-BED1-C871C70570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579264"/>
        <c:axId val="149580800"/>
      </c:scatterChart>
      <c:valAx>
        <c:axId val="149579264"/>
        <c:scaling>
          <c:orientation val="minMax"/>
          <c:max val="2035"/>
          <c:min val="1995"/>
        </c:scaling>
        <c:delete val="0"/>
        <c:axPos val="b"/>
        <c:numFmt formatCode="#,##0" sourceLinked="0"/>
        <c:majorTickMark val="in"/>
        <c:minorTickMark val="none"/>
        <c:tickLblPos val="nextTo"/>
        <c:spPr>
          <a:ln/>
        </c:spPr>
        <c:txPr>
          <a:bodyPr rot="0" vert="horz"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49580800"/>
        <c:crosses val="autoZero"/>
        <c:crossBetween val="midCat"/>
        <c:majorUnit val="5"/>
      </c:valAx>
      <c:valAx>
        <c:axId val="149580800"/>
        <c:scaling>
          <c:orientation val="minMax"/>
          <c:max val="2"/>
          <c:min val="0"/>
        </c:scaling>
        <c:delete val="0"/>
        <c:axPos val="l"/>
        <c:majorGridlines/>
        <c:numFmt formatCode="0.0" sourceLinked="0"/>
        <c:majorTickMark val="out"/>
        <c:minorTickMark val="none"/>
        <c:tickLblPos val="nextTo"/>
        <c:txPr>
          <a:bodyPr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49579264"/>
        <c:crosses val="autoZero"/>
        <c:crossBetween val="midCat"/>
        <c:majorUnit val="0.5"/>
      </c:valAx>
      <c:spPr>
        <a:solidFill>
          <a:sysClr val="window" lastClr="FFFFFF"/>
        </a:solidFill>
      </c:spPr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7067736725218123E-2"/>
          <c:y val="2.806184490920589E-2"/>
          <c:w val="0.90151746416313328"/>
          <c:h val="0.91961256642845679"/>
        </c:manualLayout>
      </c:layout>
      <c:scatterChart>
        <c:scatterStyle val="smoothMarker"/>
        <c:varyColors val="0"/>
        <c:ser>
          <c:idx val="0"/>
          <c:order val="0"/>
          <c:spPr>
            <a:ln w="120650">
              <a:solidFill>
                <a:schemeClr val="accent1">
                  <a:alpha val="57000"/>
                </a:schemeClr>
              </a:solidFill>
            </a:ln>
          </c:spPr>
          <c:marker>
            <c:symbol val="circle"/>
            <c:size val="23"/>
            <c:spPr>
              <a:noFill/>
            </c:spPr>
          </c:marker>
          <c:xVal>
            <c:numRef>
              <c:f>ОТЧЁТ!$DR$184:$DR$207</c:f>
              <c:numCache>
                <c:formatCode>0.00</c:formatCode>
                <c:ptCount val="24"/>
                <c:pt idx="0">
                  <c:v>1</c:v>
                </c:pt>
                <c:pt idx="1">
                  <c:v>1.218</c:v>
                </c:pt>
                <c:pt idx="2">
                  <c:v>1.3519800000000002</c:v>
                </c:pt>
                <c:pt idx="3">
                  <c:v>2.4930511200000005</c:v>
                </c:pt>
                <c:pt idx="4">
                  <c:v>3.4030147788000007</c:v>
                </c:pt>
                <c:pt idx="5">
                  <c:v>4.0904237641176007</c:v>
                </c:pt>
                <c:pt idx="6">
                  <c:v>4.8512425842434741</c:v>
                </c:pt>
                <c:pt idx="7">
                  <c:v>5.5837802144642392</c:v>
                </c:pt>
                <c:pt idx="8">
                  <c:v>6.2538338401999489</c:v>
                </c:pt>
                <c:pt idx="9">
                  <c:v>6.9855323995033425</c:v>
                </c:pt>
                <c:pt idx="10">
                  <c:v>7.7469554310492068</c:v>
                </c:pt>
                <c:pt idx="11">
                  <c:v>8.4441814198436358</c:v>
                </c:pt>
                <c:pt idx="12">
                  <c:v>9.4465057543790749</c:v>
                </c:pt>
                <c:pt idx="13">
                  <c:v>10.701001718560617</c:v>
                </c:pt>
                <c:pt idx="14">
                  <c:v>11.642689869793951</c:v>
                </c:pt>
                <c:pt idx="15">
                  <c:v>12.664918040361862</c:v>
                </c:pt>
                <c:pt idx="16">
                  <c:v>13.437478040823935</c:v>
                </c:pt>
                <c:pt idx="17">
                  <c:v>14.321664095910151</c:v>
                </c:pt>
                <c:pt idx="18">
                  <c:v>15.245411430096356</c:v>
                </c:pt>
                <c:pt idx="19">
                  <c:v>17.318787384589459</c:v>
                </c:pt>
                <c:pt idx="20">
                  <c:v>19.552910957201501</c:v>
                </c:pt>
                <c:pt idx="21">
                  <c:v>20.606812857794662</c:v>
                </c:pt>
                <c:pt idx="22">
                  <c:v>21.124043860525305</c:v>
                </c:pt>
                <c:pt idx="23">
                  <c:v>22.02392812898368</c:v>
                </c:pt>
              </c:numCache>
            </c:numRef>
          </c:xVal>
          <c:yVal>
            <c:numRef>
              <c:f>ОТЧЁТ!$DQ$184:$DQ$207</c:f>
              <c:numCache>
                <c:formatCode>0.00</c:formatCode>
                <c:ptCount val="24"/>
                <c:pt idx="0">
                  <c:v>1</c:v>
                </c:pt>
                <c:pt idx="1">
                  <c:v>1.7194377618988257</c:v>
                </c:pt>
                <c:pt idx="2">
                  <c:v>1.9680277801214476</c:v>
                </c:pt>
                <c:pt idx="3">
                  <c:v>2.2270348811115843</c:v>
                </c:pt>
                <c:pt idx="4">
                  <c:v>3.493098424873764</c:v>
                </c:pt>
                <c:pt idx="5">
                  <c:v>5.1712627496070169</c:v>
                </c:pt>
                <c:pt idx="6">
                  <c:v>6.0707268468539191</c:v>
                </c:pt>
                <c:pt idx="7">
                  <c:v>6.9167509862711283</c:v>
                </c:pt>
                <c:pt idx="8">
                  <c:v>7.6273689193439225</c:v>
                </c:pt>
                <c:pt idx="9">
                  <c:v>8.7904133177964692</c:v>
                </c:pt>
                <c:pt idx="10">
                  <c:v>10.054085870175701</c:v>
                </c:pt>
                <c:pt idx="11">
                  <c:v>11.28478682823815</c:v>
                </c:pt>
                <c:pt idx="12">
                  <c:v>13.059083510568804</c:v>
                </c:pt>
                <c:pt idx="13">
                  <c:v>15.593657080025292</c:v>
                </c:pt>
                <c:pt idx="14">
                  <c:v>16.373566297801105</c:v>
                </c:pt>
                <c:pt idx="15">
                  <c:v>17.674409856030426</c:v>
                </c:pt>
                <c:pt idx="16">
                  <c:v>19.234566440524752</c:v>
                </c:pt>
                <c:pt idx="17">
                  <c:v>20.540168341333807</c:v>
                </c:pt>
                <c:pt idx="18">
                  <c:v>21.776225011581559</c:v>
                </c:pt>
                <c:pt idx="19">
                  <c:v>22.851453644141124</c:v>
                </c:pt>
                <c:pt idx="20">
                  <c:v>25.408791247612854</c:v>
                </c:pt>
                <c:pt idx="21">
                  <c:v>27.019844336572895</c:v>
                </c:pt>
                <c:pt idx="22">
                  <c:v>28.017232863734257</c:v>
                </c:pt>
                <c:pt idx="23">
                  <c:v>29.489664817255768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8D2-440B-8C86-5ACF31AB6E02}"/>
            </c:ext>
          </c:extLst>
        </c:ser>
        <c:ser>
          <c:idx val="1"/>
          <c:order val="1"/>
          <c:trendline>
            <c:spPr>
              <a:ln w="22225">
                <a:prstDash val="lgDash"/>
              </a:ln>
            </c:spPr>
            <c:trendlineType val="linear"/>
            <c:forward val="8"/>
            <c:dispRSqr val="0"/>
            <c:dispEq val="0"/>
          </c:trendline>
          <c:xVal>
            <c:numRef>
              <c:f>ОТЧЁТ!$DR$198:$DR$202</c:f>
              <c:numCache>
                <c:formatCode>0.00</c:formatCode>
                <c:ptCount val="5"/>
                <c:pt idx="0">
                  <c:v>11.642689869793951</c:v>
                </c:pt>
                <c:pt idx="1">
                  <c:v>12.664918040361862</c:v>
                </c:pt>
                <c:pt idx="2">
                  <c:v>13.437478040823935</c:v>
                </c:pt>
                <c:pt idx="3">
                  <c:v>14.321664095910151</c:v>
                </c:pt>
                <c:pt idx="4">
                  <c:v>15.245411430096356</c:v>
                </c:pt>
              </c:numCache>
            </c:numRef>
          </c:xVal>
          <c:yVal>
            <c:numRef>
              <c:f>ОТЧЁТ!$DS$198:$DS$202</c:f>
              <c:numCache>
                <c:formatCode>0.00</c:formatCode>
                <c:ptCount val="5"/>
                <c:pt idx="0">
                  <c:v>16.373566297801105</c:v>
                </c:pt>
                <c:pt idx="1">
                  <c:v>17.674409856030426</c:v>
                </c:pt>
                <c:pt idx="2">
                  <c:v>19.234566440524752</c:v>
                </c:pt>
                <c:pt idx="3">
                  <c:v>20.540168341333807</c:v>
                </c:pt>
                <c:pt idx="4">
                  <c:v>21.776225011581559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9BF-47E9-844E-50CDF63BAFFD}"/>
            </c:ext>
          </c:extLst>
        </c:ser>
        <c:ser>
          <c:idx val="2"/>
          <c:order val="2"/>
          <c:trendline>
            <c:spPr>
              <a:ln w="31750">
                <a:prstDash val="lgDash"/>
              </a:ln>
            </c:spPr>
            <c:trendlineType val="linear"/>
            <c:forward val="10"/>
            <c:dispRSqr val="1"/>
            <c:dispEq val="1"/>
            <c:trendlineLbl>
              <c:layout>
                <c:manualLayout>
                  <c:x val="-0.13640379567938624"/>
                  <c:y val="0.45827530366095132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sz="1800">
                      <a:latin typeface="Arial" panose="020B0604020202020204" pitchFamily="34" charset="0"/>
                      <a:cs typeface="Arial" panose="020B0604020202020204" pitchFamily="34" charset="0"/>
                    </a:defRPr>
                  </a:pPr>
                  <a:endParaRPr lang="ru-RU"/>
                </a:p>
              </c:txPr>
            </c:trendlineLbl>
          </c:trendline>
          <c:xVal>
            <c:numRef>
              <c:f>ОТЧЁТ!$DR$204:$DR$207</c:f>
              <c:numCache>
                <c:formatCode>0.00</c:formatCode>
                <c:ptCount val="4"/>
                <c:pt idx="0">
                  <c:v>19.552910957201501</c:v>
                </c:pt>
                <c:pt idx="1">
                  <c:v>20.606812857794662</c:v>
                </c:pt>
                <c:pt idx="2">
                  <c:v>21.124043860525305</c:v>
                </c:pt>
                <c:pt idx="3">
                  <c:v>22.02392812898368</c:v>
                </c:pt>
              </c:numCache>
            </c:numRef>
          </c:xVal>
          <c:yVal>
            <c:numRef>
              <c:f>ОТЧЁТ!$DT$204:$DT$207</c:f>
              <c:numCache>
                <c:formatCode>0.00</c:formatCode>
                <c:ptCount val="4"/>
                <c:pt idx="0">
                  <c:v>25.408791247612854</c:v>
                </c:pt>
                <c:pt idx="1">
                  <c:v>27.019844336572895</c:v>
                </c:pt>
                <c:pt idx="2">
                  <c:v>28.017232863734257</c:v>
                </c:pt>
                <c:pt idx="3">
                  <c:v>29.489664817255768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9BF-47E9-844E-50CDF63BAF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452288"/>
        <c:axId val="149453824"/>
      </c:scatterChart>
      <c:valAx>
        <c:axId val="149452288"/>
        <c:scaling>
          <c:orientation val="minMax"/>
          <c:max val="30"/>
          <c:min val="0"/>
        </c:scaling>
        <c:delete val="0"/>
        <c:axPos val="b"/>
        <c:numFmt formatCode="#,##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8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49453824"/>
        <c:crosses val="autoZero"/>
        <c:crossBetween val="midCat"/>
        <c:majorUnit val="10"/>
      </c:valAx>
      <c:valAx>
        <c:axId val="149453824"/>
        <c:scaling>
          <c:orientation val="minMax"/>
          <c:max val="40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txPr>
          <a:bodyPr/>
          <a:lstStyle/>
          <a:p>
            <a:pPr>
              <a:defRPr sz="18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49452288"/>
        <c:crosses val="autoZero"/>
        <c:crossBetween val="midCat"/>
        <c:majorUnit val="10"/>
      </c:valAx>
      <c:spPr>
        <a:solidFill>
          <a:sysClr val="window" lastClr="FFFFFF"/>
        </a:solidFill>
        <a:ln>
          <a:solidFill>
            <a:schemeClr val="accent4">
              <a:lumMod val="75000"/>
            </a:schemeClr>
          </a:solidFill>
          <a:prstDash val="lgDashDotDot"/>
        </a:ln>
      </c:spPr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2800"/>
            </a:pPr>
            <a:r>
              <a:rPr lang="en-US" sz="2800"/>
              <a:t>Pm</a:t>
            </a:r>
            <a:endParaRPr lang="ru-RU" sz="2800"/>
          </a:p>
        </c:rich>
      </c:tx>
      <c:layout>
        <c:manualLayout>
          <c:xMode val="edge"/>
          <c:yMode val="edge"/>
          <c:x val="8.1594814751735092E-2"/>
          <c:y val="4.7817444603561923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6.3026717158949933E-2"/>
          <c:y val="3.828779073288445E-2"/>
          <c:w val="0.8954090951582887"/>
          <c:h val="0.90222121668189992"/>
        </c:manualLayout>
      </c:layout>
      <c:scatterChart>
        <c:scatterStyle val="smoothMarker"/>
        <c:varyColors val="0"/>
        <c:ser>
          <c:idx val="0"/>
          <c:order val="0"/>
          <c:spPr>
            <a:ln w="92075">
              <a:solidFill>
                <a:srgbClr val="00B0F0">
                  <a:alpha val="55000"/>
                </a:srgbClr>
              </a:solidFill>
            </a:ln>
          </c:spPr>
          <c:marker>
            <c:symbol val="none"/>
          </c:marker>
          <c:xVal>
            <c:numRef>
              <c:f>ОТЧЁТ!$EJ$227:$EJ$250</c:f>
              <c:numCache>
                <c:formatCode>General</c:formatCode>
                <c:ptCount val="24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</c:numCache>
            </c:numRef>
          </c:xVal>
          <c:yVal>
            <c:numRef>
              <c:f>ОТЧЁТ!$EM$227:$EM$250</c:f>
              <c:numCache>
                <c:formatCode>0.00</c:formatCode>
                <c:ptCount val="24"/>
                <c:pt idx="0">
                  <c:v>1</c:v>
                </c:pt>
                <c:pt idx="1">
                  <c:v>1.0129999999999999</c:v>
                </c:pt>
                <c:pt idx="2">
                  <c:v>1.0170519999999998</c:v>
                </c:pt>
                <c:pt idx="3">
                  <c:v>0.84008495199999977</c:v>
                </c:pt>
                <c:pt idx="4">
                  <c:v>0.69727051015999975</c:v>
                </c:pt>
                <c:pt idx="5">
                  <c:v>0.92318615545183969</c:v>
                </c:pt>
                <c:pt idx="6">
                  <c:v>1.0958219665213338</c:v>
                </c:pt>
                <c:pt idx="7">
                  <c:v>1.2558119736334483</c:v>
                </c:pt>
                <c:pt idx="8">
                  <c:v>1.4730674450720349</c:v>
                </c:pt>
                <c:pt idx="9">
                  <c:v>1.8162921597738191</c:v>
                </c:pt>
                <c:pt idx="10">
                  <c:v>2.1177966582962728</c:v>
                </c:pt>
                <c:pt idx="11">
                  <c:v>2.568887346513379</c:v>
                </c:pt>
                <c:pt idx="12">
                  <c:v>3.2419358312998843</c:v>
                </c:pt>
                <c:pt idx="13">
                  <c:v>3.7217423343322666</c:v>
                </c:pt>
                <c:pt idx="14">
                  <c:v>2.5903326646952576</c:v>
                </c:pt>
                <c:pt idx="15">
                  <c:v>3.258638492186634</c:v>
                </c:pt>
                <c:pt idx="16">
                  <c:v>3.9201421061005211</c:v>
                </c:pt>
                <c:pt idx="17">
                  <c:v>4.3003958903922719</c:v>
                </c:pt>
                <c:pt idx="18">
                  <c:v>4.4509097465560012</c:v>
                </c:pt>
                <c:pt idx="19">
                  <c:v>4.1259933350574132</c:v>
                </c:pt>
                <c:pt idx="20">
                  <c:v>3.0903690079580026</c:v>
                </c:pt>
                <c:pt idx="21">
                  <c:v>2.9791157236715144</c:v>
                </c:pt>
                <c:pt idx="22">
                  <c:v>3.4974818595903576</c:v>
                </c:pt>
                <c:pt idx="23">
                  <c:v>3.5919138697992969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DC4-4F1A-BFE3-EB9B170B8541}"/>
            </c:ext>
          </c:extLst>
        </c:ser>
        <c:ser>
          <c:idx val="1"/>
          <c:order val="1"/>
          <c:spPr>
            <a:ln w="76200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ОТЧЁТ!$EJ$227:$EJ$267</c:f>
              <c:numCache>
                <c:formatCode>General</c:formatCode>
                <c:ptCount val="41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  <c:pt idx="36">
                  <c:v>2031</c:v>
                </c:pt>
                <c:pt idx="37">
                  <c:v>2032</c:v>
                </c:pt>
                <c:pt idx="38">
                  <c:v>2033</c:v>
                </c:pt>
                <c:pt idx="39">
                  <c:v>2034</c:v>
                </c:pt>
                <c:pt idx="40">
                  <c:v>2035</c:v>
                </c:pt>
              </c:numCache>
            </c:numRef>
          </c:xVal>
          <c:yVal>
            <c:numRef>
              <c:f>ОТЧЁТ!$EN$227:$EN$267</c:f>
              <c:numCache>
                <c:formatCode>0</c:formatCode>
                <c:ptCount val="41"/>
                <c:pt idx="23" formatCode="0.000">
                  <c:v>3.5919138697992969</c:v>
                </c:pt>
                <c:pt idx="24" formatCode="0.000">
                  <c:v>3.7594795354810144</c:v>
                </c:pt>
                <c:pt idx="25" formatCode="0.000">
                  <c:v>3.8786474990364632</c:v>
                </c:pt>
                <c:pt idx="26" formatCode="0.000">
                  <c:v>4.0726307350523774</c:v>
                </c:pt>
                <c:pt idx="27" formatCode="0.000">
                  <c:v>4.2339601300567509</c:v>
                </c:pt>
                <c:pt idx="28" formatCode="0.000">
                  <c:v>4.3946367635686654</c:v>
                </c:pt>
                <c:pt idx="29" formatCode="0.000">
                  <c:v>4.5580532686080861</c:v>
                </c:pt>
                <c:pt idx="30" formatCode="0.000">
                  <c:v>4.7264696668583097</c:v>
                </c:pt>
                <c:pt idx="31" formatCode="0.000">
                  <c:v>4.9014565702932025</c:v>
                </c:pt>
                <c:pt idx="32" formatCode="0.000">
                  <c:v>5.0841688271488898</c:v>
                </c:pt>
                <c:pt idx="33" formatCode="0.000">
                  <c:v>5.2755147390748132</c:v>
                </c:pt>
                <c:pt idx="34" formatCode="0.000">
                  <c:v>5.4762609464205978</c:v>
                </c:pt>
                <c:pt idx="35" formatCode="0.000">
                  <c:v>5.6870976781136333</c:v>
                </c:pt>
                <c:pt idx="36" formatCode="0.000">
                  <c:v>5.9086795833607573</c:v>
                </c:pt>
                <c:pt idx="37" formatCode="0.000">
                  <c:v>6.1416515256655417</c:v>
                </c:pt>
                <c:pt idx="38" formatCode="0.000">
                  <c:v>6.386665124425428</c:v>
                </c:pt>
                <c:pt idx="39" formatCode="0.000">
                  <c:v>6.6443896140490546</c:v>
                </c:pt>
                <c:pt idx="40" formatCode="0.000">
                  <c:v>6.915519225011411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8F7-45B4-9301-00B0E8FF1E7E}"/>
            </c:ext>
          </c:extLst>
        </c:ser>
        <c:ser>
          <c:idx val="2"/>
          <c:order val="2"/>
          <c:spPr>
            <a:ln w="104775">
              <a:solidFill>
                <a:srgbClr val="7030A0"/>
              </a:solidFill>
            </a:ln>
          </c:spPr>
          <c:marker>
            <c:symbol val="none"/>
          </c:marker>
          <c:xVal>
            <c:numRef>
              <c:f>ОТЧЁТ!$EJ$227:$EJ$250</c:f>
              <c:numCache>
                <c:formatCode>General</c:formatCode>
                <c:ptCount val="24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</c:numCache>
            </c:numRef>
          </c:xVal>
          <c:yVal>
            <c:numRef>
              <c:f>ОТЧЁТ!$EK$227:$EK$250</c:f>
              <c:numCache>
                <c:formatCode>0.00</c:formatCode>
                <c:ptCount val="24"/>
                <c:pt idx="0" formatCode="General">
                  <c:v>1</c:v>
                </c:pt>
                <c:pt idx="1">
                  <c:v>0.97199999999999998</c:v>
                </c:pt>
                <c:pt idx="2">
                  <c:v>0.98560800000000004</c:v>
                </c:pt>
                <c:pt idx="3">
                  <c:v>0.9353419919999999</c:v>
                </c:pt>
                <c:pt idx="4">
                  <c:v>0.98959182753600006</c:v>
                </c:pt>
                <c:pt idx="5">
                  <c:v>1.0826134593243841</c:v>
                </c:pt>
                <c:pt idx="6">
                  <c:v>1.1356615188312789</c:v>
                </c:pt>
                <c:pt idx="7">
                  <c:v>1.1856306256598552</c:v>
                </c:pt>
                <c:pt idx="8">
                  <c:v>1.2757385532100043</c:v>
                </c:pt>
                <c:pt idx="9">
                  <c:v>1.3777976374668046</c:v>
                </c:pt>
                <c:pt idx="10">
                  <c:v>1.4563321028024123</c:v>
                </c:pt>
                <c:pt idx="11">
                  <c:v>1.5859456599518271</c:v>
                </c:pt>
                <c:pt idx="12">
                  <c:v>1.725508878027588</c:v>
                </c:pt>
                <c:pt idx="13">
                  <c:v>1.8117843219289673</c:v>
                </c:pt>
                <c:pt idx="14">
                  <c:v>1.6777122821062238</c:v>
                </c:pt>
                <c:pt idx="15">
                  <c:v>1.7615978962115348</c:v>
                </c:pt>
                <c:pt idx="16">
                  <c:v>1.837346605748631</c:v>
                </c:pt>
                <c:pt idx="17">
                  <c:v>1.9090031233728277</c:v>
                </c:pt>
                <c:pt idx="18">
                  <c:v>1.9490921889636572</c:v>
                </c:pt>
                <c:pt idx="19">
                  <c:v>1.9646849264753665</c:v>
                </c:pt>
                <c:pt idx="20">
                  <c:v>1.9391440224311864</c:v>
                </c:pt>
                <c:pt idx="21">
                  <c:v>1.9624137507003607</c:v>
                </c:pt>
                <c:pt idx="22">
                  <c:v>2.0114740944678697</c:v>
                </c:pt>
                <c:pt idx="23">
                  <c:v>2.0617609468295663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8F7-45B4-9301-00B0E8FF1E7E}"/>
            </c:ext>
          </c:extLst>
        </c:ser>
        <c:ser>
          <c:idx val="3"/>
          <c:order val="3"/>
          <c:spPr>
            <a:ln w="63500">
              <a:solidFill>
                <a:srgbClr val="FF0000"/>
              </a:solidFill>
              <a:prstDash val="lgDash"/>
            </a:ln>
          </c:spPr>
          <c:marker>
            <c:symbol val="none"/>
          </c:marker>
          <c:xVal>
            <c:numRef>
              <c:f>ОТЧЁТ!$EJ$227:$EJ$267</c:f>
              <c:numCache>
                <c:formatCode>General</c:formatCode>
                <c:ptCount val="41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  <c:pt idx="36">
                  <c:v>2031</c:v>
                </c:pt>
                <c:pt idx="37">
                  <c:v>2032</c:v>
                </c:pt>
                <c:pt idx="38">
                  <c:v>2033</c:v>
                </c:pt>
                <c:pt idx="39">
                  <c:v>2034</c:v>
                </c:pt>
                <c:pt idx="40">
                  <c:v>2035</c:v>
                </c:pt>
              </c:numCache>
            </c:numRef>
          </c:xVal>
          <c:yVal>
            <c:numRef>
              <c:f>ОТЧЁТ!$EL$227:$EL$267</c:f>
              <c:numCache>
                <c:formatCode>General</c:formatCode>
                <c:ptCount val="41"/>
                <c:pt idx="23" formatCode="0.00">
                  <c:v>2.0617609468295663</c:v>
                </c:pt>
                <c:pt idx="24" formatCode="0.00">
                  <c:v>2.1487156906873497</c:v>
                </c:pt>
                <c:pt idx="25" formatCode="0.00">
                  <c:v>2.2073861787158706</c:v>
                </c:pt>
                <c:pt idx="26" formatCode="0.00">
                  <c:v>2.3079568951667082</c:v>
                </c:pt>
                <c:pt idx="27" formatCode="0.00">
                  <c:v>2.3892515838213932</c:v>
                </c:pt>
                <c:pt idx="28" formatCode="0.00">
                  <c:v>2.4694958722934941</c:v>
                </c:pt>
                <c:pt idx="29" formatCode="0.00">
                  <c:v>2.5506014080515338</c:v>
                </c:pt>
                <c:pt idx="30" formatCode="0.00">
                  <c:v>2.633816811648495</c:v>
                </c:pt>
                <c:pt idx="31" formatCode="0.00">
                  <c:v>2.7199873891459658</c:v>
                </c:pt>
                <c:pt idx="32" formatCode="0.00">
                  <c:v>2.8097146980585723</c:v>
                </c:pt>
                <c:pt idx="33" formatCode="0.00">
                  <c:v>2.9034546970089719</c:v>
                </c:pt>
                <c:pt idx="34" formatCode="0.00">
                  <c:v>3.0015782195814724</c:v>
                </c:pt>
                <c:pt idx="35" formatCode="0.00">
                  <c:v>3.1044083305237553</c:v>
                </c:pt>
                <c:pt idx="36" formatCode="0.00">
                  <c:v>3.2122434953512502</c:v>
                </c:pt>
                <c:pt idx="37" formatCode="0.00">
                  <c:v>3.3253720446831232</c:v>
                </c:pt>
                <c:pt idx="38" formatCode="0.00">
                  <c:v>3.4440812989449938</c:v>
                </c:pt>
                <c:pt idx="39" formatCode="0.00">
                  <c:v>3.5686634210359371</c:v>
                </c:pt>
                <c:pt idx="40" formatCode="0.00">
                  <c:v>3.699419267874434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8F7-45B4-9301-00B0E8FF1E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645952"/>
        <c:axId val="149655936"/>
      </c:scatterChart>
      <c:valAx>
        <c:axId val="149645952"/>
        <c:scaling>
          <c:orientation val="minMax"/>
          <c:max val="2035"/>
          <c:min val="1995"/>
        </c:scaling>
        <c:delete val="0"/>
        <c:axPos val="b"/>
        <c:numFmt formatCode="#,##0" sourceLinked="0"/>
        <c:majorTickMark val="in"/>
        <c:minorTickMark val="none"/>
        <c:tickLblPos val="nextTo"/>
        <c:spPr>
          <a:ln/>
        </c:spPr>
        <c:txPr>
          <a:bodyPr rot="0" vert="horz"/>
          <a:lstStyle/>
          <a:p>
            <a:pPr>
              <a:defRPr sz="18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49655936"/>
        <c:crosses val="autoZero"/>
        <c:crossBetween val="midCat"/>
        <c:majorUnit val="5"/>
      </c:valAx>
      <c:valAx>
        <c:axId val="149655936"/>
        <c:scaling>
          <c:orientation val="minMax"/>
          <c:max val="6"/>
          <c:min val="0"/>
        </c:scaling>
        <c:delete val="0"/>
        <c:axPos val="l"/>
        <c:majorGridlines/>
        <c:numFmt formatCode="0.0" sourceLinked="0"/>
        <c:majorTickMark val="out"/>
        <c:minorTickMark val="none"/>
        <c:tickLblPos val="nextTo"/>
        <c:txPr>
          <a:bodyPr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49645952"/>
        <c:crosses val="autoZero"/>
        <c:crossBetween val="midCat"/>
        <c:majorUnit val="1"/>
      </c:valAx>
      <c:spPr>
        <a:solidFill>
          <a:sysClr val="window" lastClr="FFFFFF"/>
        </a:solidFill>
      </c:spPr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2000" b="1"/>
            </a:pPr>
            <a:r>
              <a:rPr lang="ru-RU" sz="1800" b="1"/>
              <a:t>Тренд 2</a:t>
            </a:r>
          </a:p>
        </c:rich>
      </c:tx>
      <c:layout>
        <c:manualLayout>
          <c:xMode val="edge"/>
          <c:yMode val="edge"/>
          <c:x val="0.80151433070865019"/>
          <c:y val="0.36459774297165931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6.4863413051022278E-2"/>
          <c:y val="2.3527675276752771E-2"/>
          <c:w val="0.90832969058514779"/>
          <c:h val="0.92140941976349833"/>
        </c:manualLayout>
      </c:layout>
      <c:scatterChart>
        <c:scatterStyle val="smoothMarker"/>
        <c:varyColors val="0"/>
        <c:ser>
          <c:idx val="0"/>
          <c:order val="0"/>
          <c:spPr>
            <a:ln w="79375">
              <a:solidFill>
                <a:srgbClr val="0070C0">
                  <a:alpha val="88000"/>
                </a:srgbClr>
              </a:solidFill>
            </a:ln>
          </c:spPr>
          <c:marker>
            <c:symbol val="circle"/>
            <c:size val="11"/>
            <c:spPr>
              <a:noFill/>
            </c:spPr>
          </c:marker>
          <c:xVal>
            <c:numRef>
              <c:f>ОТЧЁТ!$DA$276:$DA$299</c:f>
              <c:numCache>
                <c:formatCode>0.00</c:formatCode>
                <c:ptCount val="24"/>
                <c:pt idx="0">
                  <c:v>9.2700000000000014</c:v>
                </c:pt>
                <c:pt idx="1">
                  <c:v>11.277999999999999</c:v>
                </c:pt>
                <c:pt idx="2">
                  <c:v>11.212</c:v>
                </c:pt>
                <c:pt idx="3">
                  <c:v>10.96</c:v>
                </c:pt>
                <c:pt idx="4">
                  <c:v>21.7136</c:v>
                </c:pt>
                <c:pt idx="5">
                  <c:v>28.2072</c:v>
                </c:pt>
                <c:pt idx="6">
                  <c:v>27.166600000000003</c:v>
                </c:pt>
                <c:pt idx="7">
                  <c:v>28.683000000000003</c:v>
                </c:pt>
                <c:pt idx="8">
                  <c:v>29.938200000000002</c:v>
                </c:pt>
                <c:pt idx="9">
                  <c:v>32.7958</c:v>
                </c:pt>
                <c:pt idx="10">
                  <c:v>39.262</c:v>
                </c:pt>
                <c:pt idx="11">
                  <c:v>43.226600000000005</c:v>
                </c:pt>
                <c:pt idx="12">
                  <c:v>45.370400000000004</c:v>
                </c:pt>
                <c:pt idx="13">
                  <c:v>55.452799999999996</c:v>
                </c:pt>
                <c:pt idx="14">
                  <c:v>44.459400000000002</c:v>
                </c:pt>
                <c:pt idx="15">
                  <c:v>51.040799999999997</c:v>
                </c:pt>
                <c:pt idx="16">
                  <c:v>63.666200000000003</c:v>
                </c:pt>
                <c:pt idx="17">
                  <c:v>64.814400000000006</c:v>
                </c:pt>
                <c:pt idx="18">
                  <c:v>64.168999999999997</c:v>
                </c:pt>
                <c:pt idx="19">
                  <c:v>60.5214</c:v>
                </c:pt>
                <c:pt idx="20">
                  <c:v>54.638800000000003</c:v>
                </c:pt>
                <c:pt idx="21">
                  <c:v>60.750399999999999</c:v>
                </c:pt>
                <c:pt idx="22">
                  <c:v>58.282799999999995</c:v>
                </c:pt>
                <c:pt idx="23">
                  <c:v>62.808000000000007</c:v>
                </c:pt>
              </c:numCache>
            </c:numRef>
          </c:xVal>
          <c:yVal>
            <c:numRef>
              <c:f>ОТЧЁТ!$CU$276:$CU$299</c:f>
              <c:numCache>
                <c:formatCode>0.00</c:formatCode>
                <c:ptCount val="24"/>
                <c:pt idx="0" formatCode="General">
                  <c:v>1</c:v>
                </c:pt>
                <c:pt idx="1">
                  <c:v>1.2062700474653716</c:v>
                </c:pt>
                <c:pt idx="2">
                  <c:v>1.3416177583578945</c:v>
                </c:pt>
                <c:pt idx="3">
                  <c:v>1.8660673788361899</c:v>
                </c:pt>
                <c:pt idx="4">
                  <c:v>4.2606518536034752</c:v>
                </c:pt>
                <c:pt idx="5">
                  <c:v>6.0082118596068304</c:v>
                </c:pt>
                <c:pt idx="6">
                  <c:v>5.9105900050191611</c:v>
                </c:pt>
                <c:pt idx="7">
                  <c:v>6.1936348205467269</c:v>
                </c:pt>
                <c:pt idx="8">
                  <c:v>6.7152546240758211</c:v>
                </c:pt>
                <c:pt idx="9">
                  <c:v>7.5604196927091616</c:v>
                </c:pt>
                <c:pt idx="10">
                  <c:v>9.215042167890525</c:v>
                </c:pt>
                <c:pt idx="11">
                  <c:v>10.249953881504441</c:v>
                </c:pt>
                <c:pt idx="12">
                  <c:v>10.650833844352405</c:v>
                </c:pt>
                <c:pt idx="13">
                  <c:v>13.643325842032947</c:v>
                </c:pt>
                <c:pt idx="14">
                  <c:v>12.010355196687106</c:v>
                </c:pt>
                <c:pt idx="15">
                  <c:v>14.006747557636276</c:v>
                </c:pt>
                <c:pt idx="16">
                  <c:v>17.408124468926459</c:v>
                </c:pt>
                <c:pt idx="17">
                  <c:v>18.653542469425737</c:v>
                </c:pt>
                <c:pt idx="18">
                  <c:v>18.357364736075578</c:v>
                </c:pt>
                <c:pt idx="19">
                  <c:v>20.747451690988555</c:v>
                </c:pt>
                <c:pt idx="20">
                  <c:v>22.274520095355602</c:v>
                </c:pt>
                <c:pt idx="21">
                  <c:v>20.030786917707065</c:v>
                </c:pt>
                <c:pt idx="22">
                  <c:v>20.67689483369983</c:v>
                </c:pt>
                <c:pt idx="23">
                  <c:v>26.083050100459737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789-4A60-BD25-FF99D9CA08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670528"/>
        <c:axId val="149779200"/>
      </c:scatterChart>
      <c:valAx>
        <c:axId val="149670528"/>
        <c:scaling>
          <c:orientation val="minMax"/>
          <c:max val="100"/>
          <c:min val="0"/>
        </c:scaling>
        <c:delete val="0"/>
        <c:axPos val="b"/>
        <c:numFmt formatCode="#,##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49779200"/>
        <c:crosses val="autoZero"/>
        <c:crossBetween val="midCat"/>
        <c:majorUnit val="20"/>
        <c:minorUnit val="20"/>
      </c:valAx>
      <c:valAx>
        <c:axId val="149779200"/>
        <c:scaling>
          <c:orientation val="minMax"/>
          <c:max val="30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txPr>
          <a:bodyPr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49670528"/>
        <c:crosses val="autoZero"/>
        <c:crossBetween val="midCat"/>
        <c:majorUnit val="10"/>
        <c:minorUnit val="10"/>
      </c:valAx>
      <c:spPr>
        <a:solidFill>
          <a:sysClr val="window" lastClr="FFFFFF"/>
        </a:solidFill>
      </c:spPr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ru-RU" b="0"/>
              <a:t>Тренд 2</a:t>
            </a:r>
          </a:p>
        </c:rich>
      </c:tx>
      <c:layout>
        <c:manualLayout>
          <c:xMode val="edge"/>
          <c:yMode val="edge"/>
          <c:x val="0.25093073363832075"/>
          <c:y val="0.87406225290240191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6.3603706352401562E-2"/>
          <c:y val="2.0801327694030546E-2"/>
          <c:w val="0.90855288297725545"/>
          <c:h val="0.93282266589605956"/>
        </c:manualLayout>
      </c:layout>
      <c:scatterChart>
        <c:scatterStyle val="smoothMarker"/>
        <c:varyColors val="0"/>
        <c:ser>
          <c:idx val="0"/>
          <c:order val="0"/>
          <c:spPr>
            <a:ln w="111125">
              <a:solidFill>
                <a:schemeClr val="accent2">
                  <a:alpha val="80000"/>
                </a:schemeClr>
              </a:solidFill>
            </a:ln>
          </c:spPr>
          <c:marker>
            <c:symbol val="circle"/>
            <c:size val="21"/>
            <c:spPr>
              <a:noFill/>
            </c:spPr>
          </c:marker>
          <c:trendline>
            <c:spPr>
              <a:ln w="34925">
                <a:prstDash val="lgDashDotDot"/>
              </a:ln>
            </c:spPr>
            <c:trendlineType val="linear"/>
            <c:forward val="20"/>
            <c:dispRSqr val="1"/>
            <c:dispEq val="1"/>
            <c:trendlineLbl>
              <c:layout>
                <c:manualLayout>
                  <c:x val="-0.38498383551358145"/>
                  <c:y val="0.35687191864642931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sz="1600">
                      <a:latin typeface="Arial" panose="020B0604020202020204" pitchFamily="34" charset="0"/>
                      <a:cs typeface="Arial" panose="020B0604020202020204" pitchFamily="34" charset="0"/>
                    </a:defRPr>
                  </a:pPr>
                  <a:endParaRPr lang="ru-RU"/>
                </a:p>
              </c:txPr>
            </c:trendlineLbl>
          </c:trendline>
          <c:xVal>
            <c:numRef>
              <c:f>ОТЧЁТ!$DV$276:$DV$299</c:f>
              <c:numCache>
                <c:formatCode>0.0</c:formatCode>
                <c:ptCount val="24"/>
                <c:pt idx="0">
                  <c:v>2.8765161000000004</c:v>
                </c:pt>
                <c:pt idx="1">
                  <c:v>3.9787420000000004</c:v>
                </c:pt>
                <c:pt idx="2">
                  <c:v>4.5421256999999997</c:v>
                </c:pt>
                <c:pt idx="3">
                  <c:v>4.8203402999999998</c:v>
                </c:pt>
                <c:pt idx="4">
                  <c:v>8.798562200000001</c:v>
                </c:pt>
                <c:pt idx="5">
                  <c:v>13.385659499999999</c:v>
                </c:pt>
                <c:pt idx="6">
                  <c:v>17.0202773</c:v>
                </c:pt>
                <c:pt idx="7">
                  <c:v>20.222973599999996</c:v>
                </c:pt>
                <c:pt idx="8">
                  <c:v>24.861589499999997</c:v>
                </c:pt>
                <c:pt idx="9">
                  <c:v>31.659022599999997</c:v>
                </c:pt>
                <c:pt idx="10">
                  <c:v>40.112701999999999</c:v>
                </c:pt>
                <c:pt idx="11">
                  <c:v>50.163726499999996</c:v>
                </c:pt>
                <c:pt idx="12">
                  <c:v>62.515174500000001</c:v>
                </c:pt>
                <c:pt idx="13">
                  <c:v>77.695808799999995</c:v>
                </c:pt>
                <c:pt idx="14">
                  <c:v>73.092394900000002</c:v>
                </c:pt>
                <c:pt idx="15">
                  <c:v>88.323068000000006</c:v>
                </c:pt>
                <c:pt idx="16">
                  <c:v>109.1588003</c:v>
                </c:pt>
                <c:pt idx="17">
                  <c:v>122.2598224</c:v>
                </c:pt>
                <c:pt idx="18">
                  <c:v>132.4299303</c:v>
                </c:pt>
                <c:pt idx="19">
                  <c:v>143.13704599999997</c:v>
                </c:pt>
                <c:pt idx="20">
                  <c:v>154.42295960000001</c:v>
                </c:pt>
                <c:pt idx="21">
                  <c:v>162.39542</c:v>
                </c:pt>
                <c:pt idx="22">
                  <c:v>175.27506</c:v>
                </c:pt>
                <c:pt idx="23">
                  <c:v>196.61047000000002</c:v>
                </c:pt>
              </c:numCache>
            </c:numRef>
          </c:xVal>
          <c:yVal>
            <c:numRef>
              <c:f>ОТЧЁТ!$DU$276:$DU$299</c:f>
              <c:numCache>
                <c:formatCode>0.00</c:formatCode>
                <c:ptCount val="24"/>
                <c:pt idx="0">
                  <c:v>0.41846850000000002</c:v>
                </c:pt>
                <c:pt idx="1">
                  <c:v>0.52346310000000007</c:v>
                </c:pt>
                <c:pt idx="2">
                  <c:v>0.57928650000000004</c:v>
                </c:pt>
                <c:pt idx="3">
                  <c:v>0.82104339999999998</c:v>
                </c:pt>
                <c:pt idx="4">
                  <c:v>2.0845851</c:v>
                </c:pt>
                <c:pt idx="5">
                  <c:v>3.2188663000000002</c:v>
                </c:pt>
                <c:pt idx="6">
                  <c:v>3.2995617000000004</c:v>
                </c:pt>
                <c:pt idx="7">
                  <c:v>3.8136999999999999</c:v>
                </c:pt>
                <c:pt idx="8">
                  <c:v>4.6558802999999997</c:v>
                </c:pt>
                <c:pt idx="9">
                  <c:v>5.8603968999999996</c:v>
                </c:pt>
                <c:pt idx="10">
                  <c:v>7.6072565000000001</c:v>
                </c:pt>
                <c:pt idx="11">
                  <c:v>9.0792999999999999</c:v>
                </c:pt>
                <c:pt idx="12">
                  <c:v>10.0287621</c:v>
                </c:pt>
                <c:pt idx="13">
                  <c:v>12.923553700000001</c:v>
                </c:pt>
                <c:pt idx="14">
                  <c:v>10.842026199999999</c:v>
                </c:pt>
                <c:pt idx="15">
                  <c:v>13.529311</c:v>
                </c:pt>
                <c:pt idx="16">
                  <c:v>16.865192199999999</c:v>
                </c:pt>
                <c:pt idx="17">
                  <c:v>18.324772299999999</c:v>
                </c:pt>
                <c:pt idx="18">
                  <c:v>18.863370199999999</c:v>
                </c:pt>
                <c:pt idx="19">
                  <c:v>21.425934600000001</c:v>
                </c:pt>
                <c:pt idx="20">
                  <c:v>23.854050000000001</c:v>
                </c:pt>
                <c:pt idx="21">
                  <c:v>22.137648000000002</c:v>
                </c:pt>
                <c:pt idx="22">
                  <c:v>23.994299999999999</c:v>
                </c:pt>
                <c:pt idx="23">
                  <c:v>31.932549999999999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392-412A-BD1C-F48A6B8009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705856"/>
        <c:axId val="149790080"/>
      </c:scatterChart>
      <c:valAx>
        <c:axId val="149705856"/>
        <c:scaling>
          <c:orientation val="minMax"/>
          <c:max val="250"/>
          <c:min val="0"/>
        </c:scaling>
        <c:delete val="0"/>
        <c:axPos val="b"/>
        <c:numFmt formatCode="#,##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4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49790080"/>
        <c:crosses val="autoZero"/>
        <c:crossBetween val="midCat"/>
        <c:majorUnit val="50"/>
        <c:minorUnit val="20"/>
      </c:valAx>
      <c:valAx>
        <c:axId val="149790080"/>
        <c:scaling>
          <c:orientation val="minMax"/>
          <c:max val="35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txPr>
          <a:bodyPr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49705856"/>
        <c:crosses val="autoZero"/>
        <c:crossBetween val="midCat"/>
        <c:majorUnit val="10"/>
        <c:minorUnit val="10"/>
      </c:valAx>
      <c:spPr>
        <a:solidFill>
          <a:sysClr val="window" lastClr="FFFFFF"/>
        </a:solidFill>
      </c:spPr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landscape"/>
  </c:printSettings>
  <c:userShapes r:id="rId1"/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>
                <a:latin typeface="Arial" panose="020B0604020202020204" pitchFamily="34" charset="0"/>
                <a:cs typeface="Arial" panose="020B0604020202020204" pitchFamily="34" charset="0"/>
              </a:defRPr>
            </a:pPr>
            <a:r>
              <a:rPr lang="en-US" sz="2400">
                <a:latin typeface="Arial" panose="020B0604020202020204" pitchFamily="34" charset="0"/>
                <a:cs typeface="Arial" panose="020B0604020202020204" pitchFamily="34" charset="0"/>
              </a:rPr>
              <a:t>Pe</a:t>
            </a:r>
          </a:p>
        </c:rich>
      </c:tx>
      <c:layout>
        <c:manualLayout>
          <c:xMode val="edge"/>
          <c:yMode val="edge"/>
          <c:x val="8.3683644070837865E-2"/>
          <c:y val="6.0640129400334947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5.2919273113447136E-2"/>
          <c:y val="3.8287844837332018E-2"/>
          <c:w val="0.88016368952049739"/>
          <c:h val="0.90222121668189992"/>
        </c:manualLayout>
      </c:layout>
      <c:scatterChart>
        <c:scatterStyle val="smoothMarker"/>
        <c:varyColors val="0"/>
        <c:ser>
          <c:idx val="0"/>
          <c:order val="0"/>
          <c:spPr>
            <a:ln w="127000">
              <a:solidFill>
                <a:schemeClr val="accent1">
                  <a:alpha val="85000"/>
                </a:schemeClr>
              </a:solidFill>
            </a:ln>
          </c:spPr>
          <c:marker>
            <c:symbol val="circle"/>
            <c:size val="20"/>
            <c:spPr>
              <a:noFill/>
            </c:spPr>
          </c:marker>
          <c:xVal>
            <c:numRef>
              <c:f>ОТЧЁТ!$EL$274:$EL$297</c:f>
              <c:numCache>
                <c:formatCode>General</c:formatCode>
                <c:ptCount val="24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</c:numCache>
            </c:numRef>
          </c:xVal>
          <c:yVal>
            <c:numRef>
              <c:f>ОТЧЁТ!$EM$274:$EM$297</c:f>
              <c:numCache>
                <c:formatCode>0.00</c:formatCode>
                <c:ptCount val="24"/>
                <c:pt idx="0">
                  <c:v>1</c:v>
                </c:pt>
                <c:pt idx="1">
                  <c:v>1.0369999999999999</c:v>
                </c:pt>
                <c:pt idx="2">
                  <c:v>1.0318149999999999</c:v>
                </c:pt>
                <c:pt idx="3">
                  <c:v>1.0514194849999998</c:v>
                </c:pt>
                <c:pt idx="4">
                  <c:v>1.1691784673199999</c:v>
                </c:pt>
                <c:pt idx="5">
                  <c:v>1.2802504217153998</c:v>
                </c:pt>
                <c:pt idx="6">
                  <c:v>1.3340209394274467</c:v>
                </c:pt>
                <c:pt idx="7">
                  <c:v>1.4714250961884736</c:v>
                </c:pt>
                <c:pt idx="8">
                  <c:v>1.6568246583082211</c:v>
                </c:pt>
                <c:pt idx="9">
                  <c:v>1.8523299679885914</c:v>
                </c:pt>
                <c:pt idx="10">
                  <c:v>1.9727314159078497</c:v>
                </c:pt>
                <c:pt idx="11">
                  <c:v>2.1167408092691224</c:v>
                </c:pt>
                <c:pt idx="12">
                  <c:v>2.2500954802530773</c:v>
                </c:pt>
                <c:pt idx="13">
                  <c:v>2.2635960531345956</c:v>
                </c:pt>
                <c:pt idx="14">
                  <c:v>2.1572070386372695</c:v>
                </c:pt>
                <c:pt idx="15">
                  <c:v>2.3082115313418785</c:v>
                </c:pt>
                <c:pt idx="16">
                  <c:v>2.315136165935904</c:v>
                </c:pt>
                <c:pt idx="17">
                  <c:v>2.3475480722590065</c:v>
                </c:pt>
                <c:pt idx="18">
                  <c:v>2.4555352835829209</c:v>
                </c:pt>
                <c:pt idx="19">
                  <c:v>2.4678129600008352</c:v>
                </c:pt>
                <c:pt idx="20">
                  <c:v>2.559122039520866</c:v>
                </c:pt>
                <c:pt idx="21">
                  <c:v>2.6410139447855339</c:v>
                </c:pt>
                <c:pt idx="22">
                  <c:v>2.7730646420248108</c:v>
                </c:pt>
                <c:pt idx="23">
                  <c:v>2.9255831973361754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89C-474C-A816-1D9FECB1706C}"/>
            </c:ext>
          </c:extLst>
        </c:ser>
        <c:ser>
          <c:idx val="1"/>
          <c:order val="1"/>
          <c:trendline>
            <c:spPr>
              <a:ln w="31750">
                <a:prstDash val="lgDash"/>
              </a:ln>
            </c:spPr>
            <c:trendlineType val="linear"/>
            <c:forward val="10"/>
            <c:dispRSqr val="1"/>
            <c:dispEq val="1"/>
            <c:trendlineLbl>
              <c:layout>
                <c:manualLayout>
                  <c:x val="-0.14726729264657024"/>
                  <c:y val="0.22892065823099805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sz="1600">
                      <a:latin typeface="Arial" panose="020B0604020202020204" pitchFamily="34" charset="0"/>
                      <a:cs typeface="Arial" panose="020B0604020202020204" pitchFamily="34" charset="0"/>
                    </a:defRPr>
                  </a:pPr>
                  <a:endParaRPr lang="ru-RU"/>
                </a:p>
              </c:txPr>
            </c:trendlineLbl>
          </c:trendline>
          <c:xVal>
            <c:numRef>
              <c:f>ОТЧЁТ!$EL$277:$EL$286</c:f>
              <c:numCache>
                <c:formatCode>General</c:formatCode>
                <c:ptCount val="10"/>
                <c:pt idx="0">
                  <c:v>1998</c:v>
                </c:pt>
                <c:pt idx="1">
                  <c:v>1999</c:v>
                </c:pt>
                <c:pt idx="2">
                  <c:v>2000</c:v>
                </c:pt>
                <c:pt idx="3">
                  <c:v>2001</c:v>
                </c:pt>
                <c:pt idx="4">
                  <c:v>2002</c:v>
                </c:pt>
                <c:pt idx="5">
                  <c:v>2003</c:v>
                </c:pt>
                <c:pt idx="6">
                  <c:v>2004</c:v>
                </c:pt>
                <c:pt idx="7">
                  <c:v>2005</c:v>
                </c:pt>
                <c:pt idx="8">
                  <c:v>2006</c:v>
                </c:pt>
                <c:pt idx="9">
                  <c:v>2007</c:v>
                </c:pt>
              </c:numCache>
            </c:numRef>
          </c:xVal>
          <c:yVal>
            <c:numRef>
              <c:f>ОТЧЁТ!$EN$277:$EN$286</c:f>
              <c:numCache>
                <c:formatCode>0.00</c:formatCode>
                <c:ptCount val="10"/>
                <c:pt idx="0">
                  <c:v>1.0514194849999998</c:v>
                </c:pt>
                <c:pt idx="1">
                  <c:v>1.1691784673199999</c:v>
                </c:pt>
                <c:pt idx="2">
                  <c:v>1.2802504217153998</c:v>
                </c:pt>
                <c:pt idx="3">
                  <c:v>1.3340209394274467</c:v>
                </c:pt>
                <c:pt idx="4">
                  <c:v>1.4714250961884736</c:v>
                </c:pt>
                <c:pt idx="5">
                  <c:v>1.6568246583082211</c:v>
                </c:pt>
                <c:pt idx="6">
                  <c:v>1.8523299679885914</c:v>
                </c:pt>
                <c:pt idx="7">
                  <c:v>1.9727314159078497</c:v>
                </c:pt>
                <c:pt idx="8">
                  <c:v>2.1167408092691224</c:v>
                </c:pt>
                <c:pt idx="9">
                  <c:v>2.2500954802530773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89C-474C-A816-1D9FECB170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851136"/>
        <c:axId val="149852928"/>
      </c:scatterChart>
      <c:valAx>
        <c:axId val="149851136"/>
        <c:scaling>
          <c:orientation val="minMax"/>
          <c:max val="2035"/>
          <c:min val="1995"/>
        </c:scaling>
        <c:delete val="0"/>
        <c:axPos val="b"/>
        <c:numFmt formatCode="#,##0" sourceLinked="0"/>
        <c:majorTickMark val="in"/>
        <c:minorTickMark val="none"/>
        <c:tickLblPos val="nextTo"/>
        <c:spPr>
          <a:ln/>
        </c:spPr>
        <c:txPr>
          <a:bodyPr rot="0" vert="horz"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49852928"/>
        <c:crosses val="autoZero"/>
        <c:crossBetween val="midCat"/>
        <c:majorUnit val="5"/>
      </c:valAx>
      <c:valAx>
        <c:axId val="149852928"/>
        <c:scaling>
          <c:orientation val="minMax"/>
          <c:max val="4"/>
          <c:min val="1"/>
        </c:scaling>
        <c:delete val="0"/>
        <c:axPos val="l"/>
        <c:majorGridlines/>
        <c:numFmt formatCode="0.0" sourceLinked="0"/>
        <c:majorTickMark val="out"/>
        <c:minorTickMark val="none"/>
        <c:tickLblPos val="nextTo"/>
        <c:txPr>
          <a:bodyPr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49851136"/>
        <c:crosses val="autoZero"/>
        <c:crossBetween val="midCat"/>
        <c:majorUnit val="1"/>
      </c:valAx>
      <c:spPr>
        <a:solidFill>
          <a:sysClr val="window" lastClr="FFFFFF"/>
        </a:solidFill>
      </c:spPr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/>
            </a:pPr>
            <a:r>
              <a:rPr lang="en-US" sz="1800" b="1"/>
              <a:t>PPS</a:t>
            </a:r>
            <a:endParaRPr lang="ru-RU" sz="1800" b="1"/>
          </a:p>
        </c:rich>
      </c:tx>
      <c:layout>
        <c:manualLayout>
          <c:xMode val="edge"/>
          <c:yMode val="edge"/>
          <c:x val="0.59479509044771894"/>
          <c:y val="0.58526488188974768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6.1398564496796974E-2"/>
          <c:y val="2.4273738109261082E-2"/>
          <c:w val="0.91789841388616822"/>
          <c:h val="0.88834909090909164"/>
        </c:manualLayout>
      </c:layout>
      <c:lineChart>
        <c:grouping val="standard"/>
        <c:varyColors val="0"/>
        <c:ser>
          <c:idx val="0"/>
          <c:order val="0"/>
          <c:spPr>
            <a:ln w="88900">
              <a:solidFill>
                <a:schemeClr val="accent1">
                  <a:lumMod val="75000"/>
                  <a:alpha val="60000"/>
                </a:schemeClr>
              </a:solidFill>
            </a:ln>
          </c:spPr>
          <c:marker>
            <c:symbol val="none"/>
          </c:marker>
          <c:cat>
            <c:numRef>
              <c:f>ОТЧЁТ!$EG$319:$EG$359</c:f>
              <c:numCache>
                <c:formatCode>General</c:formatCode>
                <c:ptCount val="41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  <c:pt idx="36">
                  <c:v>2031</c:v>
                </c:pt>
                <c:pt idx="37">
                  <c:v>2032</c:v>
                </c:pt>
                <c:pt idx="38">
                  <c:v>2033</c:v>
                </c:pt>
                <c:pt idx="39">
                  <c:v>2034</c:v>
                </c:pt>
                <c:pt idx="40">
                  <c:v>2035</c:v>
                </c:pt>
              </c:numCache>
            </c:numRef>
          </c:cat>
          <c:val>
            <c:numRef>
              <c:f>ОТЧЁТ!$EH$319:$EH$359</c:f>
              <c:numCache>
                <c:formatCode>0.0</c:formatCode>
                <c:ptCount val="41"/>
                <c:pt idx="0">
                  <c:v>3.6</c:v>
                </c:pt>
                <c:pt idx="1">
                  <c:v>4.5999999999999996</c:v>
                </c:pt>
                <c:pt idx="2">
                  <c:v>5.5</c:v>
                </c:pt>
                <c:pt idx="3">
                  <c:v>9.6999999999999993</c:v>
                </c:pt>
                <c:pt idx="4">
                  <c:v>24.62</c:v>
                </c:pt>
                <c:pt idx="5">
                  <c:v>28.14</c:v>
                </c:pt>
                <c:pt idx="6">
                  <c:v>29.17</c:v>
                </c:pt>
                <c:pt idx="7">
                  <c:v>31.35</c:v>
                </c:pt>
                <c:pt idx="8">
                  <c:v>30.69</c:v>
                </c:pt>
                <c:pt idx="9">
                  <c:v>28.81</c:v>
                </c:pt>
                <c:pt idx="10">
                  <c:v>28.3</c:v>
                </c:pt>
                <c:pt idx="11">
                  <c:v>27.17</c:v>
                </c:pt>
                <c:pt idx="12">
                  <c:v>25.58</c:v>
                </c:pt>
                <c:pt idx="13">
                  <c:v>24.86</c:v>
                </c:pt>
                <c:pt idx="14">
                  <c:v>31.83</c:v>
                </c:pt>
                <c:pt idx="15">
                  <c:v>30.36</c:v>
                </c:pt>
                <c:pt idx="16">
                  <c:v>29.39</c:v>
                </c:pt>
                <c:pt idx="17">
                  <c:v>32.19</c:v>
                </c:pt>
                <c:pt idx="18">
                  <c:v>30.37</c:v>
                </c:pt>
                <c:pt idx="19">
                  <c:v>32.65</c:v>
                </c:pt>
                <c:pt idx="20">
                  <c:v>56.23</c:v>
                </c:pt>
                <c:pt idx="21">
                  <c:v>72.92</c:v>
                </c:pt>
                <c:pt idx="22">
                  <c:v>60.65</c:v>
                </c:pt>
                <c:pt idx="23">
                  <c:v>57.6</c:v>
                </c:pt>
                <c:pt idx="24">
                  <c:v>69.47</c:v>
                </c:pt>
                <c:pt idx="25">
                  <c:v>61.9</c:v>
                </c:pt>
                <c:pt idx="26">
                  <c:v>73.87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855E-436E-9272-034D9A02B25B}"/>
            </c:ext>
          </c:extLst>
        </c:ser>
        <c:ser>
          <c:idx val="1"/>
          <c:order val="1"/>
          <c:spPr>
            <a:ln w="12700">
              <a:solidFill>
                <a:schemeClr val="tx1"/>
              </a:solidFill>
              <a:prstDash val="lgDash"/>
            </a:ln>
          </c:spPr>
          <c:marker>
            <c:symbol val="none"/>
          </c:marker>
          <c:cat>
            <c:numRef>
              <c:f>ОТЧЁТ!$EG$319:$EG$359</c:f>
              <c:numCache>
                <c:formatCode>General</c:formatCode>
                <c:ptCount val="41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  <c:pt idx="36">
                  <c:v>2031</c:v>
                </c:pt>
                <c:pt idx="37">
                  <c:v>2032</c:v>
                </c:pt>
                <c:pt idx="38">
                  <c:v>2033</c:v>
                </c:pt>
                <c:pt idx="39">
                  <c:v>2034</c:v>
                </c:pt>
                <c:pt idx="40">
                  <c:v>2035</c:v>
                </c:pt>
              </c:numCache>
            </c:numRef>
          </c:cat>
          <c:val>
            <c:numRef>
              <c:f>ОТЧЁТ!$EJ$319:$EJ$359</c:f>
              <c:numCache>
                <c:formatCode>0.0</c:formatCode>
                <c:ptCount val="41"/>
                <c:pt idx="0">
                  <c:v>1.65</c:v>
                </c:pt>
                <c:pt idx="1">
                  <c:v>2.35</c:v>
                </c:pt>
                <c:pt idx="2">
                  <c:v>2.63</c:v>
                </c:pt>
                <c:pt idx="3">
                  <c:v>3.02</c:v>
                </c:pt>
                <c:pt idx="4">
                  <c:v>5.41</c:v>
                </c:pt>
                <c:pt idx="5">
                  <c:v>7.04</c:v>
                </c:pt>
                <c:pt idx="6">
                  <c:v>8.1</c:v>
                </c:pt>
                <c:pt idx="7">
                  <c:v>9.17</c:v>
                </c:pt>
                <c:pt idx="8">
                  <c:v>10.14</c:v>
                </c:pt>
                <c:pt idx="9">
                  <c:v>11.55</c:v>
                </c:pt>
                <c:pt idx="10">
                  <c:v>12.74</c:v>
                </c:pt>
                <c:pt idx="11">
                  <c:v>14.2</c:v>
                </c:pt>
                <c:pt idx="12">
                  <c:v>15.72</c:v>
                </c:pt>
                <c:pt idx="13">
                  <c:v>18.22</c:v>
                </c:pt>
                <c:pt idx="14">
                  <c:v>18.45</c:v>
                </c:pt>
                <c:pt idx="15">
                  <c:v>19.100000000000001</c:v>
                </c:pt>
                <c:pt idx="16">
                  <c:v>19.399999999999999</c:v>
                </c:pt>
                <c:pt idx="17">
                  <c:v>22.7</c:v>
                </c:pt>
                <c:pt idx="18">
                  <c:v>24.1</c:v>
                </c:pt>
                <c:pt idx="19">
                  <c:v>26</c:v>
                </c:pt>
                <c:pt idx="20">
                  <c:v>29.4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55E-436E-9272-034D9A02B25B}"/>
            </c:ext>
          </c:extLst>
        </c:ser>
        <c:ser>
          <c:idx val="2"/>
          <c:order val="2"/>
          <c:spPr>
            <a:ln w="57150"/>
          </c:spPr>
          <c:marker>
            <c:symbol val="none"/>
          </c:marker>
          <c:cat>
            <c:numRef>
              <c:f>ОТЧЁТ!$EG$319:$EG$359</c:f>
              <c:numCache>
                <c:formatCode>General</c:formatCode>
                <c:ptCount val="41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  <c:pt idx="36">
                  <c:v>2031</c:v>
                </c:pt>
                <c:pt idx="37">
                  <c:v>2032</c:v>
                </c:pt>
                <c:pt idx="38">
                  <c:v>2033</c:v>
                </c:pt>
                <c:pt idx="39">
                  <c:v>2034</c:v>
                </c:pt>
                <c:pt idx="40">
                  <c:v>2035</c:v>
                </c:pt>
              </c:numCache>
            </c:numRef>
          </c:cat>
          <c:val>
            <c:numRef>
              <c:f>ОТЧЁТ!$EK$319:$EK$359</c:f>
              <c:numCache>
                <c:formatCode>0.0</c:formatCode>
                <c:ptCount val="41"/>
                <c:pt idx="3">
                  <c:v>1.5936969696969696</c:v>
                </c:pt>
                <c:pt idx="4">
                  <c:v>2.7466970387243737</c:v>
                </c:pt>
                <c:pt idx="5">
                  <c:v>3.7833247022268255</c:v>
                </c:pt>
                <c:pt idx="6">
                  <c:v>4.4078856579595858</c:v>
                </c:pt>
                <c:pt idx="7">
                  <c:v>5.0943085606773284</c:v>
                </c:pt>
                <c:pt idx="8">
                  <c:v>5.7905304690925039</c:v>
                </c:pt>
                <c:pt idx="9">
                  <c:v>6.9669394435351881</c:v>
                </c:pt>
                <c:pt idx="10">
                  <c:v>8.311461538461538</c:v>
                </c:pt>
                <c:pt idx="11">
                  <c:v>9.5722617354196302</c:v>
                </c:pt>
                <c:pt idx="12">
                  <c:v>10.89367627785059</c:v>
                </c:pt>
                <c:pt idx="13">
                  <c:v>12.84680983504513</c:v>
                </c:pt>
                <c:pt idx="14">
                  <c:v>13.10611279972982</c:v>
                </c:pt>
                <c:pt idx="15">
                  <c:v>14.962358642972536</c:v>
                </c:pt>
                <c:pt idx="16">
                  <c:v>18.680663154632786</c:v>
                </c:pt>
                <c:pt idx="17">
                  <c:v>20.420581186339124</c:v>
                </c:pt>
                <c:pt idx="18">
                  <c:v>20.943270332187858</c:v>
                </c:pt>
                <c:pt idx="19">
                  <c:v>22.259612141652614</c:v>
                </c:pt>
                <c:pt idx="20">
                  <c:v>24.01013532968615</c:v>
                </c:pt>
                <c:pt idx="21">
                  <c:v>23.003631508678239</c:v>
                </c:pt>
                <c:pt idx="22">
                  <c:v>23.0093</c:v>
                </c:pt>
                <c:pt idx="23">
                  <c:v>24.86</c:v>
                </c:pt>
                <c:pt idx="24">
                  <c:v>25.9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55E-436E-9272-034D9A02B25B}"/>
            </c:ext>
          </c:extLst>
        </c:ser>
        <c:ser>
          <c:idx val="3"/>
          <c:order val="3"/>
          <c:spPr>
            <a:ln w="63500">
              <a:solidFill>
                <a:srgbClr val="FF0000"/>
              </a:solidFill>
              <a:prstDash val="lgDash"/>
            </a:ln>
          </c:spPr>
          <c:marker>
            <c:symbol val="none"/>
          </c:marker>
          <c:cat>
            <c:numRef>
              <c:f>ОТЧЁТ!$EG$319:$EG$359</c:f>
              <c:numCache>
                <c:formatCode>General</c:formatCode>
                <c:ptCount val="41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  <c:pt idx="36">
                  <c:v>2031</c:v>
                </c:pt>
                <c:pt idx="37">
                  <c:v>2032</c:v>
                </c:pt>
                <c:pt idx="38">
                  <c:v>2033</c:v>
                </c:pt>
                <c:pt idx="39">
                  <c:v>2034</c:v>
                </c:pt>
                <c:pt idx="40">
                  <c:v>2035</c:v>
                </c:pt>
              </c:numCache>
            </c:numRef>
          </c:cat>
          <c:val>
            <c:numRef>
              <c:f>ОТЧЁТ!$EL$319:$EL$359</c:f>
              <c:numCache>
                <c:formatCode>0.0</c:formatCode>
                <c:ptCount val="41"/>
                <c:pt idx="4">
                  <c:v>4.0999999999999996</c:v>
                </c:pt>
                <c:pt idx="5">
                  <c:v>5.3999999999999995</c:v>
                </c:pt>
                <c:pt idx="6">
                  <c:v>6.6999999999999993</c:v>
                </c:pt>
                <c:pt idx="7">
                  <c:v>7.9999999999999991</c:v>
                </c:pt>
                <c:pt idx="8">
                  <c:v>9.2999999999999989</c:v>
                </c:pt>
                <c:pt idx="9">
                  <c:v>10.599999999999998</c:v>
                </c:pt>
                <c:pt idx="10">
                  <c:v>11.899999999999999</c:v>
                </c:pt>
                <c:pt idx="11">
                  <c:v>13.2</c:v>
                </c:pt>
                <c:pt idx="12">
                  <c:v>14.5</c:v>
                </c:pt>
                <c:pt idx="13">
                  <c:v>15.8</c:v>
                </c:pt>
                <c:pt idx="14">
                  <c:v>17.100000000000001</c:v>
                </c:pt>
                <c:pt idx="15">
                  <c:v>18.400000000000002</c:v>
                </c:pt>
                <c:pt idx="16">
                  <c:v>19.700000000000003</c:v>
                </c:pt>
                <c:pt idx="17">
                  <c:v>21.000000000000004</c:v>
                </c:pt>
                <c:pt idx="18">
                  <c:v>22.300000000000004</c:v>
                </c:pt>
                <c:pt idx="19">
                  <c:v>23.600000000000005</c:v>
                </c:pt>
                <c:pt idx="20">
                  <c:v>24.900000000000006</c:v>
                </c:pt>
                <c:pt idx="21">
                  <c:v>26.200000000000006</c:v>
                </c:pt>
                <c:pt idx="22">
                  <c:v>27.500000000000007</c:v>
                </c:pt>
                <c:pt idx="23">
                  <c:v>28.800000000000008</c:v>
                </c:pt>
                <c:pt idx="24">
                  <c:v>30.100000000000009</c:v>
                </c:pt>
                <c:pt idx="25">
                  <c:v>31.400000000000009</c:v>
                </c:pt>
                <c:pt idx="26">
                  <c:v>32.70000000000001</c:v>
                </c:pt>
                <c:pt idx="27">
                  <c:v>34.000000000000007</c:v>
                </c:pt>
                <c:pt idx="28">
                  <c:v>35.300000000000004</c:v>
                </c:pt>
                <c:pt idx="29">
                  <c:v>36.6</c:v>
                </c:pt>
                <c:pt idx="30">
                  <c:v>37.9</c:v>
                </c:pt>
                <c:pt idx="31">
                  <c:v>39.199999999999996</c:v>
                </c:pt>
                <c:pt idx="32">
                  <c:v>40.499999999999993</c:v>
                </c:pt>
                <c:pt idx="33">
                  <c:v>41.79999999999999</c:v>
                </c:pt>
                <c:pt idx="34">
                  <c:v>43.099999999999987</c:v>
                </c:pt>
                <c:pt idx="35">
                  <c:v>44.399999999999984</c:v>
                </c:pt>
                <c:pt idx="36">
                  <c:v>45.699999999999982</c:v>
                </c:pt>
                <c:pt idx="37">
                  <c:v>46.999999999999979</c:v>
                </c:pt>
                <c:pt idx="38">
                  <c:v>48.299999999999976</c:v>
                </c:pt>
                <c:pt idx="39">
                  <c:v>49.599999999999973</c:v>
                </c:pt>
                <c:pt idx="40">
                  <c:v>50.89999999999997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55E-436E-9272-034D9A02B25B}"/>
            </c:ext>
          </c:extLst>
        </c:ser>
        <c:ser>
          <c:idx val="4"/>
          <c:order val="4"/>
          <c:spPr>
            <a:ln>
              <a:solidFill>
                <a:schemeClr val="tx1"/>
              </a:solidFill>
              <a:prstDash val="lgDash"/>
            </a:ln>
          </c:spPr>
          <c:marker>
            <c:symbol val="none"/>
          </c:marker>
          <c:cat>
            <c:numRef>
              <c:f>ОТЧЁТ!$EG$319:$EG$359</c:f>
              <c:numCache>
                <c:formatCode>General</c:formatCode>
                <c:ptCount val="41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  <c:pt idx="36">
                  <c:v>2031</c:v>
                </c:pt>
                <c:pt idx="37">
                  <c:v>2032</c:v>
                </c:pt>
                <c:pt idx="38">
                  <c:v>2033</c:v>
                </c:pt>
                <c:pt idx="39">
                  <c:v>2034</c:v>
                </c:pt>
                <c:pt idx="40">
                  <c:v>2035</c:v>
                </c:pt>
              </c:numCache>
            </c:numRef>
          </c:cat>
          <c:val>
            <c:numRef>
              <c:f>ОТЧЁТ!$EI$319:$EI$359</c:f>
              <c:numCache>
                <c:formatCode>0.0</c:formatCode>
                <c:ptCount val="41"/>
                <c:pt idx="23">
                  <c:v>57.6</c:v>
                </c:pt>
                <c:pt idx="24">
                  <c:v>69.47</c:v>
                </c:pt>
                <c:pt idx="25">
                  <c:v>61.9</c:v>
                </c:pt>
                <c:pt idx="26">
                  <c:v>73.87</c:v>
                </c:pt>
                <c:pt idx="27">
                  <c:v>75.17</c:v>
                </c:pt>
                <c:pt idx="28">
                  <c:v>76.47</c:v>
                </c:pt>
                <c:pt idx="29">
                  <c:v>77.77</c:v>
                </c:pt>
                <c:pt idx="30">
                  <c:v>79.069999999999993</c:v>
                </c:pt>
                <c:pt idx="31">
                  <c:v>80.36999999999999</c:v>
                </c:pt>
                <c:pt idx="32">
                  <c:v>81.669999999999987</c:v>
                </c:pt>
                <c:pt idx="33">
                  <c:v>82.969999999999985</c:v>
                </c:pt>
                <c:pt idx="34">
                  <c:v>84.269999999999982</c:v>
                </c:pt>
                <c:pt idx="35">
                  <c:v>85.569999999999979</c:v>
                </c:pt>
                <c:pt idx="36">
                  <c:v>86.869999999999976</c:v>
                </c:pt>
                <c:pt idx="37">
                  <c:v>88.169999999999973</c:v>
                </c:pt>
                <c:pt idx="38">
                  <c:v>89.46999999999997</c:v>
                </c:pt>
                <c:pt idx="39">
                  <c:v>90.769999999999968</c:v>
                </c:pt>
                <c:pt idx="40">
                  <c:v>92.069999999999965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04-482B-941B-D8E3A52791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9994112"/>
        <c:axId val="150008192"/>
      </c:lineChart>
      <c:catAx>
        <c:axId val="1499941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150008192"/>
        <c:crosses val="autoZero"/>
        <c:auto val="1"/>
        <c:lblAlgn val="ctr"/>
        <c:lblOffset val="100"/>
        <c:tickLblSkip val="2"/>
        <c:tickMarkSkip val="1"/>
        <c:noMultiLvlLbl val="0"/>
      </c:catAx>
      <c:valAx>
        <c:axId val="150008192"/>
        <c:scaling>
          <c:orientation val="minMax"/>
          <c:max val="100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600" b="0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149994112"/>
        <c:crosses val="autoZero"/>
        <c:crossBetween val="between"/>
        <c:majorUnit val="20"/>
        <c:minorUnit val="20"/>
      </c:valAx>
      <c:spPr>
        <a:solidFill>
          <a:srgbClr val="FFFFFF"/>
        </a:solidFill>
        <a:ln w="12700">
          <a:solidFill>
            <a:schemeClr val="tx1"/>
          </a:solidFill>
          <a:prstDash val="solid"/>
        </a:ln>
      </c:spPr>
    </c:plotArea>
    <c:plotVisOnly val="1"/>
    <c:dispBlanksAs val="gap"/>
    <c:showDLblsOverMax val="0"/>
  </c:chart>
  <c:spPr>
    <a:solidFill>
      <a:schemeClr val="bg1">
        <a:lumMod val="85000"/>
      </a:schemeClr>
    </a:solidFill>
    <a:ln w="3175">
      <a:solidFill>
        <a:srgbClr val="000000"/>
      </a:solidFill>
      <a:prstDash val="solid"/>
    </a:ln>
  </c:spPr>
  <c:txPr>
    <a:bodyPr/>
    <a:lstStyle/>
    <a:p>
      <a:pPr>
        <a:defRPr sz="925" b="0" i="0" u="none" strike="noStrike" baseline="0">
          <a:solidFill>
            <a:srgbClr val="000000"/>
          </a:solidFill>
          <a:latin typeface="Arial Cyr"/>
          <a:ea typeface="Arial Cyr"/>
          <a:cs typeface="Arial Cyr"/>
        </a:defRPr>
      </a:pPr>
      <a:endParaRPr lang="ru-RU"/>
    </a:p>
  </c:txPr>
  <c:printSettings>
    <c:headerFooter alignWithMargins="0"/>
    <c:pageMargins b="1" l="0.75000000000001465" r="0.75000000000001465" t="1" header="0.5" footer="0.5"/>
    <c:pageSetup paperSize="9" orientation="landscape" verticalDpi="0"/>
  </c:printSettings>
  <c:userShapes r:id="rId1"/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7635750763055445E-2"/>
          <c:y val="3.8220917572470169E-2"/>
          <c:w val="0.90643879998279386"/>
          <c:h val="0.91281525110155792"/>
        </c:manualLayout>
      </c:layout>
      <c:scatterChart>
        <c:scatterStyle val="smoothMarker"/>
        <c:varyColors val="0"/>
        <c:ser>
          <c:idx val="0"/>
          <c:order val="0"/>
          <c:spPr>
            <a:ln w="101600">
              <a:solidFill>
                <a:schemeClr val="accent2">
                  <a:lumMod val="75000"/>
                </a:schemeClr>
              </a:solidFill>
            </a:ln>
          </c:spPr>
          <c:marker>
            <c:symbol val="circle"/>
            <c:size val="18"/>
            <c:spPr>
              <a:noFill/>
            </c:spPr>
          </c:marker>
          <c:trendline>
            <c:spPr>
              <a:ln w="25400">
                <a:prstDash val="lgDash"/>
              </a:ln>
            </c:spPr>
            <c:trendlineType val="poly"/>
            <c:order val="2"/>
            <c:forward val="10"/>
            <c:dispRSqr val="1"/>
            <c:dispEq val="1"/>
            <c:trendlineLbl>
              <c:layout>
                <c:manualLayout>
                  <c:x val="0.23556881016545744"/>
                  <c:y val="0.29300878486080312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sz="1600">
                      <a:latin typeface="Arial" panose="020B0604020202020204" pitchFamily="34" charset="0"/>
                      <a:cs typeface="Arial" panose="020B0604020202020204" pitchFamily="34" charset="0"/>
                    </a:defRPr>
                  </a:pPr>
                  <a:endParaRPr lang="ru-RU"/>
                </a:p>
              </c:txPr>
            </c:trendlineLbl>
          </c:trendline>
          <c:xVal>
            <c:numRef>
              <c:f>ОТЧЁТ!$DO$413:$DO$436</c:f>
              <c:numCache>
                <c:formatCode>0.00</c:formatCode>
                <c:ptCount val="24"/>
                <c:pt idx="0" formatCode="General">
                  <c:v>1</c:v>
                </c:pt>
                <c:pt idx="1">
                  <c:v>1.218</c:v>
                </c:pt>
                <c:pt idx="2">
                  <c:v>1.3519800000000002</c:v>
                </c:pt>
                <c:pt idx="3">
                  <c:v>2.4930511200000005</c:v>
                </c:pt>
                <c:pt idx="4">
                  <c:v>3.4030147788000007</c:v>
                </c:pt>
                <c:pt idx="5">
                  <c:v>4.0904237641176007</c:v>
                </c:pt>
                <c:pt idx="6">
                  <c:v>4.8512425842434741</c:v>
                </c:pt>
                <c:pt idx="7">
                  <c:v>5.5837802144642392</c:v>
                </c:pt>
                <c:pt idx="8">
                  <c:v>6.2538338401999489</c:v>
                </c:pt>
                <c:pt idx="9">
                  <c:v>6.9855323995033425</c:v>
                </c:pt>
                <c:pt idx="10">
                  <c:v>7.7469554310492068</c:v>
                </c:pt>
                <c:pt idx="11">
                  <c:v>8.4441814198436358</c:v>
                </c:pt>
                <c:pt idx="12">
                  <c:v>9.4465057543790749</c:v>
                </c:pt>
                <c:pt idx="13">
                  <c:v>10.701001718560617</c:v>
                </c:pt>
                <c:pt idx="14">
                  <c:v>11.642689869793951</c:v>
                </c:pt>
                <c:pt idx="15">
                  <c:v>12.664918040361862</c:v>
                </c:pt>
                <c:pt idx="16">
                  <c:v>13.437478040823935</c:v>
                </c:pt>
                <c:pt idx="17">
                  <c:v>14.321664095910151</c:v>
                </c:pt>
                <c:pt idx="18">
                  <c:v>15.245411430096356</c:v>
                </c:pt>
                <c:pt idx="19">
                  <c:v>17.318787384589459</c:v>
                </c:pt>
                <c:pt idx="20">
                  <c:v>19.552910957201501</c:v>
                </c:pt>
                <c:pt idx="21">
                  <c:v>20.606812857794662</c:v>
                </c:pt>
                <c:pt idx="22">
                  <c:v>21.124043860525305</c:v>
                </c:pt>
                <c:pt idx="23">
                  <c:v>22.02392812898368</c:v>
                </c:pt>
              </c:numCache>
            </c:numRef>
          </c:xVal>
          <c:yVal>
            <c:numRef>
              <c:f>ОТЧЁТ!$DM$413:$DM$436</c:f>
              <c:numCache>
                <c:formatCode>0.00</c:formatCode>
                <c:ptCount val="24"/>
                <c:pt idx="0" formatCode="General">
                  <c:v>1</c:v>
                </c:pt>
                <c:pt idx="1">
                  <c:v>1.1463921152743077</c:v>
                </c:pt>
                <c:pt idx="2">
                  <c:v>1.2513079717780982</c:v>
                </c:pt>
                <c:pt idx="3">
                  <c:v>1.7757982734232494</c:v>
                </c:pt>
                <c:pt idx="4">
                  <c:v>4.3836468174313525</c:v>
                </c:pt>
                <c:pt idx="5">
                  <c:v>5.422670804728047</c:v>
                </c:pt>
                <c:pt idx="6">
                  <c:v>5.4161394271000169</c:v>
                </c:pt>
                <c:pt idx="7">
                  <c:v>5.5899915734957792</c:v>
                </c:pt>
                <c:pt idx="8">
                  <c:v>6.1009492646947514</c:v>
                </c:pt>
                <c:pt idx="9">
                  <c:v>6.8314599646456458</c:v>
                </c:pt>
                <c:pt idx="10">
                  <c:v>8.0203116455157293</c:v>
                </c:pt>
                <c:pt idx="11">
                  <c:v>8.5777715926432858</c:v>
                </c:pt>
                <c:pt idx="12">
                  <c:v>8.5612179305936174</c:v>
                </c:pt>
                <c:pt idx="13">
                  <c:v>10.360928463828223</c:v>
                </c:pt>
                <c:pt idx="14">
                  <c:v>10.685163024983835</c:v>
                </c:pt>
                <c:pt idx="15">
                  <c:v>12.376778209553063</c:v>
                </c:pt>
                <c:pt idx="16">
                  <c:v>14.886630426588821</c:v>
                </c:pt>
                <c:pt idx="17">
                  <c:v>15.682710215951944</c:v>
                </c:pt>
                <c:pt idx="18">
                  <c:v>15.596922733834738</c:v>
                </c:pt>
                <c:pt idx="19">
                  <c:v>19.408072573294923</c:v>
                </c:pt>
                <c:pt idx="20">
                  <c:v>25.392619710313024</c:v>
                </c:pt>
                <c:pt idx="21">
                  <c:v>24.686694352693262</c:v>
                </c:pt>
                <c:pt idx="22">
                  <c:v>23.815961506525245</c:v>
                </c:pt>
                <c:pt idx="23">
                  <c:v>28.984298505855161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081-44A8-8095-28468ACC54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0037248"/>
        <c:axId val="150038400"/>
      </c:scatterChart>
      <c:valAx>
        <c:axId val="150037248"/>
        <c:scaling>
          <c:orientation val="minMax"/>
          <c:max val="50"/>
          <c:min val="0"/>
        </c:scaling>
        <c:delete val="0"/>
        <c:axPos val="b"/>
        <c:numFmt formatCode="#,##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50038400"/>
        <c:crosses val="autoZero"/>
        <c:crossBetween val="midCat"/>
        <c:majorUnit val="5"/>
      </c:valAx>
      <c:valAx>
        <c:axId val="150038400"/>
        <c:scaling>
          <c:orientation val="minMax"/>
          <c:max val="60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txPr>
          <a:bodyPr/>
          <a:lstStyle/>
          <a:p>
            <a:pPr>
              <a:defRPr sz="18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50037248"/>
        <c:crosses val="autoZero"/>
        <c:crossBetween val="midCat"/>
        <c:majorUnit val="20"/>
        <c:minorUnit val="10"/>
      </c:valAx>
      <c:spPr>
        <a:solidFill>
          <a:sysClr val="window" lastClr="FFFFFF"/>
        </a:solidFill>
      </c:spPr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2000" b="1"/>
            </a:pPr>
            <a:r>
              <a:rPr lang="en-US" sz="2400" b="1">
                <a:latin typeface="Arial" panose="020B0604020202020204" pitchFamily="34" charset="0"/>
                <a:cs typeface="Arial" panose="020B0604020202020204" pitchFamily="34" charset="0"/>
              </a:rPr>
              <a:t>Dem</a:t>
            </a:r>
            <a:endParaRPr lang="ru-RU" sz="2400" b="1"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layout>
        <c:manualLayout>
          <c:xMode val="edge"/>
          <c:yMode val="edge"/>
          <c:x val="0.44261048443384582"/>
          <c:y val="0.28148338925444333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7.7783975040524533E-2"/>
          <c:y val="3.8287826285052541E-2"/>
          <c:w val="0.8954090951582887"/>
          <c:h val="0.90222121668189992"/>
        </c:manualLayout>
      </c:layout>
      <c:scatterChart>
        <c:scatterStyle val="smoothMarker"/>
        <c:varyColors val="0"/>
        <c:ser>
          <c:idx val="0"/>
          <c:order val="0"/>
          <c:spPr>
            <a:ln w="82550">
              <a:solidFill>
                <a:schemeClr val="accent1">
                  <a:alpha val="67000"/>
                </a:schemeClr>
              </a:solidFill>
            </a:ln>
          </c:spPr>
          <c:marker>
            <c:symbol val="none"/>
          </c:marker>
          <c:xVal>
            <c:numRef>
              <c:f>ОТЧЁТ!#REF!</c:f>
            </c:numRef>
          </c:xVal>
          <c:yVal>
            <c:numRef>
              <c:f>ОТЧЁТ!$EC$372:$EC$395</c:f>
              <c:numCache>
                <c:formatCode>0.00</c:formatCode>
                <c:ptCount val="24"/>
                <c:pt idx="0" formatCode="0">
                  <c:v>1</c:v>
                </c:pt>
                <c:pt idx="1">
                  <c:v>1.1463921152743077</c:v>
                </c:pt>
                <c:pt idx="2">
                  <c:v>1.2513079717780982</c:v>
                </c:pt>
                <c:pt idx="3">
                  <c:v>1.7757982734232494</c:v>
                </c:pt>
                <c:pt idx="4">
                  <c:v>4.3836468174313525</c:v>
                </c:pt>
                <c:pt idx="5">
                  <c:v>5.422670804728047</c:v>
                </c:pt>
                <c:pt idx="6">
                  <c:v>5.4161394271000169</c:v>
                </c:pt>
                <c:pt idx="7">
                  <c:v>5.5899915734957792</c:v>
                </c:pt>
                <c:pt idx="8">
                  <c:v>6.1009492646947514</c:v>
                </c:pt>
                <c:pt idx="9">
                  <c:v>6.8314599646456458</c:v>
                </c:pt>
                <c:pt idx="10">
                  <c:v>8.0203116455157293</c:v>
                </c:pt>
                <c:pt idx="11">
                  <c:v>8.5777715926432858</c:v>
                </c:pt>
                <c:pt idx="12">
                  <c:v>8.5612179305936174</c:v>
                </c:pt>
                <c:pt idx="13">
                  <c:v>10.360928463828223</c:v>
                </c:pt>
                <c:pt idx="14">
                  <c:v>10.685163024983835</c:v>
                </c:pt>
                <c:pt idx="15">
                  <c:v>12.376778209553063</c:v>
                </c:pt>
                <c:pt idx="16">
                  <c:v>14.886630426588821</c:v>
                </c:pt>
                <c:pt idx="17">
                  <c:v>15.682710215951944</c:v>
                </c:pt>
                <c:pt idx="18">
                  <c:v>15.596922733834738</c:v>
                </c:pt>
                <c:pt idx="19">
                  <c:v>19.408072573294923</c:v>
                </c:pt>
                <c:pt idx="20">
                  <c:v>25.392619710313024</c:v>
                </c:pt>
                <c:pt idx="21">
                  <c:v>24.686694352693262</c:v>
                </c:pt>
                <c:pt idx="22">
                  <c:v>23.815961506525245</c:v>
                </c:pt>
                <c:pt idx="23">
                  <c:v>28.984298505855161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C06-4453-8BB6-ACA8849CF3E9}"/>
            </c:ext>
          </c:extLst>
        </c:ser>
        <c:ser>
          <c:idx val="1"/>
          <c:order val="1"/>
          <c:spPr>
            <a:ln w="88900"/>
          </c:spPr>
          <c:marker>
            <c:symbol val="none"/>
          </c:marker>
          <c:xVal>
            <c:numRef>
              <c:f>ОТЧЁТ!$EJ$372:$EJ$395</c:f>
              <c:numCache>
                <c:formatCode>General</c:formatCode>
                <c:ptCount val="24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</c:numCache>
            </c:numRef>
          </c:xVal>
          <c:yVal>
            <c:numRef>
              <c:f>ОТЧЁТ!$EN$372:$EN$395</c:f>
              <c:numCache>
                <c:formatCode>0.00</c:formatCode>
                <c:ptCount val="24"/>
                <c:pt idx="0" formatCode="General">
                  <c:v>1</c:v>
                </c:pt>
                <c:pt idx="1">
                  <c:v>1.2062700474653716</c:v>
                </c:pt>
                <c:pt idx="2">
                  <c:v>1.3416177583578945</c:v>
                </c:pt>
                <c:pt idx="3">
                  <c:v>1.8660673788361899</c:v>
                </c:pt>
                <c:pt idx="4">
                  <c:v>4.2606518536034752</c:v>
                </c:pt>
                <c:pt idx="5">
                  <c:v>6.0082118596068304</c:v>
                </c:pt>
                <c:pt idx="6">
                  <c:v>5.9105900050191611</c:v>
                </c:pt>
                <c:pt idx="7">
                  <c:v>6.1936348205467269</c:v>
                </c:pt>
                <c:pt idx="8">
                  <c:v>6.7152546240758211</c:v>
                </c:pt>
                <c:pt idx="9">
                  <c:v>7.5604196927091616</c:v>
                </c:pt>
                <c:pt idx="10">
                  <c:v>9.215042167890525</c:v>
                </c:pt>
                <c:pt idx="11">
                  <c:v>10.249953881504441</c:v>
                </c:pt>
                <c:pt idx="12">
                  <c:v>10.650833844352405</c:v>
                </c:pt>
                <c:pt idx="13">
                  <c:v>13.643325842032947</c:v>
                </c:pt>
                <c:pt idx="14">
                  <c:v>12.010355196687106</c:v>
                </c:pt>
                <c:pt idx="15">
                  <c:v>14.006747557636276</c:v>
                </c:pt>
                <c:pt idx="16">
                  <c:v>17.408124468926459</c:v>
                </c:pt>
                <c:pt idx="17">
                  <c:v>18.653542469425737</c:v>
                </c:pt>
                <c:pt idx="18">
                  <c:v>18.357364736075578</c:v>
                </c:pt>
                <c:pt idx="19">
                  <c:v>20.747451690988555</c:v>
                </c:pt>
                <c:pt idx="20">
                  <c:v>22.274520095355602</c:v>
                </c:pt>
                <c:pt idx="21">
                  <c:v>20.030786917707065</c:v>
                </c:pt>
                <c:pt idx="22">
                  <c:v>20.67689483369983</c:v>
                </c:pt>
                <c:pt idx="23">
                  <c:v>26.083050100459737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C06-4453-8BB6-ACA8849CF3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0116224"/>
        <c:axId val="150117760"/>
      </c:scatterChart>
      <c:valAx>
        <c:axId val="150116224"/>
        <c:scaling>
          <c:orientation val="minMax"/>
          <c:max val="2035"/>
          <c:min val="1995"/>
        </c:scaling>
        <c:delete val="0"/>
        <c:axPos val="b"/>
        <c:numFmt formatCode="#,##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50117760"/>
        <c:crosses val="autoZero"/>
        <c:crossBetween val="midCat"/>
        <c:majorUnit val="5"/>
      </c:valAx>
      <c:valAx>
        <c:axId val="150117760"/>
        <c:scaling>
          <c:orientation val="minMax"/>
          <c:max val="40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txPr>
          <a:bodyPr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50116224"/>
        <c:crosses val="autoZero"/>
        <c:crossBetween val="midCat"/>
        <c:majorUnit val="10"/>
        <c:minorUnit val="10"/>
      </c:valAx>
      <c:spPr>
        <a:solidFill>
          <a:sysClr val="window" lastClr="FFFFFF"/>
        </a:solidFill>
      </c:spPr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2000" b="1"/>
            </a:pPr>
            <a:r>
              <a:rPr lang="en-US" sz="2000" b="1">
                <a:latin typeface="Arial" panose="020B0604020202020204" pitchFamily="34" charset="0"/>
                <a:cs typeface="Arial" panose="020B0604020202020204" pitchFamily="34" charset="0"/>
              </a:rPr>
              <a:t>Pem</a:t>
            </a:r>
            <a:endParaRPr lang="ru-RU" sz="2000" b="1"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layout>
        <c:manualLayout>
          <c:xMode val="edge"/>
          <c:yMode val="edge"/>
          <c:x val="0.59661159304239508"/>
          <c:y val="0.36848270423729657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7.7783975040524533E-2"/>
          <c:y val="3.8287826285052541E-2"/>
          <c:w val="0.8954090951582887"/>
          <c:h val="0.90222121668189992"/>
        </c:manualLayout>
      </c:layout>
      <c:scatterChart>
        <c:scatterStyle val="smoothMarker"/>
        <c:varyColors val="0"/>
        <c:ser>
          <c:idx val="0"/>
          <c:order val="0"/>
          <c:spPr>
            <a:ln w="101600">
              <a:solidFill>
                <a:srgbClr val="FF0000">
                  <a:alpha val="54000"/>
                </a:srgbClr>
              </a:solidFill>
            </a:ln>
          </c:spPr>
          <c:marker>
            <c:symbol val="none"/>
          </c:marker>
          <c:xVal>
            <c:numRef>
              <c:f>ОТЧЁТ!$EJ$372:$EJ$395</c:f>
              <c:numCache>
                <c:formatCode>General</c:formatCode>
                <c:ptCount val="24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</c:numCache>
            </c:numRef>
          </c:xVal>
          <c:yVal>
            <c:numRef>
              <c:f>ОТЧЁТ!$EL$372:$EL$395</c:f>
              <c:numCache>
                <c:formatCode>General</c:formatCode>
                <c:ptCount val="24"/>
                <c:pt idx="0">
                  <c:v>1</c:v>
                </c:pt>
                <c:pt idx="1">
                  <c:v>1.0369999999999999</c:v>
                </c:pt>
                <c:pt idx="2">
                  <c:v>1.0318149999999999</c:v>
                </c:pt>
                <c:pt idx="3">
                  <c:v>1.0514194849999998</c:v>
                </c:pt>
                <c:pt idx="4">
                  <c:v>1.1691784673199999</c:v>
                </c:pt>
                <c:pt idx="5">
                  <c:v>1.2802504217153998</c:v>
                </c:pt>
                <c:pt idx="6">
                  <c:v>1.3340209394274467</c:v>
                </c:pt>
                <c:pt idx="7">
                  <c:v>1.4714250961884736</c:v>
                </c:pt>
                <c:pt idx="8">
                  <c:v>1.6568246583082211</c:v>
                </c:pt>
                <c:pt idx="9">
                  <c:v>1.8523299679885914</c:v>
                </c:pt>
                <c:pt idx="10">
                  <c:v>1.9727314159078497</c:v>
                </c:pt>
                <c:pt idx="11">
                  <c:v>2.1167408092691224</c:v>
                </c:pt>
                <c:pt idx="12">
                  <c:v>2.2500954802530773</c:v>
                </c:pt>
                <c:pt idx="13">
                  <c:v>2.2635960531345956</c:v>
                </c:pt>
                <c:pt idx="14">
                  <c:v>2.1572070386372695</c:v>
                </c:pt>
                <c:pt idx="15">
                  <c:v>2.3082115313418785</c:v>
                </c:pt>
                <c:pt idx="16">
                  <c:v>2.315136165935904</c:v>
                </c:pt>
                <c:pt idx="17">
                  <c:v>2.3475480722590065</c:v>
                </c:pt>
                <c:pt idx="18">
                  <c:v>2.4555352835829209</c:v>
                </c:pt>
                <c:pt idx="19">
                  <c:v>2.4678129600008352</c:v>
                </c:pt>
                <c:pt idx="20">
                  <c:v>2.559122039520866</c:v>
                </c:pt>
                <c:pt idx="21">
                  <c:v>2.6410139447855339</c:v>
                </c:pt>
                <c:pt idx="22">
                  <c:v>2.7730646420248108</c:v>
                </c:pt>
                <c:pt idx="23">
                  <c:v>2.9255831973361754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7A7-4D90-92D3-DA7DADFCE753}"/>
            </c:ext>
          </c:extLst>
        </c:ser>
        <c:ser>
          <c:idx val="1"/>
          <c:order val="1"/>
          <c:spPr>
            <a:ln w="66675">
              <a:solidFill>
                <a:srgbClr val="0070C0">
                  <a:alpha val="74000"/>
                </a:srgbClr>
              </a:solidFill>
            </a:ln>
          </c:spPr>
          <c:marker>
            <c:symbol val="none"/>
          </c:marker>
          <c:xVal>
            <c:numRef>
              <c:f>ОТЧЁТ!#REF!</c:f>
              <c:numCache>
                <c:formatCode>General</c:formatCode>
                <c:ptCount val="24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</c:numCache>
            </c:numRef>
          </c:xVal>
          <c:yVal>
            <c:numRef>
              <c:f>ОТЧЁТ!$EB$372:$EB$395</c:f>
              <c:numCache>
                <c:formatCode>0.00</c:formatCode>
                <c:ptCount val="24"/>
                <c:pt idx="0" formatCode="0">
                  <c:v>1</c:v>
                </c:pt>
                <c:pt idx="1">
                  <c:v>1.0551238685898738</c:v>
                </c:pt>
                <c:pt idx="2">
                  <c:v>1.0637144494078237</c:v>
                </c:pt>
                <c:pt idx="3">
                  <c:v>0.88314350986207779</c:v>
                </c:pt>
                <c:pt idx="4">
                  <c:v>0.94351698193098643</c:v>
                </c:pt>
                <c:pt idx="5">
                  <c:v>1.2247490822844354</c:v>
                </c:pt>
                <c:pt idx="6">
                  <c:v>1.3476545615734206</c:v>
                </c:pt>
                <c:pt idx="7">
                  <c:v>1.4665088426814834</c:v>
                </c:pt>
                <c:pt idx="8">
                  <c:v>1.6632756085335001</c:v>
                </c:pt>
                <c:pt idx="9">
                  <c:v>1.8635096058631688</c:v>
                </c:pt>
                <c:pt idx="10">
                  <c:v>2.0184806102920132</c:v>
                </c:pt>
                <c:pt idx="11">
                  <c:v>2.2752161070197054</c:v>
                </c:pt>
                <c:pt idx="12">
                  <c:v>2.574224804669774</c:v>
                </c:pt>
                <c:pt idx="13">
                  <c:v>2.7497210051148255</c:v>
                </c:pt>
                <c:pt idx="14">
                  <c:v>1.8560505362598563</c:v>
                </c:pt>
                <c:pt idx="15">
                  <c:v>2.3303907302212532</c:v>
                </c:pt>
                <c:pt idx="16">
                  <c:v>2.683219177751119</c:v>
                </c:pt>
                <c:pt idx="17">
                  <c:v>2.7827564782033063</c:v>
                </c:pt>
                <c:pt idx="18">
                  <c:v>2.7806418221752773</c:v>
                </c:pt>
                <c:pt idx="19">
                  <c:v>2.5425932511944835</c:v>
                </c:pt>
                <c:pt idx="20">
                  <c:v>2.1845595087999583</c:v>
                </c:pt>
                <c:pt idx="21">
                  <c:v>2.1739835580660896</c:v>
                </c:pt>
                <c:pt idx="22">
                  <c:v>2.4593278252133119</c:v>
                </c:pt>
                <c:pt idx="23">
                  <c:v>2.5430346985333676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7A7-4D90-92D3-DA7DADFCE7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0163456"/>
        <c:axId val="150164992"/>
      </c:scatterChart>
      <c:valAx>
        <c:axId val="150163456"/>
        <c:scaling>
          <c:orientation val="minMax"/>
          <c:max val="2035"/>
          <c:min val="1995"/>
        </c:scaling>
        <c:delete val="0"/>
        <c:axPos val="b"/>
        <c:numFmt formatCode="#,##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50164992"/>
        <c:crosses val="autoZero"/>
        <c:crossBetween val="midCat"/>
        <c:majorUnit val="5"/>
      </c:valAx>
      <c:valAx>
        <c:axId val="150164992"/>
        <c:scaling>
          <c:orientation val="minMax"/>
          <c:max val="4"/>
          <c:min val="0"/>
        </c:scaling>
        <c:delete val="0"/>
        <c:axPos val="l"/>
        <c:majorGridlines/>
        <c:numFmt formatCode="0.0" sourceLinked="0"/>
        <c:majorTickMark val="out"/>
        <c:minorTickMark val="none"/>
        <c:tickLblPos val="nextTo"/>
        <c:txPr>
          <a:bodyPr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50163456"/>
        <c:crosses val="autoZero"/>
        <c:crossBetween val="midCat"/>
        <c:majorUnit val="1"/>
      </c:valAx>
      <c:spPr>
        <a:solidFill>
          <a:sysClr val="window" lastClr="FFFFFF"/>
        </a:solidFill>
      </c:spPr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>
                <a:latin typeface="Arial" panose="020B0604020202020204" pitchFamily="34" charset="0"/>
                <a:cs typeface="Arial" panose="020B0604020202020204" pitchFamily="34" charset="0"/>
              </a:defRPr>
            </a:pPr>
            <a:r>
              <a:rPr lang="ru-RU" sz="1800" b="0">
                <a:latin typeface="Arial" panose="020B0604020202020204" pitchFamily="34" charset="0"/>
                <a:cs typeface="Arial" panose="020B0604020202020204" pitchFamily="34" charset="0"/>
              </a:rPr>
              <a:t>Тренд 2</a:t>
            </a:r>
          </a:p>
        </c:rich>
      </c:tx>
      <c:layout>
        <c:manualLayout>
          <c:xMode val="edge"/>
          <c:yMode val="edge"/>
          <c:x val="0.68809355156745378"/>
          <c:y val="0.4152080038238060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7.6747538294661341E-2"/>
          <c:y val="3.8287840759786411E-2"/>
          <c:w val="0.8954090951582887"/>
          <c:h val="0.90222121668189992"/>
        </c:manualLayout>
      </c:layout>
      <c:scatterChart>
        <c:scatterStyle val="smoothMarker"/>
        <c:varyColors val="0"/>
        <c:ser>
          <c:idx val="0"/>
          <c:order val="0"/>
          <c:spPr>
            <a:ln w="88900"/>
          </c:spPr>
          <c:marker>
            <c:symbol val="none"/>
          </c:marker>
          <c:trendline>
            <c:spPr>
              <a:ln w="22225">
                <a:prstDash val="dash"/>
              </a:ln>
            </c:spPr>
            <c:trendlineType val="linear"/>
            <c:forward val="10"/>
            <c:dispRSqr val="1"/>
            <c:dispEq val="1"/>
            <c:trendlineLbl>
              <c:layout>
                <c:manualLayout>
                  <c:x val="-0.33872677837918747"/>
                  <c:y val="0.24174234604828798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sz="1600">
                      <a:latin typeface="Arial" panose="020B0604020202020204" pitchFamily="34" charset="0"/>
                      <a:cs typeface="Arial" panose="020B0604020202020204" pitchFamily="34" charset="0"/>
                    </a:defRPr>
                  </a:pPr>
                  <a:endParaRPr lang="ru-RU"/>
                </a:p>
              </c:txPr>
            </c:trendlineLbl>
          </c:trendline>
          <c:xVal>
            <c:numRef>
              <c:f>ОТЧЁТ!$DC$608:$DC$622</c:f>
              <c:numCache>
                <c:formatCode>0.0</c:formatCode>
                <c:ptCount val="15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xVal>
          <c:yVal>
            <c:numRef>
              <c:f>ОТЧЁТ!$DE$608:$DE$622</c:f>
              <c:numCache>
                <c:formatCode>0.0</c:formatCode>
                <c:ptCount val="15"/>
                <c:pt idx="0">
                  <c:v>1</c:v>
                </c:pt>
                <c:pt idx="1">
                  <c:v>1.5208627234830072</c:v>
                </c:pt>
                <c:pt idx="2">
                  <c:v>1.7178414165358658</c:v>
                </c:pt>
                <c:pt idx="3">
                  <c:v>2.3960063610370872</c:v>
                </c:pt>
                <c:pt idx="4">
                  <c:v>4.6635438415007862</c:v>
                </c:pt>
                <c:pt idx="5">
                  <c:v>5.0821555739588442</c:v>
                </c:pt>
                <c:pt idx="6">
                  <c:v>6.2597323676099625</c:v>
                </c:pt>
                <c:pt idx="7">
                  <c:v>7.0728069310904997</c:v>
                </c:pt>
                <c:pt idx="8">
                  <c:v>7.8586429903564099</c:v>
                </c:pt>
                <c:pt idx="9">
                  <c:v>9.0480534412004499</c:v>
                </c:pt>
                <c:pt idx="10">
                  <c:v>10.070168753275146</c:v>
                </c:pt>
                <c:pt idx="11">
                  <c:v>11.237649593940656</c:v>
                </c:pt>
                <c:pt idx="12">
                  <c:v>12.98598556755597</c:v>
                </c:pt>
                <c:pt idx="13">
                  <c:v>15.397267606350981</c:v>
                </c:pt>
                <c:pt idx="14">
                  <c:v>18.209619166526913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3DE-4279-8C7C-5006D05680E1}"/>
            </c:ext>
          </c:extLst>
        </c:ser>
        <c:ser>
          <c:idx val="1"/>
          <c:order val="1"/>
          <c:spPr>
            <a:ln w="130175">
              <a:solidFill>
                <a:srgbClr val="FFC000"/>
              </a:solidFill>
            </a:ln>
          </c:spPr>
          <c:marker>
            <c:symbol val="none"/>
          </c:marker>
          <c:trendline>
            <c:spPr>
              <a:ln w="38100">
                <a:prstDash val="lgDashDotDot"/>
              </a:ln>
            </c:spPr>
            <c:trendlineType val="linear"/>
            <c:dispRSqr val="1"/>
            <c:dispEq val="1"/>
            <c:trendlineLbl>
              <c:layout>
                <c:manualLayout>
                  <c:x val="0.17129747286042632"/>
                  <c:y val="0.14322268085663184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sz="1600">
                      <a:latin typeface="Arial" panose="020B0604020202020204" pitchFamily="34" charset="0"/>
                      <a:cs typeface="Arial" panose="020B0604020202020204" pitchFamily="34" charset="0"/>
                    </a:defRPr>
                  </a:pPr>
                  <a:endParaRPr lang="ru-RU"/>
                </a:p>
              </c:txPr>
            </c:trendlineLbl>
          </c:trendline>
          <c:xVal>
            <c:numRef>
              <c:f>ОТЧЁТ!$DC$623:$DC$629</c:f>
              <c:numCache>
                <c:formatCode>0.0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25.408791247612854</c:v>
                </c:pt>
                <c:pt idx="6">
                  <c:v>27.019844336572895</c:v>
                </c:pt>
              </c:numCache>
            </c:numRef>
          </c:xVal>
          <c:yVal>
            <c:numRef>
              <c:f>ОТЧЁТ!$DF$623:$DF$629</c:f>
              <c:numCache>
                <c:formatCode>0.0</c:formatCode>
                <c:ptCount val="7"/>
                <c:pt idx="0">
                  <c:v>20.205803391972644</c:v>
                </c:pt>
                <c:pt idx="1">
                  <c:v>23.496938857350891</c:v>
                </c:pt>
                <c:pt idx="2">
                  <c:v>25.552634846384688</c:v>
                </c:pt>
                <c:pt idx="3">
                  <c:v>27.368855432385331</c:v>
                </c:pt>
                <c:pt idx="4">
                  <c:v>30.350707025866967</c:v>
                </c:pt>
                <c:pt idx="5">
                  <c:v>37.051657770633831</c:v>
                </c:pt>
                <c:pt idx="6">
                  <c:v>39.464053148184917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3DE-4279-8C7C-5006D05680E1}"/>
            </c:ext>
          </c:extLst>
        </c:ser>
        <c:ser>
          <c:idx val="2"/>
          <c:order val="2"/>
          <c:marker>
            <c:symbol val="none"/>
          </c:marker>
          <c:xVal>
            <c:numRef>
              <c:f>ОТЧЁТ!$DD$630:$DD$643</c:f>
              <c:numCache>
                <c:formatCode>0.0</c:formatCode>
                <c:ptCount val="14"/>
                <c:pt idx="0">
                  <c:v>28.017232863734257</c:v>
                </c:pt>
                <c:pt idx="1">
                  <c:v>29.489664817255768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ОТЧЁТ!$DU$630:$DU$643</c:f>
              <c:numCache>
                <c:formatCode>0.00</c:formatCode>
                <c:ptCount val="14"/>
                <c:pt idx="0">
                  <c:v>41.650663016375312</c:v>
                </c:pt>
                <c:pt idx="1">
                  <c:v>44.766181786831474</c:v>
                </c:pt>
                <c:pt idx="2">
                  <c:v>-17.631</c:v>
                </c:pt>
                <c:pt idx="3">
                  <c:v>-17.631</c:v>
                </c:pt>
                <c:pt idx="4">
                  <c:v>-17.631</c:v>
                </c:pt>
                <c:pt idx="5">
                  <c:v>-17.631</c:v>
                </c:pt>
                <c:pt idx="6">
                  <c:v>-17.631</c:v>
                </c:pt>
                <c:pt idx="7">
                  <c:v>-17.631</c:v>
                </c:pt>
                <c:pt idx="8">
                  <c:v>-17.631</c:v>
                </c:pt>
                <c:pt idx="9">
                  <c:v>-17.631</c:v>
                </c:pt>
                <c:pt idx="10">
                  <c:v>-17.631</c:v>
                </c:pt>
                <c:pt idx="11">
                  <c:v>-17.631</c:v>
                </c:pt>
                <c:pt idx="12">
                  <c:v>-17.631</c:v>
                </c:pt>
                <c:pt idx="13">
                  <c:v>-17.631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F6F-455B-B658-EE7C11E563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0292352"/>
        <c:axId val="150293888"/>
      </c:scatterChart>
      <c:valAx>
        <c:axId val="150292352"/>
        <c:scaling>
          <c:orientation val="minMax"/>
          <c:max val="40"/>
          <c:min val="0"/>
        </c:scaling>
        <c:delete val="0"/>
        <c:axPos val="b"/>
        <c:numFmt formatCode="#,##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50293888"/>
        <c:crosses val="autoZero"/>
        <c:crossBetween val="midCat"/>
        <c:majorUnit val="10"/>
      </c:valAx>
      <c:valAx>
        <c:axId val="150293888"/>
        <c:scaling>
          <c:orientation val="minMax"/>
          <c:max val="60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txPr>
          <a:bodyPr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50292352"/>
        <c:crosses val="autoZero"/>
        <c:crossBetween val="midCat"/>
        <c:majorUnit val="20"/>
      </c:valAx>
      <c:spPr>
        <a:solidFill>
          <a:sysClr val="window" lastClr="FFFFFF"/>
        </a:solidFill>
      </c:spPr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landscape"/>
  </c:printSettings>
  <c:userShapes r:id="rId1"/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>
                <a:latin typeface="Arial" panose="020B0604020202020204" pitchFamily="34" charset="0"/>
                <a:cs typeface="Arial" panose="020B0604020202020204" pitchFamily="34" charset="0"/>
              </a:defRPr>
            </a:pPr>
            <a:r>
              <a:rPr lang="ru-RU" sz="1800" b="0">
                <a:latin typeface="Arial" panose="020B0604020202020204" pitchFamily="34" charset="0"/>
                <a:cs typeface="Arial" panose="020B0604020202020204" pitchFamily="34" charset="0"/>
              </a:rPr>
              <a:t>Тренд 2</a:t>
            </a:r>
          </a:p>
        </c:rich>
      </c:tx>
      <c:layout>
        <c:manualLayout>
          <c:xMode val="edge"/>
          <c:yMode val="edge"/>
          <c:x val="0.24006662822115232"/>
          <c:y val="0.86032228886433859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7.6747538294661341E-2"/>
          <c:y val="3.8287840759786411E-2"/>
          <c:w val="0.8954090951582887"/>
          <c:h val="0.90222121668189992"/>
        </c:manualLayout>
      </c:layout>
      <c:scatterChart>
        <c:scatterStyle val="smoothMarker"/>
        <c:varyColors val="0"/>
        <c:ser>
          <c:idx val="0"/>
          <c:order val="0"/>
          <c:spPr>
            <a:ln w="76200">
              <a:solidFill>
                <a:srgbClr val="00B0F0"/>
              </a:solidFill>
            </a:ln>
          </c:spPr>
          <c:marker>
            <c:symbol val="none"/>
          </c:marker>
          <c:trendline>
            <c:spPr>
              <a:ln w="25400">
                <a:prstDash val="lgDashDotDot"/>
              </a:ln>
            </c:spPr>
            <c:trendlineType val="linear"/>
            <c:dispRSqr val="1"/>
            <c:dispEq val="1"/>
            <c:trendlineLbl>
              <c:layout>
                <c:manualLayout>
                  <c:x val="0.1463275943839229"/>
                  <c:y val="0.17353069719434341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sz="1600">
                      <a:latin typeface="Arial" panose="020B0604020202020204" pitchFamily="34" charset="0"/>
                      <a:cs typeface="Arial" panose="020B0604020202020204" pitchFamily="34" charset="0"/>
                    </a:defRPr>
                  </a:pPr>
                  <a:endParaRPr lang="ru-RU"/>
                </a:p>
              </c:txPr>
            </c:trendlineLbl>
          </c:trendline>
          <c:xVal>
            <c:numRef>
              <c:f>ОТЧЁТ!$DD$650:$DD$671</c:f>
              <c:numCache>
                <c:formatCode>0.00</c:formatCode>
                <c:ptCount val="22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25.408791247612854</c:v>
                </c:pt>
                <c:pt idx="21">
                  <c:v>27.019844336572895</c:v>
                </c:pt>
              </c:numCache>
            </c:numRef>
          </c:xVal>
          <c:yVal>
            <c:numRef>
              <c:f>ОТЧЁТ!$DB$650:$DB$671</c:f>
              <c:numCache>
                <c:formatCode>0.00</c:formatCode>
                <c:ptCount val="22"/>
                <c:pt idx="0">
                  <c:v>1</c:v>
                </c:pt>
                <c:pt idx="1">
                  <c:v>1.6953967315458069</c:v>
                </c:pt>
                <c:pt idx="2">
                  <c:v>2.415292468742241</c:v>
                </c:pt>
                <c:pt idx="3">
                  <c:v>2.6727462335842294</c:v>
                </c:pt>
                <c:pt idx="4">
                  <c:v>3.4893420575027583</c:v>
                </c:pt>
                <c:pt idx="5">
                  <c:v>3.9448052793534916</c:v>
                </c:pt>
                <c:pt idx="6">
                  <c:v>4.3960246162225971</c:v>
                </c:pt>
                <c:pt idx="7">
                  <c:v>5.8843823618297426</c:v>
                </c:pt>
                <c:pt idx="8">
                  <c:v>5.900916404490272</c:v>
                </c:pt>
                <c:pt idx="9">
                  <c:v>5.7361386042739948</c:v>
                </c:pt>
                <c:pt idx="10">
                  <c:v>7.7188495068870893</c:v>
                </c:pt>
                <c:pt idx="11">
                  <c:v>7.3339070619814839</c:v>
                </c:pt>
                <c:pt idx="12">
                  <c:v>7.9418012798076258</c:v>
                </c:pt>
                <c:pt idx="13">
                  <c:v>9.3135577091872328</c:v>
                </c:pt>
                <c:pt idx="14">
                  <c:v>10.666948313202292</c:v>
                </c:pt>
                <c:pt idx="15">
                  <c:v>11.276448716775453</c:v>
                </c:pt>
                <c:pt idx="16">
                  <c:v>12.282914423380724</c:v>
                </c:pt>
                <c:pt idx="17">
                  <c:v>13.249096044334458</c:v>
                </c:pt>
                <c:pt idx="18">
                  <c:v>14.158639315017053</c:v>
                </c:pt>
                <c:pt idx="19">
                  <c:v>14.240158664898734</c:v>
                </c:pt>
                <c:pt idx="20">
                  <c:v>14.837823597492831</c:v>
                </c:pt>
                <c:pt idx="21">
                  <c:v>15.70740928445748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22C-40E8-A6A9-1FBF72572CF9}"/>
            </c:ext>
          </c:extLst>
        </c:ser>
        <c:ser>
          <c:idx val="1"/>
          <c:order val="1"/>
          <c:marker>
            <c:symbol val="none"/>
          </c:marker>
          <c:xVal>
            <c:numRef>
              <c:f>ОТЧЁТ!$DD$672:$DD$685</c:f>
              <c:numCache>
                <c:formatCode>0.00</c:formatCode>
                <c:ptCount val="14"/>
                <c:pt idx="0">
                  <c:v>28.017232863734257</c:v>
                </c:pt>
                <c:pt idx="1">
                  <c:v>29.489664817255768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ОТЧЁТ!$DB$672:$DB$685</c:f>
              <c:numCache>
                <c:formatCode>0.00</c:formatCode>
                <c:ptCount val="14"/>
                <c:pt idx="0">
                  <c:v>16.914253850263933</c:v>
                </c:pt>
                <c:pt idx="1">
                  <c:v>17.739110230626682</c:v>
                </c:pt>
                <c:pt idx="2">
                  <c:v>1.2190000000000001</c:v>
                </c:pt>
                <c:pt idx="3">
                  <c:v>1.2190000000000001</c:v>
                </c:pt>
                <c:pt idx="4">
                  <c:v>1.2190000000000001</c:v>
                </c:pt>
                <c:pt idx="5">
                  <c:v>1.2190000000000001</c:v>
                </c:pt>
                <c:pt idx="6">
                  <c:v>1.2190000000000001</c:v>
                </c:pt>
                <c:pt idx="7">
                  <c:v>1.2190000000000001</c:v>
                </c:pt>
                <c:pt idx="8">
                  <c:v>1.2190000000000001</c:v>
                </c:pt>
                <c:pt idx="9">
                  <c:v>1.2190000000000001</c:v>
                </c:pt>
                <c:pt idx="10">
                  <c:v>1.2190000000000001</c:v>
                </c:pt>
                <c:pt idx="11">
                  <c:v>1.2190000000000001</c:v>
                </c:pt>
                <c:pt idx="12">
                  <c:v>1.2190000000000001</c:v>
                </c:pt>
                <c:pt idx="13">
                  <c:v>1.2190000000000001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869-48D9-97B7-E0063CDE13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0242816"/>
        <c:axId val="150244352"/>
      </c:scatterChart>
      <c:valAx>
        <c:axId val="150242816"/>
        <c:scaling>
          <c:orientation val="minMax"/>
          <c:max val="40"/>
          <c:min val="0"/>
        </c:scaling>
        <c:delete val="0"/>
        <c:axPos val="b"/>
        <c:numFmt formatCode="#,##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50244352"/>
        <c:crosses val="autoZero"/>
        <c:crossBetween val="midCat"/>
        <c:majorUnit val="10"/>
      </c:valAx>
      <c:valAx>
        <c:axId val="150244352"/>
        <c:scaling>
          <c:orientation val="minMax"/>
          <c:max val="20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txPr>
          <a:bodyPr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50242816"/>
        <c:crosses val="autoZero"/>
        <c:crossBetween val="midCat"/>
        <c:majorUnit val="10"/>
      </c:valAx>
      <c:spPr>
        <a:solidFill>
          <a:sysClr val="window" lastClr="FFFFFF"/>
        </a:solidFill>
      </c:spPr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landscape"/>
  </c:printSettings>
  <c:userShapes r:id="rId1"/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>
                <a:latin typeface="Arial" panose="020B0604020202020204" pitchFamily="34" charset="0"/>
                <a:cs typeface="Arial" panose="020B0604020202020204" pitchFamily="34" charset="0"/>
              </a:defRPr>
            </a:pPr>
            <a:r>
              <a:rPr lang="ru-RU" sz="1800" b="0">
                <a:latin typeface="Arial" panose="020B0604020202020204" pitchFamily="34" charset="0"/>
                <a:cs typeface="Arial" panose="020B0604020202020204" pitchFamily="34" charset="0"/>
              </a:rPr>
              <a:t>Тренд 2</a:t>
            </a:r>
          </a:p>
        </c:rich>
      </c:tx>
      <c:layout>
        <c:manualLayout>
          <c:xMode val="edge"/>
          <c:yMode val="edge"/>
          <c:x val="0.76604887024032853"/>
          <c:y val="0.29836451148222876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6.7652981478042523E-2"/>
          <c:y val="1.8870134745680969E-2"/>
          <c:w val="0.90450369011705556"/>
          <c:h val="0.93776597946777362"/>
        </c:manualLayout>
      </c:layout>
      <c:scatterChart>
        <c:scatterStyle val="smoothMarker"/>
        <c:varyColors val="0"/>
        <c:ser>
          <c:idx val="0"/>
          <c:order val="0"/>
          <c:spPr>
            <a:ln w="47625"/>
          </c:spPr>
          <c:marker>
            <c:symbol val="none"/>
          </c:marker>
          <c:xVal>
            <c:numRef>
              <c:f>ОТЧЁТ!$DF$778:$DF$799</c:f>
              <c:numCache>
                <c:formatCode>0.0</c:formatCode>
                <c:ptCount val="22"/>
                <c:pt idx="0">
                  <c:v>0.96422400000000008</c:v>
                </c:pt>
                <c:pt idx="1">
                  <c:v>1.218</c:v>
                </c:pt>
                <c:pt idx="2">
                  <c:v>1.3519800000000002</c:v>
                </c:pt>
                <c:pt idx="3">
                  <c:v>2.4930511200000005</c:v>
                </c:pt>
                <c:pt idx="4">
                  <c:v>3.4030147788000007</c:v>
                </c:pt>
                <c:pt idx="5">
                  <c:v>4.0904237641176007</c:v>
                </c:pt>
                <c:pt idx="6">
                  <c:v>4.8512425842434741</c:v>
                </c:pt>
                <c:pt idx="7">
                  <c:v>5.5837802144642392</c:v>
                </c:pt>
                <c:pt idx="8">
                  <c:v>6.2538338401999489</c:v>
                </c:pt>
                <c:pt idx="9">
                  <c:v>6.9855323995033425</c:v>
                </c:pt>
                <c:pt idx="10">
                  <c:v>7.7469554310492068</c:v>
                </c:pt>
                <c:pt idx="11">
                  <c:v>8.4441814198436358</c:v>
                </c:pt>
                <c:pt idx="12">
                  <c:v>9.4465057543790749</c:v>
                </c:pt>
                <c:pt idx="13">
                  <c:v>10.701001718560617</c:v>
                </c:pt>
                <c:pt idx="14">
                  <c:v>11.642689869793951</c:v>
                </c:pt>
                <c:pt idx="15">
                  <c:v>12.664918040361862</c:v>
                </c:pt>
                <c:pt idx="16">
                  <c:v>13.437478040823935</c:v>
                </c:pt>
                <c:pt idx="17">
                  <c:v>14.321664095910151</c:v>
                </c:pt>
                <c:pt idx="18">
                  <c:v>15.245411430096356</c:v>
                </c:pt>
                <c:pt idx="19">
                  <c:v>17.318787384589459</c:v>
                </c:pt>
                <c:pt idx="20">
                  <c:v>19.552910957201501</c:v>
                </c:pt>
                <c:pt idx="21">
                  <c:v>20.606812857794662</c:v>
                </c:pt>
              </c:numCache>
            </c:numRef>
          </c:xVal>
          <c:yVal>
            <c:numRef>
              <c:f>ОТЧЁТ!$DC$778:$DC$799</c:f>
              <c:numCache>
                <c:formatCode>0.00</c:formatCode>
                <c:ptCount val="22"/>
                <c:pt idx="0" formatCode="0.0">
                  <c:v>1</c:v>
                </c:pt>
                <c:pt idx="1">
                  <c:v>2.4661634872716665</c:v>
                </c:pt>
                <c:pt idx="2">
                  <c:v>2.5165818894824623</c:v>
                </c:pt>
                <c:pt idx="3">
                  <c:v>2.6836249787031963</c:v>
                </c:pt>
                <c:pt idx="4">
                  <c:v>2.701164323022275</c:v>
                </c:pt>
                <c:pt idx="5">
                  <c:v>3.2947518370474893</c:v>
                </c:pt>
                <c:pt idx="6">
                  <c:v>3.784678280692757</c:v>
                </c:pt>
                <c:pt idx="7">
                  <c:v>4.5228031897927927</c:v>
                </c:pt>
                <c:pt idx="8">
                  <c:v>5.542638112686384</c:v>
                </c:pt>
                <c:pt idx="9">
                  <c:v>6.272852216104849</c:v>
                </c:pt>
                <c:pt idx="10">
                  <c:v>7.3244397581202474</c:v>
                </c:pt>
                <c:pt idx="11">
                  <c:v>8.1861967165379994</c:v>
                </c:pt>
                <c:pt idx="12">
                  <c:v>10.097240670067603</c:v>
                </c:pt>
                <c:pt idx="13">
                  <c:v>12.014838376677154</c:v>
                </c:pt>
                <c:pt idx="14">
                  <c:v>12.87082947485337</c:v>
                </c:pt>
                <c:pt idx="15">
                  <c:v>14.148307151553462</c:v>
                </c:pt>
                <c:pt idx="16">
                  <c:v>15.766970202222987</c:v>
                </c:pt>
                <c:pt idx="17">
                  <c:v>16.974068796381744</c:v>
                </c:pt>
                <c:pt idx="18">
                  <c:v>17.953158422730539</c:v>
                </c:pt>
                <c:pt idx="19">
                  <c:v>19.115802786548635</c:v>
                </c:pt>
                <c:pt idx="20">
                  <c:v>20.193444864834216</c:v>
                </c:pt>
                <c:pt idx="21">
                  <c:v>22.177890468882982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718-43FD-8520-7D77CD4EC94F}"/>
            </c:ext>
          </c:extLst>
        </c:ser>
        <c:ser>
          <c:idx val="1"/>
          <c:order val="1"/>
          <c:spPr>
            <a:ln w="152400">
              <a:solidFill>
                <a:srgbClr val="FFC000"/>
              </a:solidFill>
            </a:ln>
          </c:spPr>
          <c:marker>
            <c:symbol val="none"/>
          </c:marker>
          <c:trendline>
            <c:spPr>
              <a:ln>
                <a:prstDash val="lgDash"/>
              </a:ln>
            </c:spPr>
            <c:trendlineType val="linear"/>
            <c:forward val="4"/>
            <c:dispRSqr val="1"/>
            <c:dispEq val="1"/>
            <c:trendlineLbl>
              <c:layout>
                <c:manualLayout>
                  <c:x val="-8.9097475260415063E-3"/>
                  <c:y val="0.43554530708303835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sz="1600">
                      <a:latin typeface="Arial" panose="020B0604020202020204" pitchFamily="34" charset="0"/>
                      <a:cs typeface="Arial" panose="020B0604020202020204" pitchFamily="34" charset="0"/>
                    </a:defRPr>
                  </a:pPr>
                  <a:endParaRPr lang="ru-RU"/>
                </a:p>
              </c:txPr>
            </c:trendlineLbl>
          </c:trendline>
          <c:xVal>
            <c:numRef>
              <c:f>ОТЧЁТ!$DF$785:$DF$795</c:f>
              <c:numCache>
                <c:formatCode>0.0</c:formatCode>
                <c:ptCount val="11"/>
                <c:pt idx="0">
                  <c:v>5.5837802144642392</c:v>
                </c:pt>
                <c:pt idx="1">
                  <c:v>6.2538338401999489</c:v>
                </c:pt>
                <c:pt idx="2">
                  <c:v>6.9855323995033425</c:v>
                </c:pt>
                <c:pt idx="3">
                  <c:v>7.7469554310492068</c:v>
                </c:pt>
                <c:pt idx="4">
                  <c:v>8.4441814198436358</c:v>
                </c:pt>
                <c:pt idx="5">
                  <c:v>9.4465057543790749</c:v>
                </c:pt>
                <c:pt idx="6">
                  <c:v>10.701001718560617</c:v>
                </c:pt>
                <c:pt idx="7">
                  <c:v>11.642689869793951</c:v>
                </c:pt>
                <c:pt idx="8">
                  <c:v>12.664918040361862</c:v>
                </c:pt>
                <c:pt idx="9">
                  <c:v>13.437478040823935</c:v>
                </c:pt>
                <c:pt idx="10">
                  <c:v>14.321664095910151</c:v>
                </c:pt>
              </c:numCache>
            </c:numRef>
          </c:xVal>
          <c:yVal>
            <c:numRef>
              <c:f>ОТЧЁТ!$DD$785:$DD$795</c:f>
              <c:numCache>
                <c:formatCode>0.0</c:formatCode>
                <c:ptCount val="11"/>
                <c:pt idx="0">
                  <c:v>4.5228031897927927</c:v>
                </c:pt>
                <c:pt idx="1">
                  <c:v>5.542638112686384</c:v>
                </c:pt>
                <c:pt idx="2">
                  <c:v>6.272852216104849</c:v>
                </c:pt>
                <c:pt idx="3">
                  <c:v>7.3244397581202474</c:v>
                </c:pt>
                <c:pt idx="4">
                  <c:v>8.1861967165379994</c:v>
                </c:pt>
                <c:pt idx="5">
                  <c:v>10.097240670067603</c:v>
                </c:pt>
                <c:pt idx="6">
                  <c:v>12.014838376677154</c:v>
                </c:pt>
                <c:pt idx="7">
                  <c:v>12.87082947485337</c:v>
                </c:pt>
                <c:pt idx="8">
                  <c:v>14.148307151553462</c:v>
                </c:pt>
                <c:pt idx="9">
                  <c:v>15.766970202222987</c:v>
                </c:pt>
                <c:pt idx="10">
                  <c:v>16.974068796381744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718-43FD-8520-7D77CD4EC94F}"/>
            </c:ext>
          </c:extLst>
        </c:ser>
        <c:ser>
          <c:idx val="2"/>
          <c:order val="2"/>
          <c:spPr>
            <a:ln w="209550">
              <a:solidFill>
                <a:srgbClr val="FF0000">
                  <a:alpha val="49000"/>
                </a:srgbClr>
              </a:solidFill>
            </a:ln>
          </c:spPr>
          <c:marker>
            <c:symbol val="none"/>
          </c:marker>
          <c:trendline>
            <c:spPr>
              <a:ln w="31750">
                <a:prstDash val="lgDashDotDot"/>
              </a:ln>
            </c:spPr>
            <c:trendlineType val="linear"/>
            <c:forward val="5"/>
            <c:backward val="3"/>
            <c:dispRSqr val="1"/>
            <c:dispEq val="1"/>
            <c:trendlineLbl>
              <c:layout>
                <c:manualLayout>
                  <c:x val="0.12162931635367979"/>
                  <c:y val="0.21626842537115049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sz="1800">
                      <a:latin typeface="Arial" panose="020B0604020202020204" pitchFamily="34" charset="0"/>
                      <a:cs typeface="Arial" panose="020B0604020202020204" pitchFamily="34" charset="0"/>
                    </a:defRPr>
                  </a:pPr>
                  <a:endParaRPr lang="ru-RU"/>
                </a:p>
              </c:txPr>
            </c:trendlineLbl>
          </c:trendline>
          <c:xVal>
            <c:numRef>
              <c:f>ОТЧЁТ!$DF$795:$DF$799</c:f>
              <c:numCache>
                <c:formatCode>0.0</c:formatCode>
                <c:ptCount val="5"/>
                <c:pt idx="0">
                  <c:v>14.321664095910151</c:v>
                </c:pt>
                <c:pt idx="1">
                  <c:v>15.245411430096356</c:v>
                </c:pt>
                <c:pt idx="2">
                  <c:v>17.318787384589459</c:v>
                </c:pt>
                <c:pt idx="3">
                  <c:v>19.552910957201501</c:v>
                </c:pt>
                <c:pt idx="4">
                  <c:v>20.606812857794662</c:v>
                </c:pt>
              </c:numCache>
            </c:numRef>
          </c:xVal>
          <c:yVal>
            <c:numRef>
              <c:f>ОТЧЁТ!$DE$795:$DE$799</c:f>
              <c:numCache>
                <c:formatCode>0.0</c:formatCode>
                <c:ptCount val="5"/>
                <c:pt idx="0">
                  <c:v>16.974068796381744</c:v>
                </c:pt>
                <c:pt idx="1">
                  <c:v>17.953158422730539</c:v>
                </c:pt>
                <c:pt idx="2">
                  <c:v>19.115802786548635</c:v>
                </c:pt>
                <c:pt idx="3">
                  <c:v>20.193444864834216</c:v>
                </c:pt>
                <c:pt idx="4">
                  <c:v>22.177890468882982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54A-4ED5-9599-810271AE63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0439424"/>
        <c:axId val="150440960"/>
      </c:scatterChart>
      <c:valAx>
        <c:axId val="150439424"/>
        <c:scaling>
          <c:orientation val="minMax"/>
          <c:max val="30"/>
          <c:min val="0"/>
        </c:scaling>
        <c:delete val="0"/>
        <c:axPos val="b"/>
        <c:numFmt formatCode="#,##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50440960"/>
        <c:crosses val="autoZero"/>
        <c:crossBetween val="midCat"/>
        <c:majorUnit val="10"/>
      </c:valAx>
      <c:valAx>
        <c:axId val="150440960"/>
        <c:scaling>
          <c:orientation val="minMax"/>
          <c:max val="30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txPr>
          <a:bodyPr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50439424"/>
        <c:crosses val="autoZero"/>
        <c:crossBetween val="midCat"/>
        <c:majorUnit val="10"/>
      </c:valAx>
      <c:spPr>
        <a:solidFill>
          <a:sysClr val="window" lastClr="FFFFFF"/>
        </a:solidFill>
      </c:spPr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landscape"/>
  </c:printSettings>
  <c:userShapes r:id="rId1"/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9203740157480412E-2"/>
          <c:y val="3.8287840759786411E-2"/>
          <c:w val="0.89392125984251969"/>
          <c:h val="0.90222121668189992"/>
        </c:manualLayout>
      </c:layout>
      <c:scatterChart>
        <c:scatterStyle val="smoothMarker"/>
        <c:varyColors val="0"/>
        <c:ser>
          <c:idx val="0"/>
          <c:order val="0"/>
          <c:spPr>
            <a:ln w="161925">
              <a:solidFill>
                <a:srgbClr val="FFC000"/>
              </a:solidFill>
            </a:ln>
          </c:spPr>
          <c:marker>
            <c:symbol val="none"/>
          </c:marker>
          <c:trendline>
            <c:spPr>
              <a:ln w="31750">
                <a:prstDash val="lgDashDotDot"/>
              </a:ln>
            </c:spPr>
            <c:trendlineType val="linear"/>
            <c:forward val="150"/>
            <c:dispRSqr val="1"/>
            <c:dispEq val="1"/>
            <c:trendlineLbl>
              <c:layout>
                <c:manualLayout>
                  <c:x val="-8.2132874015748009E-2"/>
                  <c:y val="0.38152864939536807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sz="1600">
                      <a:latin typeface="Arial" panose="020B0604020202020204" pitchFamily="34" charset="0"/>
                      <a:cs typeface="Arial" panose="020B0604020202020204" pitchFamily="34" charset="0"/>
                    </a:defRPr>
                  </a:pPr>
                  <a:endParaRPr lang="ru-RU"/>
                </a:p>
              </c:txPr>
            </c:trendlineLbl>
          </c:trendline>
          <c:xVal>
            <c:numRef>
              <c:f>ОТЧЁТ!$DY$652:$DY$671</c:f>
              <c:numCache>
                <c:formatCode>0.0</c:formatCode>
                <c:ptCount val="20"/>
                <c:pt idx="0">
                  <c:v>180.28083761755488</c:v>
                </c:pt>
                <c:pt idx="1">
                  <c:v>165.61857398119122</c:v>
                </c:pt>
                <c:pt idx="2">
                  <c:v>168.72437366771157</c:v>
                </c:pt>
                <c:pt idx="3">
                  <c:v>199.92682633228841</c:v>
                </c:pt>
                <c:pt idx="4">
                  <c:v>237.84647366771162</c:v>
                </c:pt>
                <c:pt idx="5">
                  <c:v>264.35411285266457</c:v>
                </c:pt>
                <c:pt idx="6">
                  <c:v>295.70102131661434</c:v>
                </c:pt>
                <c:pt idx="7">
                  <c:v>329.64813416927893</c:v>
                </c:pt>
                <c:pt idx="8">
                  <c:v>366.48436300940438</c:v>
                </c:pt>
                <c:pt idx="9">
                  <c:v>421.08865517241378</c:v>
                </c:pt>
                <c:pt idx="10">
                  <c:v>505.52306990595605</c:v>
                </c:pt>
                <c:pt idx="11">
                  <c:v>584.32370846394974</c:v>
                </c:pt>
                <c:pt idx="12">
                  <c:v>594.58007021943558</c:v>
                </c:pt>
                <c:pt idx="13">
                  <c:v>570.44511753918482</c:v>
                </c:pt>
                <c:pt idx="14">
                  <c:v>673.16683550248217</c:v>
                </c:pt>
                <c:pt idx="15">
                  <c:v>745.37735306717082</c:v>
                </c:pt>
                <c:pt idx="16">
                  <c:v>779.58650962313368</c:v>
                </c:pt>
                <c:pt idx="17">
                  <c:v>770.89885747183178</c:v>
                </c:pt>
                <c:pt idx="18">
                  <c:v>737.52592748086545</c:v>
                </c:pt>
                <c:pt idx="19">
                  <c:v>816.2739754194065</c:v>
                </c:pt>
              </c:numCache>
            </c:numRef>
          </c:xVal>
          <c:yVal>
            <c:numRef>
              <c:f>ОТЧЁТ!$DX$652:$DX$671</c:f>
              <c:numCache>
                <c:formatCode>0</c:formatCode>
                <c:ptCount val="20"/>
                <c:pt idx="0">
                  <c:v>168.29100626959249</c:v>
                </c:pt>
                <c:pt idx="1">
                  <c:v>160.34593730407522</c:v>
                </c:pt>
                <c:pt idx="2">
                  <c:v>171.18012225705328</c:v>
                </c:pt>
                <c:pt idx="3">
                  <c:v>213.79458307210035</c:v>
                </c:pt>
                <c:pt idx="4">
                  <c:v>254.24220689655172</c:v>
                </c:pt>
                <c:pt idx="5">
                  <c:v>274.46601880877739</c:v>
                </c:pt>
                <c:pt idx="6">
                  <c:v>307.69085266457671</c:v>
                </c:pt>
                <c:pt idx="7">
                  <c:v>343.80480250783694</c:v>
                </c:pt>
                <c:pt idx="8">
                  <c:v>381.36331034482754</c:v>
                </c:pt>
                <c:pt idx="9">
                  <c:v>443.47930407523506</c:v>
                </c:pt>
                <c:pt idx="10">
                  <c:v>540.9869686520376</c:v>
                </c:pt>
                <c:pt idx="11">
                  <c:v>616.82626332288396</c:v>
                </c:pt>
                <c:pt idx="12">
                  <c:v>595.88017241379293</c:v>
                </c:pt>
                <c:pt idx="13">
                  <c:v>556.55208103448263</c:v>
                </c:pt>
                <c:pt idx="14">
                  <c:v>717.52628864886628</c:v>
                </c:pt>
                <c:pt idx="15">
                  <c:v>780.30983890564198</c:v>
                </c:pt>
                <c:pt idx="16">
                  <c:v>788.24558996731241</c:v>
                </c:pt>
                <c:pt idx="17">
                  <c:v>764.59822226829294</c:v>
                </c:pt>
                <c:pt idx="18">
                  <c:v>722.54532004353678</c:v>
                </c:pt>
                <c:pt idx="19">
                  <c:v>850.43584169124279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50A-4E83-B386-942B02E2C8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0517632"/>
        <c:axId val="150519168"/>
      </c:scatterChart>
      <c:valAx>
        <c:axId val="150517632"/>
        <c:scaling>
          <c:orientation val="minMax"/>
          <c:max val="1000"/>
          <c:min val="0"/>
        </c:scaling>
        <c:delete val="0"/>
        <c:axPos val="b"/>
        <c:numFmt formatCode="#,##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50519168"/>
        <c:crosses val="autoZero"/>
        <c:crossBetween val="midCat"/>
        <c:majorUnit val="200"/>
      </c:valAx>
      <c:valAx>
        <c:axId val="150519168"/>
        <c:scaling>
          <c:orientation val="minMax"/>
          <c:max val="1250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txPr>
          <a:bodyPr/>
          <a:lstStyle/>
          <a:p>
            <a:pPr>
              <a:defRPr sz="18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50517632"/>
        <c:crosses val="autoZero"/>
        <c:crossBetween val="midCat"/>
        <c:majorUnit val="250"/>
      </c:valAx>
      <c:spPr>
        <a:solidFill>
          <a:sysClr val="window" lastClr="FFFFFF"/>
        </a:solidFill>
      </c:spPr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landscape"/>
  </c:printSettings>
  <c:userShapes r:id="rId1"/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9203740157480412E-2"/>
          <c:y val="3.8287840759786411E-2"/>
          <c:w val="0.89392125984251969"/>
          <c:h val="0.90222121668189992"/>
        </c:manualLayout>
      </c:layout>
      <c:scatterChart>
        <c:scatterStyle val="smoothMarker"/>
        <c:varyColors val="0"/>
        <c:ser>
          <c:idx val="0"/>
          <c:order val="0"/>
          <c:spPr>
            <a:ln w="114300"/>
          </c:spPr>
          <c:marker>
            <c:symbol val="none"/>
          </c:marker>
          <c:xVal>
            <c:numRef>
              <c:f>ОТЧЁТ!$ES$650:$ES$675</c:f>
              <c:numCache>
                <c:formatCode>General</c:formatCode>
                <c:ptCount val="26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</c:numCache>
            </c:numRef>
          </c:xVal>
          <c:yVal>
            <c:numRef>
              <c:f>ОТЧЁТ!$EV$650:$EV$675</c:f>
              <c:numCache>
                <c:formatCode>0</c:formatCode>
                <c:ptCount val="26"/>
                <c:pt idx="0">
                  <c:v>230.40700000000001</c:v>
                </c:pt>
                <c:pt idx="1">
                  <c:v>197.18216614420064</c:v>
                </c:pt>
                <c:pt idx="2">
                  <c:v>168.29100626959249</c:v>
                </c:pt>
                <c:pt idx="3">
                  <c:v>160.34593730407522</c:v>
                </c:pt>
                <c:pt idx="4">
                  <c:v>171.18012225705328</c:v>
                </c:pt>
                <c:pt idx="5">
                  <c:v>213.79458307210035</c:v>
                </c:pt>
                <c:pt idx="6">
                  <c:v>254.24220689655172</c:v>
                </c:pt>
                <c:pt idx="7">
                  <c:v>274.46601880877739</c:v>
                </c:pt>
                <c:pt idx="8">
                  <c:v>307.69085266457671</c:v>
                </c:pt>
                <c:pt idx="9">
                  <c:v>343.80480250783694</c:v>
                </c:pt>
                <c:pt idx="10">
                  <c:v>381.36331034482754</c:v>
                </c:pt>
                <c:pt idx="11">
                  <c:v>443.47930407523506</c:v>
                </c:pt>
                <c:pt idx="12">
                  <c:v>540.9869686520376</c:v>
                </c:pt>
                <c:pt idx="13">
                  <c:v>616.82626332288396</c:v>
                </c:pt>
                <c:pt idx="14">
                  <c:v>595.88017241379293</c:v>
                </c:pt>
                <c:pt idx="15">
                  <c:v>556.55208103448263</c:v>
                </c:pt>
                <c:pt idx="16">
                  <c:v>717.52628864886628</c:v>
                </c:pt>
                <c:pt idx="17">
                  <c:v>780.30983890564198</c:v>
                </c:pt>
                <c:pt idx="18">
                  <c:v>788.24558996731241</c:v>
                </c:pt>
                <c:pt idx="19">
                  <c:v>764.59822226829294</c:v>
                </c:pt>
                <c:pt idx="20">
                  <c:v>722.54532004353678</c:v>
                </c:pt>
                <c:pt idx="21">
                  <c:v>850.43584169124279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384-44B5-96C8-7269A210EB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0530304"/>
        <c:axId val="150589440"/>
      </c:scatterChart>
      <c:valAx>
        <c:axId val="150530304"/>
        <c:scaling>
          <c:orientation val="minMax"/>
          <c:max val="2020"/>
          <c:min val="1995"/>
        </c:scaling>
        <c:delete val="0"/>
        <c:axPos val="b"/>
        <c:numFmt formatCode="#,##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50589440"/>
        <c:crosses val="autoZero"/>
        <c:crossBetween val="midCat"/>
        <c:majorUnit val="5"/>
      </c:valAx>
      <c:valAx>
        <c:axId val="150589440"/>
        <c:scaling>
          <c:orientation val="minMax"/>
          <c:max val="1000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txPr>
          <a:bodyPr/>
          <a:lstStyle/>
          <a:p>
            <a:pPr>
              <a:defRPr sz="18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50530304"/>
        <c:crosses val="autoZero"/>
        <c:crossBetween val="midCat"/>
        <c:majorUnit val="200"/>
      </c:valAx>
      <c:spPr>
        <a:solidFill>
          <a:sysClr val="window" lastClr="FFFFFF"/>
        </a:solidFill>
      </c:spPr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landscape"/>
  </c:printSettings>
  <c:userShapes r:id="rId1"/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>
                <a:latin typeface="Arial" panose="020B0604020202020204" pitchFamily="34" charset="0"/>
                <a:cs typeface="Arial" panose="020B0604020202020204" pitchFamily="34" charset="0"/>
              </a:defRPr>
            </a:pPr>
            <a:r>
              <a:rPr lang="ru-RU" sz="1800" b="0">
                <a:latin typeface="Arial" panose="020B0604020202020204" pitchFamily="34" charset="0"/>
                <a:cs typeface="Arial" panose="020B0604020202020204" pitchFamily="34" charset="0"/>
              </a:rPr>
              <a:t>Тренд 2</a:t>
            </a:r>
          </a:p>
        </c:rich>
      </c:tx>
      <c:layout>
        <c:manualLayout>
          <c:xMode val="edge"/>
          <c:yMode val="edge"/>
          <c:x val="0.78715374230860102"/>
          <c:y val="0.29802493143538938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7.6747538294661341E-2"/>
          <c:y val="3.8287840759786411E-2"/>
          <c:w val="0.8954090951582887"/>
          <c:h val="0.90222121668189992"/>
        </c:manualLayout>
      </c:layout>
      <c:scatterChart>
        <c:scatterStyle val="smoothMarker"/>
        <c:varyColors val="0"/>
        <c:ser>
          <c:idx val="0"/>
          <c:order val="0"/>
          <c:spPr>
            <a:ln w="79375"/>
          </c:spPr>
          <c:marker>
            <c:symbol val="none"/>
          </c:marker>
          <c:trendline>
            <c:spPr>
              <a:ln w="22225">
                <a:prstDash val="dash"/>
              </a:ln>
            </c:spPr>
            <c:trendlineType val="linear"/>
            <c:forward val="10"/>
            <c:dispRSqr val="1"/>
            <c:dispEq val="1"/>
            <c:trendlineLbl>
              <c:layout>
                <c:manualLayout>
                  <c:x val="-0.11015812416075695"/>
                  <c:y val="0.31480325360551542"/>
                </c:manualLayout>
              </c:layout>
              <c:tx>
                <c:rich>
                  <a:bodyPr/>
                  <a:lstStyle/>
                  <a:p>
                    <a:pPr>
                      <a:defRPr/>
                    </a:pPr>
                    <a:r>
                      <a:rPr lang="en-US" sz="1400" baseline="0">
                        <a:latin typeface="Arial" panose="020B0604020202020204" pitchFamily="34" charset="0"/>
                        <a:cs typeface="Arial" panose="020B0604020202020204" pitchFamily="34" charset="0"/>
                      </a:rPr>
                      <a:t>y = 0,9772x + 0,1192</a:t>
                    </a:r>
                    <a:br>
                      <a:rPr lang="en-US" sz="1400" baseline="0">
                        <a:latin typeface="Arial" panose="020B0604020202020204" pitchFamily="34" charset="0"/>
                        <a:cs typeface="Arial" panose="020B0604020202020204" pitchFamily="34" charset="0"/>
                      </a:rPr>
                    </a:br>
                    <a:r>
                      <a:rPr lang="en-US" sz="1400" baseline="0">
                        <a:latin typeface="Arial" panose="020B0604020202020204" pitchFamily="34" charset="0"/>
                        <a:cs typeface="Arial" panose="020B0604020202020204" pitchFamily="34" charset="0"/>
                      </a:rPr>
                      <a:t>R² = 0,9983</a:t>
                    </a:r>
                    <a:endParaRPr lang="en-US" sz="1400">
                      <a:latin typeface="Arial" panose="020B0604020202020204" pitchFamily="34" charset="0"/>
                      <a:cs typeface="Arial" panose="020B0604020202020204" pitchFamily="34" charset="0"/>
                    </a:endParaRPr>
                  </a:p>
                </c:rich>
              </c:tx>
              <c:numFmt formatCode="General" sourceLinked="0"/>
            </c:trendlineLbl>
          </c:trendline>
          <c:xVal>
            <c:numRef>
              <c:f>ОТЧЁТ!$DC$737:$DC$751</c:f>
              <c:numCache>
                <c:formatCode>0.00</c:formatCode>
                <c:ptCount val="15"/>
                <c:pt idx="0" formatCode="0.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xVal>
          <c:yVal>
            <c:numRef>
              <c:f>ОТЧЁТ!$DE$737:$DE$751</c:f>
              <c:numCache>
                <c:formatCode>0.0</c:formatCode>
                <c:ptCount val="15"/>
                <c:pt idx="0">
                  <c:v>1</c:v>
                </c:pt>
                <c:pt idx="1">
                  <c:v>1.6925727758586306</c:v>
                </c:pt>
                <c:pt idx="2">
                  <c:v>1.9608844410969279</c:v>
                </c:pt>
                <c:pt idx="3">
                  <c:v>2.2179653699619721</c:v>
                </c:pt>
                <c:pt idx="4">
                  <c:v>3.4071606685850466</c:v>
                </c:pt>
                <c:pt idx="5">
                  <c:v>5.121461985394073</c:v>
                </c:pt>
                <c:pt idx="6">
                  <c:v>6.3724792967377848</c:v>
                </c:pt>
                <c:pt idx="7">
                  <c:v>7.1162882953174416</c:v>
                </c:pt>
                <c:pt idx="8">
                  <c:v>7.8358136030234382</c:v>
                </c:pt>
                <c:pt idx="9">
                  <c:v>8.9570182583608311</c:v>
                </c:pt>
                <c:pt idx="10">
                  <c:v>9.9287708750258741</c:v>
                </c:pt>
                <c:pt idx="11">
                  <c:v>10.922266363611312</c:v>
                </c:pt>
                <c:pt idx="12">
                  <c:v>12.651028919973617</c:v>
                </c:pt>
                <c:pt idx="13">
                  <c:v>15.077074431164505</c:v>
                </c:pt>
                <c:pt idx="14">
                  <c:v>16.340180850371365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56E-42BB-9103-832704A3100C}"/>
            </c:ext>
          </c:extLst>
        </c:ser>
        <c:ser>
          <c:idx val="1"/>
          <c:order val="1"/>
          <c:spPr>
            <a:ln w="114300">
              <a:solidFill>
                <a:srgbClr val="FF0000"/>
              </a:solidFill>
            </a:ln>
          </c:spPr>
          <c:marker>
            <c:symbol val="none"/>
          </c:marker>
          <c:trendline>
            <c:spPr>
              <a:ln w="25400">
                <a:prstDash val="lgDashDotDot"/>
              </a:ln>
            </c:spPr>
            <c:trendlineType val="linear"/>
            <c:dispRSqr val="1"/>
            <c:dispEq val="1"/>
            <c:trendlineLbl>
              <c:layout>
                <c:manualLayout>
                  <c:x val="0.27389989641411411"/>
                  <c:y val="1.7736223041974454E-2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sz="1400">
                      <a:latin typeface="Arial" panose="020B0604020202020204" pitchFamily="34" charset="0"/>
                      <a:cs typeface="Arial" panose="020B0604020202020204" pitchFamily="34" charset="0"/>
                    </a:defRPr>
                  </a:pPr>
                  <a:endParaRPr lang="ru-RU"/>
                </a:p>
              </c:txPr>
            </c:trendlineLbl>
          </c:trendline>
          <c:xVal>
            <c:numRef>
              <c:f>ОТЧЁТ!$DC$752:$DC$758</c:f>
              <c:numCache>
                <c:formatCode>0.00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25.408791247612854</c:v>
                </c:pt>
                <c:pt idx="6">
                  <c:v>27.019844336572895</c:v>
                </c:pt>
              </c:numCache>
            </c:numRef>
          </c:xVal>
          <c:yVal>
            <c:numRef>
              <c:f>ОТЧЁТ!$DF$752:$DF$758</c:f>
              <c:numCache>
                <c:formatCode>0.00</c:formatCode>
                <c:ptCount val="7"/>
                <c:pt idx="0">
                  <c:v>18.102792277984832</c:v>
                </c:pt>
                <c:pt idx="1">
                  <c:v>21.461894643962896</c:v>
                </c:pt>
                <c:pt idx="2">
                  <c:v>23.179748282136284</c:v>
                </c:pt>
                <c:pt idx="3">
                  <c:v>24.80823998884054</c:v>
                </c:pt>
                <c:pt idx="4">
                  <c:v>27.14989768280266</c:v>
                </c:pt>
                <c:pt idx="5">
                  <c:v>30.777340503641387</c:v>
                </c:pt>
                <c:pt idx="6">
                  <c:v>33.259778040206378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056E-42BB-9103-832704A3100C}"/>
            </c:ext>
          </c:extLst>
        </c:ser>
        <c:ser>
          <c:idx val="2"/>
          <c:order val="2"/>
          <c:marker>
            <c:symbol val="none"/>
          </c:marker>
          <c:xVal>
            <c:numRef>
              <c:f>ОТЧЁТ!$DC$759:$DC$772</c:f>
              <c:numCache>
                <c:formatCode>0.00</c:formatCode>
                <c:ptCount val="14"/>
                <c:pt idx="0">
                  <c:v>28.017232863734257</c:v>
                </c:pt>
                <c:pt idx="1">
                  <c:v>29.489664817255768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ОТЧЁТ!$DF$759:$DF$772</c:f>
              <c:numCache>
                <c:formatCode>General</c:formatCode>
                <c:ptCount val="14"/>
                <c:pt idx="0">
                  <c:v>34.272692328370375</c:v>
                </c:pt>
                <c:pt idx="1">
                  <c:v>36.493561443866874</c:v>
                </c:pt>
                <c:pt idx="2">
                  <c:v>-7.9856999999999996</c:v>
                </c:pt>
                <c:pt idx="3">
                  <c:v>-7.9856999999999996</c:v>
                </c:pt>
                <c:pt idx="4">
                  <c:v>-7.9856999999999996</c:v>
                </c:pt>
                <c:pt idx="5">
                  <c:v>-7.9856999999999996</c:v>
                </c:pt>
                <c:pt idx="6">
                  <c:v>-7.9856999999999996</c:v>
                </c:pt>
                <c:pt idx="7" formatCode="0.00">
                  <c:v>-7.9856999999999996</c:v>
                </c:pt>
                <c:pt idx="8">
                  <c:v>-7.9856999999999996</c:v>
                </c:pt>
                <c:pt idx="9">
                  <c:v>-7.9856999999999996</c:v>
                </c:pt>
                <c:pt idx="10">
                  <c:v>-7.9856999999999996</c:v>
                </c:pt>
                <c:pt idx="11">
                  <c:v>-7.9856999999999996</c:v>
                </c:pt>
                <c:pt idx="12">
                  <c:v>-7.9856999999999996</c:v>
                </c:pt>
                <c:pt idx="13">
                  <c:v>-7.9856999999999996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3E5-4581-A322-6ED9C4F76A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0382464"/>
        <c:axId val="150384000"/>
      </c:scatterChart>
      <c:valAx>
        <c:axId val="150382464"/>
        <c:scaling>
          <c:orientation val="minMax"/>
          <c:max val="40"/>
          <c:min val="0"/>
        </c:scaling>
        <c:delete val="0"/>
        <c:axPos val="b"/>
        <c:numFmt formatCode="#,##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50384000"/>
        <c:crosses val="autoZero"/>
        <c:crossBetween val="midCat"/>
        <c:majorUnit val="10"/>
      </c:valAx>
      <c:valAx>
        <c:axId val="150384000"/>
        <c:scaling>
          <c:orientation val="minMax"/>
          <c:max val="50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txPr>
          <a:bodyPr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50382464"/>
        <c:crosses val="autoZero"/>
        <c:crossBetween val="midCat"/>
        <c:majorUnit val="10"/>
      </c:valAx>
      <c:spPr>
        <a:solidFill>
          <a:sysClr val="window" lastClr="FFFFFF"/>
        </a:solidFill>
      </c:spPr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landscape"/>
  </c:printSettings>
  <c:userShapes r:id="rId1"/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216400285687372"/>
          <c:y val="2.6387028254839996E-2"/>
          <c:w val="0.84288507076732655"/>
          <c:h val="0.91412200842354263"/>
        </c:manualLayout>
      </c:layout>
      <c:scatterChart>
        <c:scatterStyle val="smoothMarker"/>
        <c:varyColors val="0"/>
        <c:ser>
          <c:idx val="0"/>
          <c:order val="0"/>
          <c:spPr>
            <a:ln w="101600">
              <a:solidFill>
                <a:srgbClr val="FFC000"/>
              </a:solidFill>
            </a:ln>
          </c:spPr>
          <c:marker>
            <c:symbol val="none"/>
          </c:marker>
          <c:trendline>
            <c:spPr>
              <a:ln w="31750">
                <a:prstDash val="lgDashDotDot"/>
              </a:ln>
            </c:spPr>
            <c:trendlineType val="poly"/>
            <c:order val="2"/>
            <c:forward val="5000"/>
            <c:dispRSqr val="1"/>
            <c:dispEq val="1"/>
            <c:trendlineLbl>
              <c:layout>
                <c:manualLayout>
                  <c:x val="2.3510061189536663E-2"/>
                  <c:y val="0.31257793042102605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sz="1400">
                      <a:latin typeface="Arial" panose="020B0604020202020204" pitchFamily="34" charset="0"/>
                      <a:cs typeface="Arial" panose="020B0604020202020204" pitchFamily="34" charset="0"/>
                    </a:defRPr>
                  </a:pPr>
                  <a:endParaRPr lang="ru-RU"/>
                </a:p>
              </c:txPr>
            </c:trendlineLbl>
          </c:trendline>
          <c:xVal>
            <c:numRef>
              <c:f>ОТЧЁТ!$DY$737:$DY$754</c:f>
              <c:numCache>
                <c:formatCode>0</c:formatCode>
                <c:ptCount val="18"/>
                <c:pt idx="0">
                  <c:v>230.40700000000001</c:v>
                </c:pt>
                <c:pt idx="1">
                  <c:v>334.30200000000002</c:v>
                </c:pt>
                <c:pt idx="2">
                  <c:v>406.47199999999998</c:v>
                </c:pt>
                <c:pt idx="3">
                  <c:v>428.56400000000002</c:v>
                </c:pt>
                <c:pt idx="4">
                  <c:v>597.30600000000004</c:v>
                </c:pt>
                <c:pt idx="5">
                  <c:v>843.37800000000004</c:v>
                </c:pt>
                <c:pt idx="6">
                  <c:v>1117.655</c:v>
                </c:pt>
                <c:pt idx="7">
                  <c:v>1615.0630000000001</c:v>
                </c:pt>
                <c:pt idx="8">
                  <c:v>1815.6579999999999</c:v>
                </c:pt>
                <c:pt idx="9">
                  <c:v>1972.1120000000001</c:v>
                </c:pt>
                <c:pt idx="10">
                  <c:v>2943.6860000000001</c:v>
                </c:pt>
                <c:pt idx="11">
                  <c:v>3252.4360000000001</c:v>
                </c:pt>
                <c:pt idx="12">
                  <c:v>4296.4110000000001</c:v>
                </c:pt>
                <c:pt idx="13">
                  <c:v>5744.8469999999998</c:v>
                </c:pt>
                <c:pt idx="14">
                  <c:v>6356.223</c:v>
                </c:pt>
                <c:pt idx="15">
                  <c:v>6275.9309999999996</c:v>
                </c:pt>
                <c:pt idx="16">
                  <c:v>8813.3140000000003</c:v>
                </c:pt>
                <c:pt idx="17">
                  <c:v>10338.4</c:v>
                </c:pt>
              </c:numCache>
            </c:numRef>
          </c:xVal>
          <c:yVal>
            <c:numRef>
              <c:f>ОТЧЁТ!$DZ$737:$DZ$754</c:f>
              <c:numCache>
                <c:formatCode>0</c:formatCode>
                <c:ptCount val="18"/>
                <c:pt idx="0">
                  <c:v>301.11700000000002</c:v>
                </c:pt>
                <c:pt idx="1">
                  <c:v>401.61399999999998</c:v>
                </c:pt>
                <c:pt idx="2">
                  <c:v>428.52199999999999</c:v>
                </c:pt>
                <c:pt idx="3">
                  <c:v>424.6</c:v>
                </c:pt>
                <c:pt idx="4">
                  <c:v>694</c:v>
                </c:pt>
                <c:pt idx="5">
                  <c:v>1232</c:v>
                </c:pt>
                <c:pt idx="6">
                  <c:v>1689.3</c:v>
                </c:pt>
                <c:pt idx="7">
                  <c:v>1939.3</c:v>
                </c:pt>
                <c:pt idx="8">
                  <c:v>2432.1999999999998</c:v>
                </c:pt>
                <c:pt idx="9">
                  <c:v>3130.5239999999999</c:v>
                </c:pt>
                <c:pt idx="10">
                  <c:v>3836.8960000000002</c:v>
                </c:pt>
                <c:pt idx="11">
                  <c:v>4980.5730000000003</c:v>
                </c:pt>
                <c:pt idx="12">
                  <c:v>6980.3590999999997</c:v>
                </c:pt>
                <c:pt idx="13">
                  <c:v>9200.7688999999991</c:v>
                </c:pt>
                <c:pt idx="15">
                  <c:v>10014.340099999999</c:v>
                </c:pt>
                <c:pt idx="16">
                  <c:v>12952.976500000001</c:v>
                </c:pt>
                <c:pt idx="17">
                  <c:v>14689.246999999999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1D9-4683-BB34-77ED2CCD4C66}"/>
            </c:ext>
          </c:extLst>
        </c:ser>
        <c:ser>
          <c:idx val="1"/>
          <c:order val="1"/>
          <c:spPr>
            <a:ln w="114300">
              <a:solidFill>
                <a:srgbClr val="00B0F0"/>
              </a:solidFill>
            </a:ln>
          </c:spPr>
          <c:marker>
            <c:symbol val="none"/>
          </c:marker>
          <c:xVal>
            <c:numRef>
              <c:f>ОТЧЁТ!$DY$755:$DY$758</c:f>
              <c:numCache>
                <c:formatCode>0</c:formatCode>
                <c:ptCount val="4"/>
                <c:pt idx="0">
                  <c:v>11160.485000000001</c:v>
                </c:pt>
                <c:pt idx="1">
                  <c:v>10888</c:v>
                </c:pt>
                <c:pt idx="2">
                  <c:v>10721</c:v>
                </c:pt>
                <c:pt idx="3">
                  <c:v>13256</c:v>
                </c:pt>
              </c:numCache>
            </c:numRef>
          </c:xVal>
          <c:yVal>
            <c:numRef>
              <c:f>ОТЧЁТ!$EA$755:$EA$758</c:f>
              <c:numCache>
                <c:formatCode>0</c:formatCode>
                <c:ptCount val="4"/>
                <c:pt idx="0">
                  <c:v>15925.6152</c:v>
                </c:pt>
                <c:pt idx="1">
                  <c:v>17115.12</c:v>
                </c:pt>
                <c:pt idx="2">
                  <c:v>17325.84</c:v>
                </c:pt>
                <c:pt idx="3">
                  <c:v>18910.54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1D9-4683-BB34-77ED2CCD4C66}"/>
            </c:ext>
          </c:extLst>
        </c:ser>
        <c:ser>
          <c:idx val="2"/>
          <c:order val="2"/>
          <c:marker>
            <c:symbol val="none"/>
          </c:marker>
          <c:xVal>
            <c:numRef>
              <c:f>ОТЧЁТ!$DY$751</c:f>
              <c:numCache>
                <c:formatCode>0</c:formatCode>
                <c:ptCount val="1"/>
                <c:pt idx="0">
                  <c:v>6356.223</c:v>
                </c:pt>
              </c:numCache>
            </c:numRef>
          </c:xVal>
          <c:yVal>
            <c:numRef>
              <c:f>ОТЧЁТ!$DW$751</c:f>
              <c:numCache>
                <c:formatCode>0</c:formatCode>
                <c:ptCount val="1"/>
                <c:pt idx="0">
                  <c:v>8535.6710000000003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E80-4C39-8553-5E87A8292A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0713472"/>
        <c:axId val="150715008"/>
      </c:scatterChart>
      <c:valAx>
        <c:axId val="150713472"/>
        <c:scaling>
          <c:orientation val="minMax"/>
          <c:max val="20000"/>
          <c:min val="0"/>
        </c:scaling>
        <c:delete val="0"/>
        <c:axPos val="b"/>
        <c:numFmt formatCode="#,##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50715008"/>
        <c:crosses val="autoZero"/>
        <c:crossBetween val="midCat"/>
        <c:majorUnit val="5000"/>
      </c:valAx>
      <c:valAx>
        <c:axId val="150715008"/>
        <c:scaling>
          <c:orientation val="minMax"/>
          <c:max val="25000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txPr>
          <a:bodyPr/>
          <a:lstStyle/>
          <a:p>
            <a:pPr>
              <a:defRPr sz="18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50713472"/>
        <c:crosses val="autoZero"/>
        <c:crossBetween val="midCat"/>
        <c:majorUnit val="7000"/>
      </c:valAx>
      <c:spPr>
        <a:solidFill>
          <a:sysClr val="window" lastClr="FFFFFF"/>
        </a:solidFill>
      </c:spPr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landscape"/>
  </c:printSettings>
  <c:userShapes r:id="rId1"/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9203740157480412E-2"/>
          <c:y val="3.8287840759786411E-2"/>
          <c:w val="0.89392125984251969"/>
          <c:h val="0.90222121668189992"/>
        </c:manualLayout>
      </c:layout>
      <c:scatterChart>
        <c:scatterStyle val="smoothMarker"/>
        <c:varyColors val="0"/>
        <c:ser>
          <c:idx val="0"/>
          <c:order val="0"/>
          <c:spPr>
            <a:ln w="101600">
              <a:solidFill>
                <a:srgbClr val="00B050"/>
              </a:solidFill>
            </a:ln>
          </c:spPr>
          <c:marker>
            <c:symbol val="none"/>
          </c:marker>
          <c:xVal>
            <c:numRef>
              <c:f>ОТЧЁТ!$EP$737:$EP$762</c:f>
              <c:numCache>
                <c:formatCode>General</c:formatCode>
                <c:ptCount val="26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</c:numCache>
            </c:numRef>
          </c:xVal>
          <c:yVal>
            <c:numRef>
              <c:f>ОТЧЁТ!$ES$737:$ES$758</c:f>
              <c:numCache>
                <c:formatCode>0</c:formatCode>
                <c:ptCount val="22"/>
                <c:pt idx="0">
                  <c:v>301.11700000000002</c:v>
                </c:pt>
                <c:pt idx="1">
                  <c:v>237.28019600000002</c:v>
                </c:pt>
                <c:pt idx="2">
                  <c:v>218.53506051600004</c:v>
                </c:pt>
                <c:pt idx="3">
                  <c:v>191.43671301201601</c:v>
                </c:pt>
                <c:pt idx="4">
                  <c:v>203.68866264478507</c:v>
                </c:pt>
                <c:pt idx="5">
                  <c:v>240.55631058349115</c:v>
                </c:pt>
                <c:pt idx="6">
                  <c:v>265.09305426300728</c:v>
                </c:pt>
                <c:pt idx="7">
                  <c:v>272.51565978237147</c:v>
                </c:pt>
                <c:pt idx="8">
                  <c:v>310.39533649212109</c:v>
                </c:pt>
                <c:pt idx="9">
                  <c:v>349.50514889012828</c:v>
                </c:pt>
                <c:pt idx="10">
                  <c:v>386.44219393269071</c:v>
                </c:pt>
                <c:pt idx="11">
                  <c:v>456.00178884057505</c:v>
                </c:pt>
                <c:pt idx="12">
                  <c:v>551.7621644970958</c:v>
                </c:pt>
                <c:pt idx="13">
                  <c:v>610.2489539337879</c:v>
                </c:pt>
                <c:pt idx="14">
                  <c:v>522.37310456732246</c:v>
                </c:pt>
                <c:pt idx="15">
                  <c:v>553.19311773679453</c:v>
                </c:pt>
                <c:pt idx="16">
                  <c:v>603.53369145084287</c:v>
                </c:pt>
                <c:pt idx="17">
                  <c:v>633.71037602338504</c:v>
                </c:pt>
                <c:pt idx="18">
                  <c:v>641.948610911689</c:v>
                </c:pt>
                <c:pt idx="19">
                  <c:v>630.39353591527856</c:v>
                </c:pt>
                <c:pt idx="20">
                  <c:v>562.94142757234374</c:v>
                </c:pt>
                <c:pt idx="21">
                  <c:v>568.57084184806729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1FC-40AC-A042-585702DB2C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0652800"/>
        <c:axId val="150654336"/>
      </c:scatterChart>
      <c:valAx>
        <c:axId val="150652800"/>
        <c:scaling>
          <c:orientation val="minMax"/>
          <c:max val="2020"/>
          <c:min val="1995"/>
        </c:scaling>
        <c:delete val="0"/>
        <c:axPos val="b"/>
        <c:numFmt formatCode="#,##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50654336"/>
        <c:crosses val="autoZero"/>
        <c:crossBetween val="midCat"/>
        <c:majorUnit val="5"/>
      </c:valAx>
      <c:valAx>
        <c:axId val="150654336"/>
        <c:scaling>
          <c:orientation val="minMax"/>
          <c:max val="900"/>
          <c:min val="10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txPr>
          <a:bodyPr/>
          <a:lstStyle/>
          <a:p>
            <a:pPr>
              <a:defRPr sz="18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50652800"/>
        <c:crosses val="autoZero"/>
        <c:crossBetween val="midCat"/>
        <c:majorUnit val="200"/>
      </c:valAx>
      <c:spPr>
        <a:solidFill>
          <a:sysClr val="window" lastClr="FFFFFF"/>
        </a:solidFill>
      </c:spPr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landscape"/>
  </c:printSettings>
  <c:userShapes r:id="rId1"/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3806658767974311E-2"/>
          <c:y val="2.6387028254839996E-2"/>
          <c:w val="0.89124234973157956"/>
          <c:h val="0.91412200842354263"/>
        </c:manualLayout>
      </c:layout>
      <c:scatterChart>
        <c:scatterStyle val="smoothMarker"/>
        <c:varyColors val="0"/>
        <c:ser>
          <c:idx val="1"/>
          <c:order val="0"/>
          <c:spPr>
            <a:ln w="127000">
              <a:solidFill>
                <a:srgbClr val="FFC000"/>
              </a:solidFill>
            </a:ln>
          </c:spPr>
          <c:marker>
            <c:symbol val="none"/>
          </c:marker>
          <c:trendline>
            <c:spPr>
              <a:ln w="22225">
                <a:prstDash val="lgDashDotDot"/>
              </a:ln>
            </c:spPr>
            <c:trendlineType val="linear"/>
            <c:forward val="100"/>
            <c:dispRSqr val="1"/>
            <c:dispEq val="1"/>
            <c:trendlineLbl>
              <c:layout>
                <c:manualLayout>
                  <c:x val="0.14752052172510888"/>
                  <c:y val="0.35993802123354707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sz="1400">
                      <a:latin typeface="Arial" panose="020B0604020202020204" pitchFamily="34" charset="0"/>
                      <a:cs typeface="Arial" panose="020B0604020202020204" pitchFamily="34" charset="0"/>
                    </a:defRPr>
                  </a:pPr>
                  <a:endParaRPr lang="ru-RU"/>
                </a:p>
              </c:txPr>
            </c:trendlineLbl>
          </c:trendline>
          <c:xVal>
            <c:numRef>
              <c:f>ОТЧЁТ!$EC$608:$EC$629</c:f>
              <c:numCache>
                <c:formatCode>0</c:formatCode>
                <c:ptCount val="22"/>
                <c:pt idx="0">
                  <c:v>266.97399999999999</c:v>
                </c:pt>
                <c:pt idx="1">
                  <c:v>218.65170599999999</c:v>
                </c:pt>
                <c:pt idx="2">
                  <c:v>207.71912069999999</c:v>
                </c:pt>
                <c:pt idx="3">
                  <c:v>182.79282621599998</c:v>
                </c:pt>
                <c:pt idx="4">
                  <c:v>191.9324675268</c:v>
                </c:pt>
                <c:pt idx="5">
                  <c:v>225.32871687646318</c:v>
                </c:pt>
                <c:pt idx="6">
                  <c:v>247.86158856410952</c:v>
                </c:pt>
                <c:pt idx="7">
                  <c:v>254.80171304390458</c:v>
                </c:pt>
                <c:pt idx="8">
                  <c:v>286.65192717439265</c:v>
                </c:pt>
                <c:pt idx="9">
                  <c:v>325.92324119728443</c:v>
                </c:pt>
                <c:pt idx="10">
                  <c:v>359.16741179940749</c:v>
                </c:pt>
                <c:pt idx="11">
                  <c:v>419.14836956990854</c:v>
                </c:pt>
                <c:pt idx="12">
                  <c:v>514.2950494622778</c:v>
                </c:pt>
                <c:pt idx="13">
                  <c:v>563.15307916119423</c:v>
                </c:pt>
                <c:pt idx="14">
                  <c:v>487.12741347443301</c:v>
                </c:pt>
                <c:pt idx="15">
                  <c:v>517.81644052332229</c:v>
                </c:pt>
                <c:pt idx="16">
                  <c:v>573.74061609984119</c:v>
                </c:pt>
                <c:pt idx="17">
                  <c:v>612.75497799463039</c:v>
                </c:pt>
                <c:pt idx="18">
                  <c:v>617.65701781858741</c:v>
                </c:pt>
                <c:pt idx="19">
                  <c:v>608.39216255130862</c:v>
                </c:pt>
                <c:pt idx="20">
                  <c:v>546.94455413362641</c:v>
                </c:pt>
                <c:pt idx="21">
                  <c:v>545.85066502535915</c:v>
                </c:pt>
              </c:numCache>
            </c:numRef>
          </c:xVal>
          <c:yVal>
            <c:numRef>
              <c:f>ОТЧЁТ!$EA$608:$EA$629</c:f>
              <c:numCache>
                <c:formatCode>0</c:formatCode>
                <c:ptCount val="22"/>
                <c:pt idx="0">
                  <c:v>301.11700000000002</c:v>
                </c:pt>
                <c:pt idx="1">
                  <c:v>237.28019600000002</c:v>
                </c:pt>
                <c:pt idx="2">
                  <c:v>218.53506051600002</c:v>
                </c:pt>
                <c:pt idx="3">
                  <c:v>191.43671301201601</c:v>
                </c:pt>
                <c:pt idx="4">
                  <c:v>203.68866264478504</c:v>
                </c:pt>
                <c:pt idx="5">
                  <c:v>240.55631058349115</c:v>
                </c:pt>
                <c:pt idx="6">
                  <c:v>265.09305426300728</c:v>
                </c:pt>
                <c:pt idx="7">
                  <c:v>272.51565978237147</c:v>
                </c:pt>
                <c:pt idx="8">
                  <c:v>310.39533649212109</c:v>
                </c:pt>
                <c:pt idx="9">
                  <c:v>349.50514889012834</c:v>
                </c:pt>
                <c:pt idx="10">
                  <c:v>386.44219393269077</c:v>
                </c:pt>
                <c:pt idx="11">
                  <c:v>456.0017888405751</c:v>
                </c:pt>
                <c:pt idx="12">
                  <c:v>551.76216449709591</c:v>
                </c:pt>
                <c:pt idx="13">
                  <c:v>610.24895393378813</c:v>
                </c:pt>
                <c:pt idx="14">
                  <c:v>522.37310456732268</c:v>
                </c:pt>
                <c:pt idx="15">
                  <c:v>553.19311773679476</c:v>
                </c:pt>
                <c:pt idx="16">
                  <c:v>603.53369145084309</c:v>
                </c:pt>
                <c:pt idx="17">
                  <c:v>633.71037602338527</c:v>
                </c:pt>
                <c:pt idx="18">
                  <c:v>641.94861091168923</c:v>
                </c:pt>
                <c:pt idx="19">
                  <c:v>630.39353591527879</c:v>
                </c:pt>
                <c:pt idx="20">
                  <c:v>562.94142757234397</c:v>
                </c:pt>
                <c:pt idx="21">
                  <c:v>568.5708418480674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2A26-4A9D-A1FF-C3129EE6F2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0826368"/>
        <c:axId val="150840448"/>
      </c:scatterChart>
      <c:valAx>
        <c:axId val="150826368"/>
        <c:scaling>
          <c:orientation val="minMax"/>
          <c:max val="1000.8"/>
          <c:min val="100"/>
        </c:scaling>
        <c:delete val="0"/>
        <c:axPos val="b"/>
        <c:numFmt formatCode="#,##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50840448"/>
        <c:crosses val="autoZero"/>
        <c:crossBetween val="midCat"/>
        <c:majorUnit val="300"/>
      </c:valAx>
      <c:valAx>
        <c:axId val="150840448"/>
        <c:scaling>
          <c:orientation val="minMax"/>
          <c:max val="800"/>
          <c:min val="10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txPr>
          <a:bodyPr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50826368"/>
        <c:crosses val="autoZero"/>
        <c:crossBetween val="midCat"/>
        <c:majorUnit val="300"/>
      </c:valAx>
      <c:spPr>
        <a:solidFill>
          <a:sysClr val="window" lastClr="FFFFFF"/>
        </a:solidFill>
      </c:spPr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landscape"/>
  </c:printSettings>
  <c:userShapes r:id="rId1"/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9203740157480412E-2"/>
          <c:y val="3.8287840759786411E-2"/>
          <c:w val="0.89392125984251969"/>
          <c:h val="0.90222121668189992"/>
        </c:manualLayout>
      </c:layout>
      <c:scatterChart>
        <c:scatterStyle val="smoothMarker"/>
        <c:varyColors val="0"/>
        <c:ser>
          <c:idx val="0"/>
          <c:order val="0"/>
          <c:spPr>
            <a:ln w="111125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ОТЧЁТ!$ES$608:$ES$633</c:f>
              <c:numCache>
                <c:formatCode>General</c:formatCode>
                <c:ptCount val="26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</c:numCache>
            </c:numRef>
          </c:xVal>
          <c:yVal>
            <c:numRef>
              <c:f>ОТЧЁТ!$EW$608:$EW$629</c:f>
              <c:numCache>
                <c:formatCode>0.00</c:formatCode>
                <c:ptCount val="22"/>
                <c:pt idx="0">
                  <c:v>0.25436239679797479</c:v>
                </c:pt>
                <c:pt idx="1">
                  <c:v>0.23670207944396751</c:v>
                </c:pt>
                <c:pt idx="2">
                  <c:v>0.21976447779152794</c:v>
                </c:pt>
                <c:pt idx="3">
                  <c:v>0.14963445899410141</c:v>
                </c:pt>
                <c:pt idx="4">
                  <c:v>0.14830706184642253</c:v>
                </c:pt>
                <c:pt idx="5">
                  <c:v>0.18694222082957038</c:v>
                </c:pt>
                <c:pt idx="6">
                  <c:v>0.21949933128587643</c:v>
                </c:pt>
                <c:pt idx="7">
                  <c:v>0.20050334445364526</c:v>
                </c:pt>
                <c:pt idx="8">
                  <c:v>0.2085817528760793</c:v>
                </c:pt>
                <c:pt idx="9">
                  <c:v>0.2090160623901792</c:v>
                </c:pt>
                <c:pt idx="10">
                  <c:v>0.20077637768753609</c:v>
                </c:pt>
                <c:pt idx="11">
                  <c:v>0.21171319887139689</c:v>
                </c:pt>
                <c:pt idx="12">
                  <c:v>0.24164508640604135</c:v>
                </c:pt>
                <c:pt idx="13">
                  <c:v>0.25501258705569996</c:v>
                </c:pt>
                <c:pt idx="14">
                  <c:v>0.18926236835685348</c:v>
                </c:pt>
                <c:pt idx="15">
                  <c:v>0.22614904368268554</c:v>
                </c:pt>
                <c:pt idx="16">
                  <c:v>0.24444702068328888</c:v>
                </c:pt>
                <c:pt idx="17">
                  <c:v>0.24544086456248265</c:v>
                </c:pt>
                <c:pt idx="18">
                  <c:v>0.23129989284544489</c:v>
                </c:pt>
                <c:pt idx="19">
                  <c:v>0.2262093652761264</c:v>
                </c:pt>
                <c:pt idx="20">
                  <c:v>0.22388367391147374</c:v>
                </c:pt>
                <c:pt idx="21">
                  <c:v>0.23534366498476991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9111-41E7-81AF-E58D50D09931}"/>
            </c:ext>
          </c:extLst>
        </c:ser>
        <c:ser>
          <c:idx val="1"/>
          <c:order val="1"/>
          <c:spPr>
            <a:ln w="85725">
              <a:solidFill>
                <a:srgbClr val="00B0F0"/>
              </a:solidFill>
            </a:ln>
          </c:spPr>
          <c:marker>
            <c:symbol val="none"/>
          </c:marker>
          <c:xVal>
            <c:numRef>
              <c:f>ОТЧЁТ!$ES$608:$ES$629</c:f>
              <c:numCache>
                <c:formatCode>General</c:formatCode>
                <c:ptCount val="22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</c:numCache>
            </c:numRef>
          </c:xVal>
          <c:yVal>
            <c:numRef>
              <c:f>ОТЧЁТ!$EX$608:$EX$629</c:f>
              <c:numCache>
                <c:formatCode>0.00</c:formatCode>
                <c:ptCount val="22"/>
                <c:pt idx="0">
                  <c:v>0.18688841024307029</c:v>
                </c:pt>
                <c:pt idx="1">
                  <c:v>0.18724637981433842</c:v>
                </c:pt>
                <c:pt idx="2">
                  <c:v>0.17451210637530104</c:v>
                </c:pt>
                <c:pt idx="3">
                  <c:v>0.15480774828968824</c:v>
                </c:pt>
                <c:pt idx="4">
                  <c:v>0.13900199594342624</c:v>
                </c:pt>
                <c:pt idx="5">
                  <c:v>0.15949772330898129</c:v>
                </c:pt>
                <c:pt idx="6">
                  <c:v>0.16824354034590122</c:v>
                </c:pt>
                <c:pt idx="7">
                  <c:v>0.16289452554515485</c:v>
                </c:pt>
                <c:pt idx="8">
                  <c:v>0.16553290181062064</c:v>
                </c:pt>
                <c:pt idx="9">
                  <c:v>0.16826052155358553</c:v>
                </c:pt>
                <c:pt idx="10">
                  <c:v>0.16710500397926573</c:v>
                </c:pt>
                <c:pt idx="11">
                  <c:v>0.17572404818558476</c:v>
                </c:pt>
                <c:pt idx="12">
                  <c:v>0.2020067473798311</c:v>
                </c:pt>
                <c:pt idx="13">
                  <c:v>0.21274918435392595</c:v>
                </c:pt>
                <c:pt idx="14">
                  <c:v>0.20552883042337308</c:v>
                </c:pt>
                <c:pt idx="15">
                  <c:v>0.19763313157137286</c:v>
                </c:pt>
                <c:pt idx="16">
                  <c:v>0.18306547678272694</c:v>
                </c:pt>
                <c:pt idx="17">
                  <c:v>0.18464456289169359</c:v>
                </c:pt>
                <c:pt idx="18">
                  <c:v>0.18391250980969567</c:v>
                </c:pt>
                <c:pt idx="19">
                  <c:v>0.17585374408661994</c:v>
                </c:pt>
                <c:pt idx="20">
                  <c:v>0.16724673261607337</c:v>
                </c:pt>
                <c:pt idx="21">
                  <c:v>0.17146976073662426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A08-4E0B-B513-7F5C2695A3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0955904"/>
        <c:axId val="150957440"/>
      </c:scatterChart>
      <c:valAx>
        <c:axId val="150955904"/>
        <c:scaling>
          <c:orientation val="minMax"/>
          <c:max val="2020"/>
          <c:min val="1995"/>
        </c:scaling>
        <c:delete val="0"/>
        <c:axPos val="b"/>
        <c:numFmt formatCode="#,##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50957440"/>
        <c:crosses val="autoZero"/>
        <c:crossBetween val="midCat"/>
        <c:majorUnit val="5"/>
      </c:valAx>
      <c:valAx>
        <c:axId val="150957440"/>
        <c:scaling>
          <c:orientation val="minMax"/>
          <c:max val="0.4"/>
          <c:min val="0"/>
        </c:scaling>
        <c:delete val="0"/>
        <c:axPos val="l"/>
        <c:majorGridlines/>
        <c:numFmt formatCode="0.0" sourceLinked="0"/>
        <c:majorTickMark val="out"/>
        <c:minorTickMark val="none"/>
        <c:tickLblPos val="nextTo"/>
        <c:txPr>
          <a:bodyPr/>
          <a:lstStyle/>
          <a:p>
            <a:pPr>
              <a:defRPr sz="18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50955904"/>
        <c:crosses val="autoZero"/>
        <c:crossBetween val="midCat"/>
        <c:majorUnit val="0.1"/>
      </c:valAx>
      <c:spPr>
        <a:solidFill>
          <a:sysClr val="window" lastClr="FFFFFF"/>
        </a:solidFill>
      </c:spPr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landscape"/>
  </c:printSettings>
  <c:userShapes r:id="rId1"/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216400285687372"/>
          <c:y val="2.6387028254839996E-2"/>
          <c:w val="0.84288507076732655"/>
          <c:h val="0.91412200842354263"/>
        </c:manualLayout>
      </c:layout>
      <c:scatterChart>
        <c:scatterStyle val="smoothMarker"/>
        <c:varyColors val="0"/>
        <c:ser>
          <c:idx val="0"/>
          <c:order val="0"/>
          <c:spPr>
            <a:ln w="76200">
              <a:solidFill>
                <a:srgbClr val="00B050"/>
              </a:solidFill>
            </a:ln>
          </c:spPr>
          <c:marker>
            <c:symbol val="none"/>
          </c:marker>
          <c:trendline>
            <c:spPr>
              <a:ln w="22225">
                <a:prstDash val="lgDash"/>
              </a:ln>
            </c:spPr>
            <c:trendlineType val="linear"/>
            <c:forward val="50000"/>
            <c:dispRSqr val="1"/>
            <c:dispEq val="1"/>
            <c:trendlineLbl>
              <c:layout>
                <c:manualLayout>
                  <c:x val="-7.2380466930302964E-2"/>
                  <c:y val="0.32921154347361781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sz="1600">
                      <a:latin typeface="Arial" panose="020B0604020202020204" pitchFamily="34" charset="0"/>
                      <a:cs typeface="Arial" panose="020B0604020202020204" pitchFamily="34" charset="0"/>
                    </a:defRPr>
                  </a:pPr>
                  <a:endParaRPr lang="ru-RU"/>
                </a:p>
              </c:txPr>
            </c:trendlineLbl>
          </c:trendline>
          <c:xVal>
            <c:numRef>
              <c:f>ОТЧЁТ!$DZ$778:$DZ$791</c:f>
              <c:numCache>
                <c:formatCode>0</c:formatCode>
                <c:ptCount val="14"/>
                <c:pt idx="0">
                  <c:v>2517.5558500000002</c:v>
                </c:pt>
                <c:pt idx="1">
                  <c:v>3456.8092000000001</c:v>
                </c:pt>
                <c:pt idx="2">
                  <c:v>3935.6576</c:v>
                </c:pt>
                <c:pt idx="3">
                  <c:v>4157.2879000000003</c:v>
                </c:pt>
                <c:pt idx="4">
                  <c:v>7539.9256999999989</c:v>
                </c:pt>
                <c:pt idx="5">
                  <c:v>11413.5142</c:v>
                </c:pt>
                <c:pt idx="6">
                  <c:v>14480.9792</c:v>
                </c:pt>
                <c:pt idx="7">
                  <c:v>17252.54624</c:v>
                </c:pt>
                <c:pt idx="8">
                  <c:v>21164.420549999999</c:v>
                </c:pt>
                <c:pt idx="9">
                  <c:v>26828.06034</c:v>
                </c:pt>
                <c:pt idx="10">
                  <c:v>33679.6518</c:v>
                </c:pt>
                <c:pt idx="11">
                  <c:v>42074.479849999996</c:v>
                </c:pt>
                <c:pt idx="12">
                  <c:v>52648.541449999997</c:v>
                </c:pt>
                <c:pt idx="13">
                  <c:v>65319.6538</c:v>
                </c:pt>
              </c:numCache>
            </c:numRef>
          </c:xVal>
          <c:yVal>
            <c:numRef>
              <c:f>ОТЧЁТ!$EA$778:$EA$791</c:f>
              <c:numCache>
                <c:formatCode>0</c:formatCode>
                <c:ptCount val="14"/>
                <c:pt idx="0">
                  <c:v>5306</c:v>
                </c:pt>
                <c:pt idx="1">
                  <c:v>13072.378000000001</c:v>
                </c:pt>
                <c:pt idx="2">
                  <c:v>13286.272000000001</c:v>
                </c:pt>
                <c:pt idx="3">
                  <c:v>14125.67</c:v>
                </c:pt>
                <c:pt idx="4">
                  <c:v>14246.427</c:v>
                </c:pt>
                <c:pt idx="5">
                  <c:v>17464</c:v>
                </c:pt>
                <c:pt idx="6">
                  <c:v>20241.428</c:v>
                </c:pt>
                <c:pt idx="7">
                  <c:v>24431</c:v>
                </c:pt>
                <c:pt idx="8">
                  <c:v>30329.1</c:v>
                </c:pt>
                <c:pt idx="9">
                  <c:v>34874</c:v>
                </c:pt>
                <c:pt idx="10">
                  <c:v>41494</c:v>
                </c:pt>
                <c:pt idx="11">
                  <c:v>47489</c:v>
                </c:pt>
                <c:pt idx="12">
                  <c:v>60391</c:v>
                </c:pt>
                <c:pt idx="13">
                  <c:v>74447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C0B-4BBA-95F9-3E83EBE6D9FF}"/>
            </c:ext>
          </c:extLst>
        </c:ser>
        <c:ser>
          <c:idx val="1"/>
          <c:order val="1"/>
          <c:spPr>
            <a:ln w="92075">
              <a:solidFill>
                <a:srgbClr val="FF0000">
                  <a:alpha val="70000"/>
                </a:srgbClr>
              </a:solidFill>
            </a:ln>
          </c:spPr>
          <c:marker>
            <c:symbol val="none"/>
          </c:marker>
          <c:trendline>
            <c:spPr>
              <a:ln w="31750">
                <a:prstDash val="lgDashDotDot"/>
              </a:ln>
            </c:spPr>
            <c:trendlineType val="exp"/>
            <c:forward val="25000"/>
            <c:dispRSqr val="1"/>
            <c:dispEq val="1"/>
            <c:trendlineLbl>
              <c:layout>
                <c:manualLayout>
                  <c:x val="0.10903235560216511"/>
                  <c:y val="0.25533026758284888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sz="2000">
                      <a:latin typeface="Arial" panose="020B0604020202020204" pitchFamily="34" charset="0"/>
                      <a:cs typeface="Arial" panose="020B0604020202020204" pitchFamily="34" charset="0"/>
                    </a:defRPr>
                  </a:pPr>
                  <a:endParaRPr lang="ru-RU"/>
                </a:p>
              </c:txPr>
            </c:trendlineLbl>
          </c:trendline>
          <c:xVal>
            <c:numRef>
              <c:f>ОТЧЁТ!$DZ$792:$DZ$799</c:f>
              <c:numCache>
                <c:formatCode>0</c:formatCode>
                <c:ptCount val="8"/>
                <c:pt idx="0">
                  <c:v>62102.451300000001</c:v>
                </c:pt>
                <c:pt idx="1">
                  <c:v>74764.35000000002</c:v>
                </c:pt>
                <c:pt idx="2">
                  <c:v>91967.916830000002</c:v>
                </c:pt>
                <c:pt idx="3">
                  <c:v>103041.56428999999</c:v>
                </c:pt>
                <c:pt idx="4">
                  <c:v>112193.96041</c:v>
                </c:pt>
                <c:pt idx="5">
                  <c:v>120950.67453</c:v>
                </c:pt>
                <c:pt idx="6">
                  <c:v>132750.21000000002</c:v>
                </c:pt>
                <c:pt idx="7">
                  <c:v>139945.73000000001</c:v>
                </c:pt>
              </c:numCache>
            </c:numRef>
          </c:xVal>
          <c:yVal>
            <c:numRef>
              <c:f>ОТЧЁТ!$EB$792:$EB$799</c:f>
              <c:numCache>
                <c:formatCode>0</c:formatCode>
                <c:ptCount val="8"/>
                <c:pt idx="0">
                  <c:v>82302.968999999997</c:v>
                </c:pt>
                <c:pt idx="1">
                  <c:v>93186</c:v>
                </c:pt>
                <c:pt idx="2">
                  <c:v>108001</c:v>
                </c:pt>
                <c:pt idx="3">
                  <c:v>121269</c:v>
                </c:pt>
                <c:pt idx="4">
                  <c:v>133522.79999999999</c:v>
                </c:pt>
                <c:pt idx="5">
                  <c:v>147430</c:v>
                </c:pt>
                <c:pt idx="6">
                  <c:v>160725</c:v>
                </c:pt>
                <c:pt idx="7">
                  <c:v>183404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9C0B-4BBA-95F9-3E83EBE6D9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014784"/>
        <c:axId val="150865408"/>
      </c:scatterChart>
      <c:valAx>
        <c:axId val="151014784"/>
        <c:scaling>
          <c:orientation val="minMax"/>
          <c:max val="200000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2000" b="0"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r>
                  <a:rPr lang="ru-RU" sz="2000" b="0">
                    <a:latin typeface="Arial" panose="020B0604020202020204" pitchFamily="34" charset="0"/>
                    <a:cs typeface="Arial" panose="020B0604020202020204" pitchFamily="34" charset="0"/>
                  </a:rPr>
                  <a:t>Тренд 2</a:t>
                </a:r>
              </a:p>
            </c:rich>
          </c:tx>
          <c:layout>
            <c:manualLayout>
              <c:xMode val="edge"/>
              <c:yMode val="edge"/>
              <c:x val="0.71679957781231762"/>
              <c:y val="0.30988000864409387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50865408"/>
        <c:crosses val="autoZero"/>
        <c:crossBetween val="midCat"/>
        <c:majorUnit val="50000"/>
      </c:valAx>
      <c:valAx>
        <c:axId val="150865408"/>
        <c:scaling>
          <c:orientation val="minMax"/>
          <c:max val="250000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txPr>
          <a:bodyPr/>
          <a:lstStyle/>
          <a:p>
            <a:pPr>
              <a:defRPr sz="18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51014784"/>
        <c:crosses val="autoZero"/>
        <c:crossBetween val="midCat"/>
        <c:majorUnit val="70000"/>
      </c:valAx>
      <c:spPr>
        <a:solidFill>
          <a:sysClr val="window" lastClr="FFFFFF"/>
        </a:solidFill>
      </c:spPr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landscape"/>
  </c:printSettings>
  <c:userShapes r:id="rId1"/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9203740157480412E-2"/>
          <c:y val="3.8287840759786411E-2"/>
          <c:w val="0.89392125984251969"/>
          <c:h val="0.90222121668189992"/>
        </c:manualLayout>
      </c:layout>
      <c:scatterChart>
        <c:scatterStyle val="smoothMarker"/>
        <c:varyColors val="0"/>
        <c:ser>
          <c:idx val="0"/>
          <c:order val="0"/>
          <c:spPr>
            <a:ln w="127000">
              <a:solidFill>
                <a:srgbClr val="FFC000"/>
              </a:solidFill>
            </a:ln>
          </c:spPr>
          <c:marker>
            <c:symbol val="none"/>
          </c:marker>
          <c:xVal>
            <c:numRef>
              <c:f>ОТЧЁТ!$ER$778:$ER$803</c:f>
              <c:numCache>
                <c:formatCode>General</c:formatCode>
                <c:ptCount val="26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</c:numCache>
            </c:numRef>
          </c:xVal>
          <c:yVal>
            <c:numRef>
              <c:f>ОТЧЁТ!$ET$778:$ET$799</c:f>
              <c:numCache>
                <c:formatCode>0.000</c:formatCode>
                <c:ptCount val="22"/>
                <c:pt idx="0">
                  <c:v>1</c:v>
                </c:pt>
                <c:pt idx="1">
                  <c:v>0.99900000000000011</c:v>
                </c:pt>
                <c:pt idx="2">
                  <c:v>0.99500400000000011</c:v>
                </c:pt>
                <c:pt idx="3">
                  <c:v>0.9920189880000001</c:v>
                </c:pt>
                <c:pt idx="4">
                  <c:v>0.9940030259760001</c:v>
                </c:pt>
                <c:pt idx="5">
                  <c:v>0.99897304110588003</c:v>
                </c:pt>
                <c:pt idx="6">
                  <c:v>1.0079637984758332</c:v>
                </c:pt>
                <c:pt idx="7">
                  <c:v>1.0180434364605915</c:v>
                </c:pt>
                <c:pt idx="8">
                  <c:v>1.031278001134579</c:v>
                </c:pt>
                <c:pt idx="9">
                  <c:v>1.0477784491527322</c:v>
                </c:pt>
                <c:pt idx="10">
                  <c:v>1.0676862396866342</c:v>
                </c:pt>
                <c:pt idx="11">
                  <c:v>1.0933107094391135</c:v>
                </c:pt>
                <c:pt idx="12">
                  <c:v>1.127203341431726</c:v>
                </c:pt>
                <c:pt idx="13">
                  <c:v>1.1677826617232681</c:v>
                </c:pt>
                <c:pt idx="14">
                  <c:v>1.2051517068984128</c:v>
                </c:pt>
                <c:pt idx="15">
                  <c:v>1.2413062581053651</c:v>
                </c:pt>
                <c:pt idx="16">
                  <c:v>1.2909585084295798</c:v>
                </c:pt>
                <c:pt idx="17">
                  <c:v>1.3464697242920516</c:v>
                </c:pt>
                <c:pt idx="18">
                  <c:v>1.4016749829880255</c:v>
                </c:pt>
                <c:pt idx="19">
                  <c:v>1.4535369573585823</c:v>
                </c:pt>
                <c:pt idx="20">
                  <c:v>1.5000501399940571</c:v>
                </c:pt>
                <c:pt idx="21">
                  <c:v>1.5585520954538252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B75-46D5-8506-F090DEFCAD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0926080"/>
        <c:axId val="150927616"/>
      </c:scatterChart>
      <c:valAx>
        <c:axId val="150926080"/>
        <c:scaling>
          <c:orientation val="minMax"/>
          <c:max val="2020"/>
          <c:min val="1995"/>
        </c:scaling>
        <c:delete val="0"/>
        <c:axPos val="b"/>
        <c:numFmt formatCode="#,##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50927616"/>
        <c:crosses val="autoZero"/>
        <c:crossBetween val="midCat"/>
        <c:majorUnit val="5"/>
      </c:valAx>
      <c:valAx>
        <c:axId val="150927616"/>
        <c:scaling>
          <c:orientation val="minMax"/>
          <c:max val="2"/>
          <c:min val="0.5"/>
        </c:scaling>
        <c:delete val="0"/>
        <c:axPos val="l"/>
        <c:majorGridlines/>
        <c:numFmt formatCode="0.0" sourceLinked="0"/>
        <c:majorTickMark val="out"/>
        <c:minorTickMark val="none"/>
        <c:tickLblPos val="nextTo"/>
        <c:txPr>
          <a:bodyPr/>
          <a:lstStyle/>
          <a:p>
            <a:pPr>
              <a:defRPr sz="18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50926080"/>
        <c:crosses val="autoZero"/>
        <c:crossBetween val="midCat"/>
        <c:majorUnit val="0.5"/>
      </c:valAx>
      <c:spPr>
        <a:solidFill>
          <a:sysClr val="window" lastClr="FFFFFF"/>
        </a:solidFill>
      </c:spPr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landscape"/>
  </c:printSettings>
  <c:userShapes r:id="rId1"/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5111013024327789E-2"/>
          <c:y val="2.6387028254839996E-2"/>
          <c:w val="0.87783707207290063"/>
          <c:h val="0.91412200842354263"/>
        </c:manualLayout>
      </c:layout>
      <c:scatterChart>
        <c:scatterStyle val="smoothMarker"/>
        <c:varyColors val="0"/>
        <c:ser>
          <c:idx val="0"/>
          <c:order val="0"/>
          <c:spPr>
            <a:ln w="101600">
              <a:solidFill>
                <a:srgbClr val="FFC000"/>
              </a:solidFill>
            </a:ln>
          </c:spPr>
          <c:marker>
            <c:symbol val="none"/>
          </c:marker>
          <c:xVal>
            <c:numRef>
              <c:f>ОТЧЁТ!$DZ$818:$DZ$843</c:f>
              <c:numCache>
                <c:formatCode>General</c:formatCode>
                <c:ptCount val="26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</c:numCache>
            </c:numRef>
          </c:xVal>
          <c:yVal>
            <c:numRef>
              <c:f>ОТЧЁТ!$ED$818:$ED$839</c:f>
              <c:numCache>
                <c:formatCode>0.00</c:formatCode>
                <c:ptCount val="22"/>
                <c:pt idx="0">
                  <c:v>0.52160205427817563</c:v>
                </c:pt>
                <c:pt idx="1">
                  <c:v>0.5075047014598465</c:v>
                </c:pt>
                <c:pt idx="2">
                  <c:v>0.51667647317297627</c:v>
                </c:pt>
                <c:pt idx="3">
                  <c:v>0.49180137717267253</c:v>
                </c:pt>
                <c:pt idx="4">
                  <c:v>0.51928728248372014</c:v>
                </c:pt>
                <c:pt idx="5">
                  <c:v>0.56527391744994016</c:v>
                </c:pt>
                <c:pt idx="6">
                  <c:v>0.58768319068878805</c:v>
                </c:pt>
                <c:pt idx="7">
                  <c:v>0.60746658522682651</c:v>
                </c:pt>
                <c:pt idx="8">
                  <c:v>0.64524584965850484</c:v>
                </c:pt>
                <c:pt idx="9">
                  <c:v>0.6858912575110091</c:v>
                </c:pt>
                <c:pt idx="10">
                  <c:v>0.71146914542604167</c:v>
                </c:pt>
                <c:pt idx="11">
                  <c:v>0.75663076110249938</c:v>
                </c:pt>
                <c:pt idx="12">
                  <c:v>0.79846194770079482</c:v>
                </c:pt>
                <c:pt idx="13">
                  <c:v>0.80925197402107585</c:v>
                </c:pt>
                <c:pt idx="14">
                  <c:v>0.72613113172821342</c:v>
                </c:pt>
                <c:pt idx="15">
                  <c:v>0.74023076535400389</c:v>
                </c:pt>
                <c:pt idx="16">
                  <c:v>0.7423660464079096</c:v>
                </c:pt>
                <c:pt idx="17">
                  <c:v>0.73951900500270207</c:v>
                </c:pt>
                <c:pt idx="18">
                  <c:v>0.72531114707757816</c:v>
                </c:pt>
                <c:pt idx="19">
                  <c:v>0.70502761451706741</c:v>
                </c:pt>
                <c:pt idx="20">
                  <c:v>0.67428513132591605</c:v>
                </c:pt>
                <c:pt idx="21">
                  <c:v>0.65676280356287497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080-43EF-985D-29D1944C122F}"/>
            </c:ext>
          </c:extLst>
        </c:ser>
        <c:ser>
          <c:idx val="1"/>
          <c:order val="1"/>
          <c:spPr>
            <a:ln w="76200">
              <a:solidFill>
                <a:srgbClr val="92D050"/>
              </a:solidFill>
            </a:ln>
          </c:spPr>
          <c:marker>
            <c:symbol val="none"/>
          </c:marker>
          <c:xVal>
            <c:numRef>
              <c:f>ОТЧЁТ!$DZ$818:$DZ$843</c:f>
              <c:numCache>
                <c:formatCode>General</c:formatCode>
                <c:ptCount val="26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</c:numCache>
            </c:numRef>
          </c:xVal>
          <c:yVal>
            <c:numRef>
              <c:f>ОТЧЁТ!$EE$818:$EE$839</c:f>
              <c:numCache>
                <c:formatCode>0.00</c:formatCode>
                <c:ptCount val="22"/>
                <c:pt idx="0">
                  <c:v>0.52160205427817563</c:v>
                </c:pt>
                <c:pt idx="1">
                  <c:v>0.29062241009248663</c:v>
                </c:pt>
                <c:pt idx="2">
                  <c:v>0.32571446678195354</c:v>
                </c:pt>
                <c:pt idx="3">
                  <c:v>0.32380602123651481</c:v>
                </c:pt>
                <c:pt idx="4">
                  <c:v>0.58282697830129615</c:v>
                </c:pt>
                <c:pt idx="5">
                  <c:v>0.71874782409528171</c:v>
                </c:pt>
                <c:pt idx="6">
                  <c:v>0.78664351151509671</c:v>
                </c:pt>
                <c:pt idx="7">
                  <c:v>0.77662288076623953</c:v>
                </c:pt>
                <c:pt idx="8">
                  <c:v>0.76735180074581832</c:v>
                </c:pt>
                <c:pt idx="9">
                  <c:v>0.84563349773470209</c:v>
                </c:pt>
                <c:pt idx="10">
                  <c:v>0.892191690364872</c:v>
                </c:pt>
                <c:pt idx="11">
                  <c:v>0.97335944113373618</c:v>
                </c:pt>
                <c:pt idx="12">
                  <c:v>0.95630362967991922</c:v>
                </c:pt>
                <c:pt idx="13">
                  <c:v>0.96178030007925097</c:v>
                </c:pt>
                <c:pt idx="14">
                  <c:v>0.8276311392849024</c:v>
                </c:pt>
                <c:pt idx="15">
                  <c:v>0.88054643401369315</c:v>
                </c:pt>
                <c:pt idx="16">
                  <c:v>0.93480977676132637</c:v>
                </c:pt>
                <c:pt idx="17">
                  <c:v>0.93257281333234376</c:v>
                </c:pt>
                <c:pt idx="18">
                  <c:v>0.92243036470175876</c:v>
                </c:pt>
                <c:pt idx="19">
                  <c:v>0.90107101675371359</c:v>
                </c:pt>
                <c:pt idx="20">
                  <c:v>0.90811074817234405</c:v>
                </c:pt>
                <c:pt idx="21">
                  <c:v>0.8388939172537131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080-43EF-985D-29D1944C12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263488"/>
        <c:axId val="151269760"/>
      </c:scatterChart>
      <c:valAx>
        <c:axId val="151263488"/>
        <c:scaling>
          <c:orientation val="minMax"/>
          <c:max val="2020"/>
          <c:min val="1995"/>
        </c:scaling>
        <c:delete val="0"/>
        <c:axPos val="b"/>
        <c:title>
          <c:tx>
            <c:rich>
              <a:bodyPr/>
              <a:lstStyle/>
              <a:p>
                <a:pPr>
                  <a:defRPr sz="2000" b="0"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r>
                  <a:rPr lang="en-US" sz="1800" b="1">
                    <a:latin typeface="Arial" panose="020B0604020202020204" pitchFamily="34" charset="0"/>
                    <a:cs typeface="Arial" panose="020B0604020202020204" pitchFamily="34" charset="0"/>
                  </a:rPr>
                  <a:t>fOT</a:t>
                </a:r>
                <a:endParaRPr lang="ru-RU" sz="1800" b="1"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layout>
            <c:manualLayout>
              <c:xMode val="edge"/>
              <c:yMode val="edge"/>
              <c:x val="0.64845526209371596"/>
              <c:y val="0.3733238417355626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51269760"/>
        <c:crosses val="autoZero"/>
        <c:crossBetween val="midCat"/>
        <c:majorUnit val="5"/>
      </c:valAx>
      <c:valAx>
        <c:axId val="151269760"/>
        <c:scaling>
          <c:orientation val="minMax"/>
          <c:max val="1.25"/>
          <c:min val="0.25"/>
        </c:scaling>
        <c:delete val="0"/>
        <c:axPos val="l"/>
        <c:majorGridlines/>
        <c:numFmt formatCode="0.00" sourceLinked="0"/>
        <c:majorTickMark val="out"/>
        <c:minorTickMark val="none"/>
        <c:tickLblPos val="nextTo"/>
        <c:txPr>
          <a:bodyPr/>
          <a:lstStyle/>
          <a:p>
            <a:pPr>
              <a:defRPr sz="18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51263488"/>
        <c:crosses val="autoZero"/>
        <c:crossBetween val="midCat"/>
        <c:majorUnit val="0.25"/>
      </c:valAx>
      <c:spPr>
        <a:solidFill>
          <a:sysClr val="window" lastClr="FFFFFF"/>
        </a:solidFill>
      </c:spPr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landscape"/>
  </c:printSettings>
  <c:userShapes r:id="rId1"/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6747538294661341E-2"/>
          <c:y val="3.8287840759786411E-2"/>
          <c:w val="0.8954090951582887"/>
          <c:h val="0.90222121668189992"/>
        </c:manualLayout>
      </c:layout>
      <c:scatterChart>
        <c:scatterStyle val="smoothMarker"/>
        <c:varyColors val="0"/>
        <c:ser>
          <c:idx val="0"/>
          <c:order val="0"/>
          <c:spPr>
            <a:ln w="76200">
              <a:solidFill>
                <a:srgbClr val="00B0F0"/>
              </a:solidFill>
            </a:ln>
          </c:spPr>
          <c:marker>
            <c:symbol val="none"/>
          </c:marker>
          <c:trendline>
            <c:spPr>
              <a:ln w="25400">
                <a:prstDash val="lgDashDotDot"/>
              </a:ln>
            </c:spPr>
            <c:trendlineType val="linear"/>
            <c:dispRSqr val="1"/>
            <c:dispEq val="1"/>
            <c:trendlineLbl>
              <c:layout>
                <c:manualLayout>
                  <c:x val="-0.30249542837450982"/>
                  <c:y val="0.41667142365910581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sz="1600">
                      <a:latin typeface="Arial" panose="020B0604020202020204" pitchFamily="34" charset="0"/>
                      <a:cs typeface="Arial" panose="020B0604020202020204" pitchFamily="34" charset="0"/>
                    </a:defRPr>
                  </a:pPr>
                  <a:endParaRPr lang="ru-RU"/>
                </a:p>
              </c:txPr>
            </c:trendlineLbl>
          </c:trendline>
          <c:xVal>
            <c:numRef>
              <c:f>ОТЧЁТ!$DA$694:$DA$715</c:f>
              <c:numCache>
                <c:formatCode>0</c:formatCode>
                <c:ptCount val="22"/>
                <c:pt idx="0">
                  <c:v>2767.6205</c:v>
                </c:pt>
                <c:pt idx="1">
                  <c:v>2690.1271259999999</c:v>
                </c:pt>
                <c:pt idx="2">
                  <c:v>2727.788905764</c:v>
                </c:pt>
                <c:pt idx="3">
                  <c:v>2588.6716715700359</c:v>
                </c:pt>
                <c:pt idx="4">
                  <c:v>2738.8146285210983</c:v>
                </c:pt>
                <c:pt idx="5">
                  <c:v>2996.2632036020818</c:v>
                </c:pt>
                <c:pt idx="6">
                  <c:v>3143.0801005785834</c:v>
                </c:pt>
                <c:pt idx="7">
                  <c:v>3281.3756250040415</c:v>
                </c:pt>
                <c:pt idx="8">
                  <c:v>3530.7601725043487</c:v>
                </c:pt>
                <c:pt idx="9">
                  <c:v>3813.2209863046965</c:v>
                </c:pt>
                <c:pt idx="10">
                  <c:v>4030.5745825240638</c:v>
                </c:pt>
                <c:pt idx="11">
                  <c:v>4389.2957203687056</c:v>
                </c:pt>
                <c:pt idx="12">
                  <c:v>4775.553743761152</c:v>
                </c:pt>
                <c:pt idx="13">
                  <c:v>5014.3314309492098</c:v>
                </c:pt>
                <c:pt idx="14">
                  <c:v>4643.2709050589683</c:v>
                </c:pt>
                <c:pt idx="15">
                  <c:v>4875.4344503119164</c:v>
                </c:pt>
                <c:pt idx="16">
                  <c:v>5085.0781316753291</c:v>
                </c:pt>
                <c:pt idx="17">
                  <c:v>5283.3961788106672</c:v>
                </c:pt>
                <c:pt idx="18">
                  <c:v>5394.3474985656912</c:v>
                </c:pt>
                <c:pt idx="19">
                  <c:v>5437.5022785542169</c:v>
                </c:pt>
                <c:pt idx="20">
                  <c:v>5366.8147489330113</c:v>
                </c:pt>
                <c:pt idx="21">
                  <c:v>5431.2165259202075</c:v>
                </c:pt>
              </c:numCache>
            </c:numRef>
          </c:xVal>
          <c:yVal>
            <c:numRef>
              <c:f>ОТЧЁТ!$CZ$694:$CZ$715</c:f>
              <c:numCache>
                <c:formatCode>0.0</c:formatCode>
                <c:ptCount val="22"/>
                <c:pt idx="0">
                  <c:v>64.055000000000007</c:v>
                </c:pt>
                <c:pt idx="1">
                  <c:v>62.927999999999997</c:v>
                </c:pt>
                <c:pt idx="2">
                  <c:v>60.021000000000001</c:v>
                </c:pt>
                <c:pt idx="3">
                  <c:v>58.436999999999998</c:v>
                </c:pt>
                <c:pt idx="4">
                  <c:v>63.082000000000001</c:v>
                </c:pt>
                <c:pt idx="5">
                  <c:v>65.069999999999993</c:v>
                </c:pt>
                <c:pt idx="6">
                  <c:v>65.123000000000005</c:v>
                </c:pt>
                <c:pt idx="7">
                  <c:v>66.659000000000006</c:v>
                </c:pt>
                <c:pt idx="8">
                  <c:v>66.338999999999999</c:v>
                </c:pt>
                <c:pt idx="9">
                  <c:v>67.319000000000003</c:v>
                </c:pt>
                <c:pt idx="10">
                  <c:v>68.338999999999999</c:v>
                </c:pt>
                <c:pt idx="11">
                  <c:v>69.168999999999997</c:v>
                </c:pt>
                <c:pt idx="12">
                  <c:v>70.77</c:v>
                </c:pt>
                <c:pt idx="13">
                  <c:v>71.003</c:v>
                </c:pt>
                <c:pt idx="14">
                  <c:v>69.41</c:v>
                </c:pt>
                <c:pt idx="15">
                  <c:v>69.933708461473046</c:v>
                </c:pt>
                <c:pt idx="16">
                  <c:v>70.85661311334043</c:v>
                </c:pt>
                <c:pt idx="17">
                  <c:v>71.545415863579535</c:v>
                </c:pt>
                <c:pt idx="18">
                  <c:v>71.391459581339006</c:v>
                </c:pt>
                <c:pt idx="19">
                  <c:v>71.539043569577998</c:v>
                </c:pt>
                <c:pt idx="20">
                  <c:v>72.323622532452006</c:v>
                </c:pt>
                <c:pt idx="21">
                  <c:v>72.393000000000001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350-428B-8033-E499553B0A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318528"/>
        <c:axId val="151320064"/>
      </c:scatterChart>
      <c:valAx>
        <c:axId val="151318528"/>
        <c:scaling>
          <c:orientation val="minMax"/>
          <c:max val="6000"/>
          <c:min val="2000"/>
        </c:scaling>
        <c:delete val="0"/>
        <c:axPos val="b"/>
        <c:numFmt formatCode="#,##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51320064"/>
        <c:crosses val="autoZero"/>
        <c:crossBetween val="midCat"/>
        <c:majorUnit val="2000"/>
      </c:valAx>
      <c:valAx>
        <c:axId val="151320064"/>
        <c:scaling>
          <c:orientation val="minMax"/>
          <c:max val="75"/>
          <c:min val="55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txPr>
          <a:bodyPr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51318528"/>
        <c:crosses val="autoZero"/>
        <c:crossBetween val="midCat"/>
        <c:majorUnit val="5"/>
      </c:valAx>
      <c:spPr>
        <a:solidFill>
          <a:sysClr val="window" lastClr="FFFFFF"/>
        </a:solidFill>
      </c:spPr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landscape"/>
  </c:printSettings>
  <c:userShapes r:id="rId1"/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9203740157480412E-2"/>
          <c:y val="3.8287840759786411E-2"/>
          <c:w val="0.89392125984251969"/>
          <c:h val="0.90222121668189992"/>
        </c:manualLayout>
      </c:layout>
      <c:scatterChart>
        <c:scatterStyle val="smoothMarker"/>
        <c:varyColors val="0"/>
        <c:ser>
          <c:idx val="0"/>
          <c:order val="0"/>
          <c:spPr>
            <a:ln w="161925">
              <a:solidFill>
                <a:srgbClr val="FFC000"/>
              </a:solidFill>
            </a:ln>
          </c:spPr>
          <c:marker>
            <c:symbol val="none"/>
          </c:marker>
          <c:trendline>
            <c:spPr>
              <a:ln w="31750">
                <a:prstDash val="lgDashDotDot"/>
              </a:ln>
            </c:spPr>
            <c:trendlineType val="linear"/>
            <c:forward val="150"/>
            <c:dispRSqr val="1"/>
            <c:dispEq val="1"/>
            <c:trendlineLbl>
              <c:layout>
                <c:manualLayout>
                  <c:x val="-0.28005308449369526"/>
                  <c:y val="0.44566185900300775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sz="1600">
                      <a:latin typeface="Arial" panose="020B0604020202020204" pitchFamily="34" charset="0"/>
                      <a:cs typeface="Arial" panose="020B0604020202020204" pitchFamily="34" charset="0"/>
                    </a:defRPr>
                  </a:pPr>
                  <a:endParaRPr lang="ru-RU"/>
                </a:p>
              </c:txPr>
            </c:trendlineLbl>
          </c:trendline>
          <c:xVal>
            <c:numRef>
              <c:f>ОТЧЁТ!$DW$694:$DW$715</c:f>
              <c:numCache>
                <c:formatCode>0.0</c:formatCode>
                <c:ptCount val="22"/>
                <c:pt idx="0">
                  <c:v>2.7676205</c:v>
                </c:pt>
                <c:pt idx="1">
                  <c:v>3.7991260000000002</c:v>
                </c:pt>
                <c:pt idx="2">
                  <c:v>4.3275309999999996</c:v>
                </c:pt>
                <c:pt idx="3">
                  <c:v>4.5739770000000002</c:v>
                </c:pt>
                <c:pt idx="4">
                  <c:v>8.3032019999999989</c:v>
                </c:pt>
                <c:pt idx="5">
                  <c:v>12.552211999999999</c:v>
                </c:pt>
                <c:pt idx="6">
                  <c:v>15.922788000000001</c:v>
                </c:pt>
                <c:pt idx="7">
                  <c:v>18.973673599999998</c:v>
                </c:pt>
                <c:pt idx="8">
                  <c:v>23.273089499999998</c:v>
                </c:pt>
                <c:pt idx="9">
                  <c:v>29.490622599999998</c:v>
                </c:pt>
                <c:pt idx="10">
                  <c:v>37.020601999999997</c:v>
                </c:pt>
                <c:pt idx="11">
                  <c:v>46.2238665</c:v>
                </c:pt>
                <c:pt idx="12">
                  <c:v>57.752132500000002</c:v>
                </c:pt>
                <c:pt idx="13">
                  <c:v>71.601658</c:v>
                </c:pt>
                <c:pt idx="14">
                  <c:v>68.116500000000002</c:v>
                </c:pt>
                <c:pt idx="15">
                  <c:v>82.054600000000008</c:v>
                </c:pt>
                <c:pt idx="16">
                  <c:v>100.9603907</c:v>
                </c:pt>
                <c:pt idx="17">
                  <c:v>113.0921725</c:v>
                </c:pt>
                <c:pt idx="18">
                  <c:v>123.16548509999998</c:v>
                </c:pt>
                <c:pt idx="19">
                  <c:v>132.8449</c:v>
                </c:pt>
                <c:pt idx="20">
                  <c:v>145.95609999999999</c:v>
                </c:pt>
                <c:pt idx="21">
                  <c:v>153.85650000000001</c:v>
                </c:pt>
              </c:numCache>
            </c:numRef>
          </c:xVal>
          <c:yVal>
            <c:numRef>
              <c:f>ОТЧЁТ!$DV$694:$DV$715</c:f>
              <c:numCache>
                <c:formatCode>0.0</c:formatCode>
                <c:ptCount val="22"/>
                <c:pt idx="0">
                  <c:v>0.64787000000000006</c:v>
                </c:pt>
                <c:pt idx="1">
                  <c:v>1.02264</c:v>
                </c:pt>
                <c:pt idx="2">
                  <c:v>1.2029000000000001</c:v>
                </c:pt>
                <c:pt idx="3">
                  <c:v>1.263047</c:v>
                </c:pt>
                <c:pt idx="4">
                  <c:v>1.9336059999999999</c:v>
                </c:pt>
                <c:pt idx="5">
                  <c:v>2.93723</c:v>
                </c:pt>
                <c:pt idx="6">
                  <c:v>3.8484000000000003</c:v>
                </c:pt>
                <c:pt idx="7">
                  <c:v>5.0651000000000002</c:v>
                </c:pt>
                <c:pt idx="8">
                  <c:v>6.2313869999999998</c:v>
                </c:pt>
                <c:pt idx="9">
                  <c:v>7.8450370000000005</c:v>
                </c:pt>
                <c:pt idx="10">
                  <c:v>9.4398269999999993</c:v>
                </c:pt>
                <c:pt idx="11">
                  <c:v>11.985905000000001</c:v>
                </c:pt>
                <c:pt idx="12">
                  <c:v>15.526110000000001</c:v>
                </c:pt>
                <c:pt idx="13">
                  <c:v>19.559759999999997</c:v>
                </c:pt>
                <c:pt idx="14">
                  <c:v>20.41161</c:v>
                </c:pt>
                <c:pt idx="15">
                  <c:v>22.995630000000002</c:v>
                </c:pt>
                <c:pt idx="16">
                  <c:v>26.386675400000001</c:v>
                </c:pt>
                <c:pt idx="17">
                  <c:v>30.201161499999998</c:v>
                </c:pt>
                <c:pt idx="18">
                  <c:v>33.792282200000002</c:v>
                </c:pt>
                <c:pt idx="19">
                  <c:v>37.430459999999997</c:v>
                </c:pt>
                <c:pt idx="20">
                  <c:v>37.745489999999997</c:v>
                </c:pt>
                <c:pt idx="21">
                  <c:v>41.245359999999998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7D1-4C71-8041-306BFDF687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245952"/>
        <c:axId val="151247488"/>
      </c:scatterChart>
      <c:valAx>
        <c:axId val="151245952"/>
        <c:scaling>
          <c:orientation val="minMax"/>
          <c:max val="200"/>
          <c:min val="0"/>
        </c:scaling>
        <c:delete val="0"/>
        <c:axPos val="b"/>
        <c:numFmt formatCode="#,##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51247488"/>
        <c:crosses val="autoZero"/>
        <c:crossBetween val="midCat"/>
        <c:majorUnit val="50"/>
      </c:valAx>
      <c:valAx>
        <c:axId val="151247488"/>
        <c:scaling>
          <c:orientation val="minMax"/>
          <c:max val="50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txPr>
          <a:bodyPr/>
          <a:lstStyle/>
          <a:p>
            <a:pPr>
              <a:defRPr sz="18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51245952"/>
        <c:crosses val="autoZero"/>
        <c:crossBetween val="midCat"/>
        <c:majorUnit val="25"/>
      </c:valAx>
      <c:spPr>
        <a:solidFill>
          <a:sysClr val="window" lastClr="FFFFFF"/>
        </a:solidFill>
      </c:spPr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landscape"/>
  </c:printSettings>
  <c:userShapes r:id="rId1"/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9203740157480412E-2"/>
          <c:y val="3.8287840759786411E-2"/>
          <c:w val="0.88266430423390818"/>
          <c:h val="0.90222121668189992"/>
        </c:manualLayout>
      </c:layout>
      <c:scatterChart>
        <c:scatterStyle val="smoothMarker"/>
        <c:varyColors val="0"/>
        <c:ser>
          <c:idx val="0"/>
          <c:order val="0"/>
          <c:spPr>
            <a:ln w="114300">
              <a:solidFill>
                <a:srgbClr val="00B0F0"/>
              </a:solidFill>
            </a:ln>
          </c:spPr>
          <c:marker>
            <c:symbol val="none"/>
          </c:marker>
          <c:xVal>
            <c:numRef>
              <c:f>ОТЧЁТ!$EJ$694:$EJ$719</c:f>
              <c:numCache>
                <c:formatCode>General</c:formatCode>
                <c:ptCount val="26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</c:numCache>
            </c:numRef>
          </c:xVal>
          <c:yVal>
            <c:numRef>
              <c:f>ОТЧЁТ!$EM$694:$EM$715</c:f>
              <c:numCache>
                <c:formatCode>0.00</c:formatCode>
                <c:ptCount val="22"/>
                <c:pt idx="0">
                  <c:v>10.114276793380688</c:v>
                </c:pt>
                <c:pt idx="1">
                  <c:v>13.342326330569053</c:v>
                </c:pt>
                <c:pt idx="2">
                  <c:v>14.823679989147935</c:v>
                </c:pt>
                <c:pt idx="3">
                  <c:v>8.6696270527270158</c:v>
                </c:pt>
                <c:pt idx="4">
                  <c:v>9.0073843716328916</c:v>
                </c:pt>
                <c:pt idx="5">
                  <c:v>11.035419466226347</c:v>
                </c:pt>
                <c:pt idx="6">
                  <c:v>12.181276892725549</c:v>
                </c:pt>
                <c:pt idx="7">
                  <c:v>13.608207233080632</c:v>
                </c:pt>
                <c:pt idx="8">
                  <c:v>15.019983829903314</c:v>
                </c:pt>
                <c:pt idx="9">
                  <c:v>16.682373059152365</c:v>
                </c:pt>
                <c:pt idx="10">
                  <c:v>17.830534344403766</c:v>
                </c:pt>
                <c:pt idx="11">
                  <c:v>20.521153966074401</c:v>
                </c:pt>
                <c:pt idx="12">
                  <c:v>23.22428057861201</c:v>
                </c:pt>
                <c:pt idx="13">
                  <c:v>25.743191599915818</c:v>
                </c:pt>
                <c:pt idx="14">
                  <c:v>25.258170364297655</c:v>
                </c:pt>
                <c:pt idx="15">
                  <c:v>25.963089464783661</c:v>
                </c:pt>
                <c:pt idx="16">
                  <c:v>27.713189882098536</c:v>
                </c:pt>
                <c:pt idx="17">
                  <c:v>29.474629174753449</c:v>
                </c:pt>
                <c:pt idx="18">
                  <c:v>31.047891568828341</c:v>
                </c:pt>
                <c:pt idx="19">
                  <c:v>30.210961968598586</c:v>
                </c:pt>
                <c:pt idx="20">
                  <c:v>26.691530324487637</c:v>
                </c:pt>
                <c:pt idx="21">
                  <c:v>27.645629971213395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58E-4B20-AD84-1AE0C9518A3F}"/>
            </c:ext>
          </c:extLst>
        </c:ser>
        <c:ser>
          <c:idx val="1"/>
          <c:order val="1"/>
          <c:spPr>
            <a:ln w="25400">
              <a:solidFill>
                <a:schemeClr val="tx1"/>
              </a:solidFill>
              <a:prstDash val="lgDash"/>
            </a:ln>
          </c:spPr>
          <c:marker>
            <c:symbol val="none"/>
          </c:marker>
          <c:xVal>
            <c:numRef>
              <c:f>ОТЧЁТ!$EJ$716:$EJ$729</c:f>
              <c:numCache>
                <c:formatCode>General</c:formatCode>
                <c:ptCount val="14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  <c:pt idx="4">
                  <c:v>2021</c:v>
                </c:pt>
                <c:pt idx="5">
                  <c:v>2022</c:v>
                </c:pt>
                <c:pt idx="6">
                  <c:v>2023</c:v>
                </c:pt>
                <c:pt idx="7">
                  <c:v>2024</c:v>
                </c:pt>
                <c:pt idx="8">
                  <c:v>2025</c:v>
                </c:pt>
                <c:pt idx="9">
                  <c:v>2026</c:v>
                </c:pt>
                <c:pt idx="10">
                  <c:v>2027</c:v>
                </c:pt>
                <c:pt idx="11">
                  <c:v>2028</c:v>
                </c:pt>
                <c:pt idx="12">
                  <c:v>2029</c:v>
                </c:pt>
                <c:pt idx="13">
                  <c:v>2030</c:v>
                </c:pt>
              </c:numCache>
            </c:numRef>
          </c:xVal>
          <c:yVal>
            <c:numRef>
              <c:f>ОТЧЁТ!$EM$716:$EM$729</c:f>
              <c:numCache>
                <c:formatCode>0.00</c:formatCode>
                <c:ptCount val="14"/>
                <c:pt idx="0">
                  <c:v>28.408909688594001</c:v>
                </c:pt>
                <c:pt idx="1">
                  <c:v>29.019533462498487</c:v>
                </c:pt>
                <c:pt idx="2">
                  <c:v>29.508032481622074</c:v>
                </c:pt>
                <c:pt idx="3">
                  <c:v>29.898831696920944</c:v>
                </c:pt>
                <c:pt idx="4">
                  <c:v>30.211471069160041</c:v>
                </c:pt>
                <c:pt idx="5">
                  <c:v>30.461582566951318</c:v>
                </c:pt>
                <c:pt idx="6">
                  <c:v>30.661671765184341</c:v>
                </c:pt>
                <c:pt idx="7">
                  <c:v>30.821743123770759</c:v>
                </c:pt>
                <c:pt idx="8">
                  <c:v>30.949800210639893</c:v>
                </c:pt>
                <c:pt idx="9">
                  <c:v>31.052245880135199</c:v>
                </c:pt>
                <c:pt idx="10">
                  <c:v>31.134202415731444</c:v>
                </c:pt>
                <c:pt idx="11">
                  <c:v>31.199767644208439</c:v>
                </c:pt>
                <c:pt idx="12">
                  <c:v>31.252219826990036</c:v>
                </c:pt>
                <c:pt idx="13">
                  <c:v>31.294181573215312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2D3-4FFA-8F9E-1C31891918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324544"/>
        <c:axId val="151326080"/>
      </c:scatterChart>
      <c:valAx>
        <c:axId val="151324544"/>
        <c:scaling>
          <c:orientation val="minMax"/>
          <c:max val="2030"/>
          <c:min val="1995"/>
        </c:scaling>
        <c:delete val="0"/>
        <c:axPos val="b"/>
        <c:numFmt formatCode="#,##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51326080"/>
        <c:crosses val="autoZero"/>
        <c:crossBetween val="midCat"/>
        <c:majorUnit val="5"/>
      </c:valAx>
      <c:valAx>
        <c:axId val="151326080"/>
        <c:scaling>
          <c:orientation val="minMax"/>
          <c:max val="45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txPr>
          <a:bodyPr/>
          <a:lstStyle/>
          <a:p>
            <a:pPr>
              <a:defRPr sz="18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51324544"/>
        <c:crosses val="autoZero"/>
        <c:crossBetween val="midCat"/>
        <c:majorUnit val="10"/>
      </c:valAx>
      <c:spPr>
        <a:solidFill>
          <a:sysClr val="window" lastClr="FFFFFF"/>
        </a:solidFill>
      </c:spPr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landscape"/>
  </c:printSettings>
  <c:userShapes r:id="rId1"/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3603706352401562E-2"/>
          <c:y val="2.0801327694030546E-2"/>
          <c:w val="0.90855288297725545"/>
          <c:h val="0.93282266589605956"/>
        </c:manualLayout>
      </c:layout>
      <c:scatterChart>
        <c:scatterStyle val="smoothMarker"/>
        <c:varyColors val="0"/>
        <c:ser>
          <c:idx val="0"/>
          <c:order val="0"/>
          <c:spPr>
            <a:ln w="85725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ОТЧЁТ!$GD$319:$GD$354</c:f>
              <c:numCache>
                <c:formatCode>General</c:formatCode>
                <c:ptCount val="36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</c:numCache>
            </c:numRef>
          </c:xVal>
          <c:yVal>
            <c:numRef>
              <c:f>ОТЧЁТ!$GE$319:$GE$343</c:f>
              <c:numCache>
                <c:formatCode>0.0</c:formatCode>
                <c:ptCount val="25"/>
                <c:pt idx="0">
                  <c:v>17.100000000000001</c:v>
                </c:pt>
                <c:pt idx="1">
                  <c:v>20.5</c:v>
                </c:pt>
                <c:pt idx="2">
                  <c:v>19.100000000000001</c:v>
                </c:pt>
                <c:pt idx="3">
                  <c:v>12.7</c:v>
                </c:pt>
                <c:pt idx="4">
                  <c:v>17.7</c:v>
                </c:pt>
                <c:pt idx="5">
                  <c:v>28.3</c:v>
                </c:pt>
                <c:pt idx="6">
                  <c:v>24.4</c:v>
                </c:pt>
                <c:pt idx="7">
                  <c:v>25</c:v>
                </c:pt>
                <c:pt idx="8">
                  <c:v>28.9</c:v>
                </c:pt>
                <c:pt idx="9">
                  <c:v>38.299999999999997</c:v>
                </c:pt>
                <c:pt idx="10">
                  <c:v>54.4</c:v>
                </c:pt>
                <c:pt idx="11">
                  <c:v>65.400000000000006</c:v>
                </c:pt>
                <c:pt idx="12">
                  <c:v>72.7</c:v>
                </c:pt>
                <c:pt idx="13">
                  <c:v>97.7</c:v>
                </c:pt>
                <c:pt idx="14">
                  <c:v>61.9</c:v>
                </c:pt>
                <c:pt idx="15">
                  <c:v>79.599999999999994</c:v>
                </c:pt>
                <c:pt idx="16">
                  <c:v>111</c:v>
                </c:pt>
                <c:pt idx="17">
                  <c:v>111.4</c:v>
                </c:pt>
                <c:pt idx="18">
                  <c:v>108.8</c:v>
                </c:pt>
                <c:pt idx="19">
                  <c:v>98.9</c:v>
                </c:pt>
                <c:pt idx="20">
                  <c:v>52.4</c:v>
                </c:pt>
                <c:pt idx="21">
                  <c:v>44</c:v>
                </c:pt>
                <c:pt idx="22">
                  <c:v>55</c:v>
                </c:pt>
                <c:pt idx="23">
                  <c:v>70</c:v>
                </c:pt>
                <c:pt idx="24">
                  <c:v>72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D78C-4B5F-96EE-082C5A3EC413}"/>
            </c:ext>
          </c:extLst>
        </c:ser>
        <c:ser>
          <c:idx val="1"/>
          <c:order val="1"/>
          <c:spPr>
            <a:ln w="53975">
              <a:solidFill>
                <a:srgbClr val="00B0F0"/>
              </a:solidFill>
              <a:prstDash val="lgDash"/>
            </a:ln>
          </c:spPr>
          <c:marker>
            <c:symbol val="none"/>
          </c:marker>
          <c:xVal>
            <c:numRef>
              <c:f>ОТЧЁТ!$GD$343:$GD$359</c:f>
              <c:numCache>
                <c:formatCode>General</c:formatCode>
                <c:ptCount val="17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</c:numCache>
            </c:numRef>
          </c:xVal>
          <c:yVal>
            <c:numRef>
              <c:f>ОТЧЁТ!$GG$343:$GG$359</c:f>
              <c:numCache>
                <c:formatCode>0.0</c:formatCode>
                <c:ptCount val="17"/>
                <c:pt idx="0">
                  <c:v>72</c:v>
                </c:pt>
                <c:pt idx="1">
                  <c:v>40</c:v>
                </c:pt>
                <c:pt idx="2">
                  <c:v>50</c:v>
                </c:pt>
                <c:pt idx="3">
                  <c:v>58</c:v>
                </c:pt>
                <c:pt idx="4">
                  <c:v>64.400000000000006</c:v>
                </c:pt>
                <c:pt idx="5">
                  <c:v>69.52000000000001</c:v>
                </c:pt>
                <c:pt idx="6">
                  <c:v>73.616000000000014</c:v>
                </c:pt>
                <c:pt idx="7">
                  <c:v>76.892800000000022</c:v>
                </c:pt>
                <c:pt idx="8">
                  <c:v>79.514240000000029</c:v>
                </c:pt>
                <c:pt idx="9">
                  <c:v>81.611392000000038</c:v>
                </c:pt>
                <c:pt idx="10">
                  <c:v>83.28911360000005</c:v>
                </c:pt>
                <c:pt idx="11">
                  <c:v>84.631290880000066</c:v>
                </c:pt>
                <c:pt idx="12">
                  <c:v>85.705032704000075</c:v>
                </c:pt>
                <c:pt idx="13">
                  <c:v>86.564026163200083</c:v>
                </c:pt>
                <c:pt idx="14">
                  <c:v>87.251220930560095</c:v>
                </c:pt>
                <c:pt idx="15">
                  <c:v>87.800976744448107</c:v>
                </c:pt>
                <c:pt idx="16">
                  <c:v>88.240781395558514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B1E-47D6-B9EA-571C46075E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378560"/>
        <c:axId val="151384448"/>
      </c:scatterChart>
      <c:valAx>
        <c:axId val="151378560"/>
        <c:scaling>
          <c:orientation val="minMax"/>
          <c:max val="2035"/>
          <c:min val="1995"/>
        </c:scaling>
        <c:delete val="0"/>
        <c:axPos val="b"/>
        <c:numFmt formatCode="#,##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4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51384448"/>
        <c:crosses val="autoZero"/>
        <c:crossBetween val="midCat"/>
        <c:majorUnit val="5"/>
      </c:valAx>
      <c:valAx>
        <c:axId val="151384448"/>
        <c:scaling>
          <c:orientation val="minMax"/>
          <c:max val="150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txPr>
          <a:bodyPr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51378560"/>
        <c:crosses val="autoZero"/>
        <c:crossBetween val="midCat"/>
        <c:majorUnit val="50"/>
        <c:minorUnit val="50"/>
      </c:valAx>
      <c:spPr>
        <a:solidFill>
          <a:sysClr val="window" lastClr="FFFFFF"/>
        </a:solidFill>
      </c:spPr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landscape"/>
  </c:printSettings>
  <c:userShapes r:id="rId1"/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>
                <a:latin typeface="Arial" panose="020B0604020202020204" pitchFamily="34" charset="0"/>
                <a:cs typeface="Arial" panose="020B0604020202020204" pitchFamily="34" charset="0"/>
              </a:defRPr>
            </a:pPr>
            <a:r>
              <a:rPr lang="ru-RU" sz="1800" b="0">
                <a:latin typeface="Arial" panose="020B0604020202020204" pitchFamily="34" charset="0"/>
                <a:cs typeface="Arial" panose="020B0604020202020204" pitchFamily="34" charset="0"/>
              </a:rPr>
              <a:t>Тренд 2</a:t>
            </a:r>
          </a:p>
        </c:rich>
      </c:tx>
      <c:layout>
        <c:manualLayout>
          <c:xMode val="edge"/>
          <c:yMode val="edge"/>
          <c:x val="0.74666823989659803"/>
          <c:y val="0.43651207969083528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7.6747538294661341E-2"/>
          <c:y val="3.8287840759786411E-2"/>
          <c:w val="0.8954090951582887"/>
          <c:h val="0.90222121668189992"/>
        </c:manualLayout>
      </c:layout>
      <c:scatterChart>
        <c:scatterStyle val="smoothMarker"/>
        <c:varyColors val="0"/>
        <c:ser>
          <c:idx val="0"/>
          <c:order val="0"/>
          <c:spPr>
            <a:ln w="184150">
              <a:solidFill>
                <a:schemeClr val="accent2">
                  <a:lumMod val="60000"/>
                  <a:lumOff val="40000"/>
                </a:schemeClr>
              </a:solidFill>
            </a:ln>
          </c:spPr>
          <c:marker>
            <c:symbol val="circle"/>
            <c:size val="25"/>
            <c:spPr>
              <a:noFill/>
            </c:spPr>
          </c:marker>
          <c:xVal>
            <c:numRef>
              <c:f>ОТЧЁТ!$DE$818:$DE$841</c:f>
              <c:numCache>
                <c:formatCode>0.00</c:formatCode>
                <c:ptCount val="24"/>
                <c:pt idx="0">
                  <c:v>1</c:v>
                </c:pt>
                <c:pt idx="1">
                  <c:v>1.4580159268698065</c:v>
                </c:pt>
                <c:pt idx="2">
                  <c:v>1.6775696170093488</c:v>
                </c:pt>
                <c:pt idx="3">
                  <c:v>1.988574685283935</c:v>
                </c:pt>
                <c:pt idx="4">
                  <c:v>3.4280333525379536</c:v>
                </c:pt>
                <c:pt idx="5">
                  <c:v>4.7203345530217629</c:v>
                </c:pt>
                <c:pt idx="6">
                  <c:v>5.4982302967459225</c:v>
                </c:pt>
                <c:pt idx="7">
                  <c:v>6.3527639368723143</c:v>
                </c:pt>
                <c:pt idx="8">
                  <c:v>7.2278693035761279</c:v>
                </c:pt>
                <c:pt idx="9">
                  <c:v>8.6918577637946601</c:v>
                </c:pt>
                <c:pt idx="10">
                  <c:v>10.367609893058376</c:v>
                </c:pt>
                <c:pt idx="11">
                  <c:v>11.93524305499237</c:v>
                </c:pt>
                <c:pt idx="12">
                  <c:v>13.58722463070583</c:v>
                </c:pt>
                <c:pt idx="13">
                  <c:v>16.034757164997917</c:v>
                </c:pt>
                <c:pt idx="14">
                  <c:v>16.36851650284715</c:v>
                </c:pt>
                <c:pt idx="15">
                  <c:v>18.691361299299281</c:v>
                </c:pt>
                <c:pt idx="16">
                  <c:v>23.328518818067689</c:v>
                </c:pt>
                <c:pt idx="17">
                  <c:v>25.448132013167307</c:v>
                </c:pt>
                <c:pt idx="18">
                  <c:v>26.824707619879</c:v>
                </c:pt>
                <c:pt idx="19">
                  <c:v>28.784997864196892</c:v>
                </c:pt>
                <c:pt idx="20">
                  <c:v>30.966739453891172</c:v>
                </c:pt>
                <c:pt idx="21">
                  <c:v>31.95906212797086</c:v>
                </c:pt>
                <c:pt idx="22">
                  <c:v>33.681817557170291</c:v>
                </c:pt>
                <c:pt idx="23">
                  <c:v>37.133916580663836</c:v>
                </c:pt>
              </c:numCache>
            </c:numRef>
          </c:xVal>
          <c:yVal>
            <c:numRef>
              <c:f>ОТЧЁТ!$DD$818:$DD$841</c:f>
              <c:numCache>
                <c:formatCode>0.00</c:formatCode>
                <c:ptCount val="24"/>
                <c:pt idx="0">
                  <c:v>1</c:v>
                </c:pt>
                <c:pt idx="1">
                  <c:v>1.3890656660960248</c:v>
                </c:pt>
                <c:pt idx="2">
                  <c:v>1.5288420201321875</c:v>
                </c:pt>
                <c:pt idx="3">
                  <c:v>1.6012135978440234</c:v>
                </c:pt>
                <c:pt idx="4">
                  <c:v>2.7614512511832352</c:v>
                </c:pt>
                <c:pt idx="5">
                  <c:v>3.8813756116757316</c:v>
                </c:pt>
                <c:pt idx="6">
                  <c:v>4.9244555432757879</c:v>
                </c:pt>
                <c:pt idx="7">
                  <c:v>5.5076003782834864</c:v>
                </c:pt>
                <c:pt idx="8">
                  <c:v>6.3255097831872691</c:v>
                </c:pt>
                <c:pt idx="9">
                  <c:v>7.3003121869901326</c:v>
                </c:pt>
                <c:pt idx="10">
                  <c:v>8.7907908216125801</c:v>
                </c:pt>
                <c:pt idx="11">
                  <c:v>10.077706332186347</c:v>
                </c:pt>
                <c:pt idx="12">
                  <c:v>11.630372067549995</c:v>
                </c:pt>
                <c:pt idx="13">
                  <c:v>13.808577618030881</c:v>
                </c:pt>
                <c:pt idx="14">
                  <c:v>13.964756035279709</c:v>
                </c:pt>
                <c:pt idx="15">
                  <c:v>16.223531809175668</c:v>
                </c:pt>
                <c:pt idx="16">
                  <c:v>18.09503717757504</c:v>
                </c:pt>
                <c:pt idx="17">
                  <c:v>19.232494464635629</c:v>
                </c:pt>
                <c:pt idx="18">
                  <c:v>20.587243519803909</c:v>
                </c:pt>
                <c:pt idx="19">
                  <c:v>22.05840052773225</c:v>
                </c:pt>
                <c:pt idx="20">
                  <c:v>24.641576618684894</c:v>
                </c:pt>
                <c:pt idx="21">
                  <c:v>25.860963953898047</c:v>
                </c:pt>
                <c:pt idx="22">
                  <c:v>27.255812823973141</c:v>
                </c:pt>
                <c:pt idx="23">
                  <c:v>29.595988664938762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9EC-4A29-B1F7-484E82729B00}"/>
            </c:ext>
          </c:extLst>
        </c:ser>
        <c:ser>
          <c:idx val="1"/>
          <c:order val="1"/>
          <c:trendline>
            <c:spPr>
              <a:ln w="31750">
                <a:prstDash val="lgDash"/>
              </a:ln>
            </c:spPr>
            <c:trendlineType val="linear"/>
            <c:forward val="20"/>
            <c:dispRSqr val="1"/>
            <c:dispEq val="1"/>
            <c:trendlineLbl>
              <c:layout>
                <c:manualLayout>
                  <c:x val="-0.3565591364016561"/>
                  <c:y val="0.33400965135264676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sz="1800">
                      <a:latin typeface="Arial" panose="020B0604020202020204" pitchFamily="34" charset="0"/>
                      <a:cs typeface="Arial" panose="020B0604020202020204" pitchFamily="34" charset="0"/>
                    </a:defRPr>
                  </a:pPr>
                  <a:endParaRPr lang="ru-RU"/>
                </a:p>
              </c:txPr>
            </c:trendlineLbl>
          </c:trendline>
          <c:xVal>
            <c:numRef>
              <c:f>ОТЧЁТ!$DE$818:$DE$833</c:f>
              <c:numCache>
                <c:formatCode>0.00</c:formatCode>
                <c:ptCount val="16"/>
                <c:pt idx="0">
                  <c:v>1</c:v>
                </c:pt>
                <c:pt idx="1">
                  <c:v>1.4580159268698065</c:v>
                </c:pt>
                <c:pt idx="2">
                  <c:v>1.6775696170093488</c:v>
                </c:pt>
                <c:pt idx="3">
                  <c:v>1.988574685283935</c:v>
                </c:pt>
                <c:pt idx="4">
                  <c:v>3.4280333525379536</c:v>
                </c:pt>
                <c:pt idx="5">
                  <c:v>4.7203345530217629</c:v>
                </c:pt>
                <c:pt idx="6">
                  <c:v>5.4982302967459225</c:v>
                </c:pt>
                <c:pt idx="7">
                  <c:v>6.3527639368723143</c:v>
                </c:pt>
                <c:pt idx="8">
                  <c:v>7.2278693035761279</c:v>
                </c:pt>
                <c:pt idx="9">
                  <c:v>8.6918577637946601</c:v>
                </c:pt>
                <c:pt idx="10">
                  <c:v>10.367609893058376</c:v>
                </c:pt>
                <c:pt idx="11">
                  <c:v>11.93524305499237</c:v>
                </c:pt>
                <c:pt idx="12">
                  <c:v>13.58722463070583</c:v>
                </c:pt>
                <c:pt idx="13">
                  <c:v>16.034757164997917</c:v>
                </c:pt>
                <c:pt idx="14">
                  <c:v>16.36851650284715</c:v>
                </c:pt>
                <c:pt idx="15">
                  <c:v>18.691361299299281</c:v>
                </c:pt>
              </c:numCache>
            </c:numRef>
          </c:xVal>
          <c:yVal>
            <c:numRef>
              <c:f>ОТЧЁТ!$DD$818:$DD$833</c:f>
              <c:numCache>
                <c:formatCode>0.00</c:formatCode>
                <c:ptCount val="16"/>
                <c:pt idx="0">
                  <c:v>1</c:v>
                </c:pt>
                <c:pt idx="1">
                  <c:v>1.3890656660960248</c:v>
                </c:pt>
                <c:pt idx="2">
                  <c:v>1.5288420201321875</c:v>
                </c:pt>
                <c:pt idx="3">
                  <c:v>1.6012135978440234</c:v>
                </c:pt>
                <c:pt idx="4">
                  <c:v>2.7614512511832352</c:v>
                </c:pt>
                <c:pt idx="5">
                  <c:v>3.8813756116757316</c:v>
                </c:pt>
                <c:pt idx="6">
                  <c:v>4.9244555432757879</c:v>
                </c:pt>
                <c:pt idx="7">
                  <c:v>5.5076003782834864</c:v>
                </c:pt>
                <c:pt idx="8">
                  <c:v>6.3255097831872691</c:v>
                </c:pt>
                <c:pt idx="9">
                  <c:v>7.3003121869901326</c:v>
                </c:pt>
                <c:pt idx="10">
                  <c:v>8.7907908216125801</c:v>
                </c:pt>
                <c:pt idx="11">
                  <c:v>10.077706332186347</c:v>
                </c:pt>
                <c:pt idx="12">
                  <c:v>11.630372067549995</c:v>
                </c:pt>
                <c:pt idx="13">
                  <c:v>13.808577618030881</c:v>
                </c:pt>
                <c:pt idx="14">
                  <c:v>13.964756035279709</c:v>
                </c:pt>
                <c:pt idx="15">
                  <c:v>16.223531809175668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9EC-4A29-B1F7-484E82729B00}"/>
            </c:ext>
          </c:extLst>
        </c:ser>
        <c:ser>
          <c:idx val="2"/>
          <c:order val="2"/>
          <c:trendline>
            <c:spPr>
              <a:ln w="28575">
                <a:prstDash val="lgDash"/>
              </a:ln>
            </c:spPr>
            <c:trendlineType val="linear"/>
            <c:forward val="10"/>
            <c:dispRSqr val="1"/>
            <c:dispEq val="1"/>
            <c:trendlineLbl>
              <c:layout>
                <c:manualLayout>
                  <c:x val="-1.0913495952866031E-2"/>
                  <c:y val="0.43495039990081036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sz="1800">
                      <a:latin typeface="Arial" panose="020B0604020202020204" pitchFamily="34" charset="0"/>
                      <a:cs typeface="Arial" panose="020B0604020202020204" pitchFamily="34" charset="0"/>
                    </a:defRPr>
                  </a:pPr>
                  <a:endParaRPr lang="ru-RU"/>
                </a:p>
              </c:txPr>
            </c:trendlineLbl>
          </c:trendline>
          <c:xVal>
            <c:numRef>
              <c:f>ОТЧЁТ!$DE$838:$DE$841</c:f>
              <c:numCache>
                <c:formatCode>0.00</c:formatCode>
                <c:ptCount val="4"/>
                <c:pt idx="0">
                  <c:v>30.966739453891172</c:v>
                </c:pt>
                <c:pt idx="1">
                  <c:v>31.95906212797086</c:v>
                </c:pt>
                <c:pt idx="2">
                  <c:v>33.681817557170291</c:v>
                </c:pt>
                <c:pt idx="3">
                  <c:v>37.133916580663836</c:v>
                </c:pt>
              </c:numCache>
            </c:numRef>
          </c:xVal>
          <c:yVal>
            <c:numRef>
              <c:f>ОТЧЁТ!$DD$838:$DD$841</c:f>
              <c:numCache>
                <c:formatCode>0.00</c:formatCode>
                <c:ptCount val="4"/>
                <c:pt idx="0">
                  <c:v>24.641576618684894</c:v>
                </c:pt>
                <c:pt idx="1">
                  <c:v>25.860963953898047</c:v>
                </c:pt>
                <c:pt idx="2">
                  <c:v>27.255812823973141</c:v>
                </c:pt>
                <c:pt idx="3">
                  <c:v>29.595988664938762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9EC-4A29-B1F7-484E82729B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567360"/>
        <c:axId val="151573248"/>
      </c:scatterChart>
      <c:valAx>
        <c:axId val="151567360"/>
        <c:scaling>
          <c:orientation val="minMax"/>
          <c:max val="50"/>
          <c:min val="0"/>
        </c:scaling>
        <c:delete val="0"/>
        <c:axPos val="b"/>
        <c:numFmt formatCode="#,##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51573248"/>
        <c:crosses val="autoZero"/>
        <c:crossBetween val="midCat"/>
        <c:majorUnit val="10"/>
        <c:minorUnit val="10"/>
      </c:valAx>
      <c:valAx>
        <c:axId val="151573248"/>
        <c:scaling>
          <c:orientation val="minMax"/>
          <c:max val="40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txPr>
          <a:bodyPr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51567360"/>
        <c:crosses val="autoZero"/>
        <c:crossBetween val="midCat"/>
        <c:majorUnit val="10"/>
      </c:valAx>
      <c:spPr>
        <a:solidFill>
          <a:sysClr val="window" lastClr="FFFFFF"/>
        </a:solidFill>
      </c:spPr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landscape"/>
  </c:printSettings>
  <c:userShapes r:id="rId1"/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>
                <a:latin typeface="Arial" panose="020B0604020202020204" pitchFamily="34" charset="0"/>
                <a:cs typeface="Arial" panose="020B0604020202020204" pitchFamily="34" charset="0"/>
              </a:defRPr>
            </a:pPr>
            <a:r>
              <a:rPr lang="ru-RU" sz="1800" b="0">
                <a:latin typeface="Arial" panose="020B0604020202020204" pitchFamily="34" charset="0"/>
                <a:cs typeface="Arial" panose="020B0604020202020204" pitchFamily="34" charset="0"/>
              </a:rPr>
              <a:t>Тренд 2</a:t>
            </a:r>
          </a:p>
        </c:rich>
      </c:tx>
      <c:layout>
        <c:manualLayout>
          <c:xMode val="edge"/>
          <c:yMode val="edge"/>
          <c:x val="0.77464028107598804"/>
          <c:y val="0.58349371253966387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7.6747538294661341E-2"/>
          <c:y val="3.8287840759786411E-2"/>
          <c:w val="0.8954090951582887"/>
          <c:h val="0.90222121668189992"/>
        </c:manualLayout>
      </c:layout>
      <c:scatterChart>
        <c:scatterStyle val="smoothMarker"/>
        <c:varyColors val="0"/>
        <c:ser>
          <c:idx val="0"/>
          <c:order val="0"/>
          <c:spPr>
            <a:ln w="98425"/>
          </c:spPr>
          <c:marker>
            <c:symbol val="none"/>
          </c:marker>
          <c:trendline>
            <c:spPr>
              <a:ln w="25400">
                <a:prstDash val="lgDashDotDot"/>
              </a:ln>
            </c:spPr>
            <c:trendlineType val="linear"/>
            <c:forward val="20"/>
            <c:dispRSqr val="1"/>
            <c:dispEq val="1"/>
            <c:trendlineLbl>
              <c:layout>
                <c:manualLayout>
                  <c:x val="-0.59230162896304628"/>
                  <c:y val="0.46858717660292482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sz="1600">
                      <a:latin typeface="Arial" panose="020B0604020202020204" pitchFamily="34" charset="0"/>
                      <a:cs typeface="Arial" panose="020B0604020202020204" pitchFamily="34" charset="0"/>
                    </a:defRPr>
                  </a:pPr>
                  <a:endParaRPr lang="ru-RU"/>
                </a:p>
              </c:txPr>
            </c:trendlineLbl>
          </c:trendline>
          <c:xVal>
            <c:numRef>
              <c:f>ОТЧЁТ!$DC$858:$DC$873</c:f>
              <c:numCache>
                <c:formatCode>0.00</c:formatCode>
                <c:ptCount val="16"/>
                <c:pt idx="0" formatCode="0.0">
                  <c:v>1</c:v>
                </c:pt>
                <c:pt idx="1">
                  <c:v>1.458015926869807</c:v>
                </c:pt>
                <c:pt idx="2">
                  <c:v>1.6775696170093486</c:v>
                </c:pt>
                <c:pt idx="3">
                  <c:v>1.988574685283935</c:v>
                </c:pt>
                <c:pt idx="4">
                  <c:v>3.4280333525379545</c:v>
                </c:pt>
                <c:pt idx="5">
                  <c:v>4.7203345530217637</c:v>
                </c:pt>
                <c:pt idx="6">
                  <c:v>5.4982302967459242</c:v>
                </c:pt>
                <c:pt idx="7">
                  <c:v>6.3527295286418424</c:v>
                </c:pt>
                <c:pt idx="8">
                  <c:v>7.2278602743829534</c:v>
                </c:pt>
                <c:pt idx="9">
                  <c:v>8.6918699640274202</c:v>
                </c:pt>
                <c:pt idx="10">
                  <c:v>10.367609749128871</c:v>
                </c:pt>
                <c:pt idx="11">
                  <c:v>11.935242035159135</c:v>
                </c:pt>
                <c:pt idx="12">
                  <c:v>13.587224630705832</c:v>
                </c:pt>
                <c:pt idx="13">
                  <c:v>16.03475716499792</c:v>
                </c:pt>
                <c:pt idx="14">
                  <c:v>16.368494611949213</c:v>
                </c:pt>
                <c:pt idx="15">
                  <c:v>18.691365335566658</c:v>
                </c:pt>
              </c:numCache>
            </c:numRef>
          </c:xVal>
          <c:yVal>
            <c:numRef>
              <c:f>ОТЧЁТ!$DD$858:$DD$873</c:f>
              <c:numCache>
                <c:formatCode>0.0</c:formatCode>
                <c:ptCount val="16"/>
                <c:pt idx="0">
                  <c:v>1</c:v>
                </c:pt>
                <c:pt idx="1">
                  <c:v>1.4122477570972609</c:v>
                </c:pt>
                <c:pt idx="2">
                  <c:v>1.5864611043969121</c:v>
                </c:pt>
                <c:pt idx="3">
                  <c:v>1.7669204828999698</c:v>
                </c:pt>
                <c:pt idx="4">
                  <c:v>3.0316772495419131</c:v>
                </c:pt>
                <c:pt idx="5">
                  <c:v>4.1892888398154868</c:v>
                </c:pt>
                <c:pt idx="6">
                  <c:v>5.0659822500447591</c:v>
                </c:pt>
                <c:pt idx="7">
                  <c:v>5.7822315297952604</c:v>
                </c:pt>
                <c:pt idx="8">
                  <c:v>6.5915237407621836</c:v>
                </c:pt>
                <c:pt idx="9">
                  <c:v>7.7337827274937645</c:v>
                </c:pt>
                <c:pt idx="10">
                  <c:v>9.1849440425976727</c:v>
                </c:pt>
                <c:pt idx="11">
                  <c:v>10.5310440318469</c:v>
                </c:pt>
                <c:pt idx="12">
                  <c:v>12.093285009188341</c:v>
                </c:pt>
                <c:pt idx="13">
                  <c:v>14.279402745112492</c:v>
                </c:pt>
                <c:pt idx="14">
                  <c:v>14.669938798054028</c:v>
                </c:pt>
                <c:pt idx="15">
                  <c:v>16.830212945381799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CB9D-424F-A11A-642E5CCE561B}"/>
            </c:ext>
          </c:extLst>
        </c:ser>
        <c:ser>
          <c:idx val="1"/>
          <c:order val="1"/>
          <c:spPr>
            <a:ln w="127000">
              <a:solidFill>
                <a:srgbClr val="FFC000"/>
              </a:solidFill>
            </a:ln>
          </c:spPr>
          <c:marker>
            <c:symbol val="none"/>
          </c:marker>
          <c:xVal>
            <c:numRef>
              <c:f>ОТЧЁТ!$DC$873:$DC$879</c:f>
              <c:numCache>
                <c:formatCode>0.00</c:formatCode>
                <c:ptCount val="7"/>
                <c:pt idx="0">
                  <c:v>18.691365335566658</c:v>
                </c:pt>
                <c:pt idx="1">
                  <c:v>23.328518818067689</c:v>
                </c:pt>
                <c:pt idx="2">
                  <c:v>25.448132013167307</c:v>
                </c:pt>
                <c:pt idx="3">
                  <c:v>26.82470761987901</c:v>
                </c:pt>
                <c:pt idx="4">
                  <c:v>28.836575688325322</c:v>
                </c:pt>
                <c:pt idx="5">
                  <c:v>31.082026021473556</c:v>
                </c:pt>
                <c:pt idx="6">
                  <c:v>32.204195765601682</c:v>
                </c:pt>
              </c:numCache>
            </c:numRef>
          </c:xVal>
          <c:yVal>
            <c:numRef>
              <c:f>ОТЧЁТ!$DE$873:$DE$879</c:f>
              <c:numCache>
                <c:formatCode>0.0</c:formatCode>
                <c:ptCount val="7"/>
                <c:pt idx="0">
                  <c:v>16.830212945381799</c:v>
                </c:pt>
                <c:pt idx="1">
                  <c:v>19.85424571376991</c:v>
                </c:pt>
                <c:pt idx="2">
                  <c:v>21.405203901528715</c:v>
                </c:pt>
                <c:pt idx="3">
                  <c:v>22.832323118365768</c:v>
                </c:pt>
                <c:pt idx="4">
                  <c:v>24.43123573923766</c:v>
                </c:pt>
                <c:pt idx="5">
                  <c:v>27.196038400434425</c:v>
                </c:pt>
                <c:pt idx="6">
                  <c:v>28.328183799288354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CB9D-424F-A11A-642E5CCE56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630592"/>
        <c:axId val="151632128"/>
      </c:scatterChart>
      <c:valAx>
        <c:axId val="151630592"/>
        <c:scaling>
          <c:orientation val="minMax"/>
          <c:max val="40"/>
          <c:min val="0"/>
        </c:scaling>
        <c:delete val="0"/>
        <c:axPos val="b"/>
        <c:numFmt formatCode="#,##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51632128"/>
        <c:crosses val="autoZero"/>
        <c:crossBetween val="midCat"/>
        <c:majorUnit val="10"/>
        <c:minorUnit val="10"/>
      </c:valAx>
      <c:valAx>
        <c:axId val="151632128"/>
        <c:scaling>
          <c:orientation val="minMax"/>
          <c:max val="40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txPr>
          <a:bodyPr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51630592"/>
        <c:crosses val="autoZero"/>
        <c:crossBetween val="midCat"/>
        <c:majorUnit val="10"/>
      </c:valAx>
      <c:spPr>
        <a:solidFill>
          <a:sysClr val="window" lastClr="FFFFFF"/>
        </a:solidFill>
      </c:spPr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landscape"/>
  </c:printSettings>
  <c:userShapes r:id="rId1"/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9203740157480412E-2"/>
          <c:y val="1.7376462740057795E-2"/>
          <c:w val="0.88231568835780927"/>
          <c:h val="0.92313258067945847"/>
        </c:manualLayout>
      </c:layout>
      <c:scatterChart>
        <c:scatterStyle val="smoothMarker"/>
        <c:varyColors val="0"/>
        <c:ser>
          <c:idx val="0"/>
          <c:order val="0"/>
          <c:spPr>
            <a:ln w="92075">
              <a:solidFill>
                <a:srgbClr val="00B0F0"/>
              </a:solidFill>
            </a:ln>
          </c:spPr>
          <c:marker>
            <c:symbol val="none"/>
          </c:marker>
          <c:trendline>
            <c:spPr>
              <a:ln w="25400">
                <a:prstDash val="lgDash"/>
              </a:ln>
            </c:spPr>
            <c:trendlineType val="linear"/>
            <c:forward val="10"/>
            <c:dispRSqr val="1"/>
            <c:dispEq val="1"/>
            <c:trendlineLbl>
              <c:layout>
                <c:manualLayout>
                  <c:x val="-0.1133382042586636"/>
                  <c:y val="-0.21290542021815609"/>
                </c:manualLayout>
              </c:layout>
              <c:tx>
                <c:rich>
                  <a:bodyPr/>
                  <a:lstStyle/>
                  <a:p>
                    <a:pPr>
                      <a:defRPr sz="1800">
                        <a:latin typeface="Arial" panose="020B0604020202020204" pitchFamily="34" charset="0"/>
                        <a:cs typeface="Arial" panose="020B0604020202020204" pitchFamily="34" charset="0"/>
                      </a:defRPr>
                    </a:pPr>
                    <a:r>
                      <a:rPr lang="en-US" sz="1400" baseline="0">
                        <a:latin typeface="Arial" panose="020B0604020202020204" pitchFamily="34" charset="0"/>
                        <a:cs typeface="Arial" panose="020B0604020202020204" pitchFamily="34" charset="0"/>
                      </a:rPr>
                      <a:t>y = -0,0013x + 2,7712</a:t>
                    </a:r>
                    <a:br>
                      <a:rPr lang="en-US" sz="1400" baseline="0">
                        <a:latin typeface="Arial" panose="020B0604020202020204" pitchFamily="34" charset="0"/>
                        <a:cs typeface="Arial" panose="020B0604020202020204" pitchFamily="34" charset="0"/>
                      </a:rPr>
                    </a:br>
                    <a:r>
                      <a:rPr lang="en-US" sz="1400" baseline="0">
                        <a:latin typeface="Arial" panose="020B0604020202020204" pitchFamily="34" charset="0"/>
                        <a:cs typeface="Arial" panose="020B0604020202020204" pitchFamily="34" charset="0"/>
                      </a:rPr>
                      <a:t>R² = 0,1122</a:t>
                    </a:r>
                    <a:endParaRPr lang="en-US" sz="1400">
                      <a:latin typeface="Arial" panose="020B0604020202020204" pitchFamily="34" charset="0"/>
                      <a:cs typeface="Arial" panose="020B0604020202020204" pitchFamily="34" charset="0"/>
                    </a:endParaRPr>
                  </a:p>
                </c:rich>
              </c:tx>
              <c:numFmt formatCode="General" sourceLinked="0"/>
            </c:trendlineLbl>
          </c:trendline>
          <c:xVal>
            <c:numRef>
              <c:f>ОТЧЁТ!$FB$694:$FB$729</c:f>
              <c:numCache>
                <c:formatCode>General</c:formatCode>
                <c:ptCount val="36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</c:numCache>
            </c:numRef>
          </c:xVal>
          <c:yVal>
            <c:numRef>
              <c:f>ОТЧЁТ!$FE$694:$FE$729</c:f>
              <c:numCache>
                <c:formatCode>0.000</c:formatCode>
                <c:ptCount val="36"/>
                <c:pt idx="0">
                  <c:v>0.18412751259012031</c:v>
                </c:pt>
                <c:pt idx="1">
                  <c:v>0.16657824595487689</c:v>
                </c:pt>
                <c:pt idx="2">
                  <c:v>0.19359545261144043</c:v>
                </c:pt>
                <c:pt idx="3">
                  <c:v>0.19506713300983194</c:v>
                </c:pt>
                <c:pt idx="4">
                  <c:v>0.2020416637977403</c:v>
                </c:pt>
                <c:pt idx="5">
                  <c:v>0.14326863278604252</c:v>
                </c:pt>
                <c:pt idx="6">
                  <c:v>0.16519107231144711</c:v>
                </c:pt>
                <c:pt idx="7">
                  <c:v>0.16321802239003</c:v>
                </c:pt>
                <c:pt idx="8">
                  <c:v>0.20207922619394944</c:v>
                </c:pt>
                <c:pt idx="9">
                  <c:v>0.18389806125704877</c:v>
                </c:pt>
                <c:pt idx="10">
                  <c:v>0.20264786951092276</c:v>
                </c:pt>
                <c:pt idx="11">
                  <c:v>0.19705594455935252</c:v>
                </c:pt>
                <c:pt idx="12">
                  <c:v>0.17400970608532609</c:v>
                </c:pt>
                <c:pt idx="13">
                  <c:v>0.13771012347521919</c:v>
                </c:pt>
                <c:pt idx="14">
                  <c:v>0.21351385469365744</c:v>
                </c:pt>
                <c:pt idx="15">
                  <c:v>0.20520344296820808</c:v>
                </c:pt>
                <c:pt idx="16">
                  <c:v>0.15364356808028609</c:v>
                </c:pt>
                <c:pt idx="17">
                  <c:v>0.14234574174369477</c:v>
                </c:pt>
                <c:pt idx="18">
                  <c:v>0.14846355147847173</c:v>
                </c:pt>
                <c:pt idx="19">
                  <c:v>0.13269422449340992</c:v>
                </c:pt>
                <c:pt idx="20">
                  <c:v>0.18991154595999712</c:v>
                </c:pt>
                <c:pt idx="21">
                  <c:v>0.14964587160229728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CAA-42CD-9809-B56FACFF5E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496576"/>
        <c:axId val="151498112"/>
      </c:scatterChart>
      <c:valAx>
        <c:axId val="151496576"/>
        <c:scaling>
          <c:orientation val="minMax"/>
          <c:max val="2030"/>
          <c:min val="1995"/>
        </c:scaling>
        <c:delete val="0"/>
        <c:axPos val="b"/>
        <c:numFmt formatCode="#,##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51498112"/>
        <c:crosses val="autoZero"/>
        <c:crossBetween val="midCat"/>
        <c:majorUnit val="5"/>
      </c:valAx>
      <c:valAx>
        <c:axId val="151498112"/>
        <c:scaling>
          <c:orientation val="minMax"/>
          <c:max val="0.25"/>
          <c:min val="0.1"/>
        </c:scaling>
        <c:delete val="0"/>
        <c:axPos val="l"/>
        <c:majorGridlines/>
        <c:numFmt formatCode="0.00" sourceLinked="0"/>
        <c:majorTickMark val="out"/>
        <c:minorTickMark val="none"/>
        <c:tickLblPos val="nextTo"/>
        <c:txPr>
          <a:bodyPr/>
          <a:lstStyle/>
          <a:p>
            <a:pPr>
              <a:defRPr sz="18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51496576"/>
        <c:crosses val="autoZero"/>
        <c:crossBetween val="midCat"/>
        <c:majorUnit val="5.0000000000000024E-2"/>
      </c:valAx>
      <c:spPr>
        <a:solidFill>
          <a:sysClr val="window" lastClr="FFFFFF"/>
        </a:solidFill>
      </c:spPr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landscape"/>
  </c:printSettings>
  <c:userShapes r:id="rId1"/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>
                <a:latin typeface="Arial" panose="020B0604020202020204" pitchFamily="34" charset="0"/>
                <a:cs typeface="Arial" panose="020B0604020202020204" pitchFamily="34" charset="0"/>
              </a:defRPr>
            </a:pPr>
            <a:r>
              <a:rPr lang="en-US" sz="1800" b="0">
                <a:latin typeface="Arial" panose="020B0604020202020204" pitchFamily="34" charset="0"/>
                <a:cs typeface="Arial" panose="020B0604020202020204" pitchFamily="34" charset="0"/>
              </a:rPr>
              <a:t> </a:t>
            </a:r>
          </a:p>
        </c:rich>
      </c:tx>
      <c:layout>
        <c:manualLayout>
          <c:xMode val="edge"/>
          <c:yMode val="edge"/>
          <c:x val="0.67718577784559653"/>
          <c:y val="0.40153880764905103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7.6747538294661341E-2"/>
          <c:y val="3.8287840759786411E-2"/>
          <c:w val="0.8954090951582887"/>
          <c:h val="0.90222121668189992"/>
        </c:manualLayout>
      </c:layout>
      <c:scatterChart>
        <c:scatterStyle val="smoothMarker"/>
        <c:varyColors val="0"/>
        <c:ser>
          <c:idx val="1"/>
          <c:order val="0"/>
          <c:spPr>
            <a:ln w="127000">
              <a:solidFill>
                <a:srgbClr val="FFC000"/>
              </a:solidFill>
            </a:ln>
          </c:spPr>
          <c:marker>
            <c:symbol val="none"/>
          </c:marker>
          <c:trendline>
            <c:spPr>
              <a:ln w="25400">
                <a:prstDash val="lgDashDotDot"/>
              </a:ln>
            </c:spPr>
            <c:trendlineType val="linear"/>
            <c:forward val="0.30000000000000032"/>
            <c:dispRSqr val="1"/>
            <c:dispEq val="1"/>
            <c:trendlineLbl>
              <c:layout>
                <c:manualLayout>
                  <c:x val="-2.3529388858480868E-2"/>
                  <c:y val="0.39196897756202786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sz="1600">
                      <a:latin typeface="Arial" panose="020B0604020202020204" pitchFamily="34" charset="0"/>
                      <a:cs typeface="Arial" panose="020B0604020202020204" pitchFamily="34" charset="0"/>
                    </a:defRPr>
                  </a:pPr>
                  <a:endParaRPr lang="ru-RU"/>
                </a:p>
              </c:txPr>
            </c:trendlineLbl>
          </c:trendline>
          <c:xVal>
            <c:numRef>
              <c:f>ОТЧЁТ!$DY$858:$DY$879</c:f>
              <c:numCache>
                <c:formatCode>0.00</c:formatCode>
                <c:ptCount val="22"/>
                <c:pt idx="0" formatCode="0.0">
                  <c:v>1</c:v>
                </c:pt>
                <c:pt idx="1">
                  <c:v>0.96399999999999997</c:v>
                </c:pt>
                <c:pt idx="2">
                  <c:v>0.97749600000000003</c:v>
                </c:pt>
                <c:pt idx="3">
                  <c:v>0.92568871200000002</c:v>
                </c:pt>
                <c:pt idx="4">
                  <c:v>0.98493278956800012</c:v>
                </c:pt>
                <c:pt idx="5">
                  <c:v>1.0834260685248003</c:v>
                </c:pt>
                <c:pt idx="6">
                  <c:v>1.138680798019565</c:v>
                </c:pt>
                <c:pt idx="7">
                  <c:v>1.1921987955264846</c:v>
                </c:pt>
                <c:pt idx="8">
                  <c:v>1.2792293075999179</c:v>
                </c:pt>
                <c:pt idx="9">
                  <c:v>1.3713338177471122</c:v>
                </c:pt>
                <c:pt idx="10">
                  <c:v>1.4590991820829273</c:v>
                </c:pt>
                <c:pt idx="11">
                  <c:v>1.5787453150137274</c:v>
                </c:pt>
                <c:pt idx="12">
                  <c:v>1.7129386667898943</c:v>
                </c:pt>
                <c:pt idx="13">
                  <c:v>1.8020114774629687</c:v>
                </c:pt>
                <c:pt idx="14">
                  <c:v>1.6596525707433942</c:v>
                </c:pt>
                <c:pt idx="15">
                  <c:v>1.7343369364268468</c:v>
                </c:pt>
                <c:pt idx="16">
                  <c:v>1.808913424693201</c:v>
                </c:pt>
                <c:pt idx="17">
                  <c:v>1.8750455190419226</c:v>
                </c:pt>
                <c:pt idx="18">
                  <c:v>1.9085217286102596</c:v>
                </c:pt>
                <c:pt idx="19">
                  <c:v>1.9226180848563927</c:v>
                </c:pt>
                <c:pt idx="20">
                  <c:v>1.8783978689046956</c:v>
                </c:pt>
                <c:pt idx="21">
                  <c:v>1.8821546646425049</c:v>
                </c:pt>
              </c:numCache>
            </c:numRef>
          </c:xVal>
          <c:yVal>
            <c:numRef>
              <c:f>ОТЧЁТ!$DX$858:$DX$879</c:f>
              <c:numCache>
                <c:formatCode>0.00</c:formatCode>
                <c:ptCount val="22"/>
                <c:pt idx="0">
                  <c:v>1</c:v>
                </c:pt>
                <c:pt idx="1">
                  <c:v>0.97199999999999998</c:v>
                </c:pt>
                <c:pt idx="2">
                  <c:v>0.98560800000000004</c:v>
                </c:pt>
                <c:pt idx="3">
                  <c:v>0.93534199200000001</c:v>
                </c:pt>
                <c:pt idx="4">
                  <c:v>0.98959182753600006</c:v>
                </c:pt>
                <c:pt idx="5">
                  <c:v>1.0826134593243841</c:v>
                </c:pt>
                <c:pt idx="6">
                  <c:v>1.1356615188312789</c:v>
                </c:pt>
                <c:pt idx="7">
                  <c:v>1.1856306256598552</c:v>
                </c:pt>
                <c:pt idx="8">
                  <c:v>1.2757385532100043</c:v>
                </c:pt>
                <c:pt idx="9">
                  <c:v>1.3777976374668046</c:v>
                </c:pt>
                <c:pt idx="10">
                  <c:v>1.4563321028024123</c:v>
                </c:pt>
                <c:pt idx="11">
                  <c:v>1.5859456599518269</c:v>
                </c:pt>
                <c:pt idx="12">
                  <c:v>1.7255088780275878</c:v>
                </c:pt>
                <c:pt idx="13">
                  <c:v>1.8117843219289673</c:v>
                </c:pt>
                <c:pt idx="14">
                  <c:v>1.6777122821062238</c:v>
                </c:pt>
                <c:pt idx="15">
                  <c:v>1.7615978962115351</c:v>
                </c:pt>
                <c:pt idx="16">
                  <c:v>1.837346605748631</c:v>
                </c:pt>
                <c:pt idx="17">
                  <c:v>1.9090031233728277</c:v>
                </c:pt>
                <c:pt idx="18">
                  <c:v>1.949092188963657</c:v>
                </c:pt>
                <c:pt idx="19">
                  <c:v>1.9646849264753663</c:v>
                </c:pt>
                <c:pt idx="20">
                  <c:v>1.9391440224311864</c:v>
                </c:pt>
                <c:pt idx="21">
                  <c:v>1.9624137507003607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2F9-4086-A083-18ED09C16214}"/>
            </c:ext>
          </c:extLst>
        </c:ser>
        <c:ser>
          <c:idx val="0"/>
          <c:order val="1"/>
          <c:marker>
            <c:symbol val="none"/>
          </c:marker>
          <c:xVal>
            <c:numRef>
              <c:f>ОТЧЁТ!$EB$873:$EB$884</c:f>
              <c:numCache>
                <c:formatCode>0.00</c:formatCode>
                <c:ptCount val="12"/>
                <c:pt idx="0">
                  <c:v>1.7343369364268468</c:v>
                </c:pt>
                <c:pt idx="1">
                  <c:v>1.808913424693201</c:v>
                </c:pt>
                <c:pt idx="2">
                  <c:v>1.8750455190419226</c:v>
                </c:pt>
                <c:pt idx="3">
                  <c:v>1.9085217286102596</c:v>
                </c:pt>
                <c:pt idx="4">
                  <c:v>1.9226180848563927</c:v>
                </c:pt>
                <c:pt idx="5">
                  <c:v>1.8783978689046956</c:v>
                </c:pt>
                <c:pt idx="6">
                  <c:v>1.8821546646425049</c:v>
                </c:pt>
                <c:pt idx="7">
                  <c:v>2</c:v>
                </c:pt>
                <c:pt idx="8">
                  <c:v>2.1</c:v>
                </c:pt>
                <c:pt idx="9">
                  <c:v>2.2000000000000002</c:v>
                </c:pt>
                <c:pt idx="10">
                  <c:v>2.2999999999999998</c:v>
                </c:pt>
                <c:pt idx="11">
                  <c:v>2.4</c:v>
                </c:pt>
              </c:numCache>
            </c:numRef>
          </c:xVal>
          <c:yVal>
            <c:numRef>
              <c:f>ОТЧЁТ!$EA$873:$EA$884</c:f>
              <c:numCache>
                <c:formatCode>0.00</c:formatCode>
                <c:ptCount val="12"/>
                <c:pt idx="0">
                  <c:v>1.7615978962115351</c:v>
                </c:pt>
                <c:pt idx="1">
                  <c:v>1.837346605748631</c:v>
                </c:pt>
                <c:pt idx="2">
                  <c:v>1.9090031233728277</c:v>
                </c:pt>
                <c:pt idx="3">
                  <c:v>1.949092188963657</c:v>
                </c:pt>
                <c:pt idx="4">
                  <c:v>1.9646849264753663</c:v>
                </c:pt>
                <c:pt idx="5">
                  <c:v>1.9391440224311864</c:v>
                </c:pt>
                <c:pt idx="6">
                  <c:v>1.9624137507003607</c:v>
                </c:pt>
                <c:pt idx="7" formatCode="0.000">
                  <c:v>2.0308000000000002</c:v>
                </c:pt>
                <c:pt idx="8" formatCode="0.000">
                  <c:v>2.1339800000000002</c:v>
                </c:pt>
                <c:pt idx="9" formatCode="0.000">
                  <c:v>2.2371600000000003</c:v>
                </c:pt>
                <c:pt idx="10" formatCode="0.000">
                  <c:v>2.3403399999999999</c:v>
                </c:pt>
                <c:pt idx="11" formatCode="0.000">
                  <c:v>2.4435199999999999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CDE-4158-A15A-165B267115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619072"/>
        <c:axId val="151620608"/>
      </c:scatterChart>
      <c:valAx>
        <c:axId val="151619072"/>
        <c:scaling>
          <c:orientation val="minMax"/>
          <c:max val="2.5"/>
          <c:min val="1"/>
        </c:scaling>
        <c:delete val="0"/>
        <c:axPos val="b"/>
        <c:numFmt formatCode="#,##0.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51620608"/>
        <c:crosses val="autoZero"/>
        <c:crossBetween val="midCat"/>
        <c:majorUnit val="0.5"/>
      </c:valAx>
      <c:valAx>
        <c:axId val="151620608"/>
        <c:scaling>
          <c:orientation val="minMax"/>
          <c:max val="2.5"/>
          <c:min val="1"/>
        </c:scaling>
        <c:delete val="0"/>
        <c:axPos val="l"/>
        <c:majorGridlines/>
        <c:numFmt formatCode="0.0" sourceLinked="0"/>
        <c:majorTickMark val="out"/>
        <c:minorTickMark val="none"/>
        <c:tickLblPos val="nextTo"/>
        <c:txPr>
          <a:bodyPr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51619072"/>
        <c:crosses val="autoZero"/>
        <c:crossBetween val="midCat"/>
        <c:majorUnit val="0.5"/>
      </c:valAx>
      <c:spPr>
        <a:solidFill>
          <a:sysClr val="window" lastClr="FFFFFF"/>
        </a:solidFill>
      </c:spPr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landscape"/>
  </c:printSettings>
  <c:userShapes r:id="rId1"/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9203740157480412E-2"/>
          <c:y val="3.8287840759786411E-2"/>
          <c:w val="0.89392125984251969"/>
          <c:h val="0.90222121668189992"/>
        </c:manualLayout>
      </c:layout>
      <c:scatterChart>
        <c:scatterStyle val="smoothMarker"/>
        <c:varyColors val="0"/>
        <c:ser>
          <c:idx val="0"/>
          <c:order val="0"/>
          <c:spPr>
            <a:ln w="127000">
              <a:solidFill>
                <a:srgbClr val="FFC000"/>
              </a:solidFill>
            </a:ln>
          </c:spPr>
          <c:marker>
            <c:symbol val="none"/>
          </c:marker>
          <c:trendline>
            <c:spPr>
              <a:ln w="31750">
                <a:prstDash val="lgDashDotDot"/>
              </a:ln>
            </c:spPr>
            <c:trendlineType val="linear"/>
            <c:dispRSqr val="1"/>
            <c:dispEq val="1"/>
            <c:trendlineLbl>
              <c:layout>
                <c:manualLayout>
                  <c:x val="3.9766710118690179E-2"/>
                  <c:y val="0.30614842442301921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sz="1600">
                      <a:latin typeface="Arial" panose="020B0604020202020204" pitchFamily="34" charset="0"/>
                      <a:cs typeface="Arial" panose="020B0604020202020204" pitchFamily="34" charset="0"/>
                    </a:defRPr>
                  </a:pPr>
                  <a:endParaRPr lang="ru-RU"/>
                </a:p>
              </c:txPr>
            </c:trendlineLbl>
          </c:trendline>
          <c:xVal>
            <c:numRef>
              <c:f>ОТЧЁТ!$FY$694:$FY$715</c:f>
              <c:numCache>
                <c:formatCode>0</c:formatCode>
                <c:ptCount val="22"/>
                <c:pt idx="0">
                  <c:v>910.9</c:v>
                </c:pt>
                <c:pt idx="1">
                  <c:v>1357.1</c:v>
                </c:pt>
                <c:pt idx="2">
                  <c:v>1656.4</c:v>
                </c:pt>
                <c:pt idx="3">
                  <c:v>1776</c:v>
                </c:pt>
                <c:pt idx="4">
                  <c:v>2908.1</c:v>
                </c:pt>
                <c:pt idx="5">
                  <c:v>3983.9</c:v>
                </c:pt>
                <c:pt idx="6">
                  <c:v>5325.8</c:v>
                </c:pt>
                <c:pt idx="7">
                  <c:v>6831</c:v>
                </c:pt>
                <c:pt idx="8">
                  <c:v>8900.5</c:v>
                </c:pt>
                <c:pt idx="9">
                  <c:v>10976.3</c:v>
                </c:pt>
                <c:pt idx="10">
                  <c:v>13819</c:v>
                </c:pt>
                <c:pt idx="11">
                  <c:v>17290.099999999999</c:v>
                </c:pt>
                <c:pt idx="12">
                  <c:v>21311.5</c:v>
                </c:pt>
                <c:pt idx="13">
                  <c:v>25244</c:v>
                </c:pt>
                <c:pt idx="14">
                  <c:v>28697.5</c:v>
                </c:pt>
                <c:pt idx="15">
                  <c:v>32498.3</c:v>
                </c:pt>
                <c:pt idx="16">
                  <c:v>35648.699999999997</c:v>
                </c:pt>
                <c:pt idx="17">
                  <c:v>39904</c:v>
                </c:pt>
                <c:pt idx="18">
                  <c:v>44650</c:v>
                </c:pt>
                <c:pt idx="19">
                  <c:v>47921</c:v>
                </c:pt>
                <c:pt idx="20">
                  <c:v>53526</c:v>
                </c:pt>
                <c:pt idx="21">
                  <c:v>54117</c:v>
                </c:pt>
              </c:numCache>
            </c:numRef>
          </c:xVal>
          <c:yVal>
            <c:numRef>
              <c:f>ОТЧЁТ!$FX$694:$FX$715</c:f>
              <c:numCache>
                <c:formatCode>0</c:formatCode>
                <c:ptCount val="22"/>
                <c:pt idx="0">
                  <c:v>719.79349999999999</c:v>
                </c:pt>
                <c:pt idx="1">
                  <c:v>1007.827</c:v>
                </c:pt>
                <c:pt idx="2">
                  <c:v>1235.2137</c:v>
                </c:pt>
                <c:pt idx="3">
                  <c:v>1462.2840000000001</c:v>
                </c:pt>
                <c:pt idx="4">
                  <c:v>2526.1678999999999</c:v>
                </c:pt>
                <c:pt idx="5">
                  <c:v>3295.2372999999998</c:v>
                </c:pt>
                <c:pt idx="6">
                  <c:v>4318.1211000000003</c:v>
                </c:pt>
                <c:pt idx="7">
                  <c:v>5409.1576999999997</c:v>
                </c:pt>
                <c:pt idx="8">
                  <c:v>6537.4014999999999</c:v>
                </c:pt>
                <c:pt idx="9">
                  <c:v>8438.4840999999997</c:v>
                </c:pt>
                <c:pt idx="10">
                  <c:v>10652.8578</c:v>
                </c:pt>
                <c:pt idx="11">
                  <c:v>12974.743399999999</c:v>
                </c:pt>
                <c:pt idx="12">
                  <c:v>16031.739799999999</c:v>
                </c:pt>
                <c:pt idx="13">
                  <c:v>19966.954699999998</c:v>
                </c:pt>
                <c:pt idx="14">
                  <c:v>20986.036</c:v>
                </c:pt>
                <c:pt idx="15">
                  <c:v>23617.623</c:v>
                </c:pt>
                <c:pt idx="16">
                  <c:v>29939.463500000002</c:v>
                </c:pt>
                <c:pt idx="17">
                  <c:v>34492.361700000001</c:v>
                </c:pt>
                <c:pt idx="18">
                  <c:v>38465.140799999994</c:v>
                </c:pt>
                <c:pt idx="19">
                  <c:v>41954.83</c:v>
                </c:pt>
                <c:pt idx="20">
                  <c:v>43242.32</c:v>
                </c:pt>
                <c:pt idx="21">
                  <c:v>45317.05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1F-48BA-9876-21CE50AAF769}"/>
            </c:ext>
          </c:extLst>
        </c:ser>
        <c:ser>
          <c:idx val="1"/>
          <c:order val="1"/>
          <c:marker>
            <c:symbol val="none"/>
          </c:marker>
          <c:xVal>
            <c:numRef>
              <c:f>ОТЧЁТ!$FY$695:$FY$718</c:f>
              <c:numCache>
                <c:formatCode>0</c:formatCode>
                <c:ptCount val="24"/>
                <c:pt idx="0">
                  <c:v>1357.1</c:v>
                </c:pt>
                <c:pt idx="1">
                  <c:v>1656.4</c:v>
                </c:pt>
                <c:pt idx="2">
                  <c:v>1776</c:v>
                </c:pt>
                <c:pt idx="3">
                  <c:v>2908.1</c:v>
                </c:pt>
                <c:pt idx="4">
                  <c:v>3983.9</c:v>
                </c:pt>
                <c:pt idx="5">
                  <c:v>5325.8</c:v>
                </c:pt>
                <c:pt idx="6">
                  <c:v>6831</c:v>
                </c:pt>
                <c:pt idx="7">
                  <c:v>8900.5</c:v>
                </c:pt>
                <c:pt idx="8">
                  <c:v>10976.3</c:v>
                </c:pt>
                <c:pt idx="9">
                  <c:v>13819</c:v>
                </c:pt>
                <c:pt idx="10">
                  <c:v>17290.099999999999</c:v>
                </c:pt>
                <c:pt idx="11">
                  <c:v>21311.5</c:v>
                </c:pt>
                <c:pt idx="12">
                  <c:v>25244</c:v>
                </c:pt>
                <c:pt idx="13">
                  <c:v>28697.5</c:v>
                </c:pt>
                <c:pt idx="14">
                  <c:v>32498.3</c:v>
                </c:pt>
                <c:pt idx="15">
                  <c:v>35648.699999999997</c:v>
                </c:pt>
                <c:pt idx="16">
                  <c:v>39904</c:v>
                </c:pt>
                <c:pt idx="17">
                  <c:v>44650</c:v>
                </c:pt>
                <c:pt idx="18">
                  <c:v>47921</c:v>
                </c:pt>
                <c:pt idx="19">
                  <c:v>53526</c:v>
                </c:pt>
                <c:pt idx="20">
                  <c:v>54117</c:v>
                </c:pt>
                <c:pt idx="21">
                  <c:v>60000</c:v>
                </c:pt>
                <c:pt idx="22">
                  <c:v>70000</c:v>
                </c:pt>
                <c:pt idx="23">
                  <c:v>80000</c:v>
                </c:pt>
              </c:numCache>
            </c:numRef>
          </c:xVal>
          <c:yVal>
            <c:numRef>
              <c:f>ОТЧЁТ!$FZ$695:$FZ$718</c:f>
              <c:numCache>
                <c:formatCode>0</c:formatCode>
                <c:ptCount val="24"/>
                <c:pt idx="0">
                  <c:v>607.39855999999997</c:v>
                </c:pt>
                <c:pt idx="1">
                  <c:v>856.89503999999999</c:v>
                </c:pt>
                <c:pt idx="2">
                  <c:v>956.59360000000004</c:v>
                </c:pt>
                <c:pt idx="3">
                  <c:v>1900.3121599999999</c:v>
                </c:pt>
                <c:pt idx="4">
                  <c:v>2797.0990400000001</c:v>
                </c:pt>
                <c:pt idx="5">
                  <c:v>3915.7068799999997</c:v>
                </c:pt>
                <c:pt idx="6">
                  <c:v>5170.4416000000001</c:v>
                </c:pt>
                <c:pt idx="7">
                  <c:v>6895.5767999999998</c:v>
                </c:pt>
                <c:pt idx="8">
                  <c:v>8625.9636800000007</c:v>
                </c:pt>
                <c:pt idx="9">
                  <c:v>10995.638400000002</c:v>
                </c:pt>
                <c:pt idx="10">
                  <c:v>13889.147359999999</c:v>
                </c:pt>
                <c:pt idx="11">
                  <c:v>17241.386399999999</c:v>
                </c:pt>
                <c:pt idx="12">
                  <c:v>20519.518400000001</c:v>
                </c:pt>
                <c:pt idx="13">
                  <c:v>23398.356</c:v>
                </c:pt>
                <c:pt idx="14">
                  <c:v>26566.702879999997</c:v>
                </c:pt>
                <c:pt idx="15">
                  <c:v>29192.876319999996</c:v>
                </c:pt>
                <c:pt idx="16">
                  <c:v>32740.094399999998</c:v>
                </c:pt>
                <c:pt idx="17">
                  <c:v>36696.36</c:v>
                </c:pt>
                <c:pt idx="18">
                  <c:v>39423.065600000002</c:v>
                </c:pt>
                <c:pt idx="19">
                  <c:v>44095.393600000003</c:v>
                </c:pt>
                <c:pt idx="20">
                  <c:v>44588.051200000002</c:v>
                </c:pt>
                <c:pt idx="21">
                  <c:v>49492.12</c:v>
                </c:pt>
                <c:pt idx="22">
                  <c:v>57828.12</c:v>
                </c:pt>
                <c:pt idx="23">
                  <c:v>66164.12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1F-48BA-9876-21CE50AAF7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851776"/>
        <c:axId val="151853312"/>
      </c:scatterChart>
      <c:valAx>
        <c:axId val="151851776"/>
        <c:scaling>
          <c:orientation val="minMax"/>
          <c:max val="80000"/>
          <c:min val="0"/>
        </c:scaling>
        <c:delete val="0"/>
        <c:axPos val="b"/>
        <c:numFmt formatCode="#,##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51853312"/>
        <c:crosses val="autoZero"/>
        <c:crossBetween val="midCat"/>
        <c:majorUnit val="40000"/>
      </c:valAx>
      <c:valAx>
        <c:axId val="151853312"/>
        <c:scaling>
          <c:orientation val="minMax"/>
          <c:max val="60000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txPr>
          <a:bodyPr/>
          <a:lstStyle/>
          <a:p>
            <a:pPr>
              <a:defRPr sz="18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51851776"/>
        <c:crosses val="autoZero"/>
        <c:crossBetween val="midCat"/>
        <c:majorUnit val="20000"/>
      </c:valAx>
      <c:spPr>
        <a:solidFill>
          <a:sysClr val="window" lastClr="FFFFFF"/>
        </a:solidFill>
      </c:spPr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landscape"/>
  </c:printSettings>
  <c:userShapes r:id="rId1"/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5.6803209911666923E-2"/>
          <c:y val="3.9113153418002061E-2"/>
          <c:w val="0.91902837538403703"/>
          <c:h val="0.92792928856002665"/>
        </c:manualLayout>
      </c:layout>
      <c:scatterChart>
        <c:scatterStyle val="smoothMarker"/>
        <c:varyColors val="0"/>
        <c:ser>
          <c:idx val="0"/>
          <c:order val="0"/>
          <c:spPr>
            <a:ln w="76200">
              <a:solidFill>
                <a:srgbClr val="00B0F0"/>
              </a:solidFill>
            </a:ln>
          </c:spPr>
          <c:marker>
            <c:symbol val="circle"/>
            <c:size val="13"/>
            <c:spPr>
              <a:noFill/>
            </c:spPr>
          </c:marker>
          <c:xVal>
            <c:numRef>
              <c:f>ОТЧЁТ!$DF$899:$DF$922</c:f>
              <c:numCache>
                <c:formatCode>0.00</c:formatCode>
                <c:ptCount val="24"/>
                <c:pt idx="0">
                  <c:v>82.835063617203957</c:v>
                </c:pt>
                <c:pt idx="1">
                  <c:v>84.234267734553782</c:v>
                </c:pt>
                <c:pt idx="2">
                  <c:v>87.960734143049933</c:v>
                </c:pt>
                <c:pt idx="3">
                  <c:v>90.073972831048835</c:v>
                </c:pt>
                <c:pt idx="4">
                  <c:v>83.60832021541259</c:v>
                </c:pt>
                <c:pt idx="5">
                  <c:v>81.459212480525593</c:v>
                </c:pt>
                <c:pt idx="6">
                  <c:v>82.125453598771088</c:v>
                </c:pt>
                <c:pt idx="7">
                  <c:v>81.035396178458996</c:v>
                </c:pt>
                <c:pt idx="8">
                  <c:v>82.484829045057609</c:v>
                </c:pt>
                <c:pt idx="9">
                  <c:v>82.584596491397647</c:v>
                </c:pt>
                <c:pt idx="10">
                  <c:v>82.897660015178488</c:v>
                </c:pt>
                <c:pt idx="11">
                  <c:v>83.868591772093538</c:v>
                </c:pt>
                <c:pt idx="12">
                  <c:v>84.512377132072061</c:v>
                </c:pt>
                <c:pt idx="13">
                  <c:v>87.267507050457894</c:v>
                </c:pt>
                <c:pt idx="14">
                  <c:v>92.126998369154009</c:v>
                </c:pt>
                <c:pt idx="15">
                  <c:v>94.180205088588238</c:v>
                </c:pt>
                <c:pt idx="16">
                  <c:v>96.671652013207932</c:v>
                </c:pt>
                <c:pt idx="17">
                  <c:v>99.857807392108484</c:v>
                </c:pt>
                <c:pt idx="18">
                  <c:v>104.1761508077991</c:v>
                </c:pt>
                <c:pt idx="19">
                  <c:v>107.80780271745721</c:v>
                </c:pt>
                <c:pt idx="20">
                  <c:v>110.05071046098531</c:v>
                </c:pt>
                <c:pt idx="21">
                  <c:v>114.23310842868784</c:v>
                </c:pt>
                <c:pt idx="22">
                  <c:v>8.241291383560545E-5</c:v>
                </c:pt>
                <c:pt idx="23">
                  <c:v>7.1915919140312735E-5</c:v>
                </c:pt>
              </c:numCache>
            </c:numRef>
          </c:xVal>
          <c:yVal>
            <c:numRef>
              <c:f>ОТЧЁТ!$DE$899:$DE$922</c:f>
              <c:numCache>
                <c:formatCode>0.0</c:formatCode>
                <c:ptCount val="24"/>
                <c:pt idx="0">
                  <c:v>22.301473733510264</c:v>
                </c:pt>
                <c:pt idx="1">
                  <c:v>21.883647145944572</c:v>
                </c:pt>
                <c:pt idx="2">
                  <c:v>23.264748432488631</c:v>
                </c:pt>
                <c:pt idx="3">
                  <c:v>22.628910997930777</c:v>
                </c:pt>
                <c:pt idx="4">
                  <c:v>22.304255968314099</c:v>
                </c:pt>
                <c:pt idx="5">
                  <c:v>23.785105002190093</c:v>
                </c:pt>
                <c:pt idx="6">
                  <c:v>24.977800752416609</c:v>
                </c:pt>
                <c:pt idx="7">
                  <c:v>25.549151597899893</c:v>
                </c:pt>
                <c:pt idx="8">
                  <c:v>27.546477966188984</c:v>
                </c:pt>
                <c:pt idx="9">
                  <c:v>29.099942356965194</c:v>
                </c:pt>
                <c:pt idx="10">
                  <c:v>30.500207447846275</c:v>
                </c:pt>
                <c:pt idx="11">
                  <c:v>32.605223124147997</c:v>
                </c:pt>
                <c:pt idx="12">
                  <c:v>34.576355601632038</c:v>
                </c:pt>
                <c:pt idx="13">
                  <c:v>36.254961869156645</c:v>
                </c:pt>
                <c:pt idx="14">
                  <c:v>34.157158680963363</c:v>
                </c:pt>
                <c:pt idx="15">
                  <c:v>35.426929528449264</c:v>
                </c:pt>
                <c:pt idx="16">
                  <c:v>36.469011429199981</c:v>
                </c:pt>
                <c:pt idx="17">
                  <c:v>37.438341507582962</c:v>
                </c:pt>
                <c:pt idx="18">
                  <c:v>38.188926146237897</c:v>
                </c:pt>
                <c:pt idx="19">
                  <c:v>38.39162476730791</c:v>
                </c:pt>
                <c:pt idx="20">
                  <c:v>37.101717534154105</c:v>
                </c:pt>
                <c:pt idx="21">
                  <c:v>37.140293612287223</c:v>
                </c:pt>
                <c:pt idx="22">
                  <c:v>6.4418007139393075E-4</c:v>
                </c:pt>
                <c:pt idx="23">
                  <c:v>6.080099839971398E-4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9CC-44DB-B219-A2EA4B7FDF9A}"/>
            </c:ext>
          </c:extLst>
        </c:ser>
        <c:ser>
          <c:idx val="1"/>
          <c:order val="1"/>
          <c:spPr>
            <a:ln>
              <a:solidFill>
                <a:srgbClr val="00B0F0"/>
              </a:solidFill>
              <a:prstDash val="lgDash"/>
            </a:ln>
          </c:spPr>
          <c:marker>
            <c:symbol val="none"/>
          </c:marker>
          <c:trendline>
            <c:spPr>
              <a:ln w="31750">
                <a:solidFill>
                  <a:srgbClr val="FF0000"/>
                </a:solidFill>
                <a:prstDash val="lgDash"/>
              </a:ln>
            </c:spPr>
            <c:trendlineType val="linear"/>
            <c:forward val="5"/>
            <c:dispRSqr val="0"/>
            <c:dispEq val="0"/>
          </c:trendline>
          <c:xVal>
            <c:numRef>
              <c:f>ОТЧЁТ!$DF$905:$DF$911</c:f>
              <c:numCache>
                <c:formatCode>0.00</c:formatCode>
                <c:ptCount val="7"/>
                <c:pt idx="0">
                  <c:v>82.125453598771088</c:v>
                </c:pt>
                <c:pt idx="1">
                  <c:v>81.035396178458996</c:v>
                </c:pt>
                <c:pt idx="2">
                  <c:v>82.484829045057609</c:v>
                </c:pt>
                <c:pt idx="3">
                  <c:v>82.584596491397647</c:v>
                </c:pt>
                <c:pt idx="4">
                  <c:v>82.897660015178488</c:v>
                </c:pt>
                <c:pt idx="5">
                  <c:v>83.868591772093538</c:v>
                </c:pt>
                <c:pt idx="6">
                  <c:v>84.512377132072061</c:v>
                </c:pt>
              </c:numCache>
            </c:numRef>
          </c:xVal>
          <c:yVal>
            <c:numRef>
              <c:f>ОТЧЁТ!$DE$905:$DE$911</c:f>
              <c:numCache>
                <c:formatCode>0.0</c:formatCode>
                <c:ptCount val="7"/>
                <c:pt idx="0">
                  <c:v>24.977800752416609</c:v>
                </c:pt>
                <c:pt idx="1">
                  <c:v>25.549151597899893</c:v>
                </c:pt>
                <c:pt idx="2">
                  <c:v>27.546477966188984</c:v>
                </c:pt>
                <c:pt idx="3">
                  <c:v>29.099942356965194</c:v>
                </c:pt>
                <c:pt idx="4">
                  <c:v>30.500207447846275</c:v>
                </c:pt>
                <c:pt idx="5">
                  <c:v>32.605223124147997</c:v>
                </c:pt>
                <c:pt idx="6">
                  <c:v>34.576355601632038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9CC-44DB-B219-A2EA4B7FDF9A}"/>
            </c:ext>
          </c:extLst>
        </c:ser>
        <c:ser>
          <c:idx val="2"/>
          <c:order val="2"/>
          <c:spPr>
            <a:ln>
              <a:solidFill>
                <a:srgbClr val="FF0000"/>
              </a:solidFill>
              <a:prstDash val="lgDash"/>
            </a:ln>
          </c:spPr>
          <c:marker>
            <c:symbol val="none"/>
          </c:marker>
          <c:xVal>
            <c:numRef>
              <c:f>ОТЧЁТ!$DF$913:$DF$918</c:f>
              <c:numCache>
                <c:formatCode>0.00</c:formatCode>
                <c:ptCount val="6"/>
                <c:pt idx="0">
                  <c:v>92.126998369154009</c:v>
                </c:pt>
                <c:pt idx="1">
                  <c:v>94.180205088588238</c:v>
                </c:pt>
                <c:pt idx="2">
                  <c:v>96.671652013207932</c:v>
                </c:pt>
                <c:pt idx="3">
                  <c:v>99.857807392108484</c:v>
                </c:pt>
                <c:pt idx="4">
                  <c:v>104.1761508077991</c:v>
                </c:pt>
                <c:pt idx="5">
                  <c:v>107.80780271745721</c:v>
                </c:pt>
              </c:numCache>
            </c:numRef>
          </c:xVal>
          <c:yVal>
            <c:numRef>
              <c:f>ОТЧЁТ!$DE$913:$DE$918</c:f>
              <c:numCache>
                <c:formatCode>0.0</c:formatCode>
                <c:ptCount val="6"/>
                <c:pt idx="0">
                  <c:v>34.157158680963363</c:v>
                </c:pt>
                <c:pt idx="1">
                  <c:v>35.426929528449264</c:v>
                </c:pt>
                <c:pt idx="2">
                  <c:v>36.469011429199981</c:v>
                </c:pt>
                <c:pt idx="3">
                  <c:v>37.438341507582962</c:v>
                </c:pt>
                <c:pt idx="4">
                  <c:v>38.188926146237897</c:v>
                </c:pt>
                <c:pt idx="5">
                  <c:v>38.39162476730791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9CC-44DB-B219-A2EA4B7FDF9A}"/>
            </c:ext>
          </c:extLst>
        </c:ser>
        <c:ser>
          <c:idx val="3"/>
          <c:order val="3"/>
          <c:spPr>
            <a:ln w="25400">
              <a:solidFill>
                <a:srgbClr val="FF0000"/>
              </a:solidFill>
              <a:prstDash val="lgDash"/>
            </a:ln>
          </c:spPr>
          <c:xVal>
            <c:numRef>
              <c:f>ОТЧЁТ!$DF$921:$DF$934</c:f>
              <c:numCache>
                <c:formatCode>0.00</c:formatCode>
                <c:ptCount val="14"/>
                <c:pt idx="0">
                  <c:v>8.241291383560545E-5</c:v>
                </c:pt>
                <c:pt idx="1">
                  <c:v>7.1915919140312735E-5</c:v>
                </c:pt>
                <c:pt idx="2">
                  <c:v>4.9189996046078366E-5</c:v>
                </c:pt>
                <c:pt idx="3">
                  <c:v>6.867003329664683E-5</c:v>
                </c:pt>
                <c:pt idx="4">
                  <c:v>4.6351300764620116E-5</c:v>
                </c:pt>
                <c:pt idx="5">
                  <c:v>3.1580355743553009E-5</c:v>
                </c:pt>
                <c:pt idx="6">
                  <c:v>1.9077599423275969E-5</c:v>
                </c:pt>
                <c:pt idx="7">
                  <c:v>8.5308201314858555E-6</c:v>
                </c:pt>
                <c:pt idx="8">
                  <c:v>-6.7132466601507607E-7</c:v>
                </c:pt>
                <c:pt idx="9">
                  <c:v>-8.5358465080180251E-6</c:v>
                </c:pt>
                <c:pt idx="10">
                  <c:v>-1.5256747798266748E-5</c:v>
                </c:pt>
                <c:pt idx="11">
                  <c:v>-2.0983055595086574E-5</c:v>
                </c:pt>
                <c:pt idx="12">
                  <c:v>-2.591052611413317E-5</c:v>
                </c:pt>
                <c:pt idx="13">
                  <c:v>-3.0052489998651551E-5</c:v>
                </c:pt>
              </c:numCache>
            </c:numRef>
          </c:xVal>
          <c:yVal>
            <c:numRef>
              <c:f>ОТЧЁТ!$DE$921:$DE$934</c:f>
              <c:numCache>
                <c:formatCode>0.0</c:formatCode>
                <c:ptCount val="14"/>
                <c:pt idx="0">
                  <c:v>6.4418007139393075E-4</c:v>
                </c:pt>
                <c:pt idx="1">
                  <c:v>6.080099839971398E-4</c:v>
                </c:pt>
                <c:pt idx="2">
                  <c:v>6.2414104813920002E-4</c:v>
                </c:pt>
                <c:pt idx="3">
                  <c:v>5.6622298085392869E-4</c:v>
                </c:pt>
                <c:pt idx="4">
                  <c:v>5.5773164916515555E-4</c:v>
                </c:pt>
                <c:pt idx="5">
                  <c:v>5.2351405133090685E-4</c:v>
                </c:pt>
                <c:pt idx="6">
                  <c:v>4.9239412464457965E-4</c:v>
                </c:pt>
                <c:pt idx="7">
                  <c:v>4.6366345567704884E-4</c:v>
                </c:pt>
                <c:pt idx="8">
                  <c:v>4.3689768256861914E-4</c:v>
                </c:pt>
                <c:pt idx="9">
                  <c:v>4.1182913861281047E-4</c:v>
                </c:pt>
                <c:pt idx="10">
                  <c:v>3.8827798926491448E-4</c:v>
                </c:pt>
                <c:pt idx="11">
                  <c:v>3.6611440865308203E-4</c:v>
                </c:pt>
                <c:pt idx="12">
                  <c:v>3.4523761421317747E-4</c:v>
                </c:pt>
                <c:pt idx="13">
                  <c:v>3.2556418492278382E-4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6F6-4E99-8D49-80C274552D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924096"/>
        <c:axId val="151934080"/>
      </c:scatterChart>
      <c:valAx>
        <c:axId val="151924096"/>
        <c:scaling>
          <c:orientation val="minMax"/>
          <c:max val="150"/>
          <c:min val="75"/>
        </c:scaling>
        <c:delete val="0"/>
        <c:axPos val="b"/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Arial" panose="020B0604020202020204" pitchFamily="34" charset="0"/>
                <a:ea typeface="Calibri"/>
                <a:cs typeface="Arial" panose="020B0604020202020204" pitchFamily="34" charset="0"/>
              </a:defRPr>
            </a:pPr>
            <a:endParaRPr lang="ru-RU"/>
          </a:p>
        </c:txPr>
        <c:crossAx val="151934080"/>
        <c:crosses val="autoZero"/>
        <c:crossBetween val="midCat"/>
        <c:majorUnit val="10"/>
      </c:valAx>
      <c:valAx>
        <c:axId val="151934080"/>
        <c:scaling>
          <c:orientation val="minMax"/>
          <c:max val="45"/>
          <c:min val="2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txPr>
          <a:bodyPr/>
          <a:lstStyle/>
          <a:p>
            <a:pPr>
              <a:defRPr sz="1400">
                <a:latin typeface="Arial" panose="020B0604020202020204" pitchFamily="34" charset="0"/>
                <a:cs typeface="Arial" panose="020B0604020202020204" pitchFamily="34" charset="0"/>
              </a:defRPr>
            </a:pPr>
            <a:endParaRPr lang="ru-RU"/>
          </a:p>
        </c:txPr>
        <c:crossAx val="151924096"/>
        <c:crosses val="autoZero"/>
        <c:crossBetween val="midCat"/>
        <c:majorUnit val="5"/>
      </c:valAx>
    </c:plotArea>
    <c:plotVisOnly val="1"/>
    <c:dispBlanksAs val="gap"/>
    <c:showDLblsOverMax val="0"/>
  </c:chart>
  <c:spPr>
    <a:solidFill>
      <a:schemeClr val="bg2"/>
    </a:solidFill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>
                <a:latin typeface="Arial" panose="020B0604020202020204" pitchFamily="34" charset="0"/>
                <a:cs typeface="Arial" panose="020B0604020202020204" pitchFamily="34" charset="0"/>
              </a:defRPr>
            </a:pPr>
            <a:r>
              <a:rPr lang="en-US" sz="2000" b="1">
                <a:latin typeface="Arial" panose="020B0604020202020204" pitchFamily="34" charset="0"/>
                <a:cs typeface="Arial" panose="020B0604020202020204" pitchFamily="34" charset="0"/>
              </a:rPr>
              <a:t>Dm</a:t>
            </a:r>
          </a:p>
        </c:rich>
      </c:tx>
      <c:layout>
        <c:manualLayout>
          <c:xMode val="edge"/>
          <c:yMode val="edge"/>
          <c:x val="0.60310605906239534"/>
          <c:y val="0.71582452193475821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7.6747538294661341E-2"/>
          <c:y val="2.7761529808773899E-2"/>
          <c:w val="0.89540908495494342"/>
          <c:h val="0.9127474986679297"/>
        </c:manualLayout>
      </c:layout>
      <c:scatterChart>
        <c:scatterStyle val="smoothMarker"/>
        <c:varyColors val="0"/>
        <c:ser>
          <c:idx val="0"/>
          <c:order val="0"/>
          <c:spPr>
            <a:ln w="76200"/>
          </c:spPr>
          <c:marker>
            <c:symbol val="none"/>
          </c:marker>
          <c:xVal>
            <c:numRef>
              <c:f>ОТЧЁТ!$DX$899:$DX$920</c:f>
              <c:numCache>
                <c:formatCode>General</c:formatCode>
                <c:ptCount val="22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</c:numCache>
            </c:numRef>
          </c:xVal>
          <c:yVal>
            <c:numRef>
              <c:f>ОТЧЁТ!$DY$899:$DY$920</c:f>
              <c:numCache>
                <c:formatCode>0.00</c:formatCode>
                <c:ptCount val="22"/>
                <c:pt idx="0">
                  <c:v>1</c:v>
                </c:pt>
                <c:pt idx="1">
                  <c:v>1.4122477570972609</c:v>
                </c:pt>
                <c:pt idx="2">
                  <c:v>1.5864611043969121</c:v>
                </c:pt>
                <c:pt idx="3">
                  <c:v>1.7669204828999698</c:v>
                </c:pt>
                <c:pt idx="4">
                  <c:v>3.0316772495419131</c:v>
                </c:pt>
                <c:pt idx="5">
                  <c:v>4.1892888398154868</c:v>
                </c:pt>
                <c:pt idx="6">
                  <c:v>5.0659822500447591</c:v>
                </c:pt>
                <c:pt idx="7">
                  <c:v>5.7822315297952604</c:v>
                </c:pt>
                <c:pt idx="8">
                  <c:v>6.5915237407621836</c:v>
                </c:pt>
                <c:pt idx="9">
                  <c:v>7.7337827274937645</c:v>
                </c:pt>
                <c:pt idx="10">
                  <c:v>9.1849440425976727</c:v>
                </c:pt>
                <c:pt idx="11">
                  <c:v>10.5310440318469</c:v>
                </c:pt>
                <c:pt idx="12">
                  <c:v>12.093285009188341</c:v>
                </c:pt>
                <c:pt idx="13">
                  <c:v>14.279402745112492</c:v>
                </c:pt>
                <c:pt idx="14">
                  <c:v>14.669938798054028</c:v>
                </c:pt>
                <c:pt idx="15">
                  <c:v>16.830212945381799</c:v>
                </c:pt>
                <c:pt idx="16">
                  <c:v>19.85424571376991</c:v>
                </c:pt>
                <c:pt idx="17">
                  <c:v>21.405203901528715</c:v>
                </c:pt>
                <c:pt idx="18">
                  <c:v>22.832323118365768</c:v>
                </c:pt>
                <c:pt idx="19">
                  <c:v>24.43123573923766</c:v>
                </c:pt>
                <c:pt idx="20">
                  <c:v>27.196038400434425</c:v>
                </c:pt>
                <c:pt idx="21">
                  <c:v>28.328183799288354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A99-410B-A3E1-D658879A3612}"/>
            </c:ext>
          </c:extLst>
        </c:ser>
        <c:ser>
          <c:idx val="1"/>
          <c:order val="1"/>
          <c:spPr>
            <a:ln w="76200"/>
          </c:spPr>
          <c:marker>
            <c:symbol val="none"/>
          </c:marker>
          <c:xVal>
            <c:numRef>
              <c:f>ОТЧЁТ!$DX$899:$DX$920</c:f>
              <c:numCache>
                <c:formatCode>General</c:formatCode>
                <c:ptCount val="22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</c:numCache>
            </c:numRef>
          </c:xVal>
          <c:yVal>
            <c:numRef>
              <c:f>ОТЧЁТ!$DZ$899:$DZ$920</c:f>
              <c:numCache>
                <c:formatCode>0.00</c:formatCode>
                <c:ptCount val="22"/>
                <c:pt idx="0" formatCode="0.0">
                  <c:v>1</c:v>
                </c:pt>
                <c:pt idx="1">
                  <c:v>1.218</c:v>
                </c:pt>
                <c:pt idx="2">
                  <c:v>1.3519800000000002</c:v>
                </c:pt>
                <c:pt idx="3">
                  <c:v>2.4930511200000005</c:v>
                </c:pt>
                <c:pt idx="4">
                  <c:v>3.4030147788000007</c:v>
                </c:pt>
                <c:pt idx="5">
                  <c:v>4.0904237641176007</c:v>
                </c:pt>
                <c:pt idx="6">
                  <c:v>4.8512425842434741</c:v>
                </c:pt>
                <c:pt idx="7">
                  <c:v>5.5837802144642392</c:v>
                </c:pt>
                <c:pt idx="8">
                  <c:v>6.2538338401999489</c:v>
                </c:pt>
                <c:pt idx="9">
                  <c:v>6.9855323995033425</c:v>
                </c:pt>
                <c:pt idx="10">
                  <c:v>7.7469554310492068</c:v>
                </c:pt>
                <c:pt idx="11">
                  <c:v>8.4441814198436358</c:v>
                </c:pt>
                <c:pt idx="12">
                  <c:v>9.4465057543790749</c:v>
                </c:pt>
                <c:pt idx="13">
                  <c:v>10.701001718560617</c:v>
                </c:pt>
                <c:pt idx="14">
                  <c:v>11.642689869793951</c:v>
                </c:pt>
                <c:pt idx="15">
                  <c:v>12.664918040361862</c:v>
                </c:pt>
                <c:pt idx="16">
                  <c:v>13.437478040823935</c:v>
                </c:pt>
                <c:pt idx="17">
                  <c:v>14.321664095910151</c:v>
                </c:pt>
                <c:pt idx="18">
                  <c:v>15.245411430096356</c:v>
                </c:pt>
                <c:pt idx="19">
                  <c:v>17.318787384589459</c:v>
                </c:pt>
                <c:pt idx="20">
                  <c:v>19.552910957201501</c:v>
                </c:pt>
                <c:pt idx="21">
                  <c:v>20.606812857794662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A99-410B-A3E1-D658879A3612}"/>
            </c:ext>
          </c:extLst>
        </c:ser>
        <c:ser>
          <c:idx val="2"/>
          <c:order val="2"/>
          <c:spPr>
            <a:ln w="76200">
              <a:solidFill>
                <a:schemeClr val="accent4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ОТЧЁТ!$DX$899:$DX$920</c:f>
              <c:numCache>
                <c:formatCode>General</c:formatCode>
                <c:ptCount val="22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</c:numCache>
            </c:numRef>
          </c:xVal>
          <c:yVal>
            <c:numRef>
              <c:f>ОТЧЁТ!$EA$899:$EA$920</c:f>
              <c:numCache>
                <c:formatCode>0.00</c:formatCode>
                <c:ptCount val="22"/>
                <c:pt idx="0">
                  <c:v>1</c:v>
                </c:pt>
                <c:pt idx="1">
                  <c:v>1.170751567490661</c:v>
                </c:pt>
                <c:pt idx="2">
                  <c:v>1.4027022303089887</c:v>
                </c:pt>
                <c:pt idx="3">
                  <c:v>2.0776657762662092</c:v>
                </c:pt>
                <c:pt idx="4">
                  <c:v>4.8943006185343938</c:v>
                </c:pt>
                <c:pt idx="5">
                  <c:v>5.1416113994451775</c:v>
                </c:pt>
                <c:pt idx="6">
                  <c:v>5.3433855590626722</c:v>
                </c:pt>
                <c:pt idx="7">
                  <c:v>5.6965406483895409</c:v>
                </c:pt>
                <c:pt idx="8">
                  <c:v>5.788123461724906</c:v>
                </c:pt>
                <c:pt idx="9">
                  <c:v>5.6171649663435321</c:v>
                </c:pt>
                <c:pt idx="10">
                  <c:v>5.9336563381172764</c:v>
                </c:pt>
                <c:pt idx="11">
                  <c:v>5.9494755268032087</c:v>
                </c:pt>
                <c:pt idx="12">
                  <c:v>5.9724865903412292</c:v>
                </c:pt>
                <c:pt idx="13">
                  <c:v>6.6180737006266304</c:v>
                </c:pt>
                <c:pt idx="14">
                  <c:v>8.3015732196072296</c:v>
                </c:pt>
                <c:pt idx="15">
                  <c:v>8.121605375451491</c:v>
                </c:pt>
                <c:pt idx="16">
                  <c:v>8.2828741918760365</c:v>
                </c:pt>
                <c:pt idx="17">
                  <c:v>8.6670199170643638</c:v>
                </c:pt>
                <c:pt idx="18">
                  <c:v>9.0619465420277994</c:v>
                </c:pt>
                <c:pt idx="19">
                  <c:v>10.713774916786434</c:v>
                </c:pt>
                <c:pt idx="20">
                  <c:v>15.005583237946571</c:v>
                </c:pt>
                <c:pt idx="21">
                  <c:v>16.052012422908835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A99-410B-A3E1-D658879A3612}"/>
            </c:ext>
          </c:extLst>
        </c:ser>
        <c:ser>
          <c:idx val="3"/>
          <c:order val="3"/>
          <c:spPr>
            <a:ln w="38100">
              <a:solidFill>
                <a:schemeClr val="accent1">
                  <a:lumMod val="60000"/>
                  <a:lumOff val="40000"/>
                </a:schemeClr>
              </a:solidFill>
              <a:prstDash val="lgDash"/>
            </a:ln>
          </c:spPr>
          <c:marker>
            <c:symbol val="none"/>
          </c:marker>
          <c:xVal>
            <c:numRef>
              <c:f>ОТЧЁТ!$DX$920:$DX$934</c:f>
              <c:numCache>
                <c:formatCode>General</c:formatCode>
                <c:ptCount val="15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  <c:pt idx="6">
                  <c:v>2022</c:v>
                </c:pt>
                <c:pt idx="7">
                  <c:v>2023</c:v>
                </c:pt>
                <c:pt idx="8">
                  <c:v>2024</c:v>
                </c:pt>
                <c:pt idx="9">
                  <c:v>2025</c:v>
                </c:pt>
                <c:pt idx="10">
                  <c:v>2026</c:v>
                </c:pt>
                <c:pt idx="11">
                  <c:v>2027</c:v>
                </c:pt>
                <c:pt idx="12">
                  <c:v>2028</c:v>
                </c:pt>
                <c:pt idx="13">
                  <c:v>2029</c:v>
                </c:pt>
                <c:pt idx="14">
                  <c:v>2030</c:v>
                </c:pt>
              </c:numCache>
            </c:numRef>
          </c:xVal>
          <c:yVal>
            <c:numRef>
              <c:f>ОТЧЁТ!$DY$920:$DY$934</c:f>
              <c:numCache>
                <c:formatCode>0.00</c:formatCode>
                <c:ptCount val="15"/>
                <c:pt idx="0">
                  <c:v>28.328183799288354</c:v>
                </c:pt>
                <c:pt idx="1">
                  <c:v>29.877742312507845</c:v>
                </c:pt>
                <c:pt idx="2">
                  <c:v>32.514653338403463</c:v>
                </c:pt>
                <c:pt idx="3">
                  <c:v>31.980297493595838</c:v>
                </c:pt>
                <c:pt idx="4">
                  <c:v>33.328438855630772</c:v>
                </c:pt>
                <c:pt idx="5">
                  <c:v>36.285706472529633</c:v>
                </c:pt>
                <c:pt idx="6">
                  <c:v>38.753581796906595</c:v>
                </c:pt>
                <c:pt idx="7">
                  <c:v>41.377657914532122</c:v>
                </c:pt>
                <c:pt idx="8">
                  <c:v>44.163783161370247</c:v>
                </c:pt>
                <c:pt idx="9">
                  <c:v>47.119274779377989</c:v>
                </c:pt>
                <c:pt idx="10">
                  <c:v>50.252435090880134</c:v>
                </c:pt>
                <c:pt idx="11">
                  <c:v>53.572305998881035</c:v>
                </c:pt>
                <c:pt idx="12">
                  <c:v>57.088550391673721</c:v>
                </c:pt>
                <c:pt idx="13">
                  <c:v>60.811401422127091</c:v>
                </c:pt>
                <c:pt idx="14">
                  <c:v>64.751648408286357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FA99-410B-A3E1-D658879A3612}"/>
            </c:ext>
          </c:extLst>
        </c:ser>
        <c:ser>
          <c:idx val="4"/>
          <c:order val="4"/>
          <c:spPr>
            <a:ln w="38100">
              <a:solidFill>
                <a:srgbClr val="FF0000"/>
              </a:solidFill>
              <a:prstDash val="lgDash"/>
            </a:ln>
          </c:spPr>
          <c:marker>
            <c:symbol val="none"/>
          </c:marker>
          <c:xVal>
            <c:numRef>
              <c:f>ОТЧЁТ!$DX$920:$DX$934</c:f>
              <c:numCache>
                <c:formatCode>General</c:formatCode>
                <c:ptCount val="15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  <c:pt idx="6">
                  <c:v>2022</c:v>
                </c:pt>
                <c:pt idx="7">
                  <c:v>2023</c:v>
                </c:pt>
                <c:pt idx="8">
                  <c:v>2024</c:v>
                </c:pt>
                <c:pt idx="9">
                  <c:v>2025</c:v>
                </c:pt>
                <c:pt idx="10">
                  <c:v>2026</c:v>
                </c:pt>
                <c:pt idx="11">
                  <c:v>2027</c:v>
                </c:pt>
                <c:pt idx="12">
                  <c:v>2028</c:v>
                </c:pt>
                <c:pt idx="13">
                  <c:v>2029</c:v>
                </c:pt>
                <c:pt idx="14">
                  <c:v>2030</c:v>
                </c:pt>
              </c:numCache>
            </c:numRef>
          </c:xVal>
          <c:yVal>
            <c:numRef>
              <c:f>ОТЧЁТ!$DZ$920:$DZ$934</c:f>
              <c:numCache>
                <c:formatCode>0.00</c:formatCode>
                <c:ptCount val="15"/>
                <c:pt idx="0">
                  <c:v>20.606812857794662</c:v>
                </c:pt>
                <c:pt idx="1">
                  <c:v>21.124043860525305</c:v>
                </c:pt>
                <c:pt idx="2">
                  <c:v>22.02392812898368</c:v>
                </c:pt>
                <c:pt idx="3">
                  <c:v>22.693455544104783</c:v>
                </c:pt>
                <c:pt idx="4">
                  <c:v>23.807704211320324</c:v>
                </c:pt>
                <c:pt idx="5">
                  <c:v>24.998089421886341</c:v>
                </c:pt>
                <c:pt idx="6">
                  <c:v>26.247993892980659</c:v>
                </c:pt>
                <c:pt idx="7">
                  <c:v>27.560393587629694</c:v>
                </c:pt>
                <c:pt idx="8">
                  <c:v>28.938413267011178</c:v>
                </c:pt>
                <c:pt idx="9">
                  <c:v>30.385333930361739</c:v>
                </c:pt>
                <c:pt idx="10">
                  <c:v>31.904600626879827</c:v>
                </c:pt>
                <c:pt idx="11">
                  <c:v>33.499830658223821</c:v>
                </c:pt>
                <c:pt idx="12">
                  <c:v>35.174822191135014</c:v>
                </c:pt>
                <c:pt idx="13">
                  <c:v>36.933563300691766</c:v>
                </c:pt>
                <c:pt idx="14">
                  <c:v>38.780241465726355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FA99-410B-A3E1-D658879A3612}"/>
            </c:ext>
          </c:extLst>
        </c:ser>
        <c:ser>
          <c:idx val="5"/>
          <c:order val="5"/>
          <c:spPr>
            <a:ln w="38100">
              <a:solidFill>
                <a:schemeClr val="accent2">
                  <a:lumMod val="75000"/>
                </a:schemeClr>
              </a:solidFill>
              <a:prstDash val="lgDash"/>
            </a:ln>
          </c:spPr>
          <c:marker>
            <c:symbol val="none"/>
          </c:marker>
          <c:xVal>
            <c:numRef>
              <c:f>ОТЧЁТ!$DX$920:$DX$934</c:f>
              <c:numCache>
                <c:formatCode>General</c:formatCode>
                <c:ptCount val="15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  <c:pt idx="6">
                  <c:v>2022</c:v>
                </c:pt>
                <c:pt idx="7">
                  <c:v>2023</c:v>
                </c:pt>
                <c:pt idx="8">
                  <c:v>2024</c:v>
                </c:pt>
                <c:pt idx="9">
                  <c:v>2025</c:v>
                </c:pt>
                <c:pt idx="10">
                  <c:v>2026</c:v>
                </c:pt>
                <c:pt idx="11">
                  <c:v>2027</c:v>
                </c:pt>
                <c:pt idx="12">
                  <c:v>2028</c:v>
                </c:pt>
                <c:pt idx="13">
                  <c:v>2029</c:v>
                </c:pt>
                <c:pt idx="14">
                  <c:v>2030</c:v>
                </c:pt>
              </c:numCache>
            </c:numRef>
          </c:xVal>
          <c:yVal>
            <c:numRef>
              <c:f>ОТЧЁТ!$EA$920:$EA$934</c:f>
              <c:numCache>
                <c:formatCode>0.00</c:formatCode>
                <c:ptCount val="15"/>
                <c:pt idx="0">
                  <c:v>16.052012422908835</c:v>
                </c:pt>
                <c:pt idx="1">
                  <c:v>14.742627700481552</c:v>
                </c:pt>
                <c:pt idx="2">
                  <c:v>16.237654558609503</c:v>
                </c:pt>
                <c:pt idx="3">
                  <c:v>18.438060398142703</c:v>
                </c:pt>
                <c:pt idx="4">
                  <c:v>19.799322318991504</c:v>
                </c:pt>
                <c:pt idx="5">
                  <c:v>20.147590934941082</c:v>
                </c:pt>
                <c:pt idx="6">
                  <c:v>20.910602631688135</c:v>
                </c:pt>
                <c:pt idx="7">
                  <c:v>21.701943413272542</c:v>
                </c:pt>
                <c:pt idx="8">
                  <c:v>22.52302973393617</c:v>
                </c:pt>
                <c:pt idx="9">
                  <c:v>23.375348870632976</c:v>
                </c:pt>
                <c:pt idx="10">
                  <c:v>24.260462464164625</c:v>
                </c:pt>
                <c:pt idx="11">
                  <c:v>25.180010237372858</c:v>
                </c:pt>
                <c:pt idx="12">
                  <c:v>26.135713899241502</c:v>
                </c:pt>
                <c:pt idx="13">
                  <c:v>27.129381244203579</c:v>
                </c:pt>
                <c:pt idx="14">
                  <c:v>28.162910456413751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FA99-410B-A3E1-D658879A36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090112"/>
        <c:axId val="152091648"/>
      </c:scatterChart>
      <c:valAx>
        <c:axId val="152090112"/>
        <c:scaling>
          <c:orientation val="minMax"/>
          <c:max val="2030"/>
          <c:min val="1995"/>
        </c:scaling>
        <c:delete val="0"/>
        <c:axPos val="b"/>
        <c:numFmt formatCode="#,##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52091648"/>
        <c:crosses val="autoZero"/>
        <c:crossBetween val="midCat"/>
        <c:majorUnit val="5"/>
      </c:valAx>
      <c:valAx>
        <c:axId val="152091648"/>
        <c:scaling>
          <c:orientation val="minMax"/>
          <c:max val="60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txPr>
          <a:bodyPr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52090112"/>
        <c:crosses val="autoZero"/>
        <c:crossBetween val="midCat"/>
        <c:majorUnit val="20"/>
      </c:valAx>
      <c:spPr>
        <a:solidFill>
          <a:sysClr val="window" lastClr="FFFFFF"/>
        </a:solidFill>
      </c:spPr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landscape"/>
  </c:printSettings>
  <c:userShapes r:id="rId1"/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6754289327173491E-2"/>
          <c:y val="2.7693774373550018E-2"/>
          <c:w val="0.90643879998279386"/>
          <c:h val="0.91281525110155792"/>
        </c:manualLayout>
      </c:layout>
      <c:scatterChart>
        <c:scatterStyle val="smoothMarker"/>
        <c:varyColors val="0"/>
        <c:ser>
          <c:idx val="0"/>
          <c:order val="0"/>
          <c:spPr>
            <a:ln w="114300">
              <a:solidFill>
                <a:schemeClr val="accent1">
                  <a:alpha val="80000"/>
                </a:schemeClr>
              </a:solidFill>
            </a:ln>
          </c:spPr>
          <c:marker>
            <c:symbol val="none"/>
          </c:marker>
          <c:xVal>
            <c:numRef>
              <c:f>ОТЧЁТ!$CT$413:$CT$436</c:f>
              <c:numCache>
                <c:formatCode>General</c:formatCode>
                <c:ptCount val="24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</c:numCache>
            </c:numRef>
          </c:xVal>
          <c:yVal>
            <c:numRef>
              <c:f>ОТЧЁТ!$CU$413:$CU$436</c:f>
              <c:numCache>
                <c:formatCode>0.000</c:formatCode>
                <c:ptCount val="24"/>
                <c:pt idx="0">
                  <c:v>0.18602814222542435</c:v>
                </c:pt>
                <c:pt idx="1">
                  <c:v>0.20193696820110807</c:v>
                </c:pt>
                <c:pt idx="2">
                  <c:v>0.20077030917127051</c:v>
                </c:pt>
                <c:pt idx="3">
                  <c:v>0.17564649920911823</c:v>
                </c:pt>
                <c:pt idx="4">
                  <c:v>0.17736677529339789</c:v>
                </c:pt>
                <c:pt idx="5">
                  <c:v>0.21045165705943777</c:v>
                </c:pt>
                <c:pt idx="6">
                  <c:v>0.22075386925949722</c:v>
                </c:pt>
                <c:pt idx="7">
                  <c:v>0.23009857341476964</c:v>
                </c:pt>
                <c:pt idx="8">
                  <c:v>0.24253877934926296</c:v>
                </c:pt>
                <c:pt idx="9">
                  <c:v>0.25160823372823521</c:v>
                </c:pt>
                <c:pt idx="10">
                  <c:v>0.25783555641470957</c:v>
                </c:pt>
                <c:pt idx="11">
                  <c:v>0.26687813853792092</c:v>
                </c:pt>
                <c:pt idx="12">
                  <c:v>0.27752871293871573</c:v>
                </c:pt>
                <c:pt idx="13">
                  <c:v>0.28233244102428678</c:v>
                </c:pt>
                <c:pt idx="14">
                  <c:v>0.20580264972695869</c:v>
                </c:pt>
                <c:pt idx="15">
                  <c:v>0.24609376472050032</c:v>
                </c:pt>
                <c:pt idx="16">
                  <c:v>0.27167126619383269</c:v>
                </c:pt>
                <c:pt idx="17">
                  <c:v>0.27117347874806208</c:v>
                </c:pt>
                <c:pt idx="18">
                  <c:v>0.26539413338300072</c:v>
                </c:pt>
                <c:pt idx="19">
                  <c:v>0.24074796552908859</c:v>
                </c:pt>
                <c:pt idx="20">
                  <c:v>0.20957161629151927</c:v>
                </c:pt>
                <c:pt idx="21">
                  <c:v>0.20657808103265329</c:v>
                </c:pt>
                <c:pt idx="22">
                  <c:v>0.22697099503222676</c:v>
                </c:pt>
                <c:pt idx="23">
                  <c:v>0.2265787550715769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3AA-4F48-8816-3B15D47E7A55}"/>
            </c:ext>
          </c:extLst>
        </c:ser>
        <c:ser>
          <c:idx val="1"/>
          <c:order val="1"/>
          <c:spPr>
            <a:ln w="60325">
              <a:prstDash val="lgDash"/>
            </a:ln>
          </c:spPr>
          <c:marker>
            <c:symbol val="none"/>
          </c:marker>
          <c:xVal>
            <c:numRef>
              <c:f>ОТЧЁТ!$CT$434:$CT$453</c:f>
              <c:numCache>
                <c:formatCode>General</c:formatCode>
                <c:ptCount val="20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  <c:pt idx="6">
                  <c:v>2022</c:v>
                </c:pt>
                <c:pt idx="7">
                  <c:v>2023</c:v>
                </c:pt>
                <c:pt idx="8">
                  <c:v>2024</c:v>
                </c:pt>
                <c:pt idx="9">
                  <c:v>2025</c:v>
                </c:pt>
                <c:pt idx="10">
                  <c:v>2026</c:v>
                </c:pt>
                <c:pt idx="11">
                  <c:v>2027</c:v>
                </c:pt>
                <c:pt idx="12">
                  <c:v>2028</c:v>
                </c:pt>
                <c:pt idx="13">
                  <c:v>2029</c:v>
                </c:pt>
                <c:pt idx="14">
                  <c:v>2030</c:v>
                </c:pt>
                <c:pt idx="15">
                  <c:v>2031</c:v>
                </c:pt>
                <c:pt idx="16">
                  <c:v>2032</c:v>
                </c:pt>
                <c:pt idx="17">
                  <c:v>2033</c:v>
                </c:pt>
                <c:pt idx="18">
                  <c:v>2034</c:v>
                </c:pt>
                <c:pt idx="19">
                  <c:v>2035</c:v>
                </c:pt>
              </c:numCache>
            </c:numRef>
          </c:xVal>
          <c:yVal>
            <c:numRef>
              <c:f>ОТЧЁТ!$CX$434:$CX$453</c:f>
              <c:numCache>
                <c:formatCode>0.000</c:formatCode>
                <c:ptCount val="20"/>
                <c:pt idx="1">
                  <c:v>0.22697099503222676</c:v>
                </c:pt>
                <c:pt idx="2">
                  <c:v>0.2265787550715769</c:v>
                </c:pt>
                <c:pt idx="3">
                  <c:v>0.22634341109518699</c:v>
                </c:pt>
                <c:pt idx="4">
                  <c:v>0.22620220470935304</c:v>
                </c:pt>
                <c:pt idx="5">
                  <c:v>0.22611748087785266</c:v>
                </c:pt>
                <c:pt idx="6">
                  <c:v>0.22606664657895242</c:v>
                </c:pt>
                <c:pt idx="7">
                  <c:v>0.22603614599961228</c:v>
                </c:pt>
                <c:pt idx="8">
                  <c:v>0.22601784565200819</c:v>
                </c:pt>
                <c:pt idx="9">
                  <c:v>0.22600686544344575</c:v>
                </c:pt>
                <c:pt idx="10">
                  <c:v>0.2260002773183083</c:v>
                </c:pt>
                <c:pt idx="11">
                  <c:v>0.22599632444322582</c:v>
                </c:pt>
                <c:pt idx="12">
                  <c:v>0.22599395271817632</c:v>
                </c:pt>
                <c:pt idx="13">
                  <c:v>0.22599252968314662</c:v>
                </c:pt>
                <c:pt idx="14">
                  <c:v>0.22599167586212879</c:v>
                </c:pt>
                <c:pt idx="15">
                  <c:v>0.22599116356951809</c:v>
                </c:pt>
                <c:pt idx="16">
                  <c:v>0.22599085619395168</c:v>
                </c:pt>
                <c:pt idx="17">
                  <c:v>0.22599067176861182</c:v>
                </c:pt>
                <c:pt idx="18">
                  <c:v>0.2259905611134079</c:v>
                </c:pt>
                <c:pt idx="19">
                  <c:v>0.22599049472028554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174-49D7-B1F0-2996DA5ACD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188416"/>
        <c:axId val="152189952"/>
      </c:scatterChart>
      <c:valAx>
        <c:axId val="152188416"/>
        <c:scaling>
          <c:orientation val="minMax"/>
          <c:max val="2035"/>
          <c:min val="1995"/>
        </c:scaling>
        <c:delete val="0"/>
        <c:axPos val="b"/>
        <c:numFmt formatCode="#,##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52189952"/>
        <c:crosses val="autoZero"/>
        <c:crossBetween val="midCat"/>
        <c:majorUnit val="5"/>
      </c:valAx>
      <c:valAx>
        <c:axId val="152189952"/>
        <c:scaling>
          <c:orientation val="minMax"/>
          <c:max val="0.5"/>
          <c:min val="0"/>
        </c:scaling>
        <c:delete val="0"/>
        <c:axPos val="l"/>
        <c:majorGridlines/>
        <c:numFmt formatCode="0.00" sourceLinked="0"/>
        <c:majorTickMark val="out"/>
        <c:minorTickMark val="none"/>
        <c:tickLblPos val="nextTo"/>
        <c:txPr>
          <a:bodyPr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52188416"/>
        <c:crosses val="autoZero"/>
        <c:crossBetween val="midCat"/>
        <c:majorUnit val="0.1"/>
      </c:valAx>
      <c:spPr>
        <a:solidFill>
          <a:sysClr val="window" lastClr="FFFFFF"/>
        </a:solidFill>
      </c:spPr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3405834553795554E-2"/>
          <c:y val="3.5787548854397146E-2"/>
          <c:w val="0.90193641124732649"/>
          <c:h val="0.92514511115595666"/>
        </c:manualLayout>
      </c:layout>
      <c:scatterChart>
        <c:scatterStyle val="smoothMarker"/>
        <c:varyColors val="0"/>
        <c:ser>
          <c:idx val="0"/>
          <c:order val="0"/>
          <c:spPr>
            <a:ln w="38100">
              <a:solidFill>
                <a:schemeClr val="tx1"/>
              </a:solidFill>
            </a:ln>
          </c:spPr>
          <c:marker>
            <c:symbol val="circle"/>
            <c:size val="12"/>
            <c:spPr>
              <a:noFill/>
            </c:spPr>
          </c:marker>
          <c:xVal>
            <c:numRef>
              <c:f>ОТЧЁТ!$FK$187:$FK$208</c:f>
              <c:numCache>
                <c:formatCode>0.00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xVal>
          <c:yVal>
            <c:numRef>
              <c:f>ОТЧЁТ!$FH$187:$FH$208</c:f>
              <c:numCache>
                <c:formatCode>0.000</c:formatCode>
                <c:ptCount val="22"/>
                <c:pt idx="0">
                  <c:v>0.68468399999999996</c:v>
                </c:pt>
                <c:pt idx="1">
                  <c:v>0.71891819999999995</c:v>
                </c:pt>
                <c:pt idx="2">
                  <c:v>0.84400996679999984</c:v>
                </c:pt>
                <c:pt idx="3">
                  <c:v>0.92841096347999985</c:v>
                </c:pt>
                <c:pt idx="4">
                  <c:v>0.95440647045743987</c:v>
                </c:pt>
                <c:pt idx="5">
                  <c:v>1.0737072792646198</c:v>
                </c:pt>
                <c:pt idx="6">
                  <c:v>1.2208051765238728</c:v>
                </c:pt>
                <c:pt idx="7">
                  <c:v>1.3453273045293079</c:v>
                </c:pt>
                <c:pt idx="8">
                  <c:v>1.5699969643857024</c:v>
                </c:pt>
                <c:pt idx="9">
                  <c:v>1.9263862753012568</c:v>
                </c:pt>
                <c:pt idx="10">
                  <c:v>2.1093929714548763</c:v>
                </c:pt>
                <c:pt idx="11">
                  <c:v>1.8246249203084679</c:v>
                </c:pt>
                <c:pt idx="12">
                  <c:v>1.9395762902879012</c:v>
                </c:pt>
                <c:pt idx="13">
                  <c:v>2.1490505296389948</c:v>
                </c:pt>
                <c:pt idx="14">
                  <c:v>2.2951859656544467</c:v>
                </c:pt>
                <c:pt idx="15">
                  <c:v>2.313547453379682</c:v>
                </c:pt>
                <c:pt idx="16">
                  <c:v>2.2788442415789869</c:v>
                </c:pt>
                <c:pt idx="17">
                  <c:v>2.0486809731795095</c:v>
                </c:pt>
                <c:pt idx="18">
                  <c:v>2.0445836112331506</c:v>
                </c:pt>
                <c:pt idx="19">
                  <c:v>2.142723624572342</c:v>
                </c:pt>
                <c:pt idx="20">
                  <c:v>2.2348607404289527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69A3-4604-9CF2-779E27F75520}"/>
            </c:ext>
          </c:extLst>
        </c:ser>
        <c:ser>
          <c:idx val="1"/>
          <c:order val="1"/>
          <c:xVal>
            <c:numRef>
              <c:f>ОТЧЁТ!$FK$206:$FK$208</c:f>
              <c:numCache>
                <c:formatCode>0.00</c:formatCode>
                <c:ptCount val="3"/>
                <c:pt idx="0">
                  <c:v>0</c:v>
                </c:pt>
                <c:pt idx="1">
                  <c:v>0</c:v>
                </c:pt>
              </c:numCache>
            </c:numRef>
          </c:xVal>
          <c:yVal>
            <c:numRef>
              <c:f>ОТЧЁТ!$FJ$206:$FJ$208</c:f>
              <c:numCache>
                <c:formatCode>0.0</c:formatCode>
                <c:ptCount val="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2CD-4031-9C2F-041E45BA7BA2}"/>
            </c:ext>
          </c:extLst>
        </c:ser>
        <c:ser>
          <c:idx val="2"/>
          <c:order val="2"/>
          <c:xVal>
            <c:numRef>
              <c:f>ОТЧЁТ!$FK$205:$FK$208</c:f>
              <c:numCache>
                <c:formatCode>0.00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ОТЧЁТ!$FJ$205:$FJ$208</c:f>
              <c:numCache>
                <c:formatCode>0.0</c:formatCode>
                <c:ptCount val="4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8FE-4272-A62B-AD8C9AB7CB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149376"/>
        <c:axId val="152155264"/>
      </c:scatterChart>
      <c:valAx>
        <c:axId val="152149376"/>
        <c:scaling>
          <c:orientation val="minMax"/>
          <c:max val="2.5"/>
          <c:min val="0.5"/>
        </c:scaling>
        <c:delete val="0"/>
        <c:axPos val="b"/>
        <c:numFmt formatCode="#,##0.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52155264"/>
        <c:crosses val="autoZero"/>
        <c:crossBetween val="midCat"/>
        <c:majorUnit val="0.5"/>
      </c:valAx>
      <c:valAx>
        <c:axId val="152155264"/>
        <c:scaling>
          <c:orientation val="minMax"/>
          <c:max val="3"/>
          <c:min val="0.5"/>
        </c:scaling>
        <c:delete val="0"/>
        <c:axPos val="l"/>
        <c:majorGridlines/>
        <c:numFmt formatCode="0.0" sourceLinked="0"/>
        <c:majorTickMark val="out"/>
        <c:minorTickMark val="none"/>
        <c:tickLblPos val="nextTo"/>
        <c:txPr>
          <a:bodyPr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52149376"/>
        <c:crosses val="autoZero"/>
        <c:crossBetween val="midCat"/>
        <c:majorUnit val="0.5"/>
      </c:valAx>
      <c:spPr>
        <a:solidFill>
          <a:sysClr val="window" lastClr="FFFFFF"/>
        </a:solidFill>
        <a:ln>
          <a:solidFill>
            <a:schemeClr val="accent4">
              <a:lumMod val="75000"/>
            </a:schemeClr>
          </a:solidFill>
          <a:prstDash val="lgDashDotDot"/>
        </a:ln>
      </c:spPr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3603706352401562E-2"/>
          <c:y val="2.0801327694030546E-2"/>
          <c:w val="0.90855288297725545"/>
          <c:h val="0.93282266589605956"/>
        </c:manualLayout>
      </c:layout>
      <c:scatterChart>
        <c:scatterStyle val="smoothMarker"/>
        <c:varyColors val="0"/>
        <c:ser>
          <c:idx val="0"/>
          <c:order val="0"/>
          <c:spPr>
            <a:ln w="171450">
              <a:solidFill>
                <a:srgbClr val="FFC000"/>
              </a:solidFill>
            </a:ln>
          </c:spPr>
          <c:marker>
            <c:symbol val="circle"/>
            <c:size val="22"/>
            <c:spPr>
              <a:noFill/>
            </c:spPr>
          </c:marker>
          <c:xVal>
            <c:numRef>
              <c:f>ОТЧЁТ!$CU$316:$CU$340</c:f>
              <c:numCache>
                <c:formatCode>0.00</c:formatCode>
                <c:ptCount val="25"/>
                <c:pt idx="0">
                  <c:v>1.4285209000000001</c:v>
                </c:pt>
                <c:pt idx="1">
                  <c:v>2.0078252000000001</c:v>
                </c:pt>
                <c:pt idx="2">
                  <c:v>2.3425137</c:v>
                </c:pt>
                <c:pt idx="3">
                  <c:v>2.6296228999999998</c:v>
                </c:pt>
                <c:pt idx="4">
                  <c:v>4.8232328999999998</c:v>
                </c:pt>
                <c:pt idx="5">
                  <c:v>7.3056466000000002</c:v>
                </c:pt>
                <c:pt idx="6">
                  <c:v>8.9435825999999992</c:v>
                </c:pt>
                <c:pt idx="7">
                  <c:v>10.819270899999998</c:v>
                </c:pt>
                <c:pt idx="8">
                  <c:v>13.208250299999998</c:v>
                </c:pt>
                <c:pt idx="9">
                  <c:v>17.027166999999999</c:v>
                </c:pt>
                <c:pt idx="10">
                  <c:v>21.609765799999998</c:v>
                </c:pt>
                <c:pt idx="11">
                  <c:v>26.917203699999998</c:v>
                </c:pt>
                <c:pt idx="12">
                  <c:v>33.2475132</c:v>
                </c:pt>
                <c:pt idx="13">
                  <c:v>41.276849199999994</c:v>
                </c:pt>
                <c:pt idx="14">
                  <c:v>38.807270899999999</c:v>
                </c:pt>
                <c:pt idx="15">
                  <c:v>46.308531000000009</c:v>
                </c:pt>
                <c:pt idx="16">
                  <c:v>60.282540400000002</c:v>
                </c:pt>
                <c:pt idx="17">
                  <c:v>68.163883100000007</c:v>
                </c:pt>
                <c:pt idx="18">
                  <c:v>73.133895099999975</c:v>
                </c:pt>
                <c:pt idx="19">
                  <c:v>79.058000000000007</c:v>
                </c:pt>
                <c:pt idx="20">
                  <c:v>83.093999999999994</c:v>
                </c:pt>
                <c:pt idx="21">
                  <c:v>86.013999999999996</c:v>
                </c:pt>
                <c:pt idx="22">
                  <c:v>92.100999999999999</c:v>
                </c:pt>
                <c:pt idx="23">
                  <c:v>103.876</c:v>
                </c:pt>
                <c:pt idx="24">
                  <c:v>110.04600000000001</c:v>
                </c:pt>
              </c:numCache>
            </c:numRef>
          </c:xVal>
          <c:yVal>
            <c:numRef>
              <c:f>ОТЧЁТ!$CS$316:$CS$340</c:f>
              <c:numCache>
                <c:formatCode>0.00</c:formatCode>
                <c:ptCount val="25"/>
                <c:pt idx="0">
                  <c:v>0.22080000000000002</c:v>
                </c:pt>
                <c:pt idx="1">
                  <c:v>0.2823</c:v>
                </c:pt>
                <c:pt idx="2">
                  <c:v>0.3574</c:v>
                </c:pt>
                <c:pt idx="3">
                  <c:v>0.39689999999999998</c:v>
                </c:pt>
                <c:pt idx="4">
                  <c:v>0.62509999999999999</c:v>
                </c:pt>
                <c:pt idx="5">
                  <c:v>0.71460000000000001</c:v>
                </c:pt>
                <c:pt idx="6">
                  <c:v>1.1505999999999998</c:v>
                </c:pt>
                <c:pt idx="7">
                  <c:v>1.6094000000000002</c:v>
                </c:pt>
                <c:pt idx="8">
                  <c:v>2.1305000000000001</c:v>
                </c:pt>
                <c:pt idx="9">
                  <c:v>3.2051999999999996</c:v>
                </c:pt>
                <c:pt idx="10">
                  <c:v>4.3538999999999994</c:v>
                </c:pt>
                <c:pt idx="11">
                  <c:v>6.0321000000000007</c:v>
                </c:pt>
                <c:pt idx="12">
                  <c:v>8.9707000000000008</c:v>
                </c:pt>
                <c:pt idx="13">
                  <c:v>12.869</c:v>
                </c:pt>
                <c:pt idx="14">
                  <c:v>12.975899999999999</c:v>
                </c:pt>
                <c:pt idx="15">
                  <c:v>15.2676</c:v>
                </c:pt>
                <c:pt idx="16">
                  <c:v>20.011900000000001</c:v>
                </c:pt>
                <c:pt idx="17">
                  <c:v>24.204799999999999</c:v>
                </c:pt>
                <c:pt idx="18">
                  <c:v>27.1646</c:v>
                </c:pt>
                <c:pt idx="19">
                  <c:v>31.1556</c:v>
                </c:pt>
                <c:pt idx="20">
                  <c:v>31.6157</c:v>
                </c:pt>
                <c:pt idx="21">
                  <c:v>35.179699999999997</c:v>
                </c:pt>
                <c:pt idx="22">
                  <c:v>38.417999999999999</c:v>
                </c:pt>
                <c:pt idx="23">
                  <c:v>42.4422</c:v>
                </c:pt>
                <c:pt idx="24">
                  <c:v>47.109300000000005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0C3-4282-98B7-AA7978C352A1}"/>
            </c:ext>
          </c:extLst>
        </c:ser>
        <c:ser>
          <c:idx val="1"/>
          <c:order val="1"/>
          <c:trendline>
            <c:spPr>
              <a:ln w="25400">
                <a:solidFill>
                  <a:schemeClr val="tx1"/>
                </a:solidFill>
                <a:prstDash val="lgDash"/>
              </a:ln>
            </c:spPr>
            <c:trendlineType val="linear"/>
            <c:forward val="30"/>
            <c:dispRSqr val="1"/>
            <c:dispEq val="1"/>
            <c:trendlineLbl>
              <c:layout>
                <c:manualLayout>
                  <c:x val="0.13756910705310774"/>
                  <c:y val="0.27691345573831366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sz="1600">
                      <a:latin typeface="Arial" panose="020B0604020202020204" pitchFamily="34" charset="0"/>
                      <a:cs typeface="Arial" panose="020B0604020202020204" pitchFamily="34" charset="0"/>
                    </a:defRPr>
                  </a:pPr>
                  <a:endParaRPr lang="ru-RU"/>
                </a:p>
              </c:txPr>
            </c:trendlineLbl>
          </c:trendline>
          <c:xVal>
            <c:numRef>
              <c:f>ОТЧЁТ!$CU$327:$CU$340</c:f>
              <c:numCache>
                <c:formatCode>0.00</c:formatCode>
                <c:ptCount val="14"/>
                <c:pt idx="0">
                  <c:v>26.917203699999998</c:v>
                </c:pt>
                <c:pt idx="1">
                  <c:v>33.2475132</c:v>
                </c:pt>
                <c:pt idx="2">
                  <c:v>41.276849199999994</c:v>
                </c:pt>
                <c:pt idx="3">
                  <c:v>38.807270899999999</c:v>
                </c:pt>
                <c:pt idx="4">
                  <c:v>46.308531000000009</c:v>
                </c:pt>
                <c:pt idx="5">
                  <c:v>60.282540400000002</c:v>
                </c:pt>
                <c:pt idx="6">
                  <c:v>68.163883100000007</c:v>
                </c:pt>
                <c:pt idx="7">
                  <c:v>73.133895099999975</c:v>
                </c:pt>
                <c:pt idx="8">
                  <c:v>79.058000000000007</c:v>
                </c:pt>
                <c:pt idx="9">
                  <c:v>83.093999999999994</c:v>
                </c:pt>
                <c:pt idx="10">
                  <c:v>86.013999999999996</c:v>
                </c:pt>
                <c:pt idx="11">
                  <c:v>92.100999999999999</c:v>
                </c:pt>
                <c:pt idx="12">
                  <c:v>103.876</c:v>
                </c:pt>
                <c:pt idx="13">
                  <c:v>110.04600000000001</c:v>
                </c:pt>
              </c:numCache>
            </c:numRef>
          </c:xVal>
          <c:yVal>
            <c:numRef>
              <c:f>ОТЧЁТ!$CT$327:$CT$340</c:f>
              <c:numCache>
                <c:formatCode>0.00</c:formatCode>
                <c:ptCount val="14"/>
                <c:pt idx="0">
                  <c:v>6.0321000000000007</c:v>
                </c:pt>
                <c:pt idx="1">
                  <c:v>8.9707000000000008</c:v>
                </c:pt>
                <c:pt idx="2">
                  <c:v>12.869</c:v>
                </c:pt>
                <c:pt idx="3">
                  <c:v>12.975899999999999</c:v>
                </c:pt>
                <c:pt idx="4">
                  <c:v>15.2676</c:v>
                </c:pt>
                <c:pt idx="5">
                  <c:v>20.011900000000001</c:v>
                </c:pt>
                <c:pt idx="6">
                  <c:v>24.204799999999999</c:v>
                </c:pt>
                <c:pt idx="7">
                  <c:v>27.1646</c:v>
                </c:pt>
                <c:pt idx="8">
                  <c:v>31.1556</c:v>
                </c:pt>
                <c:pt idx="9">
                  <c:v>31.6157</c:v>
                </c:pt>
                <c:pt idx="10">
                  <c:v>35.179699999999997</c:v>
                </c:pt>
                <c:pt idx="11">
                  <c:v>38.417999999999999</c:v>
                </c:pt>
                <c:pt idx="12">
                  <c:v>42.4422</c:v>
                </c:pt>
                <c:pt idx="13">
                  <c:v>47.109300000000005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1F4-489A-8586-7737E82B1D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277760"/>
        <c:axId val="152279296"/>
      </c:scatterChart>
      <c:valAx>
        <c:axId val="152277760"/>
        <c:scaling>
          <c:orientation val="minMax"/>
          <c:max val="200"/>
          <c:min val="0"/>
        </c:scaling>
        <c:delete val="0"/>
        <c:axPos val="b"/>
        <c:numFmt formatCode="#,##0" sourceLinked="0"/>
        <c:majorTickMark val="in"/>
        <c:minorTickMark val="none"/>
        <c:tickLblPos val="nextTo"/>
        <c:spPr>
          <a:ln/>
        </c:spPr>
        <c:txPr>
          <a:bodyPr rot="0" vert="horz"/>
          <a:lstStyle/>
          <a:p>
            <a:pPr>
              <a:defRPr sz="14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52279296"/>
        <c:crosses val="autoZero"/>
        <c:crossBetween val="midCat"/>
        <c:majorUnit val="50"/>
      </c:valAx>
      <c:valAx>
        <c:axId val="152279296"/>
        <c:scaling>
          <c:orientation val="minMax"/>
          <c:max val="80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txPr>
          <a:bodyPr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52277760"/>
        <c:crosses val="autoZero"/>
        <c:crossBetween val="midCat"/>
        <c:majorUnit val="20"/>
        <c:minorUnit val="10"/>
      </c:valAx>
      <c:spPr>
        <a:solidFill>
          <a:sysClr val="window" lastClr="FFFFFF"/>
        </a:solidFill>
      </c:spPr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landscape"/>
  </c:printSettings>
  <c:userShapes r:id="rId1"/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2400"/>
              <a:t>YD</a:t>
            </a:r>
            <a:r>
              <a:rPr lang="ru-RU" sz="2400"/>
              <a:t> </a:t>
            </a:r>
            <a:r>
              <a:rPr lang="ru-RU" sz="2400" b="0"/>
              <a:t>(млрд руб)</a:t>
            </a:r>
          </a:p>
        </c:rich>
      </c:tx>
      <c:layout>
        <c:manualLayout>
          <c:xMode val="edge"/>
          <c:yMode val="edge"/>
          <c:x val="0.13543631201231929"/>
          <c:y val="5.6611900365788316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0661291007907524"/>
          <c:y val="3.828779073288445E-2"/>
          <c:w val="0.84544605303206466"/>
          <c:h val="0.90222121668189992"/>
        </c:manualLayout>
      </c:layout>
      <c:scatterChart>
        <c:scatterStyle val="smoothMarker"/>
        <c:varyColors val="0"/>
        <c:ser>
          <c:idx val="0"/>
          <c:order val="0"/>
          <c:spPr>
            <a:ln w="117475">
              <a:solidFill>
                <a:schemeClr val="accent1">
                  <a:alpha val="57000"/>
                </a:schemeClr>
              </a:solidFill>
            </a:ln>
          </c:spPr>
          <c:marker>
            <c:symbol val="circle"/>
            <c:size val="19"/>
            <c:spPr>
              <a:noFill/>
            </c:spPr>
          </c:marker>
          <c:xVal>
            <c:numRef>
              <c:f>ОТЧЁТ!$DO$9:$DO$32</c:f>
              <c:numCache>
                <c:formatCode>0</c:formatCode>
                <c:ptCount val="24"/>
                <c:pt idx="0">
                  <c:v>910.9</c:v>
                </c:pt>
                <c:pt idx="1">
                  <c:v>1357.1</c:v>
                </c:pt>
                <c:pt idx="2">
                  <c:v>1656.4</c:v>
                </c:pt>
                <c:pt idx="3">
                  <c:v>1776</c:v>
                </c:pt>
                <c:pt idx="4">
                  <c:v>2908.1</c:v>
                </c:pt>
                <c:pt idx="5">
                  <c:v>3983.9</c:v>
                </c:pt>
                <c:pt idx="6">
                  <c:v>5325.8</c:v>
                </c:pt>
                <c:pt idx="7">
                  <c:v>6831</c:v>
                </c:pt>
                <c:pt idx="8">
                  <c:v>8900.5</c:v>
                </c:pt>
                <c:pt idx="9">
                  <c:v>10976.3</c:v>
                </c:pt>
                <c:pt idx="10">
                  <c:v>13819</c:v>
                </c:pt>
                <c:pt idx="11">
                  <c:v>17290.099999999999</c:v>
                </c:pt>
                <c:pt idx="12">
                  <c:v>21311.5</c:v>
                </c:pt>
                <c:pt idx="13">
                  <c:v>25244</c:v>
                </c:pt>
                <c:pt idx="14">
                  <c:v>28697.5</c:v>
                </c:pt>
                <c:pt idx="15">
                  <c:v>32498.3</c:v>
                </c:pt>
                <c:pt idx="16">
                  <c:v>35648.699999999997</c:v>
                </c:pt>
                <c:pt idx="17">
                  <c:v>39904</c:v>
                </c:pt>
                <c:pt idx="18">
                  <c:v>44650</c:v>
                </c:pt>
                <c:pt idx="19">
                  <c:v>47921</c:v>
                </c:pt>
                <c:pt idx="20">
                  <c:v>53526</c:v>
                </c:pt>
                <c:pt idx="21">
                  <c:v>54117</c:v>
                </c:pt>
                <c:pt idx="22" formatCode="General">
                  <c:v>55368</c:v>
                </c:pt>
                <c:pt idx="23" formatCode="General">
                  <c:v>57500</c:v>
                </c:pt>
              </c:numCache>
            </c:numRef>
          </c:xVal>
          <c:yVal>
            <c:numRef>
              <c:f>ОТЧЁТ!$DM$9:$DM$32</c:f>
              <c:numCache>
                <c:formatCode>0</c:formatCode>
                <c:ptCount val="24"/>
                <c:pt idx="0">
                  <c:v>719.79349999999999</c:v>
                </c:pt>
                <c:pt idx="1">
                  <c:v>1007.827</c:v>
                </c:pt>
                <c:pt idx="2">
                  <c:v>1235.2137</c:v>
                </c:pt>
                <c:pt idx="3">
                  <c:v>1462.2840000000001</c:v>
                </c:pt>
                <c:pt idx="4">
                  <c:v>2526.1678999999999</c:v>
                </c:pt>
                <c:pt idx="5">
                  <c:v>3295.2372999999998</c:v>
                </c:pt>
                <c:pt idx="6">
                  <c:v>4318.1211000000003</c:v>
                </c:pt>
                <c:pt idx="7">
                  <c:v>5409.1576999999997</c:v>
                </c:pt>
                <c:pt idx="8">
                  <c:v>6537.4014999999999</c:v>
                </c:pt>
                <c:pt idx="9">
                  <c:v>8438.4840999999997</c:v>
                </c:pt>
                <c:pt idx="10">
                  <c:v>10652.8578</c:v>
                </c:pt>
                <c:pt idx="11">
                  <c:v>12974.743399999999</c:v>
                </c:pt>
                <c:pt idx="12">
                  <c:v>16031.739799999999</c:v>
                </c:pt>
                <c:pt idx="13">
                  <c:v>19966.954699999998</c:v>
                </c:pt>
                <c:pt idx="14">
                  <c:v>20986.036</c:v>
                </c:pt>
                <c:pt idx="15">
                  <c:v>23617.623</c:v>
                </c:pt>
                <c:pt idx="16">
                  <c:v>29939.463500000002</c:v>
                </c:pt>
                <c:pt idx="17">
                  <c:v>34492.361700000001</c:v>
                </c:pt>
                <c:pt idx="18">
                  <c:v>38465.140799999994</c:v>
                </c:pt>
                <c:pt idx="19">
                  <c:v>41954.83</c:v>
                </c:pt>
                <c:pt idx="20">
                  <c:v>43242.32</c:v>
                </c:pt>
                <c:pt idx="21">
                  <c:v>45317.05</c:v>
                </c:pt>
                <c:pt idx="22">
                  <c:v>48135.66</c:v>
                </c:pt>
                <c:pt idx="23">
                  <c:v>50851.05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1A5-4608-92CF-4C3E837F8010}"/>
            </c:ext>
          </c:extLst>
        </c:ser>
        <c:ser>
          <c:idx val="1"/>
          <c:order val="1"/>
          <c:trendline>
            <c:spPr>
              <a:ln>
                <a:prstDash val="lgDash"/>
              </a:ln>
            </c:spPr>
            <c:trendlineType val="linear"/>
            <c:forward val="15000"/>
            <c:dispRSqr val="1"/>
            <c:dispEq val="1"/>
            <c:trendlineLbl>
              <c:layout>
                <c:manualLayout>
                  <c:x val="-0.41234694240475878"/>
                  <c:y val="0.30029785653627716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sz="1800">
                      <a:latin typeface="Arial" panose="020B0604020202020204" pitchFamily="34" charset="0"/>
                      <a:cs typeface="Arial" panose="020B0604020202020204" pitchFamily="34" charset="0"/>
                    </a:defRPr>
                  </a:pPr>
                  <a:endParaRPr lang="ru-RU"/>
                </a:p>
              </c:txPr>
            </c:trendlineLbl>
          </c:trendline>
          <c:xVal>
            <c:numRef>
              <c:f>ОТЧЁТ!$DO$21:$DO$32</c:f>
              <c:numCache>
                <c:formatCode>0</c:formatCode>
                <c:ptCount val="12"/>
                <c:pt idx="0">
                  <c:v>21311.5</c:v>
                </c:pt>
                <c:pt idx="1">
                  <c:v>25244</c:v>
                </c:pt>
                <c:pt idx="2">
                  <c:v>28697.5</c:v>
                </c:pt>
                <c:pt idx="3">
                  <c:v>32498.3</c:v>
                </c:pt>
                <c:pt idx="4">
                  <c:v>35648.699999999997</c:v>
                </c:pt>
                <c:pt idx="5">
                  <c:v>39904</c:v>
                </c:pt>
                <c:pt idx="6">
                  <c:v>44650</c:v>
                </c:pt>
                <c:pt idx="7">
                  <c:v>47921</c:v>
                </c:pt>
                <c:pt idx="8">
                  <c:v>53526</c:v>
                </c:pt>
                <c:pt idx="9">
                  <c:v>54117</c:v>
                </c:pt>
                <c:pt idx="10" formatCode="General">
                  <c:v>55368</c:v>
                </c:pt>
                <c:pt idx="11" formatCode="General">
                  <c:v>57500</c:v>
                </c:pt>
              </c:numCache>
            </c:numRef>
          </c:xVal>
          <c:yVal>
            <c:numRef>
              <c:f>ОТЧЁТ!$DN$21:$DN$32</c:f>
              <c:numCache>
                <c:formatCode>0</c:formatCode>
                <c:ptCount val="12"/>
                <c:pt idx="0">
                  <c:v>16031.739799999999</c:v>
                </c:pt>
                <c:pt idx="1">
                  <c:v>19966.954699999998</c:v>
                </c:pt>
                <c:pt idx="2">
                  <c:v>20986.036</c:v>
                </c:pt>
                <c:pt idx="3">
                  <c:v>23617.623</c:v>
                </c:pt>
                <c:pt idx="4">
                  <c:v>29939.463500000002</c:v>
                </c:pt>
                <c:pt idx="5">
                  <c:v>34492.361700000001</c:v>
                </c:pt>
                <c:pt idx="6">
                  <c:v>38465.140799999994</c:v>
                </c:pt>
                <c:pt idx="7">
                  <c:v>41954.83</c:v>
                </c:pt>
                <c:pt idx="8">
                  <c:v>43242.32</c:v>
                </c:pt>
                <c:pt idx="9">
                  <c:v>45317.05</c:v>
                </c:pt>
                <c:pt idx="10">
                  <c:v>48135.66</c:v>
                </c:pt>
                <c:pt idx="11">
                  <c:v>50851.05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6CD-4E95-BF5F-778EA7169B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337792"/>
        <c:axId val="152351872"/>
      </c:scatterChart>
      <c:valAx>
        <c:axId val="152337792"/>
        <c:scaling>
          <c:orientation val="minMax"/>
          <c:max val="70000"/>
          <c:min val="0"/>
        </c:scaling>
        <c:delete val="0"/>
        <c:axPos val="b"/>
        <c:numFmt formatCode="#,##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52351872"/>
        <c:crosses val="autoZero"/>
        <c:crossBetween val="midCat"/>
        <c:majorUnit val="10000"/>
        <c:minorUnit val="20"/>
      </c:valAx>
      <c:valAx>
        <c:axId val="152351872"/>
        <c:scaling>
          <c:orientation val="minMax"/>
          <c:max val="60000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txPr>
          <a:bodyPr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52337792"/>
        <c:crosses val="autoZero"/>
        <c:crossBetween val="midCat"/>
        <c:majorUnit val="20000"/>
        <c:minorUnit val="20"/>
      </c:valAx>
      <c:spPr>
        <a:solidFill>
          <a:sysClr val="window" lastClr="FFFFFF"/>
        </a:solidFill>
      </c:spPr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r">
              <a:defRPr/>
            </a:pPr>
            <a:r>
              <a:rPr lang="en-US" sz="2400"/>
              <a:t>RDH/1000</a:t>
            </a:r>
          </a:p>
        </c:rich>
      </c:tx>
      <c:layout>
        <c:manualLayout>
          <c:xMode val="edge"/>
          <c:yMode val="edge"/>
          <c:x val="9.7576649328240728E-2"/>
          <c:y val="6.3386367238077113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6.3026717158949933E-2"/>
          <c:y val="3.828779073288445E-2"/>
          <c:w val="0.89790413040868644"/>
          <c:h val="0.90222121668189992"/>
        </c:manualLayout>
      </c:layout>
      <c:scatterChart>
        <c:scatterStyle val="smoothMarker"/>
        <c:varyColors val="0"/>
        <c:ser>
          <c:idx val="0"/>
          <c:order val="0"/>
          <c:spPr>
            <a:ln w="25400">
              <a:prstDash val="lgDash"/>
            </a:ln>
          </c:spPr>
          <c:marker>
            <c:symbol val="none"/>
          </c:marker>
          <c:xVal>
            <c:numRef>
              <c:f>ОТЧЁТ!$EE$9:$EE$44</c:f>
              <c:numCache>
                <c:formatCode>General</c:formatCode>
                <c:ptCount val="36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</c:numCache>
            </c:numRef>
          </c:xVal>
          <c:yVal>
            <c:numRef>
              <c:f>ОТЧЁТ!$EF$9:$EF$32</c:f>
              <c:numCache>
                <c:formatCode>0.00</c:formatCode>
                <c:ptCount val="24"/>
                <c:pt idx="0">
                  <c:v>1</c:v>
                </c:pt>
                <c:pt idx="1">
                  <c:v>0.95099999999999996</c:v>
                </c:pt>
                <c:pt idx="2">
                  <c:v>0.99855000000000005</c:v>
                </c:pt>
                <c:pt idx="3">
                  <c:v>0.96459930000000005</c:v>
                </c:pt>
                <c:pt idx="4">
                  <c:v>0.94144891679999998</c:v>
                </c:pt>
                <c:pt idx="5">
                  <c:v>0.99699440289119989</c:v>
                </c:pt>
                <c:pt idx="6">
                  <c:v>1.0787479439282783</c:v>
                </c:pt>
                <c:pt idx="7">
                  <c:v>1.1618115356107557</c:v>
                </c:pt>
                <c:pt idx="8">
                  <c:v>1.2512710238527838</c:v>
                </c:pt>
                <c:pt idx="9">
                  <c:v>1.4076799018343817</c:v>
                </c:pt>
                <c:pt idx="10">
                  <c:v>1.5794168498581764</c:v>
                </c:pt>
                <c:pt idx="11">
                  <c:v>1.7721057055408742</c:v>
                </c:pt>
                <c:pt idx="12">
                  <c:v>2.0255168214332193</c:v>
                </c:pt>
                <c:pt idx="13">
                  <c:v>2.2402216045051406</c:v>
                </c:pt>
                <c:pt idx="14">
                  <c:v>2.1259703026753782</c:v>
                </c:pt>
                <c:pt idx="15">
                  <c:v>2.2428986693225239</c:v>
                </c:pt>
                <c:pt idx="16">
                  <c:v>2.3954157788364556</c:v>
                </c:pt>
                <c:pt idx="17">
                  <c:v>2.5846536253645356</c:v>
                </c:pt>
                <c:pt idx="18">
                  <c:v>2.7190556138834916</c:v>
                </c:pt>
                <c:pt idx="19">
                  <c:v>2.7734367261611617</c:v>
                </c:pt>
                <c:pt idx="20">
                  <c:v>2.5127336739020127</c:v>
                </c:pt>
                <c:pt idx="21">
                  <c:v>2.4649917340978744</c:v>
                </c:pt>
                <c:pt idx="22">
                  <c:v>2.5463364613231039</c:v>
                </c:pt>
                <c:pt idx="23">
                  <c:v>2.6049021999335351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BD9-4B2C-BD4C-7416A93BC8E1}"/>
            </c:ext>
          </c:extLst>
        </c:ser>
        <c:ser>
          <c:idx val="1"/>
          <c:order val="1"/>
          <c:spPr>
            <a:ln w="76200"/>
          </c:spPr>
          <c:marker>
            <c:symbol val="circle"/>
            <c:size val="15"/>
            <c:spPr>
              <a:noFill/>
              <a:ln>
                <a:solidFill>
                  <a:schemeClr val="tx1"/>
                </a:solidFill>
              </a:ln>
            </c:spPr>
          </c:marker>
          <c:xVal>
            <c:numRef>
              <c:f>ОТЧЁТ!$EE$9:$EE$44</c:f>
              <c:numCache>
                <c:formatCode>General</c:formatCode>
                <c:ptCount val="36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</c:numCache>
            </c:numRef>
          </c:xVal>
          <c:yVal>
            <c:numRef>
              <c:f>ОТЧЁТ!$EJ$9:$EJ$32</c:f>
              <c:numCache>
                <c:formatCode>0.00</c:formatCode>
                <c:ptCount val="24"/>
                <c:pt idx="0">
                  <c:v>0.91089999999999993</c:v>
                </c:pt>
                <c:pt idx="1">
                  <c:v>1.1142036124794745</c:v>
                </c:pt>
                <c:pt idx="2">
                  <c:v>1.2251660527522594</c:v>
                </c:pt>
                <c:pt idx="3">
                  <c:v>0.71238009752483511</c:v>
                </c:pt>
                <c:pt idx="4">
                  <c:v>0.85456578623072521</c:v>
                </c:pt>
                <c:pt idx="5">
                  <c:v>0.97395776812855961</c:v>
                </c:pt>
                <c:pt idx="6">
                  <c:v>1.0978218276071905</c:v>
                </c:pt>
                <c:pt idx="7">
                  <c:v>1.2233647703942498</c:v>
                </c:pt>
                <c:pt idx="8">
                  <c:v>1.4232069842961212</c:v>
                </c:pt>
                <c:pt idx="9">
                  <c:v>1.5712904002535859</c:v>
                </c:pt>
                <c:pt idx="10">
                  <c:v>1.7837975347856658</c:v>
                </c:pt>
                <c:pt idx="11">
                  <c:v>2.0475756192741965</c:v>
                </c:pt>
                <c:pt idx="12">
                  <c:v>2.2560193741607284</c:v>
                </c:pt>
                <c:pt idx="13">
                  <c:v>2.3590314873246792</c:v>
                </c:pt>
                <c:pt idx="14">
                  <c:v>2.4648513634682838</c:v>
                </c:pt>
                <c:pt idx="15">
                  <c:v>2.5660094993454421</c:v>
                </c:pt>
                <c:pt idx="16">
                  <c:v>2.6529308469712043</c:v>
                </c:pt>
                <c:pt idx="17">
                  <c:v>2.7862683926091671</c:v>
                </c:pt>
                <c:pt idx="18">
                  <c:v>2.9287500835730347</c:v>
                </c:pt>
                <c:pt idx="19">
                  <c:v>2.766995109752366</c:v>
                </c:pt>
                <c:pt idx="20">
                  <c:v>2.7374952055558728</c:v>
                </c:pt>
                <c:pt idx="21">
                  <c:v>2.625442390016929</c:v>
                </c:pt>
                <c:pt idx="22">
                  <c:v>2.6210890474179847</c:v>
                </c:pt>
                <c:pt idx="23">
                  <c:v>2.610796750845255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BD9-4B2C-BD4C-7416A93BC8E1}"/>
            </c:ext>
          </c:extLst>
        </c:ser>
        <c:ser>
          <c:idx val="2"/>
          <c:order val="2"/>
          <c:spPr>
            <a:ln w="2222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ОТЧЁТ!$EE$9:$EE$44</c:f>
              <c:numCache>
                <c:formatCode>General</c:formatCode>
                <c:ptCount val="36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</c:numCache>
            </c:numRef>
          </c:xVal>
          <c:yVal>
            <c:numRef>
              <c:f>ОТЧЁТ!$EI$9:$EI$30</c:f>
              <c:numCache>
                <c:formatCode>0.000</c:formatCode>
                <c:ptCount val="22"/>
                <c:pt idx="1">
                  <c:v>1.218</c:v>
                </c:pt>
                <c:pt idx="2">
                  <c:v>1.1100000000000001</c:v>
                </c:pt>
                <c:pt idx="3">
                  <c:v>1.8440000000000001</c:v>
                </c:pt>
                <c:pt idx="4">
                  <c:v>1.365</c:v>
                </c:pt>
                <c:pt idx="5">
                  <c:v>1.202</c:v>
                </c:pt>
                <c:pt idx="6">
                  <c:v>1.1859999999999999</c:v>
                </c:pt>
                <c:pt idx="7">
                  <c:v>1.151</c:v>
                </c:pt>
                <c:pt idx="8">
                  <c:v>1.1200000000000001</c:v>
                </c:pt>
                <c:pt idx="9">
                  <c:v>1.117</c:v>
                </c:pt>
                <c:pt idx="10">
                  <c:v>1.109</c:v>
                </c:pt>
                <c:pt idx="11">
                  <c:v>1.0900000000000001</c:v>
                </c:pt>
                <c:pt idx="12">
                  <c:v>1.1187</c:v>
                </c:pt>
                <c:pt idx="13">
                  <c:v>1.1328</c:v>
                </c:pt>
                <c:pt idx="14">
                  <c:v>1.0880000000000001</c:v>
                </c:pt>
                <c:pt idx="15">
                  <c:v>1.0878000000000001</c:v>
                </c:pt>
                <c:pt idx="16">
                  <c:v>1.0609999999999999</c:v>
                </c:pt>
                <c:pt idx="17">
                  <c:v>1.0658000000000001</c:v>
                </c:pt>
                <c:pt idx="18">
                  <c:v>1.0645</c:v>
                </c:pt>
                <c:pt idx="19">
                  <c:v>1.1359999999999999</c:v>
                </c:pt>
                <c:pt idx="20">
                  <c:v>1.129</c:v>
                </c:pt>
                <c:pt idx="21">
                  <c:v>1.0539000000000001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BD9-4B2C-BD4C-7416A93BC8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398080"/>
        <c:axId val="152412160"/>
      </c:scatterChart>
      <c:valAx>
        <c:axId val="152398080"/>
        <c:scaling>
          <c:orientation val="minMax"/>
          <c:max val="2020"/>
          <c:min val="1995"/>
        </c:scaling>
        <c:delete val="0"/>
        <c:axPos val="b"/>
        <c:numFmt formatCode="#,##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52412160"/>
        <c:crosses val="autoZero"/>
        <c:crossBetween val="midCat"/>
        <c:majorUnit val="5"/>
      </c:valAx>
      <c:valAx>
        <c:axId val="152412160"/>
        <c:scaling>
          <c:orientation val="minMax"/>
          <c:max val="3.5"/>
          <c:min val="0.5"/>
        </c:scaling>
        <c:delete val="0"/>
        <c:axPos val="l"/>
        <c:majorGridlines/>
        <c:numFmt formatCode="0.00" sourceLinked="0"/>
        <c:majorTickMark val="out"/>
        <c:minorTickMark val="none"/>
        <c:tickLblPos val="nextTo"/>
        <c:txPr>
          <a:bodyPr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52398080"/>
        <c:crosses val="autoZero"/>
        <c:crossBetween val="midCat"/>
        <c:majorUnit val="0.5"/>
      </c:valAx>
      <c:spPr>
        <a:solidFill>
          <a:sysClr val="window" lastClr="FFFFFF"/>
        </a:solidFill>
      </c:spPr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8966754063196434E-2"/>
          <c:y val="2.8061862562912012E-2"/>
          <c:w val="0.88358502933090355"/>
          <c:h val="0.91961256642845679"/>
        </c:manualLayout>
      </c:layout>
      <c:scatterChart>
        <c:scatterStyle val="smoothMarker"/>
        <c:varyColors val="0"/>
        <c:ser>
          <c:idx val="0"/>
          <c:order val="0"/>
          <c:spPr>
            <a:ln w="73025"/>
          </c:spPr>
          <c:marker>
            <c:symbol val="circle"/>
            <c:size val="17"/>
            <c:spPr>
              <a:noFill/>
            </c:spPr>
          </c:marker>
          <c:xVal>
            <c:numRef>
              <c:f>ОТЧЁТ!$EK$184:$EK$219</c:f>
              <c:numCache>
                <c:formatCode>0</c:formatCode>
                <c:ptCount val="36"/>
                <c:pt idx="0">
                  <c:v>207.71912069999996</c:v>
                </c:pt>
                <c:pt idx="1">
                  <c:v>182.79282621599998</c:v>
                </c:pt>
                <c:pt idx="2">
                  <c:v>191.93246752679997</c:v>
                </c:pt>
                <c:pt idx="3">
                  <c:v>225.32871687646315</c:v>
                </c:pt>
                <c:pt idx="4">
                  <c:v>247.86158856410947</c:v>
                </c:pt>
                <c:pt idx="5">
                  <c:v>254.80171304390456</c:v>
                </c:pt>
                <c:pt idx="6">
                  <c:v>286.6519271743926</c:v>
                </c:pt>
                <c:pt idx="7">
                  <c:v>325.92324119728437</c:v>
                </c:pt>
                <c:pt idx="8">
                  <c:v>359.16741179940743</c:v>
                </c:pt>
                <c:pt idx="9">
                  <c:v>419.14836956990848</c:v>
                </c:pt>
                <c:pt idx="10">
                  <c:v>514.29504946227769</c:v>
                </c:pt>
                <c:pt idx="11">
                  <c:v>563.15307916119411</c:v>
                </c:pt>
                <c:pt idx="12">
                  <c:v>487.1274134744329</c:v>
                </c:pt>
                <c:pt idx="13">
                  <c:v>517.81644052332217</c:v>
                </c:pt>
                <c:pt idx="14">
                  <c:v>573.74061609984096</c:v>
                </c:pt>
                <c:pt idx="15">
                  <c:v>612.75497799463017</c:v>
                </c:pt>
                <c:pt idx="16">
                  <c:v>617.65701781858718</c:v>
                </c:pt>
                <c:pt idx="17">
                  <c:v>608.39216255130839</c:v>
                </c:pt>
                <c:pt idx="18">
                  <c:v>546.9445541336263</c:v>
                </c:pt>
                <c:pt idx="19">
                  <c:v>545.85066502535915</c:v>
                </c:pt>
                <c:pt idx="20">
                  <c:v>572.05149694657644</c:v>
                </c:pt>
                <c:pt idx="21">
                  <c:v>596.64971131527921</c:v>
                </c:pt>
              </c:numCache>
            </c:numRef>
          </c:xVal>
          <c:yVal>
            <c:numRef>
              <c:f>ОТЧЁТ!#REF!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646-4A48-AF14-FB534F77A1C8}"/>
            </c:ext>
          </c:extLst>
        </c:ser>
        <c:ser>
          <c:idx val="1"/>
          <c:order val="1"/>
          <c:xVal>
            <c:numRef>
              <c:f>ОТЧЁТ!$EK$200:$EK$219</c:f>
              <c:numCache>
                <c:formatCode>0</c:formatCode>
                <c:ptCount val="20"/>
                <c:pt idx="0">
                  <c:v>617.65701781858718</c:v>
                </c:pt>
                <c:pt idx="1">
                  <c:v>608.39216255130839</c:v>
                </c:pt>
                <c:pt idx="2">
                  <c:v>546.9445541336263</c:v>
                </c:pt>
                <c:pt idx="3">
                  <c:v>545.85066502535915</c:v>
                </c:pt>
                <c:pt idx="4">
                  <c:v>572.05149694657644</c:v>
                </c:pt>
                <c:pt idx="5">
                  <c:v>596.64971131527921</c:v>
                </c:pt>
              </c:numCache>
            </c:numRef>
          </c:xVal>
          <c:yVal>
            <c:numRef>
              <c:f>ОТЧЁТ!$EM$200:$EM$219</c:f>
              <c:numCache>
                <c:formatCode>0</c:formatCode>
                <c:ptCount val="2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646-4A48-AF14-FB534F77A1C8}"/>
            </c:ext>
          </c:extLst>
        </c:ser>
        <c:ser>
          <c:idx val="2"/>
          <c:order val="2"/>
          <c:xVal>
            <c:numRef>
              <c:f>ОТЧЁТ!$EK$208:$EK$219</c:f>
              <c:numCache>
                <c:formatCode>General</c:formatCode>
                <c:ptCount val="12"/>
              </c:numCache>
            </c:numRef>
          </c:xVal>
          <c:yVal>
            <c:numRef>
              <c:f>ОТЧЁТ!$EN$208:$EN$219</c:f>
              <c:numCache>
                <c:formatCode>General</c:formatCode>
                <c:ptCount val="12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646-4A48-AF14-FB534F77A1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427904"/>
        <c:axId val="152470656"/>
      </c:scatterChart>
      <c:valAx>
        <c:axId val="152427904"/>
        <c:scaling>
          <c:orientation val="minMax"/>
          <c:max val="2030"/>
          <c:min val="1995"/>
        </c:scaling>
        <c:delete val="0"/>
        <c:axPos val="b"/>
        <c:numFmt formatCode="#,##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52470656"/>
        <c:crosses val="autoZero"/>
        <c:crossBetween val="midCat"/>
        <c:majorUnit val="5"/>
      </c:valAx>
      <c:valAx>
        <c:axId val="152470656"/>
        <c:scaling>
          <c:orientation val="minMax"/>
          <c:max val="900"/>
          <c:min val="10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txPr>
          <a:bodyPr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52427904"/>
        <c:crosses val="autoZero"/>
        <c:crossBetween val="midCat"/>
        <c:majorUnit val="200"/>
      </c:valAx>
      <c:spPr>
        <a:solidFill>
          <a:sysClr val="window" lastClr="FFFFFF"/>
        </a:solidFill>
        <a:ln>
          <a:solidFill>
            <a:schemeClr val="accent4">
              <a:lumMod val="75000"/>
            </a:schemeClr>
          </a:solidFill>
          <a:prstDash val="lgDashDotDot"/>
        </a:ln>
      </c:spPr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8966754063196434E-2"/>
          <c:y val="2.8061862562912012E-2"/>
          <c:w val="0.88358502933090355"/>
          <c:h val="0.91961256642845679"/>
        </c:manualLayout>
      </c:layout>
      <c:scatterChart>
        <c:scatterStyle val="smoothMarker"/>
        <c:varyColors val="0"/>
        <c:ser>
          <c:idx val="0"/>
          <c:order val="0"/>
          <c:spPr>
            <a:ln w="73025"/>
          </c:spPr>
          <c:marker>
            <c:symbol val="circle"/>
            <c:size val="17"/>
            <c:spPr>
              <a:noFill/>
            </c:spPr>
          </c:marker>
          <c:xVal>
            <c:numRef>
              <c:f>ОТЧЁТ!$EK$184:$EK$219</c:f>
              <c:numCache>
                <c:formatCode>0</c:formatCode>
                <c:ptCount val="36"/>
                <c:pt idx="0">
                  <c:v>207.71912069999996</c:v>
                </c:pt>
                <c:pt idx="1">
                  <c:v>182.79282621599998</c:v>
                </c:pt>
                <c:pt idx="2">
                  <c:v>191.93246752679997</c:v>
                </c:pt>
                <c:pt idx="3">
                  <c:v>225.32871687646315</c:v>
                </c:pt>
                <c:pt idx="4">
                  <c:v>247.86158856410947</c:v>
                </c:pt>
                <c:pt idx="5">
                  <c:v>254.80171304390456</c:v>
                </c:pt>
                <c:pt idx="6">
                  <c:v>286.6519271743926</c:v>
                </c:pt>
                <c:pt idx="7">
                  <c:v>325.92324119728437</c:v>
                </c:pt>
                <c:pt idx="8">
                  <c:v>359.16741179940743</c:v>
                </c:pt>
                <c:pt idx="9">
                  <c:v>419.14836956990848</c:v>
                </c:pt>
                <c:pt idx="10">
                  <c:v>514.29504946227769</c:v>
                </c:pt>
                <c:pt idx="11">
                  <c:v>563.15307916119411</c:v>
                </c:pt>
                <c:pt idx="12">
                  <c:v>487.1274134744329</c:v>
                </c:pt>
                <c:pt idx="13">
                  <c:v>517.81644052332217</c:v>
                </c:pt>
                <c:pt idx="14">
                  <c:v>573.74061609984096</c:v>
                </c:pt>
                <c:pt idx="15">
                  <c:v>612.75497799463017</c:v>
                </c:pt>
                <c:pt idx="16">
                  <c:v>617.65701781858718</c:v>
                </c:pt>
                <c:pt idx="17">
                  <c:v>608.39216255130839</c:v>
                </c:pt>
                <c:pt idx="18">
                  <c:v>546.9445541336263</c:v>
                </c:pt>
                <c:pt idx="19">
                  <c:v>545.85066502535915</c:v>
                </c:pt>
                <c:pt idx="20">
                  <c:v>572.05149694657644</c:v>
                </c:pt>
                <c:pt idx="21">
                  <c:v>596.64971131527921</c:v>
                </c:pt>
              </c:numCache>
            </c:numRef>
          </c:xVal>
          <c:yVal>
            <c:numRef>
              <c:f>ОТЧЁТ!#REF!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264-41FE-92F7-35EA319C04DD}"/>
            </c:ext>
          </c:extLst>
        </c:ser>
        <c:ser>
          <c:idx val="1"/>
          <c:order val="1"/>
          <c:xVal>
            <c:numRef>
              <c:f>ОТЧЁТ!$EK$200:$EK$219</c:f>
              <c:numCache>
                <c:formatCode>0</c:formatCode>
                <c:ptCount val="20"/>
                <c:pt idx="0">
                  <c:v>617.65701781858718</c:v>
                </c:pt>
                <c:pt idx="1">
                  <c:v>608.39216255130839</c:v>
                </c:pt>
                <c:pt idx="2">
                  <c:v>546.9445541336263</c:v>
                </c:pt>
                <c:pt idx="3">
                  <c:v>545.85066502535915</c:v>
                </c:pt>
                <c:pt idx="4">
                  <c:v>572.05149694657644</c:v>
                </c:pt>
                <c:pt idx="5">
                  <c:v>596.64971131527921</c:v>
                </c:pt>
              </c:numCache>
            </c:numRef>
          </c:xVal>
          <c:yVal>
            <c:numRef>
              <c:f>ОТЧЁТ!$EM$200:$EM$219</c:f>
              <c:numCache>
                <c:formatCode>0</c:formatCode>
                <c:ptCount val="2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264-41FE-92F7-35EA319C04DD}"/>
            </c:ext>
          </c:extLst>
        </c:ser>
        <c:ser>
          <c:idx val="2"/>
          <c:order val="2"/>
          <c:xVal>
            <c:numRef>
              <c:f>ОТЧЁТ!$EK$208:$EK$219</c:f>
              <c:numCache>
                <c:formatCode>General</c:formatCode>
                <c:ptCount val="12"/>
              </c:numCache>
            </c:numRef>
          </c:xVal>
          <c:yVal>
            <c:numRef>
              <c:f>ОТЧЁТ!$EN$208:$EN$219</c:f>
              <c:numCache>
                <c:formatCode>General</c:formatCode>
                <c:ptCount val="12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264-41FE-92F7-35EA319C04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536576"/>
        <c:axId val="152538112"/>
      </c:scatterChart>
      <c:valAx>
        <c:axId val="152536576"/>
        <c:scaling>
          <c:orientation val="minMax"/>
          <c:max val="2030"/>
          <c:min val="1995"/>
        </c:scaling>
        <c:delete val="0"/>
        <c:axPos val="b"/>
        <c:numFmt formatCode="#,##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52538112"/>
        <c:crosses val="autoZero"/>
        <c:crossBetween val="midCat"/>
        <c:majorUnit val="5"/>
      </c:valAx>
      <c:valAx>
        <c:axId val="152538112"/>
        <c:scaling>
          <c:orientation val="minMax"/>
          <c:max val="900"/>
          <c:min val="10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txPr>
          <a:bodyPr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52536576"/>
        <c:crosses val="autoZero"/>
        <c:crossBetween val="midCat"/>
        <c:majorUnit val="200"/>
      </c:valAx>
      <c:spPr>
        <a:solidFill>
          <a:sysClr val="window" lastClr="FFFFFF"/>
        </a:solidFill>
        <a:ln>
          <a:solidFill>
            <a:schemeClr val="accent4">
              <a:lumMod val="75000"/>
            </a:schemeClr>
          </a:solidFill>
          <a:prstDash val="lgDashDotDot"/>
        </a:ln>
      </c:spPr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8966754063196434E-2"/>
          <c:y val="2.8061862562912012E-2"/>
          <c:w val="0.88358502933090355"/>
          <c:h val="0.91961256642845679"/>
        </c:manualLayout>
      </c:layout>
      <c:scatterChart>
        <c:scatterStyle val="smoothMarker"/>
        <c:varyColors val="0"/>
        <c:ser>
          <c:idx val="0"/>
          <c:order val="0"/>
          <c:spPr>
            <a:ln w="73025"/>
          </c:spPr>
          <c:marker>
            <c:symbol val="circle"/>
            <c:size val="17"/>
            <c:spPr>
              <a:noFill/>
            </c:spPr>
          </c:marker>
          <c:xVal>
            <c:numRef>
              <c:f>ОТЧЁТ!$EK$184:$EK$219</c:f>
              <c:numCache>
                <c:formatCode>0</c:formatCode>
                <c:ptCount val="36"/>
                <c:pt idx="0">
                  <c:v>207.71912069999996</c:v>
                </c:pt>
                <c:pt idx="1">
                  <c:v>182.79282621599998</c:v>
                </c:pt>
                <c:pt idx="2">
                  <c:v>191.93246752679997</c:v>
                </c:pt>
                <c:pt idx="3">
                  <c:v>225.32871687646315</c:v>
                </c:pt>
                <c:pt idx="4">
                  <c:v>247.86158856410947</c:v>
                </c:pt>
                <c:pt idx="5">
                  <c:v>254.80171304390456</c:v>
                </c:pt>
                <c:pt idx="6">
                  <c:v>286.6519271743926</c:v>
                </c:pt>
                <c:pt idx="7">
                  <c:v>325.92324119728437</c:v>
                </c:pt>
                <c:pt idx="8">
                  <c:v>359.16741179940743</c:v>
                </c:pt>
                <c:pt idx="9">
                  <c:v>419.14836956990848</c:v>
                </c:pt>
                <c:pt idx="10">
                  <c:v>514.29504946227769</c:v>
                </c:pt>
                <c:pt idx="11">
                  <c:v>563.15307916119411</c:v>
                </c:pt>
                <c:pt idx="12">
                  <c:v>487.1274134744329</c:v>
                </c:pt>
                <c:pt idx="13">
                  <c:v>517.81644052332217</c:v>
                </c:pt>
                <c:pt idx="14">
                  <c:v>573.74061609984096</c:v>
                </c:pt>
                <c:pt idx="15">
                  <c:v>612.75497799463017</c:v>
                </c:pt>
                <c:pt idx="16">
                  <c:v>617.65701781858718</c:v>
                </c:pt>
                <c:pt idx="17">
                  <c:v>608.39216255130839</c:v>
                </c:pt>
                <c:pt idx="18">
                  <c:v>546.9445541336263</c:v>
                </c:pt>
                <c:pt idx="19">
                  <c:v>545.85066502535915</c:v>
                </c:pt>
                <c:pt idx="20">
                  <c:v>572.05149694657644</c:v>
                </c:pt>
                <c:pt idx="21">
                  <c:v>596.64971131527921</c:v>
                </c:pt>
              </c:numCache>
            </c:numRef>
          </c:xVal>
          <c:yVal>
            <c:numRef>
              <c:f>ОТЧЁТ!#REF!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317-4764-BE45-15E77CE2617A}"/>
            </c:ext>
          </c:extLst>
        </c:ser>
        <c:ser>
          <c:idx val="1"/>
          <c:order val="1"/>
          <c:xVal>
            <c:numRef>
              <c:f>ОТЧЁТ!$EK$200:$EK$219</c:f>
              <c:numCache>
                <c:formatCode>0</c:formatCode>
                <c:ptCount val="20"/>
                <c:pt idx="0">
                  <c:v>617.65701781858718</c:v>
                </c:pt>
                <c:pt idx="1">
                  <c:v>608.39216255130839</c:v>
                </c:pt>
                <c:pt idx="2">
                  <c:v>546.9445541336263</c:v>
                </c:pt>
                <c:pt idx="3">
                  <c:v>545.85066502535915</c:v>
                </c:pt>
                <c:pt idx="4">
                  <c:v>572.05149694657644</c:v>
                </c:pt>
                <c:pt idx="5">
                  <c:v>596.64971131527921</c:v>
                </c:pt>
              </c:numCache>
            </c:numRef>
          </c:xVal>
          <c:yVal>
            <c:numRef>
              <c:f>ОТЧЁТ!$EM$200:$EM$219</c:f>
              <c:numCache>
                <c:formatCode>0</c:formatCode>
                <c:ptCount val="2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317-4764-BE45-15E77CE2617A}"/>
            </c:ext>
          </c:extLst>
        </c:ser>
        <c:ser>
          <c:idx val="2"/>
          <c:order val="2"/>
          <c:xVal>
            <c:numRef>
              <c:f>ОТЧЁТ!$EK$208:$EK$219</c:f>
              <c:numCache>
                <c:formatCode>General</c:formatCode>
                <c:ptCount val="12"/>
              </c:numCache>
            </c:numRef>
          </c:xVal>
          <c:yVal>
            <c:numRef>
              <c:f>ОТЧЁТ!$EN$208:$EN$219</c:f>
              <c:numCache>
                <c:formatCode>General</c:formatCode>
                <c:ptCount val="12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317-4764-BE45-15E77CE261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546688"/>
        <c:axId val="117224576"/>
      </c:scatterChart>
      <c:valAx>
        <c:axId val="152546688"/>
        <c:scaling>
          <c:orientation val="minMax"/>
          <c:max val="2030"/>
          <c:min val="1995"/>
        </c:scaling>
        <c:delete val="0"/>
        <c:axPos val="b"/>
        <c:numFmt formatCode="#,##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17224576"/>
        <c:crosses val="autoZero"/>
        <c:crossBetween val="midCat"/>
        <c:majorUnit val="5"/>
      </c:valAx>
      <c:valAx>
        <c:axId val="117224576"/>
        <c:scaling>
          <c:orientation val="minMax"/>
          <c:max val="900"/>
          <c:min val="10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txPr>
          <a:bodyPr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52546688"/>
        <c:crosses val="autoZero"/>
        <c:crossBetween val="midCat"/>
        <c:majorUnit val="200"/>
      </c:valAx>
      <c:spPr>
        <a:solidFill>
          <a:sysClr val="window" lastClr="FFFFFF"/>
        </a:solidFill>
        <a:ln>
          <a:solidFill>
            <a:schemeClr val="accent4">
              <a:lumMod val="75000"/>
            </a:schemeClr>
          </a:solidFill>
          <a:prstDash val="lgDashDotDot"/>
        </a:ln>
      </c:spPr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5891756899964011E-2"/>
          <c:y val="2.8061862562912012E-2"/>
          <c:w val="0.88420885401130367"/>
          <c:h val="0.91961256642845679"/>
        </c:manualLayout>
      </c:layout>
      <c:scatterChart>
        <c:scatterStyle val="smoothMarker"/>
        <c:varyColors val="0"/>
        <c:ser>
          <c:idx val="0"/>
          <c:order val="0"/>
          <c:spPr>
            <a:ln w="98425">
              <a:solidFill>
                <a:schemeClr val="bg2">
                  <a:lumMod val="50000"/>
                </a:schemeClr>
              </a:solidFill>
            </a:ln>
          </c:spPr>
          <c:marker>
            <c:symbol val="none"/>
          </c:marker>
          <c:xVal>
            <c:numRef>
              <c:f>ОТЧЁТ!$EJ$182:$EJ$205</c:f>
              <c:numCache>
                <c:formatCode>General</c:formatCode>
                <c:ptCount val="24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</c:numCache>
            </c:numRef>
          </c:xVal>
          <c:yVal>
            <c:numRef>
              <c:f>ОТЧЁТ!$EK$182:$EK$205</c:f>
              <c:numCache>
                <c:formatCode>0</c:formatCode>
                <c:ptCount val="24"/>
                <c:pt idx="0">
                  <c:v>266.97399999999999</c:v>
                </c:pt>
                <c:pt idx="1">
                  <c:v>218.65170599999999</c:v>
                </c:pt>
                <c:pt idx="2">
                  <c:v>207.71912069999996</c:v>
                </c:pt>
                <c:pt idx="3">
                  <c:v>182.79282621599998</c:v>
                </c:pt>
                <c:pt idx="4">
                  <c:v>191.93246752679997</c:v>
                </c:pt>
                <c:pt idx="5">
                  <c:v>225.32871687646315</c:v>
                </c:pt>
                <c:pt idx="6">
                  <c:v>247.86158856410947</c:v>
                </c:pt>
                <c:pt idx="7">
                  <c:v>254.80171304390456</c:v>
                </c:pt>
                <c:pt idx="8">
                  <c:v>286.6519271743926</c:v>
                </c:pt>
                <c:pt idx="9">
                  <c:v>325.92324119728437</c:v>
                </c:pt>
                <c:pt idx="10">
                  <c:v>359.16741179940743</c:v>
                </c:pt>
                <c:pt idx="11">
                  <c:v>419.14836956990848</c:v>
                </c:pt>
                <c:pt idx="12">
                  <c:v>514.29504946227769</c:v>
                </c:pt>
                <c:pt idx="13">
                  <c:v>563.15307916119411</c:v>
                </c:pt>
                <c:pt idx="14">
                  <c:v>487.1274134744329</c:v>
                </c:pt>
                <c:pt idx="15">
                  <c:v>517.81644052332217</c:v>
                </c:pt>
                <c:pt idx="16">
                  <c:v>573.74061609984096</c:v>
                </c:pt>
                <c:pt idx="17">
                  <c:v>612.75497799463017</c:v>
                </c:pt>
                <c:pt idx="18">
                  <c:v>617.65701781858718</c:v>
                </c:pt>
                <c:pt idx="19">
                  <c:v>608.39216255130839</c:v>
                </c:pt>
                <c:pt idx="20">
                  <c:v>546.9445541336263</c:v>
                </c:pt>
                <c:pt idx="21">
                  <c:v>545.85066502535915</c:v>
                </c:pt>
                <c:pt idx="22">
                  <c:v>572.05149694657644</c:v>
                </c:pt>
                <c:pt idx="23">
                  <c:v>596.64971131527921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322-46E1-933F-7257150DEE51}"/>
            </c:ext>
          </c:extLst>
        </c:ser>
        <c:ser>
          <c:idx val="1"/>
          <c:order val="1"/>
          <c:spPr>
            <a:ln w="60325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ОТЧЁТ!$EJ$205:$EJ$222</c:f>
              <c:numCache>
                <c:formatCode>General</c:formatCode>
                <c:ptCount val="18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</c:numCache>
            </c:numRef>
          </c:xVal>
          <c:yVal>
            <c:numRef>
              <c:f>ОТЧЁТ!$EL$205:$EL$222</c:f>
              <c:numCache>
                <c:formatCode>0</c:formatCode>
                <c:ptCount val="18"/>
                <c:pt idx="0">
                  <c:v>596.64971131527921</c:v>
                </c:pt>
                <c:pt idx="1">
                  <c:v>628.00541669800305</c:v>
                </c:pt>
                <c:pt idx="2">
                  <c:v>653.33632938239043</c:v>
                </c:pt>
                <c:pt idx="3">
                  <c:v>696.7576153240384</c:v>
                </c:pt>
                <c:pt idx="4">
                  <c:v>731.85649943448288</c:v>
                </c:pt>
                <c:pt idx="5">
                  <c:v>766.50187452867749</c:v>
                </c:pt>
                <c:pt idx="6">
                  <c:v>801.51909210335725</c:v>
                </c:pt>
                <c:pt idx="7">
                  <c:v>837.44724258142992</c:v>
                </c:pt>
                <c:pt idx="8">
                  <c:v>874.65128583892897</c:v>
                </c:pt>
                <c:pt idx="9">
                  <c:v>913.39094360972103</c:v>
                </c:pt>
                <c:pt idx="10">
                  <c:v>953.86307548107789</c:v>
                </c:pt>
                <c:pt idx="11">
                  <c:v>996.22778840728051</c:v>
                </c:pt>
                <c:pt idx="12">
                  <c:v>1040.6245652048178</c:v>
                </c:pt>
                <c:pt idx="13">
                  <c:v>1087.1822680012208</c:v>
                </c:pt>
                <c:pt idx="14">
                  <c:v>1136.0253831947402</c:v>
                </c:pt>
                <c:pt idx="15">
                  <c:v>1187.2779610337795</c:v>
                </c:pt>
                <c:pt idx="16">
                  <c:v>1241.0661424988334</c:v>
                </c:pt>
                <c:pt idx="17">
                  <c:v>1297.5198222028266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322-46E1-933F-7257150DEE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667648"/>
        <c:axId val="152669184"/>
      </c:scatterChart>
      <c:valAx>
        <c:axId val="152667648"/>
        <c:scaling>
          <c:orientation val="minMax"/>
          <c:max val="2035"/>
          <c:min val="1995"/>
        </c:scaling>
        <c:delete val="0"/>
        <c:axPos val="b"/>
        <c:numFmt formatCode="#,##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20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52669184"/>
        <c:crosses val="autoZero"/>
        <c:crossBetween val="midCat"/>
        <c:majorUnit val="5"/>
      </c:valAx>
      <c:valAx>
        <c:axId val="152669184"/>
        <c:scaling>
          <c:orientation val="minMax"/>
          <c:max val="1100"/>
          <c:min val="10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txPr>
          <a:bodyPr/>
          <a:lstStyle/>
          <a:p>
            <a:pPr>
              <a:defRPr sz="18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52667648"/>
        <c:crosses val="autoZero"/>
        <c:crossBetween val="midCat"/>
        <c:majorUnit val="200"/>
      </c:valAx>
      <c:spPr>
        <a:solidFill>
          <a:sysClr val="window" lastClr="FFFFFF"/>
        </a:solidFill>
        <a:ln>
          <a:solidFill>
            <a:schemeClr val="accent4">
              <a:lumMod val="75000"/>
            </a:schemeClr>
          </a:solidFill>
          <a:prstDash val="lgDashDotDot"/>
        </a:ln>
      </c:spPr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3603706352401562E-2"/>
          <c:y val="2.0801327694030546E-2"/>
          <c:w val="0.90855288297725545"/>
          <c:h val="0.93282266589605956"/>
        </c:manualLayout>
      </c:layout>
      <c:scatterChart>
        <c:scatterStyle val="smoothMarker"/>
        <c:varyColors val="0"/>
        <c:ser>
          <c:idx val="0"/>
          <c:order val="0"/>
          <c:spPr>
            <a:ln w="76200">
              <a:solidFill>
                <a:srgbClr val="FF0000">
                  <a:alpha val="63000"/>
                </a:srgbClr>
              </a:solidFill>
            </a:ln>
          </c:spPr>
          <c:marker>
            <c:symbol val="circle"/>
            <c:size val="15"/>
            <c:spPr>
              <a:noFill/>
            </c:spPr>
          </c:marker>
          <c:xVal>
            <c:numRef>
              <c:f>ОТЧЁТ!$HB$321:$HB$344</c:f>
              <c:numCache>
                <c:formatCode>0</c:formatCode>
                <c:ptCount val="24"/>
                <c:pt idx="0">
                  <c:v>418.46850000000001</c:v>
                </c:pt>
                <c:pt idx="1">
                  <c:v>523.46310000000005</c:v>
                </c:pt>
                <c:pt idx="2">
                  <c:v>579.28650000000005</c:v>
                </c:pt>
                <c:pt idx="3">
                  <c:v>821.04340000000002</c:v>
                </c:pt>
                <c:pt idx="4">
                  <c:v>2084.5850999999998</c:v>
                </c:pt>
                <c:pt idx="5">
                  <c:v>3218.8663000000001</c:v>
                </c:pt>
                <c:pt idx="6">
                  <c:v>3299.5617000000002</c:v>
                </c:pt>
                <c:pt idx="7">
                  <c:v>3813.7</c:v>
                </c:pt>
                <c:pt idx="8">
                  <c:v>4655.8802999999998</c:v>
                </c:pt>
                <c:pt idx="9">
                  <c:v>5860.3968999999997</c:v>
                </c:pt>
                <c:pt idx="10">
                  <c:v>7607.2565000000004</c:v>
                </c:pt>
                <c:pt idx="11">
                  <c:v>9079.2999999999993</c:v>
                </c:pt>
                <c:pt idx="12">
                  <c:v>10028.7621</c:v>
                </c:pt>
                <c:pt idx="13">
                  <c:v>12923.5537</c:v>
                </c:pt>
                <c:pt idx="14">
                  <c:v>10842.0262</c:v>
                </c:pt>
                <c:pt idx="15">
                  <c:v>13529.311</c:v>
                </c:pt>
                <c:pt idx="16">
                  <c:v>16865.192199999998</c:v>
                </c:pt>
                <c:pt idx="17">
                  <c:v>18324.772300000001</c:v>
                </c:pt>
                <c:pt idx="18">
                  <c:v>18863.370199999998</c:v>
                </c:pt>
                <c:pt idx="19">
                  <c:v>21425.934600000001</c:v>
                </c:pt>
                <c:pt idx="20">
                  <c:v>23854.05</c:v>
                </c:pt>
                <c:pt idx="21">
                  <c:v>22137.648000000001</c:v>
                </c:pt>
                <c:pt idx="22">
                  <c:v>23994.3</c:v>
                </c:pt>
                <c:pt idx="23">
                  <c:v>31932.55</c:v>
                </c:pt>
              </c:numCache>
            </c:numRef>
          </c:xVal>
          <c:yVal>
            <c:numRef>
              <c:f>ОТЧЁТ!$HA$321:$HA$344</c:f>
              <c:numCache>
                <c:formatCode>0</c:formatCode>
                <c:ptCount val="24"/>
                <c:pt idx="0">
                  <c:v>437</c:v>
                </c:pt>
                <c:pt idx="1">
                  <c:v>558.5</c:v>
                </c:pt>
                <c:pt idx="2">
                  <c:v>711.6</c:v>
                </c:pt>
                <c:pt idx="3">
                  <c:v>686.8</c:v>
                </c:pt>
                <c:pt idx="4">
                  <c:v>1213.5999999999999</c:v>
                </c:pt>
                <c:pt idx="5">
                  <c:v>2097.6999999999998</c:v>
                </c:pt>
                <c:pt idx="6">
                  <c:v>2683.7</c:v>
                </c:pt>
                <c:pt idx="7">
                  <c:v>3519.2</c:v>
                </c:pt>
                <c:pt idx="8">
                  <c:v>4138.7</c:v>
                </c:pt>
                <c:pt idx="9">
                  <c:v>5429.9</c:v>
                </c:pt>
                <c:pt idx="10">
                  <c:v>8579.6</c:v>
                </c:pt>
                <c:pt idx="11">
                  <c:v>10625.8</c:v>
                </c:pt>
                <c:pt idx="12">
                  <c:v>13368.262000000001</c:v>
                </c:pt>
                <c:pt idx="13">
                  <c:v>16003.86</c:v>
                </c:pt>
                <c:pt idx="14">
                  <c:v>13599.7</c:v>
                </c:pt>
                <c:pt idx="15">
                  <c:v>16031.9</c:v>
                </c:pt>
                <c:pt idx="16">
                  <c:v>20855</c:v>
                </c:pt>
                <c:pt idx="17">
                  <c:v>23435</c:v>
                </c:pt>
                <c:pt idx="18">
                  <c:v>24442</c:v>
                </c:pt>
                <c:pt idx="19">
                  <c:v>26766</c:v>
                </c:pt>
                <c:pt idx="20">
                  <c:v>26922</c:v>
                </c:pt>
                <c:pt idx="21">
                  <c:v>28182</c:v>
                </c:pt>
                <c:pt idx="22">
                  <c:v>31047</c:v>
                </c:pt>
                <c:pt idx="23">
                  <c:v>37320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E92-4186-862E-806118576194}"/>
            </c:ext>
          </c:extLst>
        </c:ser>
        <c:ser>
          <c:idx val="1"/>
          <c:order val="1"/>
          <c:spPr>
            <a:ln w="63500">
              <a:solidFill>
                <a:srgbClr val="00B0F0"/>
              </a:solidFill>
            </a:ln>
          </c:spPr>
          <c:marker>
            <c:symbol val="circle"/>
            <c:size val="13"/>
            <c:spPr>
              <a:noFill/>
              <a:ln>
                <a:solidFill>
                  <a:srgbClr val="00B0F0"/>
                </a:solidFill>
              </a:ln>
            </c:spPr>
          </c:marker>
          <c:trendline>
            <c:spPr>
              <a:ln w="25400">
                <a:prstDash val="lgDash"/>
              </a:ln>
            </c:spPr>
            <c:trendlineType val="poly"/>
            <c:order val="2"/>
            <c:forward val="10000"/>
            <c:dispRSqr val="1"/>
            <c:dispEq val="1"/>
            <c:trendlineLbl>
              <c:layout>
                <c:manualLayout>
                  <c:x val="3.8017768533650284E-2"/>
                  <c:y val="0.25359320527656476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sz="1600">
                      <a:latin typeface="Arial" panose="020B0604020202020204" pitchFamily="34" charset="0"/>
                      <a:cs typeface="Arial" panose="020B0604020202020204" pitchFamily="34" charset="0"/>
                    </a:defRPr>
                  </a:pPr>
                  <a:endParaRPr lang="ru-RU"/>
                </a:p>
              </c:txPr>
            </c:trendlineLbl>
          </c:trendline>
          <c:xVal>
            <c:numRef>
              <c:f>ОТЧЁТ!$HC$321:$HC$344</c:f>
              <c:numCache>
                <c:formatCode>0</c:formatCode>
                <c:ptCount val="24"/>
                <c:pt idx="0">
                  <c:v>514.85530000000006</c:v>
                </c:pt>
                <c:pt idx="1">
                  <c:v>622.76160000000016</c:v>
                </c:pt>
                <c:pt idx="2">
                  <c:v>685.29009999999994</c:v>
                </c:pt>
                <c:pt idx="3">
                  <c:v>807.4396999999999</c:v>
                </c:pt>
                <c:pt idx="4">
                  <c:v>2129.4647999999997</c:v>
                </c:pt>
                <c:pt idx="5">
                  <c:v>3419.3656999999998</c:v>
                </c:pt>
                <c:pt idx="6">
                  <c:v>3757.9725999999996</c:v>
                </c:pt>
                <c:pt idx="7">
                  <c:v>4220.6663999999982</c:v>
                </c:pt>
                <c:pt idx="8">
                  <c:v>5224.5250999999989</c:v>
                </c:pt>
                <c:pt idx="9">
                  <c:v>6554.3608999999979</c:v>
                </c:pt>
                <c:pt idx="10">
                  <c:v>8334.9118999999992</c:v>
                </c:pt>
                <c:pt idx="11">
                  <c:v>10048.0623</c:v>
                </c:pt>
                <c:pt idx="12">
                  <c:v>11346.638300000001</c:v>
                </c:pt>
                <c:pt idx="13">
                  <c:v>14668.053799999998</c:v>
                </c:pt>
                <c:pt idx="14">
                  <c:v>10210.714599999998</c:v>
                </c:pt>
                <c:pt idx="15">
                  <c:v>14849.832000000011</c:v>
                </c:pt>
                <c:pt idx="16">
                  <c:v>20565.427600000003</c:v>
                </c:pt>
                <c:pt idx="17">
                  <c:v>22468.884300000005</c:v>
                </c:pt>
                <c:pt idx="18">
                  <c:v>22328.994099999989</c:v>
                </c:pt>
                <c:pt idx="19">
                  <c:v>25406.479199999991</c:v>
                </c:pt>
                <c:pt idx="20">
                  <c:v>28559.893</c:v>
                </c:pt>
                <c:pt idx="21">
                  <c:v>27631.494999999999</c:v>
                </c:pt>
                <c:pt idx="22">
                  <c:v>30155.721999999994</c:v>
                </c:pt>
                <c:pt idx="23">
                  <c:v>37948.993999999992</c:v>
                </c:pt>
              </c:numCache>
            </c:numRef>
          </c:xVal>
          <c:yVal>
            <c:numRef>
              <c:f>ОТЧЁТ!$HA$321:$HA$344</c:f>
              <c:numCache>
                <c:formatCode>0</c:formatCode>
                <c:ptCount val="24"/>
                <c:pt idx="0">
                  <c:v>437</c:v>
                </c:pt>
                <c:pt idx="1">
                  <c:v>558.5</c:v>
                </c:pt>
                <c:pt idx="2">
                  <c:v>711.6</c:v>
                </c:pt>
                <c:pt idx="3">
                  <c:v>686.8</c:v>
                </c:pt>
                <c:pt idx="4">
                  <c:v>1213.5999999999999</c:v>
                </c:pt>
                <c:pt idx="5">
                  <c:v>2097.6999999999998</c:v>
                </c:pt>
                <c:pt idx="6">
                  <c:v>2683.7</c:v>
                </c:pt>
                <c:pt idx="7">
                  <c:v>3519.2</c:v>
                </c:pt>
                <c:pt idx="8">
                  <c:v>4138.7</c:v>
                </c:pt>
                <c:pt idx="9">
                  <c:v>5429.9</c:v>
                </c:pt>
                <c:pt idx="10">
                  <c:v>8579.6</c:v>
                </c:pt>
                <c:pt idx="11">
                  <c:v>10625.8</c:v>
                </c:pt>
                <c:pt idx="12">
                  <c:v>13368.262000000001</c:v>
                </c:pt>
                <c:pt idx="13">
                  <c:v>16003.86</c:v>
                </c:pt>
                <c:pt idx="14">
                  <c:v>13599.7</c:v>
                </c:pt>
                <c:pt idx="15">
                  <c:v>16031.9</c:v>
                </c:pt>
                <c:pt idx="16">
                  <c:v>20855</c:v>
                </c:pt>
                <c:pt idx="17">
                  <c:v>23435</c:v>
                </c:pt>
                <c:pt idx="18">
                  <c:v>24442</c:v>
                </c:pt>
                <c:pt idx="19">
                  <c:v>26766</c:v>
                </c:pt>
                <c:pt idx="20">
                  <c:v>26922</c:v>
                </c:pt>
                <c:pt idx="21">
                  <c:v>28182</c:v>
                </c:pt>
                <c:pt idx="22">
                  <c:v>31047</c:v>
                </c:pt>
                <c:pt idx="23">
                  <c:v>37320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E92-4186-862E-8061185761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588672"/>
        <c:axId val="152590208"/>
      </c:scatterChart>
      <c:valAx>
        <c:axId val="152588672"/>
        <c:scaling>
          <c:orientation val="minMax"/>
          <c:max val="50000"/>
          <c:min val="0"/>
        </c:scaling>
        <c:delete val="0"/>
        <c:axPos val="b"/>
        <c:numFmt formatCode="#,##0" sourceLinked="0"/>
        <c:majorTickMark val="in"/>
        <c:minorTickMark val="none"/>
        <c:tickLblPos val="nextTo"/>
        <c:spPr>
          <a:ln/>
        </c:spPr>
        <c:txPr>
          <a:bodyPr rot="0" vert="horz"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52590208"/>
        <c:crosses val="autoZero"/>
        <c:crossBetween val="midCat"/>
        <c:majorUnit val="10000"/>
      </c:valAx>
      <c:valAx>
        <c:axId val="152590208"/>
        <c:scaling>
          <c:orientation val="minMax"/>
          <c:max val="60000"/>
          <c:min val="0"/>
        </c:scaling>
        <c:delete val="0"/>
        <c:axPos val="l"/>
        <c:majorGridlines/>
        <c:numFmt formatCode="0" sourceLinked="0"/>
        <c:majorTickMark val="in"/>
        <c:minorTickMark val="none"/>
        <c:tickLblPos val="nextTo"/>
        <c:spPr>
          <a:ln/>
        </c:spPr>
        <c:txPr>
          <a:bodyPr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52588672"/>
        <c:crosses val="autoZero"/>
        <c:crossBetween val="midCat"/>
        <c:majorUnit val="15000"/>
        <c:minorUnit val="10"/>
      </c:valAx>
      <c:spPr>
        <a:solidFill>
          <a:sysClr val="window" lastClr="FFFFFF"/>
        </a:solidFill>
      </c:spPr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landscape"/>
  </c:printSettings>
  <c:userShapes r:id="rId1"/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6754289327173491E-2"/>
          <c:y val="2.7693774373550029E-2"/>
          <c:w val="0.90643879998279353"/>
          <c:h val="0.91281525110155792"/>
        </c:manualLayout>
      </c:layout>
      <c:scatterChart>
        <c:scatterStyle val="smoothMarker"/>
        <c:varyColors val="0"/>
        <c:ser>
          <c:idx val="0"/>
          <c:order val="0"/>
          <c:spPr>
            <a:ln w="85725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ОТЧЁТ!$ED$413:$ED$453</c:f>
              <c:numCache>
                <c:formatCode>General</c:formatCode>
                <c:ptCount val="41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  <c:pt idx="36">
                  <c:v>2031</c:v>
                </c:pt>
                <c:pt idx="37">
                  <c:v>2032</c:v>
                </c:pt>
                <c:pt idx="38">
                  <c:v>2033</c:v>
                </c:pt>
                <c:pt idx="39">
                  <c:v>2034</c:v>
                </c:pt>
                <c:pt idx="40">
                  <c:v>2035</c:v>
                </c:pt>
              </c:numCache>
            </c:numRef>
          </c:xVal>
          <c:yVal>
            <c:numRef>
              <c:f>ОТЧЁТ!$EE$413:$EE$453</c:f>
              <c:numCache>
                <c:formatCode>0.000</c:formatCode>
                <c:ptCount val="41"/>
                <c:pt idx="0">
                  <c:v>1</c:v>
                </c:pt>
                <c:pt idx="1">
                  <c:v>1.0551238685898738</c:v>
                </c:pt>
                <c:pt idx="2">
                  <c:v>1.0637144494078237</c:v>
                </c:pt>
                <c:pt idx="3">
                  <c:v>0.88314350986207779</c:v>
                </c:pt>
                <c:pt idx="4">
                  <c:v>0.94351698193098643</c:v>
                </c:pt>
                <c:pt idx="5">
                  <c:v>1.2247490822844354</c:v>
                </c:pt>
                <c:pt idx="6">
                  <c:v>1.3476545615734206</c:v>
                </c:pt>
                <c:pt idx="7">
                  <c:v>1.4665088426814834</c:v>
                </c:pt>
                <c:pt idx="8">
                  <c:v>1.6632756085335001</c:v>
                </c:pt>
                <c:pt idx="9">
                  <c:v>1.8635096058631688</c:v>
                </c:pt>
                <c:pt idx="10">
                  <c:v>2.0184806102920132</c:v>
                </c:pt>
                <c:pt idx="11">
                  <c:v>2.2752161070197054</c:v>
                </c:pt>
                <c:pt idx="12">
                  <c:v>2.574224804669774</c:v>
                </c:pt>
                <c:pt idx="13">
                  <c:v>2.7497210051148255</c:v>
                </c:pt>
                <c:pt idx="14">
                  <c:v>1.8560505362598563</c:v>
                </c:pt>
                <c:pt idx="15">
                  <c:v>2.3303907302212532</c:v>
                </c:pt>
                <c:pt idx="16">
                  <c:v>2.683219177751119</c:v>
                </c:pt>
                <c:pt idx="17">
                  <c:v>2.7827564782033063</c:v>
                </c:pt>
                <c:pt idx="18">
                  <c:v>2.7806418221752773</c:v>
                </c:pt>
                <c:pt idx="19">
                  <c:v>2.5425932511944835</c:v>
                </c:pt>
                <c:pt idx="20">
                  <c:v>2.1845595087999583</c:v>
                </c:pt>
                <c:pt idx="21">
                  <c:v>2.1739835580660896</c:v>
                </c:pt>
                <c:pt idx="22">
                  <c:v>2.4593278252133119</c:v>
                </c:pt>
                <c:pt idx="23">
                  <c:v>2.5430346985333676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DAE-45D0-AC2C-9EDB256040AF}"/>
            </c:ext>
          </c:extLst>
        </c:ser>
        <c:ser>
          <c:idx val="1"/>
          <c:order val="1"/>
          <c:spPr>
            <a:ln w="57150">
              <a:prstDash val="dash"/>
            </a:ln>
          </c:spPr>
          <c:marker>
            <c:symbol val="none"/>
          </c:marker>
          <c:xVal>
            <c:numRef>
              <c:f>ОТЧЁТ!$ED$413:$ED$453</c:f>
              <c:numCache>
                <c:formatCode>General</c:formatCode>
                <c:ptCount val="41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  <c:pt idx="36">
                  <c:v>2031</c:v>
                </c:pt>
                <c:pt idx="37">
                  <c:v>2032</c:v>
                </c:pt>
                <c:pt idx="38">
                  <c:v>2033</c:v>
                </c:pt>
                <c:pt idx="39">
                  <c:v>2034</c:v>
                </c:pt>
                <c:pt idx="40">
                  <c:v>2035</c:v>
                </c:pt>
              </c:numCache>
            </c:numRef>
          </c:xVal>
          <c:yVal>
            <c:numRef>
              <c:f>ОТЧЁТ!$EH$413:$EH$453</c:f>
              <c:numCache>
                <c:formatCode>0.00</c:formatCode>
                <c:ptCount val="41"/>
                <c:pt idx="22" formatCode="0.000">
                  <c:v>2.4593278252133119</c:v>
                </c:pt>
                <c:pt idx="23" formatCode="0.000">
                  <c:v>2.5430346985333676</c:v>
                </c:pt>
                <c:pt idx="24" formatCode="0.000">
                  <c:v>2.5932588225254012</c:v>
                </c:pt>
                <c:pt idx="25" formatCode="0.000">
                  <c:v>2.6233932969206215</c:v>
                </c:pt>
                <c:pt idx="26" formatCode="0.000">
                  <c:v>2.6414739815577537</c:v>
                </c:pt>
                <c:pt idx="27" formatCode="0.000">
                  <c:v>2.6523223923400332</c:v>
                </c:pt>
                <c:pt idx="28" formatCode="0.000">
                  <c:v>2.658831438809401</c:v>
                </c:pt>
                <c:pt idx="29" formatCode="0.000">
                  <c:v>2.6627368666910218</c:v>
                </c:pt>
                <c:pt idx="30" formatCode="0.000">
                  <c:v>2.6650801234199943</c:v>
                </c:pt>
                <c:pt idx="31" formatCode="0.000">
                  <c:v>2.6664860774573778</c:v>
                </c:pt>
                <c:pt idx="32" formatCode="0.000">
                  <c:v>2.6673296498798078</c:v>
                </c:pt>
                <c:pt idx="33" formatCode="0.000">
                  <c:v>2.6678357933332659</c:v>
                </c:pt>
                <c:pt idx="34" formatCode="0.000">
                  <c:v>2.6681394794053408</c:v>
                </c:pt>
                <c:pt idx="35" formatCode="0.000">
                  <c:v>2.6683216910485856</c:v>
                </c:pt>
                <c:pt idx="36" formatCode="0.000">
                  <c:v>2.6684310180345325</c:v>
                </c:pt>
                <c:pt idx="37" formatCode="0.000">
                  <c:v>2.6684966142261008</c:v>
                </c:pt>
                <c:pt idx="38" formatCode="0.000">
                  <c:v>2.6685359719410418</c:v>
                </c:pt>
                <c:pt idx="39" formatCode="0.000">
                  <c:v>2.6685595865700065</c:v>
                </c:pt>
                <c:pt idx="40" formatCode="0.000">
                  <c:v>2.6685737553473854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DAE-45D0-AC2C-9EDB256040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790528"/>
        <c:axId val="152792064"/>
      </c:scatterChart>
      <c:valAx>
        <c:axId val="152790528"/>
        <c:scaling>
          <c:orientation val="minMax"/>
          <c:max val="2035"/>
          <c:min val="1995"/>
        </c:scaling>
        <c:delete val="0"/>
        <c:axPos val="b"/>
        <c:numFmt formatCode="#,##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52792064"/>
        <c:crosses val="autoZero"/>
        <c:crossBetween val="midCat"/>
        <c:majorUnit val="5"/>
      </c:valAx>
      <c:valAx>
        <c:axId val="152792064"/>
        <c:scaling>
          <c:orientation val="minMax"/>
          <c:max val="4"/>
          <c:min val="0.5"/>
        </c:scaling>
        <c:delete val="0"/>
        <c:axPos val="l"/>
        <c:majorGridlines/>
        <c:numFmt formatCode="0.00" sourceLinked="0"/>
        <c:majorTickMark val="out"/>
        <c:minorTickMark val="none"/>
        <c:tickLblPos val="nextTo"/>
        <c:txPr>
          <a:bodyPr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52790528"/>
        <c:crosses val="autoZero"/>
        <c:crossBetween val="midCat"/>
        <c:majorUnit val="0.5"/>
      </c:valAx>
      <c:spPr>
        <a:solidFill>
          <a:sysClr val="window" lastClr="FFFFFF"/>
        </a:solidFill>
      </c:spPr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3603706352401562E-2"/>
          <c:y val="2.080132769403056E-2"/>
          <c:w val="0.90855288297725501"/>
          <c:h val="0.93282266589605956"/>
        </c:manualLayout>
      </c:layout>
      <c:scatterChart>
        <c:scatterStyle val="smoothMarker"/>
        <c:varyColors val="0"/>
        <c:ser>
          <c:idx val="0"/>
          <c:order val="0"/>
          <c:xVal>
            <c:numRef>
              <c:f>ОТЧЁТ!$FE$227:$FE$267</c:f>
              <c:numCache>
                <c:formatCode>General</c:formatCode>
                <c:ptCount val="41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  <c:pt idx="36">
                  <c:v>2031</c:v>
                </c:pt>
                <c:pt idx="37">
                  <c:v>2032</c:v>
                </c:pt>
                <c:pt idx="38">
                  <c:v>2033</c:v>
                </c:pt>
                <c:pt idx="39">
                  <c:v>2034</c:v>
                </c:pt>
                <c:pt idx="40">
                  <c:v>2035</c:v>
                </c:pt>
              </c:numCache>
            </c:numRef>
          </c:xVal>
          <c:yVal>
            <c:numRef>
              <c:f>ОТЧЁТ!$FF$227:$FF$267</c:f>
              <c:numCache>
                <c:formatCode>0.0</c:formatCode>
                <c:ptCount val="41"/>
                <c:pt idx="24">
                  <c:v>34.387591658078591</c:v>
                </c:pt>
                <c:pt idx="25">
                  <c:v>33.33077815849024</c:v>
                </c:pt>
                <c:pt idx="26">
                  <c:v>37.216067066414759</c:v>
                </c:pt>
                <c:pt idx="27">
                  <c:v>38.478495419735495</c:v>
                </c:pt>
                <c:pt idx="28">
                  <c:v>39.787795190722271</c:v>
                </c:pt>
                <c:pt idx="29">
                  <c:v>41.146309950258384</c:v>
                </c:pt>
                <c:pt idx="30">
                  <c:v>42.556500447771299</c:v>
                </c:pt>
                <c:pt idx="31">
                  <c:v>44.020950470159868</c:v>
                </c:pt>
                <c:pt idx="32">
                  <c:v>45.542372993667861</c:v>
                </c:pt>
                <c:pt idx="33">
                  <c:v>47.123616643351255</c:v>
                </c:pt>
                <c:pt idx="34">
                  <c:v>48.767672475518822</c:v>
                </c:pt>
                <c:pt idx="35">
                  <c:v>50.477681099294756</c:v>
                </c:pt>
                <c:pt idx="36">
                  <c:v>52.256940154259503</c:v>
                </c:pt>
                <c:pt idx="37">
                  <c:v>54.108912161972484</c:v>
                </c:pt>
                <c:pt idx="38">
                  <c:v>56.037232770071107</c:v>
                </c:pt>
                <c:pt idx="39">
                  <c:v>58.045719408574669</c:v>
                </c:pt>
                <c:pt idx="40">
                  <c:v>60.138380379003401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F10-4406-BBFE-940EFD93D32B}"/>
            </c:ext>
          </c:extLst>
        </c:ser>
        <c:ser>
          <c:idx val="1"/>
          <c:order val="1"/>
          <c:xVal>
            <c:numRef>
              <c:f>ОТЧЁТ!$FE$227:$FE$267</c:f>
              <c:numCache>
                <c:formatCode>General</c:formatCode>
                <c:ptCount val="41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  <c:pt idx="36">
                  <c:v>2031</c:v>
                </c:pt>
                <c:pt idx="37">
                  <c:v>2032</c:v>
                </c:pt>
                <c:pt idx="38">
                  <c:v>2033</c:v>
                </c:pt>
                <c:pt idx="39">
                  <c:v>2034</c:v>
                </c:pt>
                <c:pt idx="40">
                  <c:v>2035</c:v>
                </c:pt>
              </c:numCache>
            </c:numRef>
          </c:xVal>
          <c:yVal>
            <c:numRef>
              <c:f>ОТЧЁТ!$FG$227:$FG$267</c:f>
              <c:numCache>
                <c:formatCode>0.0</c:formatCode>
                <c:ptCount val="41"/>
                <c:pt idx="0">
                  <c:v>1</c:v>
                </c:pt>
                <c:pt idx="1">
                  <c:v>1.170751567490661</c:v>
                </c:pt>
                <c:pt idx="2">
                  <c:v>1.4027022303089887</c:v>
                </c:pt>
                <c:pt idx="3">
                  <c:v>2.0776657762662096</c:v>
                </c:pt>
                <c:pt idx="4">
                  <c:v>4.8943006185343947</c:v>
                </c:pt>
                <c:pt idx="5">
                  <c:v>5.1416113994451784</c:v>
                </c:pt>
                <c:pt idx="6">
                  <c:v>5.3433855590626731</c:v>
                </c:pt>
                <c:pt idx="7">
                  <c:v>5.6965406483895427</c:v>
                </c:pt>
                <c:pt idx="8">
                  <c:v>5.7881234617249069</c:v>
                </c:pt>
                <c:pt idx="9">
                  <c:v>5.6171649663435339</c:v>
                </c:pt>
                <c:pt idx="10">
                  <c:v>5.9336563381172791</c:v>
                </c:pt>
                <c:pt idx="11">
                  <c:v>5.9494755268032113</c:v>
                </c:pt>
                <c:pt idx="12">
                  <c:v>5.972486590341231</c:v>
                </c:pt>
                <c:pt idx="13">
                  <c:v>6.6180737006266339</c:v>
                </c:pt>
                <c:pt idx="14">
                  <c:v>8.3015732196072332</c:v>
                </c:pt>
                <c:pt idx="15">
                  <c:v>8.1216053754514945</c:v>
                </c:pt>
                <c:pt idx="16">
                  <c:v>8.28287419187604</c:v>
                </c:pt>
                <c:pt idx="17">
                  <c:v>8.6670199170643656</c:v>
                </c:pt>
                <c:pt idx="18">
                  <c:v>9.0619465420277994</c:v>
                </c:pt>
                <c:pt idx="19">
                  <c:v>10.713774916786438</c:v>
                </c:pt>
                <c:pt idx="20">
                  <c:v>15.005583237946574</c:v>
                </c:pt>
                <c:pt idx="21">
                  <c:v>16.052012422908838</c:v>
                </c:pt>
                <c:pt idx="22">
                  <c:v>14.742627700481556</c:v>
                </c:pt>
                <c:pt idx="23">
                  <c:v>16.237654558609506</c:v>
                </c:pt>
                <c:pt idx="24">
                  <c:v>18.438060398142703</c:v>
                </c:pt>
                <c:pt idx="25">
                  <c:v>17.799322318991504</c:v>
                </c:pt>
                <c:pt idx="26">
                  <c:v>20.147590934941082</c:v>
                </c:pt>
                <c:pt idx="27">
                  <c:v>20.910602631688135</c:v>
                </c:pt>
                <c:pt idx="28">
                  <c:v>21.701943413272542</c:v>
                </c:pt>
                <c:pt idx="29">
                  <c:v>22.52302973393617</c:v>
                </c:pt>
                <c:pt idx="30">
                  <c:v>23.375348870632976</c:v>
                </c:pt>
                <c:pt idx="31">
                  <c:v>24.260462464164625</c:v>
                </c:pt>
                <c:pt idx="32">
                  <c:v>25.180010237372858</c:v>
                </c:pt>
                <c:pt idx="33">
                  <c:v>26.135713899241502</c:v>
                </c:pt>
                <c:pt idx="34">
                  <c:v>27.129381244203579</c:v>
                </c:pt>
                <c:pt idx="35">
                  <c:v>28.162910456413751</c:v>
                </c:pt>
                <c:pt idx="36">
                  <c:v>29.238294629234446</c:v>
                </c:pt>
                <c:pt idx="37">
                  <c:v>30.357626510696168</c:v>
                </c:pt>
                <c:pt idx="38">
                  <c:v>31.523103486230976</c:v>
                </c:pt>
                <c:pt idx="39">
                  <c:v>32.737032810542537</c:v>
                </c:pt>
                <c:pt idx="40">
                  <c:v>34.001837101069661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F10-4406-BBFE-940EFD93D3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707456"/>
        <c:axId val="152708992"/>
      </c:scatterChart>
      <c:valAx>
        <c:axId val="152707456"/>
        <c:scaling>
          <c:orientation val="minMax"/>
          <c:max val="2035"/>
          <c:min val="1995"/>
        </c:scaling>
        <c:delete val="0"/>
        <c:axPos val="b"/>
        <c:numFmt formatCode="#,##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4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52708992"/>
        <c:crosses val="autoZero"/>
        <c:crossBetween val="midCat"/>
        <c:majorUnit val="5"/>
      </c:valAx>
      <c:valAx>
        <c:axId val="152708992"/>
        <c:scaling>
          <c:orientation val="minMax"/>
          <c:max val="60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txPr>
          <a:bodyPr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52707456"/>
        <c:crosses val="autoZero"/>
        <c:crossBetween val="midCat"/>
        <c:majorUnit val="10"/>
        <c:minorUnit val="10"/>
      </c:valAx>
      <c:spPr>
        <a:solidFill>
          <a:sysClr val="window" lastClr="FFFFFF"/>
        </a:solidFill>
      </c:spPr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landscape"/>
  </c:printSettings>
  <c:userShapes r:id="rId1"/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3512260611674008E-2"/>
          <c:y val="2.8200460502004046E-2"/>
          <c:w val="0.8954090951582887"/>
          <c:h val="0.90222121668190025"/>
        </c:manualLayout>
      </c:layout>
      <c:scatterChart>
        <c:scatterStyle val="smoothMarker"/>
        <c:varyColors val="0"/>
        <c:ser>
          <c:idx val="0"/>
          <c:order val="0"/>
          <c:xVal>
            <c:numRef>
              <c:f>ОТЧЁТ!$EU$93:$EU$133</c:f>
              <c:numCache>
                <c:formatCode>General</c:formatCode>
                <c:ptCount val="41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  <c:pt idx="36">
                  <c:v>2031</c:v>
                </c:pt>
                <c:pt idx="37">
                  <c:v>2032</c:v>
                </c:pt>
                <c:pt idx="38">
                  <c:v>2033</c:v>
                </c:pt>
                <c:pt idx="39">
                  <c:v>2034</c:v>
                </c:pt>
                <c:pt idx="40">
                  <c:v>2035</c:v>
                </c:pt>
              </c:numCache>
            </c:numRef>
          </c:xVal>
          <c:yVal>
            <c:numRef>
              <c:f>ОТЧЁТ!$EV$93:$EV$133</c:f>
              <c:numCache>
                <c:formatCode>0.00</c:formatCode>
                <c:ptCount val="41"/>
                <c:pt idx="0">
                  <c:v>1</c:v>
                </c:pt>
                <c:pt idx="1">
                  <c:v>1.4723042021668387</c:v>
                </c:pt>
                <c:pt idx="2">
                  <c:v>1.718558670886825</c:v>
                </c:pt>
                <c:pt idx="3">
                  <c:v>2.1060897046594418</c:v>
                </c:pt>
                <c:pt idx="4">
                  <c:v>3.7278422973468679</c:v>
                </c:pt>
                <c:pt idx="5">
                  <c:v>4.5918326760987345</c:v>
                </c:pt>
                <c:pt idx="6">
                  <c:v>5.5611795404054956</c:v>
                </c:pt>
                <c:pt idx="7">
                  <c:v>6.4682386989177063</c:v>
                </c:pt>
                <c:pt idx="8">
                  <c:v>7.2584827706254744</c:v>
                </c:pt>
                <c:pt idx="9">
                  <c:v>8.3282279936178867</c:v>
                </c:pt>
                <c:pt idx="10">
                  <c:v>9.3704714639566831</c:v>
                </c:pt>
                <c:pt idx="11">
                  <c:v>10.171880121895711</c:v>
                </c:pt>
                <c:pt idx="12">
                  <c:v>10.996054426330467</c:v>
                </c:pt>
                <c:pt idx="13">
                  <c:v>12.382630991276981</c:v>
                </c:pt>
                <c:pt idx="14">
                  <c:v>13.714036448863869</c:v>
                </c:pt>
                <c:pt idx="15">
                  <c:v>14.629133800462956</c:v>
                </c:pt>
                <c:pt idx="16">
                  <c:v>17.36421630879255</c:v>
                </c:pt>
                <c:pt idx="17">
                  <c:v>18.540125110660799</c:v>
                </c:pt>
                <c:pt idx="18">
                  <c:v>19.653563919076568</c:v>
                </c:pt>
                <c:pt idx="19">
                  <c:v>21.016276952701091</c:v>
                </c:pt>
                <c:pt idx="20">
                  <c:v>23.908625308988828</c:v>
                </c:pt>
                <c:pt idx="21">
                  <c:v>25.541020349632802</c:v>
                </c:pt>
                <c:pt idx="22">
                  <c:v>26.262932750374507</c:v>
                </c:pt>
                <c:pt idx="23">
                  <c:v>27.120680464307846</c:v>
                </c:pt>
                <c:pt idx="24">
                  <c:v>28.11540071334408</c:v>
                </c:pt>
                <c:pt idx="25">
                  <c:v>29.519911158369268</c:v>
                </c:pt>
                <c:pt idx="26">
                  <c:v>31.020391716287733</c:v>
                </c:pt>
                <c:pt idx="27">
                  <c:v>32.595896302102119</c:v>
                </c:pt>
                <c:pt idx="28">
                  <c:v>34.250176117207225</c:v>
                </c:pt>
                <c:pt idx="29">
                  <c:v>35.98716992306759</c:v>
                </c:pt>
                <c:pt idx="30">
                  <c:v>37.81101341922097</c:v>
                </c:pt>
                <c:pt idx="31">
                  <c:v>39.726049090182023</c:v>
                </c:pt>
                <c:pt idx="32">
                  <c:v>41.736836544691123</c:v>
                </c:pt>
                <c:pt idx="33">
                  <c:v>43.848163371925686</c:v>
                </c:pt>
                <c:pt idx="34">
                  <c:v>46.065056540521972</c:v>
                </c:pt>
                <c:pt idx="35">
                  <c:v>48.392794367548071</c:v>
                </c:pt>
                <c:pt idx="36">
                  <c:v>50.83691908592548</c:v>
                </c:pt>
                <c:pt idx="37">
                  <c:v>53.403250040221756</c:v>
                </c:pt>
                <c:pt idx="38">
                  <c:v>56.09789754223285</c:v>
                </c:pt>
                <c:pt idx="39">
                  <c:v>58.927277419344499</c:v>
                </c:pt>
                <c:pt idx="40">
                  <c:v>61.89812629031173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D6F-485B-9159-750FEC7F49BC}"/>
            </c:ext>
          </c:extLst>
        </c:ser>
        <c:ser>
          <c:idx val="1"/>
          <c:order val="1"/>
          <c:spPr>
            <a:ln w="60325"/>
          </c:spPr>
          <c:marker>
            <c:symbol val="none"/>
          </c:marker>
          <c:xVal>
            <c:numRef>
              <c:f>ОТЧЁТ!$EU$93:$EU$133</c:f>
              <c:numCache>
                <c:formatCode>General</c:formatCode>
                <c:ptCount val="41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  <c:pt idx="36">
                  <c:v>2031</c:v>
                </c:pt>
                <c:pt idx="37">
                  <c:v>2032</c:v>
                </c:pt>
                <c:pt idx="38">
                  <c:v>2033</c:v>
                </c:pt>
                <c:pt idx="39">
                  <c:v>2034</c:v>
                </c:pt>
                <c:pt idx="40">
                  <c:v>2035</c:v>
                </c:pt>
              </c:numCache>
            </c:numRef>
          </c:xVal>
          <c:yVal>
            <c:numRef>
              <c:f>ОТЧЁТ!$EW$93:$EW$133</c:f>
              <c:numCache>
                <c:formatCode>0.0</c:formatCode>
                <c:ptCount val="41"/>
                <c:pt idx="0">
                  <c:v>1</c:v>
                </c:pt>
                <c:pt idx="1">
                  <c:v>1.3930686182271845</c:v>
                </c:pt>
                <c:pt idx="2">
                  <c:v>1.8000080782573098</c:v>
                </c:pt>
                <c:pt idx="3">
                  <c:v>1.7787455021088285</c:v>
                </c:pt>
                <c:pt idx="4">
                  <c:v>2.4627881934761957</c:v>
                </c:pt>
                <c:pt idx="5">
                  <c:v>3.7854704885295649</c:v>
                </c:pt>
                <c:pt idx="6">
                  <c:v>5.0878645956391404</c:v>
                </c:pt>
                <c:pt idx="7">
                  <c:v>6.5528675715584006</c:v>
                </c:pt>
                <c:pt idx="8">
                  <c:v>7.7958923176158716</c:v>
                </c:pt>
                <c:pt idx="9">
                  <c:v>9.32454487174126</c:v>
                </c:pt>
                <c:pt idx="10">
                  <c:v>11.601834838997735</c:v>
                </c:pt>
                <c:pt idx="11">
                  <c:v>14.558879763670303</c:v>
                </c:pt>
                <c:pt idx="12">
                  <c:v>17.418642331419541</c:v>
                </c:pt>
                <c:pt idx="13">
                  <c:v>21.558658204106848</c:v>
                </c:pt>
                <c:pt idx="14">
                  <c:v>23.771830652990928</c:v>
                </c:pt>
                <c:pt idx="15">
                  <c:v>25.942740710668115</c:v>
                </c:pt>
                <c:pt idx="16">
                  <c:v>31.060937552257776</c:v>
                </c:pt>
                <c:pt idx="17">
                  <c:v>34.957056458668305</c:v>
                </c:pt>
                <c:pt idx="18">
                  <c:v>38.623860073036887</c:v>
                </c:pt>
                <c:pt idx="19">
                  <c:v>41.260921847659759</c:v>
                </c:pt>
                <c:pt idx="20">
                  <c:v>44.344749772395339</c:v>
                </c:pt>
                <c:pt idx="21">
                  <c:v>46.796704667591264</c:v>
                </c:pt>
                <c:pt idx="22">
                  <c:v>48.327851197265097</c:v>
                </c:pt>
                <c:pt idx="23">
                  <c:v>52.235265501486438</c:v>
                </c:pt>
                <c:pt idx="24">
                  <c:v>53.174963523769726</c:v>
                </c:pt>
                <c:pt idx="25">
                  <c:v>56.051730732786808</c:v>
                </c:pt>
                <c:pt idx="26">
                  <c:v>59.125067269426147</c:v>
                </c:pt>
                <c:pt idx="27">
                  <c:v>62.352070632897458</c:v>
                </c:pt>
                <c:pt idx="28">
                  <c:v>65.740424164542333</c:v>
                </c:pt>
                <c:pt idx="29">
                  <c:v>69.298195372769456</c:v>
                </c:pt>
                <c:pt idx="30">
                  <c:v>73.033855141407926</c:v>
                </c:pt>
                <c:pt idx="31">
                  <c:v>76.956297898478326</c:v>
                </c:pt>
                <c:pt idx="32">
                  <c:v>81.074862793402247</c:v>
                </c:pt>
                <c:pt idx="33">
                  <c:v>85.399355933072371</c:v>
                </c:pt>
                <c:pt idx="34">
                  <c:v>89.940073729725995</c:v>
                </c:pt>
                <c:pt idx="35">
                  <c:v>94.707827416212297</c:v>
                </c:pt>
                <c:pt idx="36">
                  <c:v>99.713968787022921</c:v>
                </c:pt>
                <c:pt idx="37">
                  <c:v>104.97041722637408</c:v>
                </c:pt>
                <c:pt idx="38">
                  <c:v>110.4896880876928</c:v>
                </c:pt>
                <c:pt idx="39">
                  <c:v>116.28492249207744</c:v>
                </c:pt>
                <c:pt idx="40">
                  <c:v>122.36991861668132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D6F-485B-9159-750FEC7F49BC}"/>
            </c:ext>
          </c:extLst>
        </c:ser>
        <c:ser>
          <c:idx val="2"/>
          <c:order val="2"/>
          <c:xVal>
            <c:numRef>
              <c:f>ОТЧЁТ!$EU$93:$EU$133</c:f>
              <c:numCache>
                <c:formatCode>General</c:formatCode>
                <c:ptCount val="41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  <c:pt idx="36">
                  <c:v>2031</c:v>
                </c:pt>
                <c:pt idx="37">
                  <c:v>2032</c:v>
                </c:pt>
                <c:pt idx="38">
                  <c:v>2033</c:v>
                </c:pt>
                <c:pt idx="39">
                  <c:v>2034</c:v>
                </c:pt>
                <c:pt idx="40">
                  <c:v>2035</c:v>
                </c:pt>
              </c:numCache>
            </c:numRef>
          </c:xVal>
          <c:yVal>
            <c:numRef>
              <c:f>ОТЧЁТ!$EX$93:$EX$133</c:f>
              <c:numCache>
                <c:formatCode>0.00</c:formatCode>
                <c:ptCount val="41"/>
                <c:pt idx="0">
                  <c:v>1</c:v>
                </c:pt>
                <c:pt idx="1">
                  <c:v>1.4997486735151189</c:v>
                </c:pt>
                <c:pt idx="2">
                  <c:v>1.9526312539350381</c:v>
                </c:pt>
                <c:pt idx="3">
                  <c:v>2.0059060303554479</c:v>
                </c:pt>
                <c:pt idx="4">
                  <c:v>2.3429902839701637</c:v>
                </c:pt>
                <c:pt idx="5">
                  <c:v>3.2406114791110681</c:v>
                </c:pt>
                <c:pt idx="6">
                  <c:v>3.97066356566005</c:v>
                </c:pt>
                <c:pt idx="7">
                  <c:v>5.2843734476785453</c:v>
                </c:pt>
                <c:pt idx="8">
                  <c:v>6.1715081316356093</c:v>
                </c:pt>
                <c:pt idx="9">
                  <c:v>6.7016025302099056</c:v>
                </c:pt>
                <c:pt idx="10">
                  <c:v>7.6444391008680617</c:v>
                </c:pt>
                <c:pt idx="11">
                  <c:v>8.6255823418854529</c:v>
                </c:pt>
                <c:pt idx="12">
                  <c:v>10.098705571453516</c:v>
                </c:pt>
                <c:pt idx="13">
                  <c:v>11.941266045828566</c:v>
                </c:pt>
                <c:pt idx="14">
                  <c:v>12.996640727607122</c:v>
                </c:pt>
                <c:pt idx="15">
                  <c:v>13.587422805401822</c:v>
                </c:pt>
                <c:pt idx="16">
                  <c:v>14.262597604124318</c:v>
                </c:pt>
                <c:pt idx="17">
                  <c:v>15.820545673088896</c:v>
                </c:pt>
                <c:pt idx="18">
                  <c:v>16.643637181160418</c:v>
                </c:pt>
                <c:pt idx="19">
                  <c:v>18.778754615584578</c:v>
                </c:pt>
                <c:pt idx="20">
                  <c:v>20.932137525435952</c:v>
                </c:pt>
                <c:pt idx="21">
                  <c:v>22.713794876355891</c:v>
                </c:pt>
                <c:pt idx="22">
                  <c:v>24.993896175246313</c:v>
                </c:pt>
                <c:pt idx="23">
                  <c:v>27.181442967904612</c:v>
                </c:pt>
                <c:pt idx="24">
                  <c:v>28.304690887736221</c:v>
                </c:pt>
                <c:pt idx="25">
                  <c:v>29.498051210324068</c:v>
                </c:pt>
                <c:pt idx="26">
                  <c:v>30.772953770840271</c:v>
                </c:pt>
                <c:pt idx="27">
                  <c:v>32.111601459382285</c:v>
                </c:pt>
                <c:pt idx="28">
                  <c:v>33.517181532351401</c:v>
                </c:pt>
                <c:pt idx="29">
                  <c:v>34.993040608968968</c:v>
                </c:pt>
                <c:pt idx="30">
                  <c:v>36.542692639417417</c:v>
                </c:pt>
                <c:pt idx="31">
                  <c:v>38.169827271388293</c:v>
                </c:pt>
                <c:pt idx="32">
                  <c:v>39.878318634957708</c:v>
                </c:pt>
                <c:pt idx="33">
                  <c:v>41.672234566705598</c:v>
                </c:pt>
                <c:pt idx="34">
                  <c:v>43.55584629504088</c:v>
                </c:pt>
                <c:pt idx="35">
                  <c:v>45.533638609792924</c:v>
                </c:pt>
                <c:pt idx="36">
                  <c:v>47.610320540282572</c:v>
                </c:pt>
                <c:pt idx="37">
                  <c:v>49.790836567296708</c:v>
                </c:pt>
                <c:pt idx="38">
                  <c:v>52.080378395661548</c:v>
                </c:pt>
                <c:pt idx="39">
                  <c:v>54.484397315444632</c:v>
                </c:pt>
                <c:pt idx="40">
                  <c:v>57.00861718121687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D6F-485B-9159-750FEC7F49BC}"/>
            </c:ext>
          </c:extLst>
        </c:ser>
        <c:ser>
          <c:idx val="3"/>
          <c:order val="3"/>
          <c:spPr>
            <a:ln w="76200">
              <a:solidFill>
                <a:schemeClr val="accent2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ОТЧЁТ!$EU$93:$EU$133</c:f>
              <c:numCache>
                <c:formatCode>General</c:formatCode>
                <c:ptCount val="41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  <c:pt idx="36">
                  <c:v>2031</c:v>
                </c:pt>
                <c:pt idx="37">
                  <c:v>2032</c:v>
                </c:pt>
                <c:pt idx="38">
                  <c:v>2033</c:v>
                </c:pt>
                <c:pt idx="39">
                  <c:v>2034</c:v>
                </c:pt>
                <c:pt idx="40">
                  <c:v>2035</c:v>
                </c:pt>
              </c:numCache>
            </c:numRef>
          </c:xVal>
          <c:yVal>
            <c:numRef>
              <c:f>ОТЧЁТ!$EY$93:$EY$133</c:f>
              <c:numCache>
                <c:formatCode>0.00</c:formatCode>
                <c:ptCount val="41"/>
                <c:pt idx="0">
                  <c:v>1</c:v>
                </c:pt>
                <c:pt idx="1">
                  <c:v>1.170751567490661</c:v>
                </c:pt>
                <c:pt idx="2">
                  <c:v>1.4027022303089887</c:v>
                </c:pt>
                <c:pt idx="3">
                  <c:v>2.0776657762662096</c:v>
                </c:pt>
                <c:pt idx="4">
                  <c:v>4.8943006185343947</c:v>
                </c:pt>
                <c:pt idx="5">
                  <c:v>5.1416113994451784</c:v>
                </c:pt>
                <c:pt idx="6">
                  <c:v>5.3433855590626731</c:v>
                </c:pt>
                <c:pt idx="7">
                  <c:v>5.6965406483895427</c:v>
                </c:pt>
                <c:pt idx="8">
                  <c:v>5.7881234617249069</c:v>
                </c:pt>
                <c:pt idx="9">
                  <c:v>5.6171649663435339</c:v>
                </c:pt>
                <c:pt idx="10">
                  <c:v>5.9336563381172791</c:v>
                </c:pt>
                <c:pt idx="11">
                  <c:v>5.9494755268032113</c:v>
                </c:pt>
                <c:pt idx="12">
                  <c:v>5.972486590341231</c:v>
                </c:pt>
                <c:pt idx="13">
                  <c:v>6.6180737006266339</c:v>
                </c:pt>
                <c:pt idx="14">
                  <c:v>8.3015732196072332</c:v>
                </c:pt>
                <c:pt idx="15">
                  <c:v>8.1216053754514945</c:v>
                </c:pt>
                <c:pt idx="16">
                  <c:v>8.28287419187604</c:v>
                </c:pt>
                <c:pt idx="17">
                  <c:v>8.6670199170643656</c:v>
                </c:pt>
                <c:pt idx="18">
                  <c:v>9.0619465420277994</c:v>
                </c:pt>
                <c:pt idx="19">
                  <c:v>10.713774916786438</c:v>
                </c:pt>
                <c:pt idx="20">
                  <c:v>15.005583237946574</c:v>
                </c:pt>
                <c:pt idx="21">
                  <c:v>16.052012422908838</c:v>
                </c:pt>
                <c:pt idx="22">
                  <c:v>14.742627700481556</c:v>
                </c:pt>
                <c:pt idx="23">
                  <c:v>16.237654558609506</c:v>
                </c:pt>
                <c:pt idx="24">
                  <c:v>18.438060398142703</c:v>
                </c:pt>
                <c:pt idx="25">
                  <c:v>17.799322318991504</c:v>
                </c:pt>
                <c:pt idx="26">
                  <c:v>20.147590934941082</c:v>
                </c:pt>
                <c:pt idx="27">
                  <c:v>20.910602631688135</c:v>
                </c:pt>
                <c:pt idx="28">
                  <c:v>21.701943413272542</c:v>
                </c:pt>
                <c:pt idx="29">
                  <c:v>22.52302973393617</c:v>
                </c:pt>
                <c:pt idx="30">
                  <c:v>23.375348870632976</c:v>
                </c:pt>
                <c:pt idx="31">
                  <c:v>24.260462464164625</c:v>
                </c:pt>
                <c:pt idx="32">
                  <c:v>25.180010237372858</c:v>
                </c:pt>
                <c:pt idx="33">
                  <c:v>26.135713899241502</c:v>
                </c:pt>
                <c:pt idx="34">
                  <c:v>27.129381244203579</c:v>
                </c:pt>
                <c:pt idx="35">
                  <c:v>28.162910456413751</c:v>
                </c:pt>
                <c:pt idx="36">
                  <c:v>29.238294629234446</c:v>
                </c:pt>
                <c:pt idx="37">
                  <c:v>30.357626510696168</c:v>
                </c:pt>
                <c:pt idx="38">
                  <c:v>31.523103486230976</c:v>
                </c:pt>
                <c:pt idx="39">
                  <c:v>32.737032810542537</c:v>
                </c:pt>
                <c:pt idx="40">
                  <c:v>34.001837101069661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3D6F-485B-9159-750FEC7F49BC}"/>
            </c:ext>
          </c:extLst>
        </c:ser>
        <c:ser>
          <c:idx val="4"/>
          <c:order val="4"/>
          <c:spPr>
            <a:ln w="69850">
              <a:solidFill>
                <a:srgbClr val="7030A0"/>
              </a:solidFill>
            </a:ln>
          </c:spPr>
          <c:marker>
            <c:symbol val="none"/>
          </c:marker>
          <c:xVal>
            <c:numRef>
              <c:f>ОТЧЁТ!$EU$93:$EU$133</c:f>
              <c:numCache>
                <c:formatCode>General</c:formatCode>
                <c:ptCount val="41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  <c:pt idx="36">
                  <c:v>2031</c:v>
                </c:pt>
                <c:pt idx="37">
                  <c:v>2032</c:v>
                </c:pt>
                <c:pt idx="38">
                  <c:v>2033</c:v>
                </c:pt>
                <c:pt idx="39">
                  <c:v>2034</c:v>
                </c:pt>
                <c:pt idx="40">
                  <c:v>2035</c:v>
                </c:pt>
              </c:numCache>
            </c:numRef>
          </c:xVal>
          <c:yVal>
            <c:numRef>
              <c:f>ОТЧЁТ!$EZ$93:$EZ$133</c:f>
              <c:numCache>
                <c:formatCode>0.00</c:formatCode>
                <c:ptCount val="41"/>
                <c:pt idx="0">
                  <c:v>1</c:v>
                </c:pt>
                <c:pt idx="1">
                  <c:v>1.1463921152743077</c:v>
                </c:pt>
                <c:pt idx="2">
                  <c:v>1.2513079717780982</c:v>
                </c:pt>
                <c:pt idx="3">
                  <c:v>1.7757982734232494</c:v>
                </c:pt>
                <c:pt idx="4">
                  <c:v>4.3836468174313525</c:v>
                </c:pt>
                <c:pt idx="5">
                  <c:v>5.422670804728047</c:v>
                </c:pt>
                <c:pt idx="6">
                  <c:v>5.4161394271000169</c:v>
                </c:pt>
                <c:pt idx="7">
                  <c:v>5.5899915734957792</c:v>
                </c:pt>
                <c:pt idx="8">
                  <c:v>6.1009492646947514</c:v>
                </c:pt>
                <c:pt idx="9">
                  <c:v>6.8314599646456458</c:v>
                </c:pt>
                <c:pt idx="10">
                  <c:v>8.0203116455157293</c:v>
                </c:pt>
                <c:pt idx="11">
                  <c:v>8.5777715926432858</c:v>
                </c:pt>
                <c:pt idx="12">
                  <c:v>8.5612179305936174</c:v>
                </c:pt>
                <c:pt idx="13">
                  <c:v>10.360928463828223</c:v>
                </c:pt>
                <c:pt idx="14">
                  <c:v>10.685163024983835</c:v>
                </c:pt>
                <c:pt idx="15">
                  <c:v>12.376778209553063</c:v>
                </c:pt>
                <c:pt idx="16">
                  <c:v>14.886630426588821</c:v>
                </c:pt>
                <c:pt idx="17">
                  <c:v>15.682710215951944</c:v>
                </c:pt>
                <c:pt idx="18">
                  <c:v>15.596922733834738</c:v>
                </c:pt>
                <c:pt idx="19">
                  <c:v>19.408072573294923</c:v>
                </c:pt>
                <c:pt idx="20">
                  <c:v>25.392619710313024</c:v>
                </c:pt>
                <c:pt idx="21">
                  <c:v>24.686694352693262</c:v>
                </c:pt>
                <c:pt idx="22">
                  <c:v>23.815961506525245</c:v>
                </c:pt>
                <c:pt idx="23">
                  <c:v>28.984298505855161</c:v>
                </c:pt>
                <c:pt idx="24">
                  <c:v>28.287941205989458</c:v>
                </c:pt>
                <c:pt idx="25">
                  <c:v>30.295292486376674</c:v>
                </c:pt>
                <c:pt idx="26">
                  <c:v>32.50839100920102</c:v>
                </c:pt>
                <c:pt idx="27">
                  <c:v>34.908397682763393</c:v>
                </c:pt>
                <c:pt idx="28">
                  <c:v>37.512473870121873</c:v>
                </c:pt>
                <c:pt idx="29">
                  <c:v>40.339440137928356</c:v>
                </c:pt>
                <c:pt idx="30">
                  <c:v>43.409941332990961</c:v>
                </c:pt>
                <c:pt idx="31">
                  <c:v>46.746628329593726</c:v>
                </c:pt>
                <c:pt idx="32">
                  <c:v>50.374358143846841</c:v>
                </c:pt>
                <c:pt idx="33">
                  <c:v>54.32041428458438</c:v>
                </c:pt>
                <c:pt idx="34">
                  <c:v>58.614749401297182</c:v>
                </c:pt>
                <c:pt idx="35">
                  <c:v>63.290252500100188</c:v>
                </c:pt>
                <c:pt idx="36">
                  <c:v>68.383043230789013</c:v>
                </c:pt>
                <c:pt idx="37">
                  <c:v>73.932796003844885</c:v>
                </c:pt>
                <c:pt idx="38">
                  <c:v>79.983096978233959</c:v>
                </c:pt>
                <c:pt idx="39">
                  <c:v>86.581837271697665</c:v>
                </c:pt>
                <c:pt idx="40">
                  <c:v>93.781646087901152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3D6F-485B-9159-750FEC7F49BC}"/>
            </c:ext>
          </c:extLst>
        </c:ser>
        <c:ser>
          <c:idx val="5"/>
          <c:order val="5"/>
          <c:yVal>
            <c:numRef>
              <c:f>ОТЧЁТ!$EU$93:$EU$133</c:f>
              <c:numCache>
                <c:formatCode>General</c:formatCode>
                <c:ptCount val="41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  <c:pt idx="36">
                  <c:v>2031</c:v>
                </c:pt>
                <c:pt idx="37">
                  <c:v>2032</c:v>
                </c:pt>
                <c:pt idx="38">
                  <c:v>2033</c:v>
                </c:pt>
                <c:pt idx="39">
                  <c:v>2034</c:v>
                </c:pt>
                <c:pt idx="40">
                  <c:v>2035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3D6F-485B-9159-750FEC7F49BC}"/>
            </c:ext>
          </c:extLst>
        </c:ser>
        <c:ser>
          <c:idx val="6"/>
          <c:order val="6"/>
          <c:xVal>
            <c:numRef>
              <c:f>ОТЧЁТ!$EU$93:$EU$133</c:f>
              <c:numCache>
                <c:formatCode>General</c:formatCode>
                <c:ptCount val="41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  <c:pt idx="36">
                  <c:v>2031</c:v>
                </c:pt>
                <c:pt idx="37">
                  <c:v>2032</c:v>
                </c:pt>
                <c:pt idx="38">
                  <c:v>2033</c:v>
                </c:pt>
                <c:pt idx="39">
                  <c:v>2034</c:v>
                </c:pt>
                <c:pt idx="40">
                  <c:v>2035</c:v>
                </c:pt>
              </c:numCache>
            </c:numRef>
          </c:xVal>
          <c:yVal>
            <c:numRef>
              <c:f>ОТЧЁТ!$FA$93:$FA$133</c:f>
              <c:numCache>
                <c:formatCode>0.00</c:formatCode>
                <c:ptCount val="41"/>
                <c:pt idx="0">
                  <c:v>1</c:v>
                </c:pt>
                <c:pt idx="1">
                  <c:v>1.7194377618988257</c:v>
                </c:pt>
                <c:pt idx="2">
                  <c:v>1.9680277801214476</c:v>
                </c:pt>
                <c:pt idx="3">
                  <c:v>2.2270348811115843</c:v>
                </c:pt>
                <c:pt idx="4">
                  <c:v>3.493098424873764</c:v>
                </c:pt>
                <c:pt idx="5">
                  <c:v>5.1712627496070169</c:v>
                </c:pt>
                <c:pt idx="6">
                  <c:v>6.0707268468539191</c:v>
                </c:pt>
                <c:pt idx="7">
                  <c:v>6.9167509862711283</c:v>
                </c:pt>
                <c:pt idx="8">
                  <c:v>7.6273689193439225</c:v>
                </c:pt>
                <c:pt idx="9">
                  <c:v>8.7904133177964692</c:v>
                </c:pt>
                <c:pt idx="10">
                  <c:v>10.054085870175701</c:v>
                </c:pt>
                <c:pt idx="11">
                  <c:v>11.28478682823815</c:v>
                </c:pt>
                <c:pt idx="12">
                  <c:v>13.059083510568804</c:v>
                </c:pt>
                <c:pt idx="13">
                  <c:v>15.593657080025292</c:v>
                </c:pt>
                <c:pt idx="14">
                  <c:v>16.373566297801105</c:v>
                </c:pt>
                <c:pt idx="15">
                  <c:v>17.674409856030426</c:v>
                </c:pt>
                <c:pt idx="16">
                  <c:v>19.234566440524752</c:v>
                </c:pt>
                <c:pt idx="17">
                  <c:v>20.540168341333807</c:v>
                </c:pt>
                <c:pt idx="18">
                  <c:v>21.776225011581559</c:v>
                </c:pt>
                <c:pt idx="19">
                  <c:v>22.851453644141124</c:v>
                </c:pt>
                <c:pt idx="20">
                  <c:v>25.408791247612854</c:v>
                </c:pt>
                <c:pt idx="21">
                  <c:v>27.019844336572895</c:v>
                </c:pt>
                <c:pt idx="22">
                  <c:v>28.017232863734257</c:v>
                </c:pt>
                <c:pt idx="23">
                  <c:v>29.489664817255768</c:v>
                </c:pt>
                <c:pt idx="24">
                  <c:v>30.569829658758049</c:v>
                </c:pt>
                <c:pt idx="25">
                  <c:v>32.420596695003056</c:v>
                </c:pt>
                <c:pt idx="26">
                  <c:v>34.39782652975321</c:v>
                </c:pt>
                <c:pt idx="27">
                  <c:v>36.473917856240874</c:v>
                </c:pt>
                <c:pt idx="28">
                  <c:v>38.653813749052922</c:v>
                </c:pt>
                <c:pt idx="29">
                  <c:v>40.942704436505565</c:v>
                </c:pt>
                <c:pt idx="30">
                  <c:v>43.346039658330845</c:v>
                </c:pt>
                <c:pt idx="31">
                  <c:v>45.869541641247388</c:v>
                </c:pt>
                <c:pt idx="32">
                  <c:v>48.519218723309763</c:v>
                </c:pt>
                <c:pt idx="33">
                  <c:v>51.301379659475259</c:v>
                </c:pt>
                <c:pt idx="34">
                  <c:v>54.222648642449023</c:v>
                </c:pt>
                <c:pt idx="35">
                  <c:v>57.289981074571479</c:v>
                </c:pt>
                <c:pt idx="36">
                  <c:v>60.510680128300059</c:v>
                </c:pt>
                <c:pt idx="37">
                  <c:v>63.892414134715061</c:v>
                </c:pt>
                <c:pt idx="38">
                  <c:v>67.443234841450831</c:v>
                </c:pt>
                <c:pt idx="39">
                  <c:v>71.171596583523382</c:v>
                </c:pt>
                <c:pt idx="40">
                  <c:v>75.086376412699551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3D6F-485B-9159-750FEC7F49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918656"/>
        <c:axId val="152928640"/>
      </c:scatterChart>
      <c:valAx>
        <c:axId val="152918656"/>
        <c:scaling>
          <c:orientation val="minMax"/>
          <c:max val="2035"/>
          <c:min val="1995"/>
        </c:scaling>
        <c:delete val="0"/>
        <c:axPos val="b"/>
        <c:numFmt formatCode="#,##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52928640"/>
        <c:crosses val="autoZero"/>
        <c:crossBetween val="midCat"/>
        <c:majorUnit val="5"/>
      </c:valAx>
      <c:valAx>
        <c:axId val="152928640"/>
        <c:scaling>
          <c:orientation val="minMax"/>
          <c:max val="100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txPr>
          <a:bodyPr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52918656"/>
        <c:crosses val="autoZero"/>
        <c:crossBetween val="midCat"/>
        <c:majorUnit val="20"/>
        <c:minorUnit val="20"/>
      </c:valAx>
      <c:spPr>
        <a:ln w="25400">
          <a:noFill/>
        </a:ln>
      </c:spPr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6900239771096524E-2"/>
          <c:y val="5.0000025972420432E-2"/>
          <c:w val="0.9247741933849527"/>
          <c:h val="0.91276643158163207"/>
        </c:manualLayout>
      </c:layout>
      <c:lineChart>
        <c:grouping val="standard"/>
        <c:varyColors val="0"/>
        <c:ser>
          <c:idx val="0"/>
          <c:order val="0"/>
          <c:spPr>
            <a:ln w="88900">
              <a:solidFill>
                <a:srgbClr val="00B0F0"/>
              </a:solidFill>
            </a:ln>
          </c:spPr>
          <c:marker>
            <c:symbol val="none"/>
          </c:marker>
          <c:cat>
            <c:numRef>
              <c:f>НАСТРОЙКА!$CJ$9:$CJ$49</c:f>
              <c:numCache>
                <c:formatCode>General</c:formatCode>
                <c:ptCount val="41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  <c:pt idx="36">
                  <c:v>2031</c:v>
                </c:pt>
                <c:pt idx="37">
                  <c:v>2032</c:v>
                </c:pt>
                <c:pt idx="38">
                  <c:v>2033</c:v>
                </c:pt>
                <c:pt idx="39">
                  <c:v>2034</c:v>
                </c:pt>
                <c:pt idx="40">
                  <c:v>2035</c:v>
                </c:pt>
              </c:numCache>
            </c:numRef>
          </c:cat>
          <c:val>
            <c:numRef>
              <c:f>НАСТРОЙКА!$CK$9:$CK$49</c:f>
              <c:numCache>
                <c:formatCode>0.000</c:formatCode>
                <c:ptCount val="41"/>
                <c:pt idx="0">
                  <c:v>2.2490438989016016E-2</c:v>
                </c:pt>
                <c:pt idx="1">
                  <c:v>2.7958204381156079E-2</c:v>
                </c:pt>
                <c:pt idx="2">
                  <c:v>2.9747212180728889E-2</c:v>
                </c:pt>
                <c:pt idx="3">
                  <c:v>-1.0512157616833476E-2</c:v>
                </c:pt>
                <c:pt idx="4">
                  <c:v>-1.8366803715713885E-2</c:v>
                </c:pt>
                <c:pt idx="5">
                  <c:v>9.4033448320917194E-3</c:v>
                </c:pt>
                <c:pt idx="6">
                  <c:v>1.5435898035414669E-2</c:v>
                </c:pt>
                <c:pt idx="7">
                  <c:v>1.0420706842907277E-2</c:v>
                </c:pt>
                <c:pt idx="8">
                  <c:v>1.1378312982583559E-2</c:v>
                </c:pt>
                <c:pt idx="9">
                  <c:v>1.1495203825421829E-2</c:v>
                </c:pt>
                <c:pt idx="10">
                  <c:v>1.1017693783579027E-2</c:v>
                </c:pt>
                <c:pt idx="11">
                  <c:v>1.164388659610574E-2</c:v>
                </c:pt>
                <c:pt idx="12">
                  <c:v>1.4011430848958683E-2</c:v>
                </c:pt>
                <c:pt idx="13">
                  <c:v>1.4635325905782108E-2</c:v>
                </c:pt>
                <c:pt idx="14">
                  <c:v>-2.5634571644029994E-2</c:v>
                </c:pt>
                <c:pt idx="15">
                  <c:v>-7.1573095064919514E-3</c:v>
                </c:pt>
                <c:pt idx="16">
                  <c:v>4.6424142281784484E-3</c:v>
                </c:pt>
                <c:pt idx="17">
                  <c:v>3.9793621240403485E-3</c:v>
                </c:pt>
                <c:pt idx="18">
                  <c:v>-4.4266417622443694E-3</c:v>
                </c:pt>
                <c:pt idx="19">
                  <c:v>-9.2001845966607383E-3</c:v>
                </c:pt>
                <c:pt idx="20">
                  <c:v>-9.5135168765049238E-3</c:v>
                </c:pt>
                <c:pt idx="21">
                  <c:v>-1.1568183003116708E-2</c:v>
                </c:pt>
                <c:pt idx="22">
                  <c:v>-1.1146134809817541E-2</c:v>
                </c:pt>
                <c:pt idx="23">
                  <c:v>-1.316254946451181E-2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5D73-4C37-9D88-A77B27B04FB7}"/>
            </c:ext>
          </c:extLst>
        </c:ser>
        <c:ser>
          <c:idx val="1"/>
          <c:order val="1"/>
          <c:spPr>
            <a:ln>
              <a:solidFill>
                <a:schemeClr val="tx1"/>
              </a:solidFill>
              <a:prstDash val="lgDash"/>
            </a:ln>
          </c:spPr>
          <c:marker>
            <c:symbol val="none"/>
          </c:marker>
          <c:cat>
            <c:numRef>
              <c:f>НАСТРОЙКА!$CJ$9:$CJ$49</c:f>
              <c:numCache>
                <c:formatCode>General</c:formatCode>
                <c:ptCount val="41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  <c:pt idx="36">
                  <c:v>2031</c:v>
                </c:pt>
                <c:pt idx="37">
                  <c:v>2032</c:v>
                </c:pt>
                <c:pt idx="38">
                  <c:v>2033</c:v>
                </c:pt>
                <c:pt idx="39">
                  <c:v>2034</c:v>
                </c:pt>
                <c:pt idx="40">
                  <c:v>2035</c:v>
                </c:pt>
              </c:numCache>
            </c:numRef>
          </c:cat>
          <c:val>
            <c:numRef>
              <c:f>НАСТРОЙКА!$CL$9:$CL$42</c:f>
              <c:numCache>
                <c:formatCode>0.000</c:formatCode>
                <c:ptCount val="34"/>
                <c:pt idx="21">
                  <c:v>-1.1568183003116708E-2</c:v>
                </c:pt>
                <c:pt idx="22">
                  <c:v>-1.1146134809817541E-2</c:v>
                </c:pt>
                <c:pt idx="23">
                  <c:v>-1.316254946451181E-2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5D73-4C37-9D88-A77B27B04F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2931328"/>
        <c:axId val="152992384"/>
      </c:lineChart>
      <c:catAx>
        <c:axId val="1529313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152992384"/>
        <c:crossesAt val="0"/>
        <c:auto val="1"/>
        <c:lblAlgn val="ctr"/>
        <c:lblOffset val="100"/>
        <c:tickLblSkip val="2"/>
        <c:tickMarkSkip val="1"/>
        <c:noMultiLvlLbl val="0"/>
      </c:catAx>
      <c:valAx>
        <c:axId val="152992384"/>
        <c:scaling>
          <c:orientation val="minMax"/>
          <c:max val="0.05"/>
          <c:min val="-0.05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425" b="0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152931328"/>
        <c:crosses val="autoZero"/>
        <c:crossBetween val="between"/>
        <c:majorUnit val="0.05"/>
        <c:minorUnit val="1.0000000000000005E-2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chemeClr val="accent6">
        <a:lumMod val="40000"/>
        <a:lumOff val="60000"/>
      </a:schemeClr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 Cyr"/>
          <a:ea typeface="Arial Cyr"/>
          <a:cs typeface="Arial Cyr"/>
        </a:defRPr>
      </a:pPr>
      <a:endParaRPr lang="ru-RU"/>
    </a:p>
  </c:txPr>
  <c:printSettings>
    <c:headerFooter alignWithMargins="0"/>
    <c:pageMargins b="1" l="0.75000000000001465" r="0.75000000000001465" t="1" header="0.5" footer="0.5"/>
    <c:pageSetup paperSize="9" orientation="landscape" verticalDpi="0"/>
  </c:printSettings>
  <c:userShapes r:id="rId1"/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225236946007709E-2"/>
          <c:y val="5.3304904051172913E-2"/>
          <c:w val="0.91942703960040661"/>
          <c:h val="0.88059701492537312"/>
        </c:manualLayout>
      </c:layout>
      <c:lineChart>
        <c:grouping val="standard"/>
        <c:varyColors val="0"/>
        <c:ser>
          <c:idx val="0"/>
          <c:order val="0"/>
          <c:spPr>
            <a:ln w="88900">
              <a:solidFill>
                <a:schemeClr val="accent6"/>
              </a:solidFill>
            </a:ln>
          </c:spPr>
          <c:marker>
            <c:symbol val="none"/>
          </c:marker>
          <c:cat>
            <c:numRef>
              <c:f>НАСТРОЙКА!$CC$96:$CC$131</c:f>
              <c:numCache>
                <c:formatCode>General</c:formatCode>
                <c:ptCount val="36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</c:numCache>
            </c:numRef>
          </c:cat>
          <c:val>
            <c:numRef>
              <c:f>НАСТРОЙКА!$CD$96:$CD$131</c:f>
              <c:numCache>
                <c:formatCode>0.000</c:formatCode>
                <c:ptCount val="36"/>
                <c:pt idx="0">
                  <c:v>0.30591082006570569</c:v>
                </c:pt>
                <c:pt idx="1">
                  <c:v>0.27816166467080888</c:v>
                </c:pt>
                <c:pt idx="2">
                  <c:v>0.30377623832039924</c:v>
                </c:pt>
                <c:pt idx="3">
                  <c:v>0.26117813318403943</c:v>
                </c:pt>
                <c:pt idx="4">
                  <c:v>0.25161546729373147</c:v>
                </c:pt>
                <c:pt idx="5">
                  <c:v>0.28713406421821713</c:v>
                </c:pt>
                <c:pt idx="6">
                  <c:v>0.30006990710858972</c:v>
                </c:pt>
                <c:pt idx="7">
                  <c:v>0.32527321790330338</c:v>
                </c:pt>
                <c:pt idx="8">
                  <c:v>0.31334242432928466</c:v>
                </c:pt>
                <c:pt idx="9">
                  <c:v>0.31889581974440651</c:v>
                </c:pt>
                <c:pt idx="10">
                  <c:v>0.39702420648664605</c:v>
                </c:pt>
                <c:pt idx="11">
                  <c:v>0.39475872109052162</c:v>
                </c:pt>
                <c:pt idx="12">
                  <c:v>0.40208306466662297</c:v>
                </c:pt>
                <c:pt idx="13">
                  <c:v>0.38772000068261031</c:v>
                </c:pt>
                <c:pt idx="14">
                  <c:v>0.35044252977777157</c:v>
                </c:pt>
                <c:pt idx="15">
                  <c:v>0.34619747575290699</c:v>
                </c:pt>
                <c:pt idx="16">
                  <c:v>0.34595423254591307</c:v>
                </c:pt>
                <c:pt idx="17">
                  <c:v>0.34380377018163161</c:v>
                </c:pt>
                <c:pt idx="18">
                  <c:v>0.33420891867688862</c:v>
                </c:pt>
                <c:pt idx="19">
                  <c:v>0.33855950683595232</c:v>
                </c:pt>
                <c:pt idx="20">
                  <c:v>0.32399334250363743</c:v>
                </c:pt>
                <c:pt idx="21">
                  <c:v>0.32764357513061798</c:v>
                </c:pt>
                <c:pt idx="22">
                  <c:v>0.33709607265214603</c:v>
                </c:pt>
                <c:pt idx="23">
                  <c:v>0.35927521135817964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8AF0-403C-AF54-7002390BD378}"/>
            </c:ext>
          </c:extLst>
        </c:ser>
        <c:ser>
          <c:idx val="1"/>
          <c:order val="1"/>
          <c:spPr>
            <a:ln w="28575">
              <a:solidFill>
                <a:schemeClr val="tx1"/>
              </a:solidFill>
              <a:prstDash val="lgDash"/>
            </a:ln>
          </c:spPr>
          <c:marker>
            <c:symbol val="none"/>
          </c:marker>
          <c:cat>
            <c:numRef>
              <c:f>НАСТРОЙКА!$CC$96:$CC$131</c:f>
              <c:numCache>
                <c:formatCode>General</c:formatCode>
                <c:ptCount val="36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</c:numCache>
            </c:numRef>
          </c:cat>
          <c:val>
            <c:numRef>
              <c:f>НАСТРОЙКА!$CE$96:$CE$131</c:f>
              <c:numCache>
                <c:formatCode>General</c:formatCode>
                <c:ptCount val="36"/>
                <c:pt idx="22" formatCode="0.000">
                  <c:v>0.33709607265214603</c:v>
                </c:pt>
                <c:pt idx="23" formatCode="0.000">
                  <c:v>0.35927521135817964</c:v>
                </c:pt>
                <c:pt idx="24" formatCode="0.000">
                  <c:v>0.36814686684059306</c:v>
                </c:pt>
                <c:pt idx="25" formatCode="0.000">
                  <c:v>0.3716955290335584</c:v>
                </c:pt>
                <c:pt idx="26" formatCode="0.000">
                  <c:v>0.37311499391074454</c:v>
                </c:pt>
                <c:pt idx="27" formatCode="0.000">
                  <c:v>0.37368277986161902</c:v>
                </c:pt>
                <c:pt idx="28" formatCode="0.000">
                  <c:v>0.3739098942419688</c:v>
                </c:pt>
                <c:pt idx="29" formatCode="0.000">
                  <c:v>0.37400073999410871</c:v>
                </c:pt>
                <c:pt idx="30" formatCode="0.000">
                  <c:v>0.37403707829496469</c:v>
                </c:pt>
                <c:pt idx="31" formatCode="0.000">
                  <c:v>0.37405161361530709</c:v>
                </c:pt>
                <c:pt idx="32" formatCode="0.000">
                  <c:v>0.37405742774344403</c:v>
                </c:pt>
                <c:pt idx="33" formatCode="0.000">
                  <c:v>0.37405975339469882</c:v>
                </c:pt>
                <c:pt idx="34" formatCode="0.000">
                  <c:v>0.37406068365520073</c:v>
                </c:pt>
                <c:pt idx="35" formatCode="0.000">
                  <c:v>0.37406105575940152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8AF0-403C-AF54-7002390BD378}"/>
            </c:ext>
          </c:extLst>
        </c:ser>
        <c:ser>
          <c:idx val="2"/>
          <c:order val="2"/>
          <c:spPr>
            <a:ln w="88900">
              <a:solidFill>
                <a:srgbClr val="00B0F0"/>
              </a:solidFill>
            </a:ln>
          </c:spPr>
          <c:marker>
            <c:symbol val="none"/>
          </c:marker>
          <c:cat>
            <c:numRef>
              <c:f>НАСТРОЙКА!$CC$96:$CC$131</c:f>
              <c:numCache>
                <c:formatCode>General</c:formatCode>
                <c:ptCount val="36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</c:numCache>
            </c:numRef>
          </c:cat>
          <c:val>
            <c:numRef>
              <c:f>НАСТРОЙКА!$CF$96:$CF$131</c:f>
              <c:numCache>
                <c:formatCode>0.000</c:formatCode>
                <c:ptCount val="36"/>
                <c:pt idx="0">
                  <c:v>0.34028203577560534</c:v>
                </c:pt>
                <c:pt idx="1">
                  <c:v>0.32507809942817723</c:v>
                </c:pt>
                <c:pt idx="2">
                  <c:v>0.35837570555083637</c:v>
                </c:pt>
                <c:pt idx="3">
                  <c:v>0.32023603080122254</c:v>
                </c:pt>
                <c:pt idx="4">
                  <c:v>0.26082091121911194</c:v>
                </c:pt>
                <c:pt idx="5">
                  <c:v>0.26829931795496376</c:v>
                </c:pt>
                <c:pt idx="6">
                  <c:v>0.27051799130250104</c:v>
                </c:pt>
                <c:pt idx="7">
                  <c:v>0.31631692817415186</c:v>
                </c:pt>
                <c:pt idx="8">
                  <c:v>0.30018396555033727</c:v>
                </c:pt>
                <c:pt idx="9">
                  <c:v>0.27424958276588063</c:v>
                </c:pt>
                <c:pt idx="10">
                  <c:v>0.31562582203865192</c:v>
                </c:pt>
                <c:pt idx="11">
                  <c:v>0.31114675985594847</c:v>
                </c:pt>
                <c:pt idx="12">
                  <c:v>0.34223846853003126</c:v>
                </c:pt>
                <c:pt idx="13">
                  <c:v>0.33897422577496544</c:v>
                </c:pt>
                <c:pt idx="14">
                  <c:v>0.41353903767234651</c:v>
                </c:pt>
                <c:pt idx="15">
                  <c:v>0.38042010436044621</c:v>
                </c:pt>
                <c:pt idx="16">
                  <c:v>0.33168807862649402</c:v>
                </c:pt>
                <c:pt idx="17">
                  <c:v>0.33998943349517013</c:v>
                </c:pt>
                <c:pt idx="18">
                  <c:v>0.3458040894091528</c:v>
                </c:pt>
                <c:pt idx="19">
                  <c:v>0.34926044619122454</c:v>
                </c:pt>
                <c:pt idx="20">
                  <c:v>0.357930688386568</c:v>
                </c:pt>
                <c:pt idx="21">
                  <c:v>0.36417242734339217</c:v>
                </c:pt>
                <c:pt idx="22" formatCode="General">
                  <c:v>0.35174298224108358</c:v>
                </c:pt>
                <c:pt idx="23">
                  <c:v>0.33005762651166104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8AF0-403C-AF54-7002390BD378}"/>
            </c:ext>
          </c:extLst>
        </c:ser>
        <c:ser>
          <c:idx val="3"/>
          <c:order val="3"/>
          <c:spPr>
            <a:ln>
              <a:solidFill>
                <a:srgbClr val="00B0F0"/>
              </a:solidFill>
              <a:prstDash val="lgDash"/>
            </a:ln>
          </c:spPr>
          <c:marker>
            <c:symbol val="none"/>
          </c:marker>
          <c:cat>
            <c:numRef>
              <c:f>НАСТРОЙКА!$CC$96:$CC$131</c:f>
              <c:numCache>
                <c:formatCode>General</c:formatCode>
                <c:ptCount val="36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</c:numCache>
            </c:numRef>
          </c:cat>
          <c:val>
            <c:numRef>
              <c:f>НАСТРОЙКА!$CG$96:$CG$131</c:f>
              <c:numCache>
                <c:formatCode>General</c:formatCode>
                <c:ptCount val="36"/>
                <c:pt idx="22" formatCode="0.000">
                  <c:v>0.35174298224108358</c:v>
                </c:pt>
                <c:pt idx="23" formatCode="0.000">
                  <c:v>0.33005762651166104</c:v>
                </c:pt>
                <c:pt idx="24" formatCode="0.000">
                  <c:v>0.32138348421989205</c:v>
                </c:pt>
                <c:pt idx="25" formatCode="0.000">
                  <c:v>0.31791382730318446</c:v>
                </c:pt>
                <c:pt idx="26" formatCode="0.000">
                  <c:v>0.31652596453650145</c:v>
                </c:pt>
                <c:pt idx="27" formatCode="0.000">
                  <c:v>0.31597081942982824</c:v>
                </c:pt>
                <c:pt idx="28" formatCode="0.000">
                  <c:v>0.31574876138715896</c:v>
                </c:pt>
                <c:pt idx="29" formatCode="0.000">
                  <c:v>0.31565993817009125</c:v>
                </c:pt>
                <c:pt idx="30" formatCode="0.000">
                  <c:v>0.31562440888326415</c:v>
                </c:pt>
                <c:pt idx="31" formatCode="0.000">
                  <c:v>0.31561019716853334</c:v>
                </c:pt>
                <c:pt idx="32" formatCode="0.000">
                  <c:v>0.31560451248264099</c:v>
                </c:pt>
                <c:pt idx="33" formatCode="0.000">
                  <c:v>0.31560223860828407</c:v>
                </c:pt>
                <c:pt idx="34" formatCode="0.000">
                  <c:v>0.31560132905854132</c:v>
                </c:pt>
                <c:pt idx="35" formatCode="0.000">
                  <c:v>0.31560096523864423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3-8AF0-403C-AF54-7002390BD3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5451392"/>
        <c:axId val="155452928"/>
      </c:lineChart>
      <c:catAx>
        <c:axId val="1554513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155452928"/>
        <c:crosses val="autoZero"/>
        <c:auto val="1"/>
        <c:lblAlgn val="ctr"/>
        <c:lblOffset val="100"/>
        <c:tickLblSkip val="2"/>
        <c:tickMarkSkip val="1"/>
        <c:noMultiLvlLbl val="0"/>
      </c:catAx>
      <c:valAx>
        <c:axId val="155452928"/>
        <c:scaling>
          <c:orientation val="minMax"/>
          <c:max val="0.5"/>
          <c:min val="0.2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0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155451392"/>
        <c:crosses val="autoZero"/>
        <c:crossBetween val="between"/>
        <c:majorUnit val="0.15000000000000024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chemeClr val="accent3">
        <a:lumMod val="40000"/>
        <a:lumOff val="60000"/>
      </a:schemeClr>
    </a:solidFill>
    <a:ln w="3175">
      <a:solidFill>
        <a:srgbClr val="000000"/>
      </a:solidFill>
      <a:prstDash val="solid"/>
    </a:ln>
  </c:spPr>
  <c:txPr>
    <a:bodyPr/>
    <a:lstStyle/>
    <a:p>
      <a:pPr>
        <a:defRPr sz="825" b="0" i="0" u="none" strike="noStrike" baseline="0">
          <a:solidFill>
            <a:srgbClr val="000000"/>
          </a:solidFill>
          <a:latin typeface="Arial Cyr"/>
          <a:ea typeface="Arial Cyr"/>
          <a:cs typeface="Arial Cyr"/>
        </a:defRPr>
      </a:pPr>
      <a:endParaRPr lang="ru-RU"/>
    </a:p>
  </c:txPr>
  <c:printSettings>
    <c:headerFooter alignWithMargins="0"/>
    <c:pageMargins b="1" l="0.75000000000001465" r="0.75000000000001465" t="1" header="0.5" footer="0.5"/>
    <c:pageSetup paperSize="9" orientation="landscape" verticalDpi="0"/>
  </c:printSettings>
  <c:userShapes r:id="rId1"/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46078207615351E-2"/>
          <c:y val="2.8593765351523592E-2"/>
          <c:w val="0.90521510898092916"/>
          <c:h val="0.89117224350546842"/>
        </c:manualLayout>
      </c:layout>
      <c:lineChart>
        <c:grouping val="standard"/>
        <c:varyColors val="0"/>
        <c:ser>
          <c:idx val="0"/>
          <c:order val="0"/>
          <c:spPr>
            <a:ln w="111125">
              <a:solidFill>
                <a:srgbClr val="00B0F0"/>
              </a:solidFill>
            </a:ln>
          </c:spPr>
          <c:marker>
            <c:symbol val="circle"/>
            <c:size val="17"/>
            <c:spPr>
              <a:noFill/>
            </c:spPr>
          </c:marker>
          <c:cat>
            <c:numRef>
              <c:f>НАСТРОЙКА!$CX$136:$CX$176</c:f>
              <c:numCache>
                <c:formatCode>General</c:formatCode>
                <c:ptCount val="41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  <c:pt idx="36">
                  <c:v>2031</c:v>
                </c:pt>
                <c:pt idx="37">
                  <c:v>2032</c:v>
                </c:pt>
                <c:pt idx="38">
                  <c:v>2033</c:v>
                </c:pt>
                <c:pt idx="39">
                  <c:v>2034</c:v>
                </c:pt>
                <c:pt idx="40">
                  <c:v>2035</c:v>
                </c:pt>
              </c:numCache>
            </c:numRef>
          </c:cat>
          <c:val>
            <c:numRef>
              <c:f>НАСТРОЙКА!$CY$136:$CY$176</c:f>
              <c:numCache>
                <c:formatCode>0.00</c:formatCode>
                <c:ptCount val="41"/>
                <c:pt idx="0">
                  <c:v>1</c:v>
                </c:pt>
                <c:pt idx="1">
                  <c:v>1.218</c:v>
                </c:pt>
                <c:pt idx="2">
                  <c:v>1.3519800000000002</c:v>
                </c:pt>
                <c:pt idx="3">
                  <c:v>2.4930511200000005</c:v>
                </c:pt>
                <c:pt idx="4">
                  <c:v>3.4030147788000007</c:v>
                </c:pt>
                <c:pt idx="5">
                  <c:v>4.0904237641176007</c:v>
                </c:pt>
                <c:pt idx="6">
                  <c:v>4.8512425842434741</c:v>
                </c:pt>
                <c:pt idx="7">
                  <c:v>5.5837802144642392</c:v>
                </c:pt>
                <c:pt idx="8">
                  <c:v>6.2538338401999489</c:v>
                </c:pt>
                <c:pt idx="9">
                  <c:v>6.9855323995033425</c:v>
                </c:pt>
                <c:pt idx="10">
                  <c:v>7.7469554310492068</c:v>
                </c:pt>
                <c:pt idx="11">
                  <c:v>8.4441814198436358</c:v>
                </c:pt>
                <c:pt idx="12">
                  <c:v>9.4465057543790749</c:v>
                </c:pt>
                <c:pt idx="13">
                  <c:v>10.701001718560617</c:v>
                </c:pt>
                <c:pt idx="14">
                  <c:v>11.642689869793951</c:v>
                </c:pt>
                <c:pt idx="15">
                  <c:v>12.664918040361862</c:v>
                </c:pt>
                <c:pt idx="16">
                  <c:v>13.437478040823935</c:v>
                </c:pt>
                <c:pt idx="17">
                  <c:v>14.321664095910151</c:v>
                </c:pt>
                <c:pt idx="18">
                  <c:v>15.245411430096356</c:v>
                </c:pt>
                <c:pt idx="19">
                  <c:v>17.318787384589459</c:v>
                </c:pt>
                <c:pt idx="20">
                  <c:v>19.552910957201501</c:v>
                </c:pt>
                <c:pt idx="21">
                  <c:v>20.606812857794662</c:v>
                </c:pt>
                <c:pt idx="22">
                  <c:v>21.124043860525305</c:v>
                </c:pt>
                <c:pt idx="23">
                  <c:v>22.02392812898368</c:v>
                </c:pt>
                <c:pt idx="24">
                  <c:v>22.693455544104783</c:v>
                </c:pt>
                <c:pt idx="25">
                  <c:v>23.807704211320324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67-49F8-A666-C9E38F3D57AF}"/>
            </c:ext>
          </c:extLst>
        </c:ser>
        <c:ser>
          <c:idx val="1"/>
          <c:order val="1"/>
          <c:spPr>
            <a:ln w="69850">
              <a:solidFill>
                <a:srgbClr val="FF0000"/>
              </a:solidFill>
              <a:prstDash val="dash"/>
            </a:ln>
          </c:spPr>
          <c:marker>
            <c:symbol val="none"/>
          </c:marker>
          <c:cat>
            <c:numRef>
              <c:f>НАСТРОЙКА!$CX$136:$CX$176</c:f>
              <c:numCache>
                <c:formatCode>General</c:formatCode>
                <c:ptCount val="41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  <c:pt idx="36">
                  <c:v>2031</c:v>
                </c:pt>
                <c:pt idx="37">
                  <c:v>2032</c:v>
                </c:pt>
                <c:pt idx="38">
                  <c:v>2033</c:v>
                </c:pt>
                <c:pt idx="39">
                  <c:v>2034</c:v>
                </c:pt>
                <c:pt idx="40">
                  <c:v>2035</c:v>
                </c:pt>
              </c:numCache>
            </c:numRef>
          </c:cat>
          <c:val>
            <c:numRef>
              <c:f>НАСТРОЙКА!$DA$136:$DA$176</c:f>
              <c:numCache>
                <c:formatCode>0.00</c:formatCode>
                <c:ptCount val="41"/>
                <c:pt idx="23" formatCode="0.000">
                  <c:v>22.02392812898368</c:v>
                </c:pt>
                <c:pt idx="24" formatCode="0.000">
                  <c:v>22.693455544104783</c:v>
                </c:pt>
                <c:pt idx="25" formatCode="0.000">
                  <c:v>23.807704211320324</c:v>
                </c:pt>
                <c:pt idx="26" formatCode="0.000">
                  <c:v>24.998089421886341</c:v>
                </c:pt>
                <c:pt idx="27" formatCode="0.000">
                  <c:v>26.247993892980659</c:v>
                </c:pt>
                <c:pt idx="28" formatCode="0.000">
                  <c:v>27.560393587629694</c:v>
                </c:pt>
                <c:pt idx="29" formatCode="0.000">
                  <c:v>28.938413267011178</c:v>
                </c:pt>
                <c:pt idx="30" formatCode="0.000">
                  <c:v>30.385333930361739</c:v>
                </c:pt>
                <c:pt idx="31" formatCode="0.000">
                  <c:v>31.904600626879827</c:v>
                </c:pt>
                <c:pt idx="32" formatCode="0.000">
                  <c:v>33.499830658223821</c:v>
                </c:pt>
                <c:pt idx="33" formatCode="0.000">
                  <c:v>35.174822191135014</c:v>
                </c:pt>
                <c:pt idx="34" formatCode="0.000">
                  <c:v>36.933563300691766</c:v>
                </c:pt>
                <c:pt idx="35" formatCode="0.000">
                  <c:v>38.780241465726355</c:v>
                </c:pt>
                <c:pt idx="36" formatCode="0.000">
                  <c:v>40.719253539012676</c:v>
                </c:pt>
                <c:pt idx="37" formatCode="0.000">
                  <c:v>42.755216215963316</c:v>
                </c:pt>
                <c:pt idx="38" formatCode="0.000">
                  <c:v>44.892977026761486</c:v>
                </c:pt>
                <c:pt idx="39" formatCode="0.000">
                  <c:v>47.137625878099563</c:v>
                </c:pt>
                <c:pt idx="40" formatCode="0.000">
                  <c:v>49.494507172004546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D67-49F8-A666-C9E38F3D57AF}"/>
            </c:ext>
          </c:extLst>
        </c:ser>
        <c:ser>
          <c:idx val="2"/>
          <c:order val="2"/>
          <c:trendline>
            <c:spPr>
              <a:ln w="25400">
                <a:prstDash val="lgDash"/>
              </a:ln>
            </c:spPr>
            <c:trendlineType val="linear"/>
            <c:forward val="0.30000000000000032"/>
            <c:dispRSqr val="0"/>
            <c:dispEq val="0"/>
          </c:trendline>
          <c:cat>
            <c:numRef>
              <c:f>НАСТРОЙКА!$CX$136:$CX$176</c:f>
              <c:numCache>
                <c:formatCode>General</c:formatCode>
                <c:ptCount val="41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  <c:pt idx="36">
                  <c:v>2031</c:v>
                </c:pt>
                <c:pt idx="37">
                  <c:v>2032</c:v>
                </c:pt>
                <c:pt idx="38">
                  <c:v>2033</c:v>
                </c:pt>
                <c:pt idx="39">
                  <c:v>2034</c:v>
                </c:pt>
                <c:pt idx="40">
                  <c:v>2035</c:v>
                </c:pt>
              </c:numCache>
            </c:numRef>
          </c:cat>
          <c:val>
            <c:numRef>
              <c:f>НАСТРОЙКА!$CZ$136:$CZ$176</c:f>
              <c:numCache>
                <c:formatCode>General</c:formatCode>
                <c:ptCount val="41"/>
                <c:pt idx="14" formatCode="0.00">
                  <c:v>11.642689869793951</c:v>
                </c:pt>
                <c:pt idx="15" formatCode="0.00">
                  <c:v>12.664918040361862</c:v>
                </c:pt>
                <c:pt idx="16" formatCode="0.00">
                  <c:v>13.437478040823935</c:v>
                </c:pt>
                <c:pt idx="17" formatCode="0.00">
                  <c:v>14.321664095910151</c:v>
                </c:pt>
                <c:pt idx="18" formatCode="0.00">
                  <c:v>15.245411430096356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29A-4059-9D82-012DA08855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5595904"/>
        <c:axId val="155597440"/>
      </c:lineChart>
      <c:catAx>
        <c:axId val="1555959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800"/>
            </a:pPr>
            <a:endParaRPr lang="ru-RU"/>
          </a:p>
        </c:txPr>
        <c:crossAx val="155597440"/>
        <c:crosses val="autoZero"/>
        <c:auto val="1"/>
        <c:lblAlgn val="ctr"/>
        <c:lblOffset val="100"/>
        <c:tickLblSkip val="2"/>
        <c:tickMarkSkip val="1"/>
        <c:noMultiLvlLbl val="0"/>
      </c:catAx>
      <c:valAx>
        <c:axId val="155597440"/>
        <c:scaling>
          <c:orientation val="minMax"/>
          <c:max val="40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2000"/>
            </a:pPr>
            <a:endParaRPr lang="ru-RU"/>
          </a:p>
        </c:txPr>
        <c:crossAx val="155595904"/>
        <c:crosses val="autoZero"/>
        <c:crossBetween val="between"/>
        <c:majorUnit val="10"/>
      </c:valAx>
      <c:spPr>
        <a:solidFill>
          <a:srgbClr val="FFFFFF"/>
        </a:solidFill>
        <a:ln w="12700">
          <a:solidFill>
            <a:schemeClr val="tx1"/>
          </a:solidFill>
          <a:prstDash val="solid"/>
        </a:ln>
      </c:spPr>
    </c:plotArea>
    <c:plotVisOnly val="1"/>
    <c:dispBlanksAs val="gap"/>
    <c:showDLblsOverMax val="0"/>
  </c:chart>
  <c:spPr>
    <a:solidFill>
      <a:schemeClr val="bg1">
        <a:lumMod val="85000"/>
      </a:schemeClr>
    </a:solidFill>
    <a:ln w="3175">
      <a:solidFill>
        <a:srgbClr val="000000"/>
      </a:solidFill>
      <a:prstDash val="solid"/>
    </a:ln>
  </c:spPr>
  <c:txPr>
    <a:bodyPr/>
    <a:lstStyle/>
    <a:p>
      <a:pPr>
        <a:defRPr sz="1150" b="0" i="0" u="none" strike="noStrike" baseline="0">
          <a:solidFill>
            <a:srgbClr val="000000"/>
          </a:solidFill>
          <a:latin typeface="Arial" panose="020B0604020202020204" pitchFamily="34" charset="0"/>
          <a:ea typeface="Arial Cyr"/>
          <a:cs typeface="Arial" panose="020B0604020202020204" pitchFamily="34" charset="0"/>
        </a:defRPr>
      </a:pPr>
      <a:endParaRPr lang="ru-RU"/>
    </a:p>
  </c:txPr>
  <c:printSettings>
    <c:headerFooter alignWithMargins="0"/>
    <c:pageMargins b="1" l="0.75000000000001465" r="0.75000000000001465" t="1" header="0.5" footer="0.5"/>
    <c:pageSetup paperSize="9" orientation="landscape" verticalDpi="0"/>
  </c:printSettings>
  <c:userShapes r:id="rId1"/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3627336784781477E-2"/>
          <c:y val="4.6315789473684206E-2"/>
          <c:w val="0.89709996135620529"/>
          <c:h val="0.86315789473684212"/>
        </c:manualLayout>
      </c:layout>
      <c:lineChart>
        <c:grouping val="standard"/>
        <c:varyColors val="0"/>
        <c:ser>
          <c:idx val="0"/>
          <c:order val="0"/>
          <c:spPr>
            <a:ln w="76200">
              <a:solidFill>
                <a:srgbClr val="FF0000"/>
              </a:solidFill>
            </a:ln>
          </c:spPr>
          <c:marker>
            <c:symbol val="none"/>
          </c:marker>
          <c:cat>
            <c:numRef>
              <c:f>НАСТРОЙКА!$BD$211:$BD$251</c:f>
              <c:numCache>
                <c:formatCode>General</c:formatCode>
                <c:ptCount val="41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  <c:pt idx="36">
                  <c:v>2031</c:v>
                </c:pt>
                <c:pt idx="37">
                  <c:v>2032</c:v>
                </c:pt>
                <c:pt idx="38">
                  <c:v>2033</c:v>
                </c:pt>
                <c:pt idx="39">
                  <c:v>2034</c:v>
                </c:pt>
                <c:pt idx="40">
                  <c:v>2035</c:v>
                </c:pt>
              </c:numCache>
            </c:numRef>
          </c:cat>
          <c:val>
            <c:numRef>
              <c:f>НАСТРОЙКА!$BE$211:$BE$251</c:f>
              <c:numCache>
                <c:formatCode>0.000</c:formatCode>
                <c:ptCount val="41"/>
                <c:pt idx="0">
                  <c:v>3.9346290432521365E-2</c:v>
                </c:pt>
                <c:pt idx="1">
                  <c:v>4.7278242416808509E-2</c:v>
                </c:pt>
                <c:pt idx="2">
                  <c:v>4.9588252516273142E-2</c:v>
                </c:pt>
                <c:pt idx="3">
                  <c:v>5.3861945523556415E-2</c:v>
                </c:pt>
                <c:pt idx="4">
                  <c:v>5.9658936395862713E-2</c:v>
                </c:pt>
                <c:pt idx="5">
                  <c:v>6.6398456303956632E-2</c:v>
                </c:pt>
                <c:pt idx="6">
                  <c:v>6.8925699444092325E-2</c:v>
                </c:pt>
                <c:pt idx="7">
                  <c:v>6.5843864838066993E-2</c:v>
                </c:pt>
                <c:pt idx="8">
                  <c:v>6.8254797026411129E-2</c:v>
                </c:pt>
                <c:pt idx="9">
                  <c:v>7.3528457822385887E-2</c:v>
                </c:pt>
                <c:pt idx="10">
                  <c:v>8.3523763335885251E-2</c:v>
                </c:pt>
                <c:pt idx="11">
                  <c:v>8.5234323701588219E-2</c:v>
                </c:pt>
                <c:pt idx="12">
                  <c:v>8.2473872285148936E-2</c:v>
                </c:pt>
                <c:pt idx="13">
                  <c:v>8.5111867102295305E-2</c:v>
                </c:pt>
                <c:pt idx="14">
                  <c:v>7.304977354972729E-2</c:v>
                </c:pt>
                <c:pt idx="15">
                  <c:v>7.6393864573101322E-2</c:v>
                </c:pt>
                <c:pt idx="16">
                  <c:v>8.1204218240015197E-2</c:v>
                </c:pt>
                <c:pt idx="17">
                  <c:v>8.1063522765026014E-2</c:v>
                </c:pt>
                <c:pt idx="18">
                  <c:v>7.5219491828234591E-2</c:v>
                </c:pt>
                <c:pt idx="19">
                  <c:v>7.7474904945541753E-2</c:v>
                </c:pt>
                <c:pt idx="20">
                  <c:v>5.8009631663219277E-2</c:v>
                </c:pt>
                <c:pt idx="21">
                  <c:v>5.5499247675593819E-2</c:v>
                </c:pt>
                <c:pt idx="22">
                  <c:v>5.3783428415799264E-2</c:v>
                </c:pt>
                <c:pt idx="23">
                  <c:v>5.9699343840650398E-2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4876-46A2-B179-D7236CA5CEEE}"/>
            </c:ext>
          </c:extLst>
        </c:ser>
        <c:ser>
          <c:idx val="1"/>
          <c:order val="1"/>
          <c:spPr>
            <a:ln w="38100">
              <a:prstDash val="lgDash"/>
            </a:ln>
          </c:spPr>
          <c:marker>
            <c:symbol val="none"/>
          </c:marker>
          <c:cat>
            <c:numRef>
              <c:f>НАСТРОЙКА!$BD$211:$BD$251</c:f>
              <c:numCache>
                <c:formatCode>General</c:formatCode>
                <c:ptCount val="41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  <c:pt idx="36">
                  <c:v>2031</c:v>
                </c:pt>
                <c:pt idx="37">
                  <c:v>2032</c:v>
                </c:pt>
                <c:pt idx="38">
                  <c:v>2033</c:v>
                </c:pt>
                <c:pt idx="39">
                  <c:v>2034</c:v>
                </c:pt>
                <c:pt idx="40">
                  <c:v>2035</c:v>
                </c:pt>
              </c:numCache>
            </c:numRef>
          </c:cat>
          <c:val>
            <c:numRef>
              <c:f>НАСТРОЙКА!$BF$211:$BF$251</c:f>
              <c:numCache>
                <c:formatCode>General</c:formatCode>
                <c:ptCount val="41"/>
                <c:pt idx="22" formatCode="0.000">
                  <c:v>5.3783428415799264E-2</c:v>
                </c:pt>
                <c:pt idx="23" formatCode="0.000">
                  <c:v>5.9699343840650398E-2</c:v>
                </c:pt>
                <c:pt idx="24" formatCode="0.000">
                  <c:v>6.2657301553075972E-2</c:v>
                </c:pt>
                <c:pt idx="25" formatCode="0.000">
                  <c:v>6.413628040928876E-2</c:v>
                </c:pt>
                <c:pt idx="26" formatCode="0.000">
                  <c:v>6.4875769837395153E-2</c:v>
                </c:pt>
                <c:pt idx="27" formatCode="0.000">
                  <c:v>6.524551455144835E-2</c:v>
                </c:pt>
                <c:pt idx="28" formatCode="0.000">
                  <c:v>6.5430386908474941E-2</c:v>
                </c:pt>
                <c:pt idx="29" formatCode="0.000">
                  <c:v>6.552282308698823E-2</c:v>
                </c:pt>
                <c:pt idx="30" formatCode="0.000">
                  <c:v>6.5569041176244874E-2</c:v>
                </c:pt>
                <c:pt idx="31" formatCode="0.000">
                  <c:v>6.5592150220873197E-2</c:v>
                </c:pt>
                <c:pt idx="32" formatCode="0.000">
                  <c:v>6.5603704743187358E-2</c:v>
                </c:pt>
                <c:pt idx="33" formatCode="0.000">
                  <c:v>6.5609482004344438E-2</c:v>
                </c:pt>
                <c:pt idx="34" formatCode="0.000">
                  <c:v>6.5612370634922978E-2</c:v>
                </c:pt>
                <c:pt idx="35" formatCode="0.000">
                  <c:v>6.5613814950212249E-2</c:v>
                </c:pt>
                <c:pt idx="36" formatCode="0.000">
                  <c:v>6.5614537107856891E-2</c:v>
                </c:pt>
                <c:pt idx="37" formatCode="0.000">
                  <c:v>6.5614898186679205E-2</c:v>
                </c:pt>
                <c:pt idx="38" formatCode="0.000">
                  <c:v>6.5615078726090362E-2</c:v>
                </c:pt>
                <c:pt idx="39" formatCode="0.000">
                  <c:v>6.5615168995795947E-2</c:v>
                </c:pt>
                <c:pt idx="40" formatCode="0.000">
                  <c:v>6.5615214130648747E-2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4876-46A2-B179-D7236CA5CEEE}"/>
            </c:ext>
          </c:extLst>
        </c:ser>
        <c:ser>
          <c:idx val="2"/>
          <c:order val="2"/>
          <c:spPr>
            <a:ln w="76200">
              <a:solidFill>
                <a:srgbClr val="00B0F0"/>
              </a:solidFill>
            </a:ln>
          </c:spPr>
          <c:marker>
            <c:symbol val="none"/>
          </c:marker>
          <c:cat>
            <c:numRef>
              <c:f>НАСТРОЙКА!$BD$211:$BD$251</c:f>
              <c:numCache>
                <c:formatCode>General</c:formatCode>
                <c:ptCount val="41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  <c:pt idx="36">
                  <c:v>2031</c:v>
                </c:pt>
                <c:pt idx="37">
                  <c:v>2032</c:v>
                </c:pt>
                <c:pt idx="38">
                  <c:v>2033</c:v>
                </c:pt>
                <c:pt idx="39">
                  <c:v>2034</c:v>
                </c:pt>
                <c:pt idx="40">
                  <c:v>2035</c:v>
                </c:pt>
              </c:numCache>
            </c:numRef>
          </c:cat>
          <c:val>
            <c:numRef>
              <c:f>НАСТРОЙКА!$BG$211:$BG$251</c:f>
              <c:numCache>
                <c:formatCode>0.000</c:formatCode>
                <c:ptCount val="41"/>
                <c:pt idx="0">
                  <c:v>5.4136428377645138E-2</c:v>
                </c:pt>
                <c:pt idx="1">
                  <c:v>6.7443827250803473E-2</c:v>
                </c:pt>
                <c:pt idx="2">
                  <c:v>7.3378422743912652E-2</c:v>
                </c:pt>
                <c:pt idx="3">
                  <c:v>8.0444251496902736E-2</c:v>
                </c:pt>
                <c:pt idx="4">
                  <c:v>7.9254765355388307E-2</c:v>
                </c:pt>
                <c:pt idx="5">
                  <c:v>8.725766032131918E-2</c:v>
                </c:pt>
                <c:pt idx="6">
                  <c:v>7.7539085692981194E-2</c:v>
                </c:pt>
                <c:pt idx="7">
                  <c:v>8.5441880577529258E-2</c:v>
                </c:pt>
                <c:pt idx="8">
                  <c:v>7.9938087537364033E-2</c:v>
                </c:pt>
                <c:pt idx="9">
                  <c:v>8.6441962043970547E-2</c:v>
                </c:pt>
                <c:pt idx="10">
                  <c:v>0.10195514871018198</c:v>
                </c:pt>
                <c:pt idx="11">
                  <c:v>0.10383564125667144</c:v>
                </c:pt>
                <c:pt idx="12">
                  <c:v>9.757961920258694E-2</c:v>
                </c:pt>
                <c:pt idx="13">
                  <c:v>0.10182322919675864</c:v>
                </c:pt>
                <c:pt idx="14">
                  <c:v>8.5111435576858616E-2</c:v>
                </c:pt>
                <c:pt idx="15">
                  <c:v>8.949031890021944E-2</c:v>
                </c:pt>
                <c:pt idx="16">
                  <c:v>7.7426878329772769E-2</c:v>
                </c:pt>
                <c:pt idx="17">
                  <c:v>7.7480791741336263E-2</c:v>
                </c:pt>
                <c:pt idx="18">
                  <c:v>7.2870418821904245E-2</c:v>
                </c:pt>
                <c:pt idx="19">
                  <c:v>7.3756723229490298E-2</c:v>
                </c:pt>
                <c:pt idx="20">
                  <c:v>5.6839240897772238E-2</c:v>
                </c:pt>
                <c:pt idx="21">
                  <c:v>5.4905885518075605E-2</c:v>
                </c:pt>
                <c:pt idx="22">
                  <c:v>5.3859001171776499E-2</c:v>
                </c:pt>
                <c:pt idx="23">
                  <c:v>5.9026548886211824E-2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4876-46A2-B179-D7236CA5CEEE}"/>
            </c:ext>
          </c:extLst>
        </c:ser>
        <c:ser>
          <c:idx val="3"/>
          <c:order val="3"/>
          <c:spPr>
            <a:ln w="41275" cmpd="thickThin">
              <a:solidFill>
                <a:srgbClr val="00B0F0"/>
              </a:solidFill>
              <a:prstDash val="lgDash"/>
            </a:ln>
          </c:spPr>
          <c:marker>
            <c:symbol val="none"/>
          </c:marker>
          <c:cat>
            <c:numRef>
              <c:f>НАСТРОЙКА!$BD$211:$BD$251</c:f>
              <c:numCache>
                <c:formatCode>General</c:formatCode>
                <c:ptCount val="41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  <c:pt idx="36">
                  <c:v>2031</c:v>
                </c:pt>
                <c:pt idx="37">
                  <c:v>2032</c:v>
                </c:pt>
                <c:pt idx="38">
                  <c:v>2033</c:v>
                </c:pt>
                <c:pt idx="39">
                  <c:v>2034</c:v>
                </c:pt>
                <c:pt idx="40">
                  <c:v>2035</c:v>
                </c:pt>
              </c:numCache>
            </c:numRef>
          </c:cat>
          <c:val>
            <c:numRef>
              <c:f>НАСТРОЙКА!$BH$211:$BH$251</c:f>
              <c:numCache>
                <c:formatCode>General</c:formatCode>
                <c:ptCount val="41"/>
                <c:pt idx="22" formatCode="0.000">
                  <c:v>5.3859001171776499E-2</c:v>
                </c:pt>
                <c:pt idx="23" formatCode="0.000">
                  <c:v>5.9026548886211824E-2</c:v>
                </c:pt>
                <c:pt idx="24" formatCode="0.000">
                  <c:v>6.264383228631655E-2</c:v>
                </c:pt>
                <c:pt idx="25" formatCode="0.000">
                  <c:v>6.5175930666389853E-2</c:v>
                </c:pt>
                <c:pt idx="26" formatCode="0.000">
                  <c:v>6.6948399532441166E-2</c:v>
                </c:pt>
                <c:pt idx="27" formatCode="0.000">
                  <c:v>6.818912773867708E-2</c:v>
                </c:pt>
                <c:pt idx="28" formatCode="0.000">
                  <c:v>6.9057637483042222E-2</c:v>
                </c:pt>
                <c:pt idx="29" formatCode="0.000">
                  <c:v>6.9665594304097828E-2</c:v>
                </c:pt>
                <c:pt idx="30" formatCode="0.000">
                  <c:v>7.0091164078836754E-2</c:v>
                </c:pt>
                <c:pt idx="31" formatCode="0.000">
                  <c:v>7.0389062921154003E-2</c:v>
                </c:pt>
                <c:pt idx="32" formatCode="0.000">
                  <c:v>7.059759211077607E-2</c:v>
                </c:pt>
                <c:pt idx="33" formatCode="0.000">
                  <c:v>7.0743562543511523E-2</c:v>
                </c:pt>
                <c:pt idx="34" formatCode="0.000">
                  <c:v>7.0845741846426336E-2</c:v>
                </c:pt>
                <c:pt idx="35" formatCode="0.000">
                  <c:v>7.0917267358466707E-2</c:v>
                </c:pt>
                <c:pt idx="36" formatCode="0.000">
                  <c:v>7.0967335216894967E-2</c:v>
                </c:pt>
                <c:pt idx="37" formatCode="0.000">
                  <c:v>7.1002382717794743E-2</c:v>
                </c:pt>
                <c:pt idx="38" formatCode="0.000">
                  <c:v>7.1026915968424587E-2</c:v>
                </c:pt>
                <c:pt idx="39" formatCode="0.000">
                  <c:v>7.1044089243865474E-2</c:v>
                </c:pt>
                <c:pt idx="40" formatCode="0.000">
                  <c:v>7.10561105366741E-2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3-4876-46A2-B179-D7236CA5CE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5767168"/>
        <c:axId val="155768704"/>
      </c:lineChart>
      <c:catAx>
        <c:axId val="1557671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800" b="0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155768704"/>
        <c:crosses val="autoZero"/>
        <c:auto val="1"/>
        <c:lblAlgn val="ctr"/>
        <c:lblOffset val="100"/>
        <c:tickLblSkip val="5"/>
        <c:tickMarkSkip val="5"/>
        <c:noMultiLvlLbl val="0"/>
      </c:catAx>
      <c:valAx>
        <c:axId val="155768704"/>
        <c:scaling>
          <c:orientation val="minMax"/>
          <c:max val="0.15000000000000024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800" b="0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155767168"/>
        <c:crosses val="autoZero"/>
        <c:crossBetween val="between"/>
        <c:majorUnit val="0.05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chemeClr val="bg1">
        <a:lumMod val="85000"/>
      </a:schemeClr>
    </a:solidFill>
    <a:ln w="3175">
      <a:solidFill>
        <a:srgbClr val="000000"/>
      </a:solidFill>
      <a:prstDash val="solid"/>
    </a:ln>
  </c:spPr>
  <c:txPr>
    <a:bodyPr/>
    <a:lstStyle/>
    <a:p>
      <a:pPr>
        <a:defRPr sz="850" b="0" i="0" u="none" strike="noStrike" baseline="0">
          <a:solidFill>
            <a:srgbClr val="000000"/>
          </a:solidFill>
          <a:latin typeface="Arial Cyr"/>
          <a:ea typeface="Arial Cyr"/>
          <a:cs typeface="Arial Cyr"/>
        </a:defRPr>
      </a:pPr>
      <a:endParaRPr lang="ru-RU"/>
    </a:p>
  </c:txPr>
  <c:printSettings>
    <c:headerFooter alignWithMargins="0"/>
    <c:pageMargins b="1" l="0.75000000000001465" r="0.75000000000001465" t="1" header="0.5" footer="0.5"/>
    <c:pageSetup/>
  </c:printSettings>
  <c:userShapes r:id="rId1"/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4172789778733451E-2"/>
          <c:y val="3.6728886611945781E-2"/>
          <c:w val="0.88523602038115556"/>
          <c:h val="0.92995493869182577"/>
        </c:manualLayout>
      </c:layout>
      <c:lineChart>
        <c:grouping val="standard"/>
        <c:varyColors val="0"/>
        <c:ser>
          <c:idx val="0"/>
          <c:order val="0"/>
          <c:spPr>
            <a:ln w="88900">
              <a:solidFill>
                <a:srgbClr val="00B0F0"/>
              </a:solidFill>
            </a:ln>
          </c:spPr>
          <c:marker>
            <c:symbol val="none"/>
          </c:marker>
          <c:cat>
            <c:numRef>
              <c:f>НАСТРОЙКА!$CJ$9:$CJ$49</c:f>
              <c:numCache>
                <c:formatCode>General</c:formatCode>
                <c:ptCount val="41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  <c:pt idx="36">
                  <c:v>2031</c:v>
                </c:pt>
                <c:pt idx="37">
                  <c:v>2032</c:v>
                </c:pt>
                <c:pt idx="38">
                  <c:v>2033</c:v>
                </c:pt>
                <c:pt idx="39">
                  <c:v>2034</c:v>
                </c:pt>
                <c:pt idx="40">
                  <c:v>2035</c:v>
                </c:pt>
              </c:numCache>
            </c:numRef>
          </c:cat>
          <c:val>
            <c:numRef>
              <c:f>НАСТРОЙКА!$CK$9:$CK$49</c:f>
              <c:numCache>
                <c:formatCode>0.000</c:formatCode>
                <c:ptCount val="41"/>
                <c:pt idx="0">
                  <c:v>2.2490438989016016E-2</c:v>
                </c:pt>
                <c:pt idx="1">
                  <c:v>2.7958204381156079E-2</c:v>
                </c:pt>
                <c:pt idx="2">
                  <c:v>2.9747212180728889E-2</c:v>
                </c:pt>
                <c:pt idx="3">
                  <c:v>-1.0512157616833476E-2</c:v>
                </c:pt>
                <c:pt idx="4">
                  <c:v>-1.8366803715713885E-2</c:v>
                </c:pt>
                <c:pt idx="5">
                  <c:v>9.4033448320917194E-3</c:v>
                </c:pt>
                <c:pt idx="6">
                  <c:v>1.5435898035414669E-2</c:v>
                </c:pt>
                <c:pt idx="7">
                  <c:v>1.0420706842907277E-2</c:v>
                </c:pt>
                <c:pt idx="8">
                  <c:v>1.1378312982583559E-2</c:v>
                </c:pt>
                <c:pt idx="9">
                  <c:v>1.1495203825421829E-2</c:v>
                </c:pt>
                <c:pt idx="10">
                  <c:v>1.1017693783579027E-2</c:v>
                </c:pt>
                <c:pt idx="11">
                  <c:v>1.164388659610574E-2</c:v>
                </c:pt>
                <c:pt idx="12">
                  <c:v>1.4011430848958683E-2</c:v>
                </c:pt>
                <c:pt idx="13">
                  <c:v>1.4635325905782108E-2</c:v>
                </c:pt>
                <c:pt idx="14">
                  <c:v>-2.5634571644029994E-2</c:v>
                </c:pt>
                <c:pt idx="15">
                  <c:v>-7.1573095064919514E-3</c:v>
                </c:pt>
                <c:pt idx="16">
                  <c:v>4.6424142281784484E-3</c:v>
                </c:pt>
                <c:pt idx="17">
                  <c:v>3.9793621240403485E-3</c:v>
                </c:pt>
                <c:pt idx="18">
                  <c:v>-4.4266417622443694E-3</c:v>
                </c:pt>
                <c:pt idx="19">
                  <c:v>-9.2001845966607383E-3</c:v>
                </c:pt>
                <c:pt idx="20">
                  <c:v>-9.5135168765049238E-3</c:v>
                </c:pt>
                <c:pt idx="21">
                  <c:v>-1.1568183003116708E-2</c:v>
                </c:pt>
                <c:pt idx="22">
                  <c:v>-1.1146134809817541E-2</c:v>
                </c:pt>
                <c:pt idx="23">
                  <c:v>-1.316254946451181E-2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D7DA-4882-8087-48F0E6F767D4}"/>
            </c:ext>
          </c:extLst>
        </c:ser>
        <c:ser>
          <c:idx val="1"/>
          <c:order val="1"/>
          <c:spPr>
            <a:ln>
              <a:solidFill>
                <a:schemeClr val="tx1"/>
              </a:solidFill>
              <a:prstDash val="lgDash"/>
            </a:ln>
          </c:spPr>
          <c:marker>
            <c:symbol val="none"/>
          </c:marker>
          <c:cat>
            <c:numRef>
              <c:f>НАСТРОЙКА!$CJ$9:$CJ$49</c:f>
              <c:numCache>
                <c:formatCode>General</c:formatCode>
                <c:ptCount val="41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  <c:pt idx="36">
                  <c:v>2031</c:v>
                </c:pt>
                <c:pt idx="37">
                  <c:v>2032</c:v>
                </c:pt>
                <c:pt idx="38">
                  <c:v>2033</c:v>
                </c:pt>
                <c:pt idx="39">
                  <c:v>2034</c:v>
                </c:pt>
                <c:pt idx="40">
                  <c:v>2035</c:v>
                </c:pt>
              </c:numCache>
            </c:numRef>
          </c:cat>
          <c:val>
            <c:numRef>
              <c:f>НАСТРОЙКА!$CL$9:$CL$42</c:f>
              <c:numCache>
                <c:formatCode>0.000</c:formatCode>
                <c:ptCount val="34"/>
                <c:pt idx="21">
                  <c:v>-1.1568183003116708E-2</c:v>
                </c:pt>
                <c:pt idx="22">
                  <c:v>-1.1146134809817541E-2</c:v>
                </c:pt>
                <c:pt idx="23">
                  <c:v>-1.316254946451181E-2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D7DA-4882-8087-48F0E6F767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5859584"/>
        <c:axId val="155869568"/>
      </c:lineChart>
      <c:catAx>
        <c:axId val="1558595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155869568"/>
        <c:crossesAt val="0"/>
        <c:auto val="1"/>
        <c:lblAlgn val="ctr"/>
        <c:lblOffset val="100"/>
        <c:tickLblSkip val="2"/>
        <c:tickMarkSkip val="1"/>
        <c:noMultiLvlLbl val="0"/>
      </c:catAx>
      <c:valAx>
        <c:axId val="155869568"/>
        <c:scaling>
          <c:orientation val="minMax"/>
          <c:max val="0.05"/>
          <c:min val="-0.05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600" b="0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155859584"/>
        <c:crosses val="autoZero"/>
        <c:crossBetween val="between"/>
        <c:majorUnit val="2.5000000000000012E-2"/>
        <c:minorUnit val="1.0000000000000005E-2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chemeClr val="bg1">
        <a:lumMod val="85000"/>
      </a:schemeClr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 Cyr"/>
          <a:ea typeface="Arial Cyr"/>
          <a:cs typeface="Arial Cyr"/>
        </a:defRPr>
      </a:pPr>
      <a:endParaRPr lang="ru-RU"/>
    </a:p>
  </c:txPr>
  <c:printSettings>
    <c:headerFooter alignWithMargins="0"/>
    <c:pageMargins b="1" l="0.75000000000001465" r="0.75000000000001465" t="1" header="0.5" footer="0.5"/>
    <c:pageSetup paperSize="9" orientation="landscape" verticalDpi="0"/>
  </c:printSettings>
  <c:userShapes r:id="rId1"/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225236946007709E-2"/>
          <c:y val="5.3304904051172913E-2"/>
          <c:w val="0.91942703960040661"/>
          <c:h val="0.88059701492537312"/>
        </c:manualLayout>
      </c:layout>
      <c:lineChart>
        <c:grouping val="standard"/>
        <c:varyColors val="0"/>
        <c:ser>
          <c:idx val="0"/>
          <c:order val="0"/>
          <c:spPr>
            <a:ln w="88900">
              <a:solidFill>
                <a:schemeClr val="accent6"/>
              </a:solidFill>
            </a:ln>
          </c:spPr>
          <c:marker>
            <c:symbol val="none"/>
          </c:marker>
          <c:cat>
            <c:numRef>
              <c:f>НАСТРОЙКА!$CC$96:$CC$131</c:f>
              <c:numCache>
                <c:formatCode>General</c:formatCode>
                <c:ptCount val="36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</c:numCache>
            </c:numRef>
          </c:cat>
          <c:val>
            <c:numRef>
              <c:f>НАСТРОЙКА!$CD$96:$CD$131</c:f>
              <c:numCache>
                <c:formatCode>0.000</c:formatCode>
                <c:ptCount val="36"/>
                <c:pt idx="0">
                  <c:v>0.30591082006570569</c:v>
                </c:pt>
                <c:pt idx="1">
                  <c:v>0.27816166467080888</c:v>
                </c:pt>
                <c:pt idx="2">
                  <c:v>0.30377623832039924</c:v>
                </c:pt>
                <c:pt idx="3">
                  <c:v>0.26117813318403943</c:v>
                </c:pt>
                <c:pt idx="4">
                  <c:v>0.25161546729373147</c:v>
                </c:pt>
                <c:pt idx="5">
                  <c:v>0.28713406421821713</c:v>
                </c:pt>
                <c:pt idx="6">
                  <c:v>0.30006990710858972</c:v>
                </c:pt>
                <c:pt idx="7">
                  <c:v>0.32527321790330338</c:v>
                </c:pt>
                <c:pt idx="8">
                  <c:v>0.31334242432928466</c:v>
                </c:pt>
                <c:pt idx="9">
                  <c:v>0.31889581974440651</c:v>
                </c:pt>
                <c:pt idx="10">
                  <c:v>0.39702420648664605</c:v>
                </c:pt>
                <c:pt idx="11">
                  <c:v>0.39475872109052162</c:v>
                </c:pt>
                <c:pt idx="12">
                  <c:v>0.40208306466662297</c:v>
                </c:pt>
                <c:pt idx="13">
                  <c:v>0.38772000068261031</c:v>
                </c:pt>
                <c:pt idx="14">
                  <c:v>0.35044252977777157</c:v>
                </c:pt>
                <c:pt idx="15">
                  <c:v>0.34619747575290699</c:v>
                </c:pt>
                <c:pt idx="16">
                  <c:v>0.34595423254591307</c:v>
                </c:pt>
                <c:pt idx="17">
                  <c:v>0.34380377018163161</c:v>
                </c:pt>
                <c:pt idx="18">
                  <c:v>0.33420891867688862</c:v>
                </c:pt>
                <c:pt idx="19">
                  <c:v>0.33855950683595232</c:v>
                </c:pt>
                <c:pt idx="20">
                  <c:v>0.32399334250363743</c:v>
                </c:pt>
                <c:pt idx="21">
                  <c:v>0.32764357513061798</c:v>
                </c:pt>
                <c:pt idx="22">
                  <c:v>0.33709607265214603</c:v>
                </c:pt>
                <c:pt idx="23">
                  <c:v>0.35927521135817964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C0E5-4E01-B168-988D85402030}"/>
            </c:ext>
          </c:extLst>
        </c:ser>
        <c:ser>
          <c:idx val="1"/>
          <c:order val="1"/>
          <c:spPr>
            <a:ln w="28575">
              <a:solidFill>
                <a:schemeClr val="tx1"/>
              </a:solidFill>
              <a:prstDash val="lgDash"/>
            </a:ln>
          </c:spPr>
          <c:marker>
            <c:symbol val="none"/>
          </c:marker>
          <c:cat>
            <c:numRef>
              <c:f>НАСТРОЙКА!$CC$96:$CC$131</c:f>
              <c:numCache>
                <c:formatCode>General</c:formatCode>
                <c:ptCount val="36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</c:numCache>
            </c:numRef>
          </c:cat>
          <c:val>
            <c:numRef>
              <c:f>НАСТРОЙКА!$CE$96:$CE$131</c:f>
              <c:numCache>
                <c:formatCode>General</c:formatCode>
                <c:ptCount val="36"/>
                <c:pt idx="22" formatCode="0.000">
                  <c:v>0.33709607265214603</c:v>
                </c:pt>
                <c:pt idx="23" formatCode="0.000">
                  <c:v>0.35927521135817964</c:v>
                </c:pt>
                <c:pt idx="24" formatCode="0.000">
                  <c:v>0.36814686684059306</c:v>
                </c:pt>
                <c:pt idx="25" formatCode="0.000">
                  <c:v>0.3716955290335584</c:v>
                </c:pt>
                <c:pt idx="26" formatCode="0.000">
                  <c:v>0.37311499391074454</c:v>
                </c:pt>
                <c:pt idx="27" formatCode="0.000">
                  <c:v>0.37368277986161902</c:v>
                </c:pt>
                <c:pt idx="28" formatCode="0.000">
                  <c:v>0.3739098942419688</c:v>
                </c:pt>
                <c:pt idx="29" formatCode="0.000">
                  <c:v>0.37400073999410871</c:v>
                </c:pt>
                <c:pt idx="30" formatCode="0.000">
                  <c:v>0.37403707829496469</c:v>
                </c:pt>
                <c:pt idx="31" formatCode="0.000">
                  <c:v>0.37405161361530709</c:v>
                </c:pt>
                <c:pt idx="32" formatCode="0.000">
                  <c:v>0.37405742774344403</c:v>
                </c:pt>
                <c:pt idx="33" formatCode="0.000">
                  <c:v>0.37405975339469882</c:v>
                </c:pt>
                <c:pt idx="34" formatCode="0.000">
                  <c:v>0.37406068365520073</c:v>
                </c:pt>
                <c:pt idx="35" formatCode="0.000">
                  <c:v>0.37406105575940152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C0E5-4E01-B168-988D85402030}"/>
            </c:ext>
          </c:extLst>
        </c:ser>
        <c:ser>
          <c:idx val="2"/>
          <c:order val="2"/>
          <c:spPr>
            <a:ln w="88900">
              <a:solidFill>
                <a:srgbClr val="00B0F0"/>
              </a:solidFill>
            </a:ln>
          </c:spPr>
          <c:marker>
            <c:symbol val="none"/>
          </c:marker>
          <c:cat>
            <c:numRef>
              <c:f>НАСТРОЙКА!$CC$96:$CC$131</c:f>
              <c:numCache>
                <c:formatCode>General</c:formatCode>
                <c:ptCount val="36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</c:numCache>
            </c:numRef>
          </c:cat>
          <c:val>
            <c:numRef>
              <c:f>НАСТРОЙКА!$CF$96:$CF$131</c:f>
              <c:numCache>
                <c:formatCode>0.000</c:formatCode>
                <c:ptCount val="36"/>
                <c:pt idx="0">
                  <c:v>0.34028203577560534</c:v>
                </c:pt>
                <c:pt idx="1">
                  <c:v>0.32507809942817723</c:v>
                </c:pt>
                <c:pt idx="2">
                  <c:v>0.35837570555083637</c:v>
                </c:pt>
                <c:pt idx="3">
                  <c:v>0.32023603080122254</c:v>
                </c:pt>
                <c:pt idx="4">
                  <c:v>0.26082091121911194</c:v>
                </c:pt>
                <c:pt idx="5">
                  <c:v>0.26829931795496376</c:v>
                </c:pt>
                <c:pt idx="6">
                  <c:v>0.27051799130250104</c:v>
                </c:pt>
                <c:pt idx="7">
                  <c:v>0.31631692817415186</c:v>
                </c:pt>
                <c:pt idx="8">
                  <c:v>0.30018396555033727</c:v>
                </c:pt>
                <c:pt idx="9">
                  <c:v>0.27424958276588063</c:v>
                </c:pt>
                <c:pt idx="10">
                  <c:v>0.31562582203865192</c:v>
                </c:pt>
                <c:pt idx="11">
                  <c:v>0.31114675985594847</c:v>
                </c:pt>
                <c:pt idx="12">
                  <c:v>0.34223846853003126</c:v>
                </c:pt>
                <c:pt idx="13">
                  <c:v>0.33897422577496544</c:v>
                </c:pt>
                <c:pt idx="14">
                  <c:v>0.41353903767234651</c:v>
                </c:pt>
                <c:pt idx="15">
                  <c:v>0.38042010436044621</c:v>
                </c:pt>
                <c:pt idx="16">
                  <c:v>0.33168807862649402</c:v>
                </c:pt>
                <c:pt idx="17">
                  <c:v>0.33998943349517013</c:v>
                </c:pt>
                <c:pt idx="18">
                  <c:v>0.3458040894091528</c:v>
                </c:pt>
                <c:pt idx="19">
                  <c:v>0.34926044619122454</c:v>
                </c:pt>
                <c:pt idx="20">
                  <c:v>0.357930688386568</c:v>
                </c:pt>
                <c:pt idx="21">
                  <c:v>0.36417242734339217</c:v>
                </c:pt>
                <c:pt idx="22" formatCode="General">
                  <c:v>0.35174298224108358</c:v>
                </c:pt>
                <c:pt idx="23">
                  <c:v>0.33005762651166104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C0E5-4E01-B168-988D85402030}"/>
            </c:ext>
          </c:extLst>
        </c:ser>
        <c:ser>
          <c:idx val="3"/>
          <c:order val="3"/>
          <c:spPr>
            <a:ln w="53975">
              <a:solidFill>
                <a:srgbClr val="00B050"/>
              </a:solidFill>
              <a:prstDash val="dash"/>
            </a:ln>
          </c:spPr>
          <c:marker>
            <c:symbol val="none"/>
          </c:marker>
          <c:cat>
            <c:numRef>
              <c:f>НАСТРОЙКА!$CC$96:$CC$131</c:f>
              <c:numCache>
                <c:formatCode>General</c:formatCode>
                <c:ptCount val="36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</c:numCache>
            </c:numRef>
          </c:cat>
          <c:val>
            <c:numRef>
              <c:f>НАСТРОЙКА!$CG$96:$CG$131</c:f>
              <c:numCache>
                <c:formatCode>General</c:formatCode>
                <c:ptCount val="36"/>
                <c:pt idx="22" formatCode="0.000">
                  <c:v>0.35174298224108358</c:v>
                </c:pt>
                <c:pt idx="23" formatCode="0.000">
                  <c:v>0.33005762651166104</c:v>
                </c:pt>
                <c:pt idx="24" formatCode="0.000">
                  <c:v>0.32138348421989205</c:v>
                </c:pt>
                <c:pt idx="25" formatCode="0.000">
                  <c:v>0.31791382730318446</c:v>
                </c:pt>
                <c:pt idx="26" formatCode="0.000">
                  <c:v>0.31652596453650145</c:v>
                </c:pt>
                <c:pt idx="27" formatCode="0.000">
                  <c:v>0.31597081942982824</c:v>
                </c:pt>
                <c:pt idx="28" formatCode="0.000">
                  <c:v>0.31574876138715896</c:v>
                </c:pt>
                <c:pt idx="29" formatCode="0.000">
                  <c:v>0.31565993817009125</c:v>
                </c:pt>
                <c:pt idx="30" formatCode="0.000">
                  <c:v>0.31562440888326415</c:v>
                </c:pt>
                <c:pt idx="31" formatCode="0.000">
                  <c:v>0.31561019716853334</c:v>
                </c:pt>
                <c:pt idx="32" formatCode="0.000">
                  <c:v>0.31560451248264099</c:v>
                </c:pt>
                <c:pt idx="33" formatCode="0.000">
                  <c:v>0.31560223860828407</c:v>
                </c:pt>
                <c:pt idx="34" formatCode="0.000">
                  <c:v>0.31560132905854132</c:v>
                </c:pt>
                <c:pt idx="35" formatCode="0.000">
                  <c:v>0.31560096523864423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B45-497B-BB06-7CAE2F25B0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5899392"/>
        <c:axId val="155900928"/>
      </c:lineChart>
      <c:catAx>
        <c:axId val="1558993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155900928"/>
        <c:crosses val="autoZero"/>
        <c:auto val="1"/>
        <c:lblAlgn val="ctr"/>
        <c:lblOffset val="100"/>
        <c:tickLblSkip val="2"/>
        <c:tickMarkSkip val="1"/>
        <c:noMultiLvlLbl val="0"/>
      </c:catAx>
      <c:valAx>
        <c:axId val="155900928"/>
        <c:scaling>
          <c:orientation val="minMax"/>
          <c:max val="0.5"/>
          <c:min val="0.2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600" b="0" i="0" u="none" strike="noStrike" baseline="0">
                <a:solidFill>
                  <a:srgbClr val="000000"/>
                </a:solidFill>
                <a:latin typeface="Arial" pitchFamily="34" charset="0"/>
                <a:ea typeface="Arial Cyr"/>
                <a:cs typeface="Arial" pitchFamily="34" charset="0"/>
              </a:defRPr>
            </a:pPr>
            <a:endParaRPr lang="ru-RU"/>
          </a:p>
        </c:txPr>
        <c:crossAx val="155899392"/>
        <c:crosses val="autoZero"/>
        <c:crossBetween val="between"/>
        <c:majorUnit val="0.15000000000000024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chemeClr val="bg2">
        <a:lumMod val="90000"/>
      </a:schemeClr>
    </a:solidFill>
    <a:ln w="3175">
      <a:solidFill>
        <a:srgbClr val="000000"/>
      </a:solidFill>
      <a:prstDash val="solid"/>
    </a:ln>
  </c:spPr>
  <c:txPr>
    <a:bodyPr/>
    <a:lstStyle/>
    <a:p>
      <a:pPr>
        <a:defRPr sz="825" b="0" i="0" u="none" strike="noStrike" baseline="0">
          <a:solidFill>
            <a:srgbClr val="000000"/>
          </a:solidFill>
          <a:latin typeface="Arial Cyr"/>
          <a:ea typeface="Arial Cyr"/>
          <a:cs typeface="Arial Cyr"/>
        </a:defRPr>
      </a:pPr>
      <a:endParaRPr lang="ru-RU"/>
    </a:p>
  </c:txPr>
  <c:printSettings>
    <c:headerFooter alignWithMargins="0"/>
    <c:pageMargins b="1" l="0.75000000000001465" r="0.75000000000001465" t="1" header="0.5" footer="0.5"/>
    <c:pageSetup paperSize="9" orientation="landscape" verticalDpi="0"/>
  </c:printSettings>
  <c:userShapes r:id="rId1"/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8019132711774635E-2"/>
          <c:y val="3.7884940058169198E-2"/>
          <c:w val="0.91201819240019422"/>
          <c:h val="0.888944787306992"/>
        </c:manualLayout>
      </c:layout>
      <c:lineChart>
        <c:grouping val="standard"/>
        <c:varyColors val="0"/>
        <c:ser>
          <c:idx val="0"/>
          <c:order val="0"/>
          <c:spPr>
            <a:ln w="104775">
              <a:solidFill>
                <a:srgbClr val="00B0F0"/>
              </a:solidFill>
              <a:prstDash val="solid"/>
            </a:ln>
          </c:spPr>
          <c:marker>
            <c:symbol val="none"/>
          </c:marker>
          <c:cat>
            <c:numRef>
              <c:f>НАСТРОЙКА!$CC$136:$CC$176</c:f>
              <c:numCache>
                <c:formatCode>General</c:formatCode>
                <c:ptCount val="41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  <c:pt idx="36">
                  <c:v>2031</c:v>
                </c:pt>
                <c:pt idx="37">
                  <c:v>2032</c:v>
                </c:pt>
                <c:pt idx="38">
                  <c:v>2033</c:v>
                </c:pt>
                <c:pt idx="39">
                  <c:v>2034</c:v>
                </c:pt>
                <c:pt idx="40">
                  <c:v>2035</c:v>
                </c:pt>
              </c:numCache>
            </c:numRef>
          </c:cat>
          <c:val>
            <c:numRef>
              <c:f>НАСТРОЙКА!$CD$136:$CD$176</c:f>
              <c:numCache>
                <c:formatCode>0.000</c:formatCode>
                <c:ptCount val="41"/>
                <c:pt idx="0">
                  <c:v>2.3130000000000002</c:v>
                </c:pt>
                <c:pt idx="1">
                  <c:v>1.218</c:v>
                </c:pt>
                <c:pt idx="2">
                  <c:v>1.1100000000000001</c:v>
                </c:pt>
                <c:pt idx="3">
                  <c:v>1.8440000000000001</c:v>
                </c:pt>
                <c:pt idx="4">
                  <c:v>1.365</c:v>
                </c:pt>
                <c:pt idx="5">
                  <c:v>1.202</c:v>
                </c:pt>
                <c:pt idx="6">
                  <c:v>1.1859999999999999</c:v>
                </c:pt>
                <c:pt idx="7">
                  <c:v>1.151</c:v>
                </c:pt>
                <c:pt idx="8">
                  <c:v>1.1200000000000001</c:v>
                </c:pt>
                <c:pt idx="9">
                  <c:v>1.117</c:v>
                </c:pt>
                <c:pt idx="10">
                  <c:v>1.109</c:v>
                </c:pt>
                <c:pt idx="11">
                  <c:v>1.0900000000000001</c:v>
                </c:pt>
                <c:pt idx="12">
                  <c:v>1.1187</c:v>
                </c:pt>
                <c:pt idx="13">
                  <c:v>1.1328</c:v>
                </c:pt>
                <c:pt idx="14">
                  <c:v>1.0880000000000001</c:v>
                </c:pt>
                <c:pt idx="15">
                  <c:v>1.0878000000000001</c:v>
                </c:pt>
                <c:pt idx="16">
                  <c:v>1.0609999999999999</c:v>
                </c:pt>
                <c:pt idx="17">
                  <c:v>1.0658000000000001</c:v>
                </c:pt>
                <c:pt idx="18">
                  <c:v>1.0645</c:v>
                </c:pt>
                <c:pt idx="19">
                  <c:v>1.1359999999999999</c:v>
                </c:pt>
                <c:pt idx="20">
                  <c:v>1.129</c:v>
                </c:pt>
                <c:pt idx="21">
                  <c:v>1.0539000000000001</c:v>
                </c:pt>
                <c:pt idx="22">
                  <c:v>1.0250999999999999</c:v>
                </c:pt>
                <c:pt idx="23">
                  <c:v>1.0426</c:v>
                </c:pt>
                <c:pt idx="24">
                  <c:v>1.0304</c:v>
                </c:pt>
                <c:pt idx="25">
                  <c:v>1.0490999999999999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274D-4074-BFA2-4E7D300FD095}"/>
            </c:ext>
          </c:extLst>
        </c:ser>
        <c:ser>
          <c:idx val="1"/>
          <c:order val="1"/>
          <c:spPr>
            <a:ln w="76200">
              <a:solidFill>
                <a:srgbClr val="FF0000"/>
              </a:solidFill>
              <a:prstDash val="dash"/>
            </a:ln>
          </c:spPr>
          <c:marker>
            <c:symbol val="none"/>
          </c:marker>
          <c:cat>
            <c:numRef>
              <c:f>НАСТРОЙКА!$CC$136:$CC$176</c:f>
              <c:numCache>
                <c:formatCode>General</c:formatCode>
                <c:ptCount val="41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  <c:pt idx="36">
                  <c:v>2031</c:v>
                </c:pt>
                <c:pt idx="37">
                  <c:v>2032</c:v>
                </c:pt>
                <c:pt idx="38">
                  <c:v>2033</c:v>
                </c:pt>
                <c:pt idx="39">
                  <c:v>2034</c:v>
                </c:pt>
                <c:pt idx="40">
                  <c:v>2035</c:v>
                </c:pt>
              </c:numCache>
            </c:numRef>
          </c:cat>
          <c:val>
            <c:numRef>
              <c:f>НАСТРОЙКА!$CE$136:$CE$176</c:f>
              <c:numCache>
                <c:formatCode>0.000</c:formatCode>
                <c:ptCount val="41"/>
                <c:pt idx="24">
                  <c:v>1.0304</c:v>
                </c:pt>
                <c:pt idx="25">
                  <c:v>1.0490999999999999</c:v>
                </c:pt>
                <c:pt idx="26">
                  <c:v>1.05</c:v>
                </c:pt>
                <c:pt idx="27">
                  <c:v>1.05</c:v>
                </c:pt>
                <c:pt idx="28">
                  <c:v>1.05</c:v>
                </c:pt>
                <c:pt idx="29">
                  <c:v>1.05</c:v>
                </c:pt>
                <c:pt idx="30">
                  <c:v>1.05</c:v>
                </c:pt>
                <c:pt idx="31">
                  <c:v>1.05</c:v>
                </c:pt>
                <c:pt idx="32">
                  <c:v>1.05</c:v>
                </c:pt>
                <c:pt idx="33">
                  <c:v>1.05</c:v>
                </c:pt>
                <c:pt idx="34">
                  <c:v>1.05</c:v>
                </c:pt>
                <c:pt idx="35">
                  <c:v>1.05</c:v>
                </c:pt>
                <c:pt idx="36">
                  <c:v>1.05</c:v>
                </c:pt>
                <c:pt idx="37">
                  <c:v>1.05</c:v>
                </c:pt>
                <c:pt idx="38">
                  <c:v>1.05</c:v>
                </c:pt>
                <c:pt idx="39">
                  <c:v>1.05</c:v>
                </c:pt>
                <c:pt idx="40">
                  <c:v>1.05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18-4E78-A494-48D2BCA690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5984256"/>
        <c:axId val="155985792"/>
      </c:lineChart>
      <c:dateAx>
        <c:axId val="1559842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600" b="0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155985792"/>
        <c:crosses val="autoZero"/>
        <c:auto val="0"/>
        <c:lblOffset val="100"/>
        <c:baseTimeUnit val="days"/>
        <c:majorUnit val="2"/>
        <c:minorUnit val="5"/>
      </c:dateAx>
      <c:valAx>
        <c:axId val="155985792"/>
        <c:scaling>
          <c:orientation val="minMax"/>
          <c:max val="1.2"/>
          <c:min val="1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800" b="0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155984256"/>
        <c:crosses val="autoZero"/>
        <c:crossBetween val="between"/>
        <c:majorUnit val="5.0000000000000024E-2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chemeClr val="accent5">
        <a:lumMod val="20000"/>
        <a:lumOff val="80000"/>
      </a:schemeClr>
    </a:solidFill>
    <a:ln w="3175">
      <a:solidFill>
        <a:srgbClr val="000000"/>
      </a:solidFill>
      <a:prstDash val="solid"/>
    </a:ln>
  </c:spPr>
  <c:txPr>
    <a:bodyPr/>
    <a:lstStyle/>
    <a:p>
      <a:pPr>
        <a:defRPr sz="1150" b="0" i="0" u="none" strike="noStrike" baseline="0">
          <a:solidFill>
            <a:srgbClr val="000000"/>
          </a:solidFill>
          <a:latin typeface="Arial Cyr"/>
          <a:ea typeface="Arial Cyr"/>
          <a:cs typeface="Arial Cyr"/>
        </a:defRPr>
      </a:pPr>
      <a:endParaRPr lang="ru-RU"/>
    </a:p>
  </c:txPr>
  <c:printSettings>
    <c:headerFooter alignWithMargins="0"/>
    <c:pageMargins b="1" l="0.75000000000001465" r="0.75000000000001465" t="1" header="0.5" footer="0.5"/>
    <c:pageSetup paperSize="9" orientation="landscape"/>
  </c:printSettings>
  <c:userShapes r:id="rId1"/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1116432043659824E-2"/>
          <c:y val="1.1593883545800421E-2"/>
          <c:w val="0.87166284390222037"/>
          <c:h val="0.87668393782390064"/>
        </c:manualLayout>
      </c:layout>
      <c:lineChart>
        <c:grouping val="standard"/>
        <c:varyColors val="0"/>
        <c:ser>
          <c:idx val="0"/>
          <c:order val="0"/>
          <c:spPr>
            <a:ln w="139700">
              <a:solidFill>
                <a:srgbClr val="00B0F0">
                  <a:alpha val="78000"/>
                </a:srgbClr>
              </a:solidFill>
            </a:ln>
          </c:spPr>
          <c:marker>
            <c:symbol val="none"/>
          </c:marker>
          <c:cat>
            <c:numRef>
              <c:f>НАСТРОЙКА!$EO$8:$EO$43</c:f>
              <c:numCache>
                <c:formatCode>General</c:formatCode>
                <c:ptCount val="36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</c:numCache>
            </c:numRef>
          </c:cat>
          <c:val>
            <c:numRef>
              <c:f>НАСТРОЙКА!$EP$8:$EP$43</c:f>
              <c:numCache>
                <c:formatCode>0.000</c:formatCode>
                <c:ptCount val="36"/>
                <c:pt idx="0">
                  <c:v>4.3423859781379574E-2</c:v>
                </c:pt>
                <c:pt idx="1">
                  <c:v>3.719931128720138E-2</c:v>
                </c:pt>
                <c:pt idx="2">
                  <c:v>3.1876368219831419E-2</c:v>
                </c:pt>
                <c:pt idx="3">
                  <c:v>3.0462863891255628E-2</c:v>
                </c:pt>
                <c:pt idx="4">
                  <c:v>3.2456252999530595E-2</c:v>
                </c:pt>
                <c:pt idx="5">
                  <c:v>4.0334407657329631E-2</c:v>
                </c:pt>
                <c:pt idx="6">
                  <c:v>4.7537404894396472E-2</c:v>
                </c:pt>
                <c:pt idx="7">
                  <c:v>5.0810682549141131E-2</c:v>
                </c:pt>
                <c:pt idx="8">
                  <c:v>5.623045348868428E-2</c:v>
                </c:pt>
                <c:pt idx="9">
                  <c:v>6.1840818871330368E-2</c:v>
                </c:pt>
                <c:pt idx="10">
                  <c:v>6.7317505966597732E-2</c:v>
                </c:pt>
                <c:pt idx="11">
                  <c:v>7.6447363028769755E-2</c:v>
                </c:pt>
                <c:pt idx="12">
                  <c:v>9.0451816029705451E-2</c:v>
                </c:pt>
                <c:pt idx="13">
                  <c:v>9.9548240497456641E-2</c:v>
                </c:pt>
                <c:pt idx="14">
                  <c:v>9.3185849547956848E-2</c:v>
                </c:pt>
                <c:pt idx="15">
                  <c:v>8.4500566483292919E-2</c:v>
                </c:pt>
                <c:pt idx="16">
                  <c:v>0.10475102649455399</c:v>
                </c:pt>
                <c:pt idx="17">
                  <c:v>0.10922026971507907</c:v>
                </c:pt>
                <c:pt idx="18">
                  <c:v>0.10598562906636065</c:v>
                </c:pt>
                <c:pt idx="19">
                  <c:v>9.9137955828707658E-2</c:v>
                </c:pt>
                <c:pt idx="20">
                  <c:v>9.0780395598961935E-2</c:v>
                </c:pt>
                <c:pt idx="21">
                  <c:v>0.10205149380133546</c:v>
                </c:pt>
                <c:pt idx="22">
                  <c:v>9.841382013018958E-2</c:v>
                </c:pt>
                <c:pt idx="23">
                  <c:v>0.10823631273435434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6979-4B27-846F-58DA1A1B2F17}"/>
            </c:ext>
          </c:extLst>
        </c:ser>
        <c:ser>
          <c:idx val="1"/>
          <c:order val="1"/>
          <c:spPr>
            <a:ln w="152400">
              <a:solidFill>
                <a:srgbClr val="92D050"/>
              </a:solidFill>
            </a:ln>
          </c:spPr>
          <c:marker>
            <c:symbol val="none"/>
          </c:marker>
          <c:cat>
            <c:numRef>
              <c:f>НАСТРОЙКА!$EO$8:$EO$43</c:f>
              <c:numCache>
                <c:formatCode>General</c:formatCode>
                <c:ptCount val="36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</c:numCache>
            </c:numRef>
          </c:cat>
          <c:val>
            <c:numRef>
              <c:f>НАСТРОЙКА!$EQ$8:$EQ$43</c:f>
              <c:numCache>
                <c:formatCode>0.000</c:formatCode>
                <c:ptCount val="36"/>
                <c:pt idx="1">
                  <c:v>3.8162111975914098E-2</c:v>
                </c:pt>
                <c:pt idx="2">
                  <c:v>3.5748862746952111E-2</c:v>
                </c:pt>
                <c:pt idx="3">
                  <c:v>3.3371475299581857E-2</c:v>
                </c:pt>
                <c:pt idx="4">
                  <c:v>3.0521165505529576E-2</c:v>
                </c:pt>
                <c:pt idx="5">
                  <c:v>3.5536079695616347E-2</c:v>
                </c:pt>
                <c:pt idx="6">
                  <c:v>3.8965241538445959E-2</c:v>
                </c:pt>
                <c:pt idx="7">
                  <c:v>4.1318789374632472E-2</c:v>
                </c:pt>
                <c:pt idx="8">
                  <c:v>4.3961449384037378E-2</c:v>
                </c:pt>
                <c:pt idx="9">
                  <c:v>4.6830271973271741E-2</c:v>
                </c:pt>
                <c:pt idx="10">
                  <c:v>4.9596538579962934E-2</c:v>
                </c:pt>
                <c:pt idx="11">
                  <c:v>5.4282099741460199E-2</c:v>
                </c:pt>
                <c:pt idx="12">
                  <c:v>6.2255822326626409E-2</c:v>
                </c:pt>
                <c:pt idx="13">
                  <c:v>6.713197715536505E-2</c:v>
                </c:pt>
                <c:pt idx="14">
                  <c:v>6.416779673349142E-2</c:v>
                </c:pt>
                <c:pt idx="15">
                  <c:v>5.7035583477791744E-2</c:v>
                </c:pt>
                <c:pt idx="16">
                  <c:v>6.894106755433603E-2</c:v>
                </c:pt>
                <c:pt idx="17">
                  <c:v>7.0916741312827603E-2</c:v>
                </c:pt>
                <c:pt idx="18">
                  <c:v>6.933103985808152E-2</c:v>
                </c:pt>
                <c:pt idx="19">
                  <c:v>6.5806060194369936E-2</c:v>
                </c:pt>
                <c:pt idx="20">
                  <c:v>6.1685368258128599E-2</c:v>
                </c:pt>
                <c:pt idx="21">
                  <c:v>6.7031502059587605E-2</c:v>
                </c:pt>
                <c:pt idx="22">
                  <c:v>6.4153545295136838E-2</c:v>
                </c:pt>
                <c:pt idx="23">
                  <c:v>7.0782237869197046E-2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6979-4B27-846F-58DA1A1B2F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6046848"/>
        <c:axId val="156048384"/>
      </c:lineChart>
      <c:catAx>
        <c:axId val="1560468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600" b="0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156048384"/>
        <c:crossesAt val="0"/>
        <c:auto val="1"/>
        <c:lblAlgn val="ctr"/>
        <c:lblOffset val="100"/>
        <c:tickLblSkip val="2"/>
        <c:tickMarkSkip val="1"/>
        <c:noMultiLvlLbl val="0"/>
      </c:catAx>
      <c:valAx>
        <c:axId val="156048384"/>
        <c:scaling>
          <c:orientation val="minMax"/>
          <c:max val="0.2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600" b="0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156046848"/>
        <c:crosses val="autoZero"/>
        <c:crossBetween val="between"/>
        <c:majorUnit val="4.0000000000000022E-2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chemeClr val="bg1">
        <a:lumMod val="85000"/>
      </a:schemeClr>
    </a:solidFill>
    <a:ln w="3175">
      <a:solidFill>
        <a:srgbClr val="000000"/>
      </a:solidFill>
      <a:prstDash val="solid"/>
    </a:ln>
  </c:spPr>
  <c:txPr>
    <a:bodyPr/>
    <a:lstStyle/>
    <a:p>
      <a:pPr>
        <a:defRPr sz="975" b="0" i="0" u="none" strike="noStrike" baseline="0">
          <a:solidFill>
            <a:srgbClr val="000000"/>
          </a:solidFill>
          <a:latin typeface="Arial Cyr"/>
          <a:ea typeface="Arial Cyr"/>
          <a:cs typeface="Arial Cyr"/>
        </a:defRPr>
      </a:pPr>
      <a:endParaRPr lang="ru-RU"/>
    </a:p>
  </c:txPr>
  <c:printSettings>
    <c:headerFooter alignWithMargins="0"/>
    <c:pageMargins b="1" l="0.75000000000001465" r="0.75000000000001465" t="1" header="0.5" footer="0.5"/>
    <c:pageSetup paperSize="9" orientation="landscape" horizontalDpi="0" verticalDpi="0"/>
  </c:printSettings>
  <c:userShapes r:id="rId1"/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4.922685845371691E-2"/>
          <c:y val="2.2592016970750552E-2"/>
          <c:w val="0.90571199343527165"/>
          <c:h val="0.93620848871062057"/>
        </c:manualLayout>
      </c:layout>
      <c:scatterChart>
        <c:scatterStyle val="smoothMarker"/>
        <c:varyColors val="0"/>
        <c:ser>
          <c:idx val="0"/>
          <c:order val="0"/>
          <c:spPr>
            <a:ln w="85725">
              <a:solidFill>
                <a:schemeClr val="accent2">
                  <a:lumMod val="75000"/>
                </a:schemeClr>
              </a:solidFill>
            </a:ln>
          </c:spPr>
          <c:marker>
            <c:symbol val="circle"/>
            <c:size val="13"/>
            <c:spPr>
              <a:noFill/>
            </c:spPr>
          </c:marker>
          <c:xVal>
            <c:numRef>
              <c:f>НАСТРОЙКА!$DG$11:$DG$34</c:f>
              <c:numCache>
                <c:formatCode>0</c:formatCode>
                <c:ptCount val="24"/>
                <c:pt idx="0">
                  <c:v>1428.5209</c:v>
                </c:pt>
                <c:pt idx="1">
                  <c:v>1377.0941476</c:v>
                </c:pt>
                <c:pt idx="2">
                  <c:v>1396.3734656664001</c:v>
                </c:pt>
                <c:pt idx="3">
                  <c:v>1322.3656719860808</c:v>
                </c:pt>
                <c:pt idx="4">
                  <c:v>1406.9970749931899</c:v>
                </c:pt>
                <c:pt idx="5">
                  <c:v>1547.6967824925091</c:v>
                </c:pt>
                <c:pt idx="6">
                  <c:v>1626.629318399627</c:v>
                </c:pt>
                <c:pt idx="7">
                  <c:v>1703.0808963644092</c:v>
                </c:pt>
                <c:pt idx="8">
                  <c:v>1827.405801799011</c:v>
                </c:pt>
                <c:pt idx="9">
                  <c:v>1958.97901952854</c:v>
                </c:pt>
                <c:pt idx="10">
                  <c:v>2084.3536767783667</c:v>
                </c:pt>
                <c:pt idx="11">
                  <c:v>2255.270678274193</c:v>
                </c:pt>
                <c:pt idx="12">
                  <c:v>2446.9686859274993</c:v>
                </c:pt>
                <c:pt idx="13">
                  <c:v>2574.2110575957295</c:v>
                </c:pt>
                <c:pt idx="14">
                  <c:v>2370.848384045667</c:v>
                </c:pt>
                <c:pt idx="15">
                  <c:v>2477.5365613277218</c:v>
                </c:pt>
                <c:pt idx="16">
                  <c:v>2584.0706334648135</c:v>
                </c:pt>
                <c:pt idx="17">
                  <c:v>2678.541712402734</c:v>
                </c:pt>
                <c:pt idx="18">
                  <c:v>2726.3631774238834</c:v>
                </c:pt>
                <c:pt idx="19">
                  <c:v>2746.5001169353304</c:v>
                </c:pt>
                <c:pt idx="20">
                  <c:v>2683.3306142458177</c:v>
                </c:pt>
                <c:pt idx="21">
                  <c:v>2688.6972754743092</c:v>
                </c:pt>
                <c:pt idx="22">
                  <c:v>2737.093826432847</c:v>
                </c:pt>
                <c:pt idx="23">
                  <c:v>2813.7324535729667</c:v>
                </c:pt>
              </c:numCache>
            </c:numRef>
          </c:xVal>
          <c:yVal>
            <c:numRef>
              <c:f>НАСТРОЙКА!$DF$11:$DF$34</c:f>
              <c:numCache>
                <c:formatCode>0</c:formatCode>
                <c:ptCount val="24"/>
                <c:pt idx="0">
                  <c:v>5306</c:v>
                </c:pt>
                <c:pt idx="1">
                  <c:v>5300.6940000000004</c:v>
                </c:pt>
                <c:pt idx="2">
                  <c:v>5279.4912240000003</c:v>
                </c:pt>
                <c:pt idx="3">
                  <c:v>5263.6527503280004</c:v>
                </c:pt>
                <c:pt idx="4">
                  <c:v>5274.1800558286568</c:v>
                </c:pt>
                <c:pt idx="5">
                  <c:v>5300.5509561077997</c:v>
                </c:pt>
                <c:pt idx="6">
                  <c:v>5348.2559147127704</c:v>
                </c:pt>
                <c:pt idx="7">
                  <c:v>5401.7384738598985</c:v>
                </c:pt>
                <c:pt idx="8">
                  <c:v>5471.9610740200769</c:v>
                </c:pt>
                <c:pt idx="9">
                  <c:v>5559.5124512043985</c:v>
                </c:pt>
                <c:pt idx="10">
                  <c:v>5665.1431877772829</c:v>
                </c:pt>
                <c:pt idx="11">
                  <c:v>5801.1066242839379</c:v>
                </c:pt>
                <c:pt idx="12">
                  <c:v>5980.9409296367394</c:v>
                </c:pt>
                <c:pt idx="13">
                  <c:v>6196.2548031036622</c:v>
                </c:pt>
                <c:pt idx="14">
                  <c:v>6394.5349568029797</c:v>
                </c:pt>
                <c:pt idx="15">
                  <c:v>6586.3710055070696</c:v>
                </c:pt>
                <c:pt idx="16">
                  <c:v>6849.8258457273523</c:v>
                </c:pt>
                <c:pt idx="17">
                  <c:v>7144.3683570936282</c:v>
                </c:pt>
                <c:pt idx="18">
                  <c:v>7437.2874597344662</c:v>
                </c:pt>
                <c:pt idx="19">
                  <c:v>7712.4670957446406</c:v>
                </c:pt>
                <c:pt idx="20">
                  <c:v>7959.2660428084691</c:v>
                </c:pt>
                <c:pt idx="21">
                  <c:v>8269.6774184779988</c:v>
                </c:pt>
                <c:pt idx="22">
                  <c:v>8583.9251603801622</c:v>
                </c:pt>
                <c:pt idx="23">
                  <c:v>8944.4500171161289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3DA-450E-BB46-C536FA8C18E0}"/>
            </c:ext>
          </c:extLst>
        </c:ser>
        <c:ser>
          <c:idx val="1"/>
          <c:order val="1"/>
          <c:trendline>
            <c:spPr>
              <a:ln w="25400">
                <a:prstDash val="lgDash"/>
              </a:ln>
            </c:spPr>
            <c:trendlineType val="linear"/>
            <c:forward val="750"/>
            <c:dispRSqr val="0"/>
            <c:dispEq val="0"/>
          </c:trendline>
          <c:xVal>
            <c:numRef>
              <c:f>НАСТРОЙКА!$DG$16:$DG$23</c:f>
              <c:numCache>
                <c:formatCode>0</c:formatCode>
                <c:ptCount val="8"/>
                <c:pt idx="0">
                  <c:v>1547.6967824925091</c:v>
                </c:pt>
                <c:pt idx="1">
                  <c:v>1626.629318399627</c:v>
                </c:pt>
                <c:pt idx="2">
                  <c:v>1703.0808963644092</c:v>
                </c:pt>
                <c:pt idx="3">
                  <c:v>1827.405801799011</c:v>
                </c:pt>
                <c:pt idx="4">
                  <c:v>1958.97901952854</c:v>
                </c:pt>
                <c:pt idx="5">
                  <c:v>2084.3536767783667</c:v>
                </c:pt>
                <c:pt idx="6">
                  <c:v>2255.270678274193</c:v>
                </c:pt>
                <c:pt idx="7">
                  <c:v>2446.9686859274993</c:v>
                </c:pt>
              </c:numCache>
            </c:numRef>
          </c:xVal>
          <c:yVal>
            <c:numRef>
              <c:f>НАСТРОЙКА!$DF$16:$DF$23</c:f>
              <c:numCache>
                <c:formatCode>0</c:formatCode>
                <c:ptCount val="8"/>
                <c:pt idx="0">
                  <c:v>5300.5509561077997</c:v>
                </c:pt>
                <c:pt idx="1">
                  <c:v>5348.2559147127704</c:v>
                </c:pt>
                <c:pt idx="2">
                  <c:v>5401.7384738598985</c:v>
                </c:pt>
                <c:pt idx="3">
                  <c:v>5471.9610740200769</c:v>
                </c:pt>
                <c:pt idx="4">
                  <c:v>5559.5124512043985</c:v>
                </c:pt>
                <c:pt idx="5">
                  <c:v>5665.1431877772829</c:v>
                </c:pt>
                <c:pt idx="6">
                  <c:v>5801.1066242839379</c:v>
                </c:pt>
                <c:pt idx="7">
                  <c:v>5980.9409296367394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3DA-450E-BB46-C536FA8C18E0}"/>
            </c:ext>
          </c:extLst>
        </c:ser>
        <c:ser>
          <c:idx val="2"/>
          <c:order val="2"/>
          <c:trendline>
            <c:spPr>
              <a:ln w="25400">
                <a:prstDash val="lgDash"/>
              </a:ln>
            </c:spPr>
            <c:trendlineType val="linear"/>
            <c:forward val="100"/>
            <c:backward val="100"/>
            <c:dispRSqr val="0"/>
            <c:dispEq val="0"/>
          </c:trendline>
          <c:xVal>
            <c:numRef>
              <c:f>НАСТРОЙКА!$DG$32:$DG$34</c:f>
              <c:numCache>
                <c:formatCode>0</c:formatCode>
                <c:ptCount val="3"/>
                <c:pt idx="0">
                  <c:v>2688.6972754743092</c:v>
                </c:pt>
                <c:pt idx="1">
                  <c:v>2737.093826432847</c:v>
                </c:pt>
                <c:pt idx="2">
                  <c:v>2813.7324535729667</c:v>
                </c:pt>
              </c:numCache>
            </c:numRef>
          </c:xVal>
          <c:yVal>
            <c:numRef>
              <c:f>НАСТРОЙКА!$DF$32:$DF$34</c:f>
              <c:numCache>
                <c:formatCode>0</c:formatCode>
                <c:ptCount val="3"/>
                <c:pt idx="0">
                  <c:v>8269.6774184779988</c:v>
                </c:pt>
                <c:pt idx="1">
                  <c:v>8583.9251603801622</c:v>
                </c:pt>
                <c:pt idx="2">
                  <c:v>8944.4500171161289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3DA-450E-BB46-C536FA8C18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6125056"/>
        <c:axId val="156126592"/>
      </c:scatterChart>
      <c:valAx>
        <c:axId val="156125056"/>
        <c:scaling>
          <c:orientation val="minMax"/>
          <c:max val="4000"/>
          <c:min val="1000"/>
        </c:scaling>
        <c:delete val="0"/>
        <c:axPos val="b"/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6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ru-RU"/>
          </a:p>
        </c:txPr>
        <c:crossAx val="156126592"/>
        <c:crosses val="autoZero"/>
        <c:crossBetween val="midCat"/>
        <c:majorUnit val="500"/>
      </c:valAx>
      <c:valAx>
        <c:axId val="156126592"/>
        <c:scaling>
          <c:orientation val="minMax"/>
          <c:max val="10000"/>
          <c:min val="500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ru-RU"/>
          </a:p>
        </c:txPr>
        <c:crossAx val="156125056"/>
        <c:crosses val="autoZero"/>
        <c:crossBetween val="midCat"/>
        <c:majorUnit val="2500"/>
      </c:valAx>
    </c:plotArea>
    <c:plotVisOnly val="1"/>
    <c:dispBlanksAs val="gap"/>
    <c:showDLblsOverMax val="0"/>
  </c:chart>
  <c:spPr>
    <a:solidFill>
      <a:schemeClr val="bg1">
        <a:lumMod val="85000"/>
      </a:schemeClr>
    </a:solidFill>
  </c:spPr>
  <c:txPr>
    <a:bodyPr/>
    <a:lstStyle/>
    <a:p>
      <a:pPr>
        <a:defRPr sz="1400" baseline="0">
          <a:latin typeface="Arial" pitchFamily="34" charset="0"/>
          <a:cs typeface="Arial" pitchFamily="34" charset="0"/>
        </a:defRPr>
      </a:pPr>
      <a:endParaRPr lang="ru-RU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7381020807964084E-2"/>
          <c:y val="1.2750328927184159E-2"/>
          <c:w val="0.91208861123360063"/>
          <c:h val="0.92015474188778756"/>
        </c:manualLayout>
      </c:layout>
      <c:lineChart>
        <c:grouping val="standard"/>
        <c:varyColors val="0"/>
        <c:ser>
          <c:idx val="0"/>
          <c:order val="0"/>
          <c:spPr>
            <a:ln w="114300">
              <a:solidFill>
                <a:srgbClr val="00B0F0">
                  <a:alpha val="50000"/>
                </a:srgbClr>
              </a:solidFill>
            </a:ln>
          </c:spPr>
          <c:marker>
            <c:symbol val="none"/>
          </c:marker>
          <c:cat>
            <c:numRef>
              <c:f>НАСТРОЙКА!$BD$12:$BD$37</c:f>
              <c:numCache>
                <c:formatCode>General</c:formatCode>
                <c:ptCount val="26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</c:numCache>
            </c:numRef>
          </c:cat>
          <c:val>
            <c:numRef>
              <c:f>НАСТРОЙКА!$BD$12:$BD$37</c:f>
              <c:numCache>
                <c:formatCode>General</c:formatCode>
                <c:ptCount val="26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1503-41F9-BC35-508CBD41660C}"/>
            </c:ext>
          </c:extLst>
        </c:ser>
        <c:ser>
          <c:idx val="1"/>
          <c:order val="1"/>
          <c:spPr>
            <a:ln w="76200">
              <a:solidFill>
                <a:schemeClr val="accent4"/>
              </a:solidFill>
            </a:ln>
          </c:spPr>
          <c:marker>
            <c:symbol val="none"/>
          </c:marker>
          <c:val>
            <c:numRef>
              <c:f>НАСТРОЙКА!$BE$12:$BE$37</c:f>
              <c:numCache>
                <c:formatCode>0.000</c:formatCode>
                <c:ptCount val="26"/>
                <c:pt idx="0">
                  <c:v>0.95899999999999996</c:v>
                </c:pt>
                <c:pt idx="1">
                  <c:v>0.96399999999999997</c:v>
                </c:pt>
                <c:pt idx="2">
                  <c:v>1.014</c:v>
                </c:pt>
                <c:pt idx="3">
                  <c:v>0.94699999999999995</c:v>
                </c:pt>
                <c:pt idx="4">
                  <c:v>1.0640000000000001</c:v>
                </c:pt>
                <c:pt idx="5">
                  <c:v>1.1000000000000001</c:v>
                </c:pt>
                <c:pt idx="6">
                  <c:v>1.0509999999999999</c:v>
                </c:pt>
                <c:pt idx="7">
                  <c:v>1.0469999999999999</c:v>
                </c:pt>
                <c:pt idx="8">
                  <c:v>1.073</c:v>
                </c:pt>
                <c:pt idx="9">
                  <c:v>1.0720000000000001</c:v>
                </c:pt>
                <c:pt idx="10">
                  <c:v>1.0640000000000001</c:v>
                </c:pt>
                <c:pt idx="11">
                  <c:v>1.0820000000000001</c:v>
                </c:pt>
                <c:pt idx="12">
                  <c:v>1.085</c:v>
                </c:pt>
                <c:pt idx="13">
                  <c:v>1.052</c:v>
                </c:pt>
                <c:pt idx="14">
                  <c:v>0.92100000000000004</c:v>
                </c:pt>
                <c:pt idx="15">
                  <c:v>1.0449999999999999</c:v>
                </c:pt>
                <c:pt idx="16">
                  <c:v>1.0429999999999999</c:v>
                </c:pt>
                <c:pt idx="17">
                  <c:v>1.0365590157306384</c:v>
                </c:pt>
                <c:pt idx="18">
                  <c:v>1.0178535450091057</c:v>
                </c:pt>
                <c:pt idx="19">
                  <c:v>1.0073860077330101</c:v>
                </c:pt>
                <c:pt idx="20">
                  <c:v>0.97699999999999998</c:v>
                </c:pt>
                <c:pt idx="21">
                  <c:v>1.002</c:v>
                </c:pt>
                <c:pt idx="22" formatCode="General">
                  <c:v>1.018</c:v>
                </c:pt>
                <c:pt idx="23" formatCode="General">
                  <c:v>1.028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9998-489E-82F1-9355DE1B0AB6}"/>
            </c:ext>
          </c:extLst>
        </c:ser>
        <c:ser>
          <c:idx val="2"/>
          <c:order val="2"/>
          <c:spPr>
            <a:ln w="34925">
              <a:solidFill>
                <a:schemeClr val="tx1"/>
              </a:solidFill>
            </a:ln>
          </c:spPr>
          <c:marker>
            <c:symbol val="none"/>
          </c:marker>
          <c:val>
            <c:numRef>
              <c:f>НАСТРОЙКА!$BF$12:$BF$37</c:f>
              <c:numCache>
                <c:formatCode>0.000</c:formatCode>
                <c:ptCount val="26"/>
                <c:pt idx="0">
                  <c:v>0.95899999999999996</c:v>
                </c:pt>
                <c:pt idx="1">
                  <c:v>0.95318835041195404</c:v>
                </c:pt>
                <c:pt idx="2">
                  <c:v>1.0079367665224039</c:v>
                </c:pt>
                <c:pt idx="3">
                  <c:v>0.93925875428171279</c:v>
                </c:pt>
                <c:pt idx="4">
                  <c:v>1.0642683356819922</c:v>
                </c:pt>
                <c:pt idx="5">
                  <c:v>1.0906275655384339</c:v>
                </c:pt>
                <c:pt idx="6">
                  <c:v>1.0404340769887175</c:v>
                </c:pt>
                <c:pt idx="7">
                  <c:v>1.0378465590484229</c:v>
                </c:pt>
                <c:pt idx="8">
                  <c:v>1.0696986263701993</c:v>
                </c:pt>
                <c:pt idx="9">
                  <c:v>1.0658405716297876</c:v>
                </c:pt>
                <c:pt idx="10">
                  <c:v>1.0544151027941575</c:v>
                </c:pt>
                <c:pt idx="11">
                  <c:v>1.0593502828774255</c:v>
                </c:pt>
                <c:pt idx="12">
                  <c:v>1.0534473688515078</c:v>
                </c:pt>
                <c:pt idx="13">
                  <c:v>1.0270529063726523</c:v>
                </c:pt>
                <c:pt idx="14">
                  <c:v>1.0035769164587474</c:v>
                </c:pt>
                <c:pt idx="15">
                  <c:v>1.0044429903165417</c:v>
                </c:pt>
                <c:pt idx="16">
                  <c:v>0.99139735446691069</c:v>
                </c:pt>
                <c:pt idx="17">
                  <c:v>1.0203913635015827</c:v>
                </c:pt>
                <c:pt idx="18">
                  <c:v>1.0231401323642648</c:v>
                </c:pt>
                <c:pt idx="19">
                  <c:v>1.0514045360253677</c:v>
                </c:pt>
                <c:pt idx="20">
                  <c:v>1.0623806022857043</c:v>
                </c:pt>
                <c:pt idx="21">
                  <c:v>1.0154299391843049</c:v>
                </c:pt>
                <c:pt idx="22">
                  <c:v>0.98515391830945609</c:v>
                </c:pt>
                <c:pt idx="23">
                  <c:v>1.0296899351853275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9998-489E-82F1-9355DE1B0A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6376064"/>
        <c:axId val="156386048"/>
      </c:lineChart>
      <c:catAx>
        <c:axId val="1563760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600" b="0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156386048"/>
        <c:crosses val="autoZero"/>
        <c:auto val="1"/>
        <c:lblAlgn val="ctr"/>
        <c:lblOffset val="100"/>
        <c:tickLblSkip val="2"/>
        <c:tickMarkSkip val="1"/>
        <c:noMultiLvlLbl val="0"/>
      </c:catAx>
      <c:valAx>
        <c:axId val="156386048"/>
        <c:scaling>
          <c:orientation val="minMax"/>
          <c:max val="1.2"/>
          <c:min val="0.9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156376064"/>
        <c:crosses val="autoZero"/>
        <c:crossBetween val="between"/>
        <c:majorUnit val="0.1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chemeClr val="bg1">
        <a:lumMod val="85000"/>
      </a:schemeClr>
    </a:solidFill>
    <a:ln w="3175">
      <a:solidFill>
        <a:srgbClr val="000000"/>
      </a:solidFill>
      <a:prstDash val="solid"/>
    </a:ln>
  </c:spPr>
  <c:txPr>
    <a:bodyPr/>
    <a:lstStyle/>
    <a:p>
      <a:pPr>
        <a:defRPr sz="925" b="0" i="0" u="none" strike="noStrike" baseline="0">
          <a:solidFill>
            <a:srgbClr val="000000"/>
          </a:solidFill>
          <a:latin typeface="Arial Cyr"/>
          <a:ea typeface="Arial Cyr"/>
          <a:cs typeface="Arial Cyr"/>
        </a:defRPr>
      </a:pPr>
      <a:endParaRPr lang="ru-RU"/>
    </a:p>
  </c:txPr>
  <c:printSettings>
    <c:headerFooter alignWithMargins="0"/>
    <c:pageMargins b="1" l="0.75000000000001465" r="0.75000000000001465" t="1" header="0.5" footer="0.5"/>
    <c:pageSetup paperSize="9" orientation="landscape" horizontalDpi="200" verticalDpi="200"/>
  </c:printSettings>
  <c:userShapes r:id="rId1"/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4820143884892082E-2"/>
          <c:y val="4.5070422535211423E-2"/>
          <c:w val="0.91510791366906474"/>
          <c:h val="0.88732394366197187"/>
        </c:manualLayout>
      </c:layout>
      <c:lineChart>
        <c:grouping val="standard"/>
        <c:varyColors val="0"/>
        <c:ser>
          <c:idx val="0"/>
          <c:order val="0"/>
          <c:marker>
            <c:symbol val="none"/>
          </c:marker>
          <c:cat>
            <c:numRef>
              <c:f>НАСТРОЙКА!$BT$12:$BT$37</c:f>
              <c:numCache>
                <c:formatCode>General</c:formatCode>
                <c:ptCount val="26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</c:numCache>
            </c:numRef>
          </c:cat>
          <c:val>
            <c:numRef>
              <c:f>НАСТРОЙКА!$BT$12:$BT$37</c:f>
              <c:numCache>
                <c:formatCode>General</c:formatCode>
                <c:ptCount val="26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4E7-4405-84F2-ECE3055B1371}"/>
            </c:ext>
          </c:extLst>
        </c:ser>
        <c:ser>
          <c:idx val="1"/>
          <c:order val="1"/>
          <c:spPr>
            <a:ln w="76200">
              <a:solidFill>
                <a:srgbClr val="FFC000"/>
              </a:solidFill>
            </a:ln>
          </c:spPr>
          <c:marker>
            <c:symbol val="none"/>
          </c:marker>
          <c:val>
            <c:numRef>
              <c:f>НАСТРОЙКА!$BU$12:$BU$37</c:f>
              <c:numCache>
                <c:formatCode>0.000</c:formatCode>
                <c:ptCount val="26"/>
                <c:pt idx="0">
                  <c:v>1</c:v>
                </c:pt>
                <c:pt idx="1">
                  <c:v>0.96399999999999997</c:v>
                </c:pt>
                <c:pt idx="2">
                  <c:v>0.97749600000000003</c:v>
                </c:pt>
                <c:pt idx="3">
                  <c:v>0.92568871200000002</c:v>
                </c:pt>
                <c:pt idx="4">
                  <c:v>0.98493278956800012</c:v>
                </c:pt>
                <c:pt idx="5">
                  <c:v>1.0834260685248003</c:v>
                </c:pt>
                <c:pt idx="6">
                  <c:v>1.138680798019565</c:v>
                </c:pt>
                <c:pt idx="7">
                  <c:v>1.1921987955264846</c:v>
                </c:pt>
                <c:pt idx="8">
                  <c:v>1.2792293075999179</c:v>
                </c:pt>
                <c:pt idx="9">
                  <c:v>1.3713338177471122</c:v>
                </c:pt>
                <c:pt idx="10">
                  <c:v>1.4590991820829273</c:v>
                </c:pt>
                <c:pt idx="11">
                  <c:v>1.5787453150137274</c:v>
                </c:pt>
                <c:pt idx="12">
                  <c:v>1.7129386667898943</c:v>
                </c:pt>
                <c:pt idx="13">
                  <c:v>1.8020114774629687</c:v>
                </c:pt>
                <c:pt idx="14">
                  <c:v>1.6596525707433942</c:v>
                </c:pt>
                <c:pt idx="15">
                  <c:v>1.7343369364268468</c:v>
                </c:pt>
                <c:pt idx="16">
                  <c:v>1.808913424693201</c:v>
                </c:pt>
                <c:pt idx="17">
                  <c:v>1.8750455190419226</c:v>
                </c:pt>
                <c:pt idx="18">
                  <c:v>1.9085217286102596</c:v>
                </c:pt>
                <c:pt idx="19">
                  <c:v>1.9226180848563927</c:v>
                </c:pt>
                <c:pt idx="20">
                  <c:v>1.8783978689046956</c:v>
                </c:pt>
                <c:pt idx="21">
                  <c:v>1.8821546646425049</c:v>
                </c:pt>
                <c:pt idx="22">
                  <c:v>1.9160334486060699</c:v>
                </c:pt>
                <c:pt idx="23">
                  <c:v>1.96968238516704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E4E7-4405-84F2-ECE3055B1371}"/>
            </c:ext>
          </c:extLst>
        </c:ser>
        <c:ser>
          <c:idx val="2"/>
          <c:order val="2"/>
          <c:spPr>
            <a:ln w="38100">
              <a:solidFill>
                <a:schemeClr val="tx1"/>
              </a:solidFill>
            </a:ln>
          </c:spPr>
          <c:marker>
            <c:symbol val="none"/>
          </c:marker>
          <c:val>
            <c:numRef>
              <c:f>НАСТРОЙКА!$BV$12:$BV$37</c:f>
              <c:numCache>
                <c:formatCode>0.000</c:formatCode>
                <c:ptCount val="26"/>
                <c:pt idx="0">
                  <c:v>1</c:v>
                </c:pt>
                <c:pt idx="1">
                  <c:v>0.95318835041195404</c:v>
                </c:pt>
                <c:pt idx="2">
                  <c:v>0.96075358380104903</c:v>
                </c:pt>
                <c:pt idx="3">
                  <c:v>0.90239621429266448</c:v>
                </c:pt>
                <c:pt idx="4">
                  <c:v>0.96039171711098448</c:v>
                </c:pt>
                <c:pt idx="5">
                  <c:v>1.0474296803960292</c:v>
                </c:pt>
                <c:pt idx="6">
                  <c:v>1.0897815327334301</c:v>
                </c:pt>
                <c:pt idx="7">
                  <c:v>1.1310260138619068</c:v>
                </c:pt>
                <c:pt idx="8">
                  <c:v>1.2098569734170437</c:v>
                </c:pt>
                <c:pt idx="9">
                  <c:v>1.2895146481371067</c:v>
                </c:pt>
                <c:pt idx="10">
                  <c:v>1.3596837202700593</c:v>
                </c:pt>
                <c:pt idx="11">
                  <c:v>1.4403813336919178</c:v>
                </c:pt>
                <c:pt idx="12">
                  <c:v>1.5173659261205765</c:v>
                </c:pt>
                <c:pt idx="13">
                  <c:v>1.5584150844529694</c:v>
                </c:pt>
                <c:pt idx="14">
                  <c:v>1.5639894050181093</c:v>
                </c:pt>
                <c:pt idx="15">
                  <c:v>1.5709381947997787</c:v>
                </c:pt>
                <c:pt idx="16">
                  <c:v>1.557423970355525</c:v>
                </c:pt>
                <c:pt idx="17">
                  <c:v>1.5891819686611226</c:v>
                </c:pt>
                <c:pt idx="18">
                  <c:v>1.6259558497668438</c:v>
                </c:pt>
                <c:pt idx="19">
                  <c:v>1.7095373558218407</c:v>
                </c:pt>
                <c:pt idx="20">
                  <c:v>1.8161793257079177</c:v>
                </c:pt>
                <c:pt idx="21">
                  <c:v>1.8442028622513829</c:v>
                </c:pt>
                <c:pt idx="22">
                  <c:v>1.816823675904464</c:v>
                </c:pt>
                <c:pt idx="23">
                  <c:v>1.870765053085236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E4E7-4405-84F2-ECE3055B13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6447872"/>
        <c:axId val="156449408"/>
      </c:lineChart>
      <c:catAx>
        <c:axId val="1564478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600" b="0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156449408"/>
        <c:crosses val="autoZero"/>
        <c:auto val="1"/>
        <c:lblAlgn val="ctr"/>
        <c:lblOffset val="100"/>
        <c:tickLblSkip val="2"/>
        <c:tickMarkSkip val="1"/>
        <c:noMultiLvlLbl val="0"/>
      </c:catAx>
      <c:valAx>
        <c:axId val="156449408"/>
        <c:scaling>
          <c:orientation val="minMax"/>
          <c:max val="2"/>
          <c:min val="0.9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156447872"/>
        <c:crosses val="autoZero"/>
        <c:crossBetween val="between"/>
        <c:majorUnit val="0.30000000000000032"/>
      </c:valAx>
      <c:spPr>
        <a:solidFill>
          <a:srgbClr val="FFFFFF"/>
        </a:solidFill>
        <a:ln w="12700">
          <a:solidFill>
            <a:schemeClr val="bg1">
              <a:lumMod val="6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>
        <a:lumMod val="85000"/>
      </a:schemeClr>
    </a:solidFill>
    <a:ln w="3175">
      <a:solidFill>
        <a:schemeClr val="bg1">
          <a:lumMod val="65000"/>
        </a:schemeClr>
      </a:solidFill>
      <a:prstDash val="solid"/>
    </a:ln>
  </c:spPr>
  <c:txPr>
    <a:bodyPr/>
    <a:lstStyle/>
    <a:p>
      <a:pPr>
        <a:defRPr sz="925" b="0" i="0" u="none" strike="noStrike" baseline="0">
          <a:solidFill>
            <a:srgbClr val="000000"/>
          </a:solidFill>
          <a:latin typeface="Arial Cyr"/>
          <a:ea typeface="Arial Cyr"/>
          <a:cs typeface="Arial Cyr"/>
        </a:defRPr>
      </a:pPr>
      <a:endParaRPr lang="ru-RU"/>
    </a:p>
  </c:txPr>
  <c:printSettings>
    <c:headerFooter alignWithMargins="0"/>
    <c:pageMargins b="1" l="0.75000000000001465" r="0.75000000000001465" t="1" header="0.5" footer="0.5"/>
    <c:pageSetup paperSize="9" orientation="landscape" horizontalDpi="200" verticalDpi="200"/>
  </c:printSettings>
  <c:userShapes r:id="rId1"/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1212090084101924E-2"/>
          <c:y val="2.4862204724409451E-2"/>
          <c:w val="0.91362296470824556"/>
          <c:h val="0.90832782152230951"/>
        </c:manualLayout>
      </c:layout>
      <c:lineChart>
        <c:grouping val="standard"/>
        <c:varyColors val="0"/>
        <c:ser>
          <c:idx val="0"/>
          <c:order val="0"/>
          <c:spPr>
            <a:ln w="889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21"/>
            <c:spPr>
              <a:noFill/>
            </c:spPr>
          </c:marker>
          <c:cat>
            <c:numRef>
              <c:f>НАСТРОЙКА!$DF$53:$DF$88</c:f>
              <c:numCache>
                <c:formatCode>General</c:formatCode>
                <c:ptCount val="36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</c:numCache>
            </c:numRef>
          </c:cat>
          <c:val>
            <c:numRef>
              <c:f>НАСТРОЙКА!$DG$53:$DG$88</c:f>
              <c:numCache>
                <c:formatCode>0.000</c:formatCode>
                <c:ptCount val="36"/>
                <c:pt idx="0">
                  <c:v>0.52160205427817563</c:v>
                </c:pt>
                <c:pt idx="1">
                  <c:v>0.5075047014598465</c:v>
                </c:pt>
                <c:pt idx="2">
                  <c:v>0.51667647317297627</c:v>
                </c:pt>
                <c:pt idx="3">
                  <c:v>0.49180137717267253</c:v>
                </c:pt>
                <c:pt idx="4">
                  <c:v>0.51928728248372014</c:v>
                </c:pt>
                <c:pt idx="5">
                  <c:v>0.56527391744994016</c:v>
                </c:pt>
                <c:pt idx="6">
                  <c:v>0.58768319068878805</c:v>
                </c:pt>
                <c:pt idx="7">
                  <c:v>0.60746658522682651</c:v>
                </c:pt>
                <c:pt idx="8">
                  <c:v>0.64524584965850473</c:v>
                </c:pt>
                <c:pt idx="9">
                  <c:v>0.68589125751100888</c:v>
                </c:pt>
                <c:pt idx="10">
                  <c:v>0.71146914542604145</c:v>
                </c:pt>
                <c:pt idx="11">
                  <c:v>0.75663076110249916</c:v>
                </c:pt>
                <c:pt idx="12">
                  <c:v>0.79846194770079459</c:v>
                </c:pt>
                <c:pt idx="13">
                  <c:v>0.80925197402107563</c:v>
                </c:pt>
                <c:pt idx="14">
                  <c:v>0.7261311317282132</c:v>
                </c:pt>
                <c:pt idx="15">
                  <c:v>0.74023076535400356</c:v>
                </c:pt>
                <c:pt idx="16">
                  <c:v>0.74236604640790949</c:v>
                </c:pt>
                <c:pt idx="17">
                  <c:v>0.73951900500270173</c:v>
                </c:pt>
                <c:pt idx="18">
                  <c:v>0.72531114707757793</c:v>
                </c:pt>
                <c:pt idx="19">
                  <c:v>0.70502761451706719</c:v>
                </c:pt>
                <c:pt idx="20">
                  <c:v>0.67428513132591583</c:v>
                </c:pt>
                <c:pt idx="21">
                  <c:v>0.65676280356287475</c:v>
                </c:pt>
                <c:pt idx="22">
                  <c:v>0.64853745053174061</c:v>
                </c:pt>
                <c:pt idx="23">
                  <c:v>0.63795670517757586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492-4022-B32A-C4F8728488EE}"/>
            </c:ext>
          </c:extLst>
        </c:ser>
        <c:ser>
          <c:idx val="1"/>
          <c:order val="1"/>
          <c:trendline>
            <c:spPr>
              <a:ln>
                <a:prstDash val="lgDash"/>
              </a:ln>
            </c:spPr>
            <c:trendlineType val="linear"/>
            <c:dispRSqr val="0"/>
            <c:dispEq val="0"/>
          </c:trendline>
          <c:cat>
            <c:numRef>
              <c:f>НАСТРОЙКА!$DF$53:$DF$88</c:f>
              <c:numCache>
                <c:formatCode>General</c:formatCode>
                <c:ptCount val="36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</c:numCache>
            </c:numRef>
          </c:cat>
          <c:val>
            <c:numRef>
              <c:f>НАСТРОЙКА!$DH$53:$DH$88</c:f>
              <c:numCache>
                <c:formatCode>General</c:formatCode>
                <c:ptCount val="36"/>
                <c:pt idx="21" formatCode="0.000">
                  <c:v>0.65676280356287475</c:v>
                </c:pt>
                <c:pt idx="22" formatCode="0.000">
                  <c:v>0.64853745053174061</c:v>
                </c:pt>
                <c:pt idx="23" formatCode="0.000">
                  <c:v>0.63795670517757586</c:v>
                </c:pt>
                <c:pt idx="24" formatCode="0.000">
                  <c:v>0.62695670517757585</c:v>
                </c:pt>
                <c:pt idx="25" formatCode="0.000">
                  <c:v>0.61595670517757584</c:v>
                </c:pt>
                <c:pt idx="26" formatCode="0.000">
                  <c:v>0.60495670517757583</c:v>
                </c:pt>
                <c:pt idx="27" formatCode="0.000">
                  <c:v>0.59395670517757582</c:v>
                </c:pt>
                <c:pt idx="28" formatCode="0.000">
                  <c:v>0.58295670517757581</c:v>
                </c:pt>
                <c:pt idx="29" formatCode="0.000">
                  <c:v>0.5719567051775758</c:v>
                </c:pt>
                <c:pt idx="30" formatCode="0.000">
                  <c:v>0.56095670517757579</c:v>
                </c:pt>
                <c:pt idx="31" formatCode="0.000">
                  <c:v>0.54995670517757578</c:v>
                </c:pt>
                <c:pt idx="32" formatCode="0.000">
                  <c:v>0.53895670517757577</c:v>
                </c:pt>
                <c:pt idx="33" formatCode="0.000">
                  <c:v>0.52795670517757576</c:v>
                </c:pt>
                <c:pt idx="34" formatCode="0.000">
                  <c:v>0.51695670517757575</c:v>
                </c:pt>
                <c:pt idx="35" formatCode="0.000">
                  <c:v>0.50595670517757574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492-4022-B32A-C4F8728488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6191744"/>
        <c:axId val="156193536"/>
      </c:lineChart>
      <c:catAx>
        <c:axId val="1561917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600" b="0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156193536"/>
        <c:crosses val="autoZero"/>
        <c:auto val="1"/>
        <c:lblAlgn val="ctr"/>
        <c:lblOffset val="100"/>
        <c:tickLblSkip val="5"/>
        <c:tickMarkSkip val="5"/>
        <c:noMultiLvlLbl val="0"/>
      </c:catAx>
      <c:valAx>
        <c:axId val="156193536"/>
        <c:scaling>
          <c:orientation val="minMax"/>
          <c:max val="1"/>
          <c:min val="0.4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600" b="0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156191744"/>
        <c:crosses val="autoZero"/>
        <c:crossBetween val="between"/>
        <c:majorUnit val="0.2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chemeClr val="bg1">
        <a:lumMod val="85000"/>
      </a:schemeClr>
    </a:solidFill>
    <a:ln w="3175">
      <a:solidFill>
        <a:srgbClr val="000000"/>
      </a:solidFill>
      <a:prstDash val="solid"/>
    </a:ln>
  </c:spPr>
  <c:txPr>
    <a:bodyPr/>
    <a:lstStyle/>
    <a:p>
      <a:pPr>
        <a:defRPr sz="900" b="0" i="0" u="none" strike="noStrike" baseline="0">
          <a:solidFill>
            <a:srgbClr val="000000"/>
          </a:solidFill>
          <a:latin typeface="Arial Cyr"/>
          <a:ea typeface="Arial Cyr"/>
          <a:cs typeface="Arial Cyr"/>
        </a:defRPr>
      </a:pPr>
      <a:endParaRPr lang="ru-RU"/>
    </a:p>
  </c:txPr>
  <c:printSettings>
    <c:headerFooter alignWithMargins="0"/>
    <c:pageMargins b="1" l="0.75000000000001465" r="0.75000000000001465" t="1" header="0.5" footer="0.5"/>
    <c:pageSetup paperSize="9" orientation="landscape" verticalDpi="0"/>
  </c:printSettings>
  <c:userShapes r:id="rId1"/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2268543190107185E-2"/>
          <c:y val="3.2490910307600492E-2"/>
          <c:w val="0.89268653585263025"/>
          <c:h val="0.91233504108929619"/>
        </c:manualLayout>
      </c:layout>
      <c:scatterChart>
        <c:scatterStyle val="smoothMarker"/>
        <c:varyColors val="0"/>
        <c:ser>
          <c:idx val="0"/>
          <c:order val="0"/>
          <c:spPr>
            <a:ln w="139700">
              <a:solidFill>
                <a:schemeClr val="accent2">
                  <a:lumMod val="75000"/>
                  <a:alpha val="70000"/>
                </a:schemeClr>
              </a:solidFill>
            </a:ln>
          </c:spPr>
          <c:marker>
            <c:symbol val="circle"/>
            <c:size val="18"/>
            <c:spPr>
              <a:noFill/>
            </c:spPr>
          </c:marker>
          <c:trendline>
            <c:spPr>
              <a:ln>
                <a:prstDash val="lgDash"/>
              </a:ln>
            </c:spPr>
            <c:trendlineType val="linear"/>
            <c:forward val="0.5"/>
            <c:backward val="0.5"/>
            <c:dispRSqr val="1"/>
            <c:dispEq val="1"/>
            <c:trendlineLbl>
              <c:layout>
                <c:manualLayout>
                  <c:x val="-4.5182602174728193E-2"/>
                  <c:y val="0.4154915965577653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sz="1800"/>
                  </a:pPr>
                  <a:endParaRPr lang="ru-RU"/>
                </a:p>
              </c:txPr>
            </c:trendlineLbl>
          </c:trendline>
          <c:xVal>
            <c:numRef>
              <c:f>НАСТРОЙКА!$EB$49:$EB$70</c:f>
              <c:numCache>
                <c:formatCode>0.000</c:formatCode>
                <c:ptCount val="22"/>
                <c:pt idx="0">
                  <c:v>1</c:v>
                </c:pt>
                <c:pt idx="1">
                  <c:v>0.81899999999999995</c:v>
                </c:pt>
                <c:pt idx="2">
                  <c:v>0.77804999999999991</c:v>
                </c:pt>
                <c:pt idx="3">
                  <c:v>0.68468399999999996</c:v>
                </c:pt>
                <c:pt idx="4">
                  <c:v>0.71891819999999995</c:v>
                </c:pt>
                <c:pt idx="5">
                  <c:v>0.84400996679999984</c:v>
                </c:pt>
                <c:pt idx="6">
                  <c:v>0.92841096347999985</c:v>
                </c:pt>
                <c:pt idx="7">
                  <c:v>0.95440647045743987</c:v>
                </c:pt>
                <c:pt idx="8">
                  <c:v>1.0737072792646198</c:v>
                </c:pt>
                <c:pt idx="9">
                  <c:v>1.2208051765238728</c:v>
                </c:pt>
                <c:pt idx="10">
                  <c:v>1.3453273045293079</c:v>
                </c:pt>
                <c:pt idx="11">
                  <c:v>1.5699969643857024</c:v>
                </c:pt>
                <c:pt idx="12">
                  <c:v>1.9263862753012568</c:v>
                </c:pt>
                <c:pt idx="13">
                  <c:v>2.1093929714548763</c:v>
                </c:pt>
                <c:pt idx="14">
                  <c:v>1.8246249203084679</c:v>
                </c:pt>
                <c:pt idx="15">
                  <c:v>1.9395762902879012</c:v>
                </c:pt>
                <c:pt idx="16">
                  <c:v>2.1490505296389948</c:v>
                </c:pt>
                <c:pt idx="17">
                  <c:v>2.2951859656544467</c:v>
                </c:pt>
                <c:pt idx="18">
                  <c:v>2.313547453379682</c:v>
                </c:pt>
                <c:pt idx="19">
                  <c:v>2.2788442415789869</c:v>
                </c:pt>
                <c:pt idx="20">
                  <c:v>2.0486809731795095</c:v>
                </c:pt>
                <c:pt idx="21">
                  <c:v>2.0445836112331506</c:v>
                </c:pt>
              </c:numCache>
            </c:numRef>
          </c:xVal>
          <c:yVal>
            <c:numRef>
              <c:f>НАСТРОЙКА!$EA$49:$EA$70</c:f>
              <c:numCache>
                <c:formatCode>0.000</c:formatCode>
                <c:ptCount val="22"/>
                <c:pt idx="0" formatCode="General">
                  <c:v>1</c:v>
                </c:pt>
                <c:pt idx="1">
                  <c:v>0.78800000000000003</c:v>
                </c:pt>
                <c:pt idx="2">
                  <c:v>0.72574800000000006</c:v>
                </c:pt>
                <c:pt idx="3">
                  <c:v>0.63575524800000005</c:v>
                </c:pt>
                <c:pt idx="4">
                  <c:v>0.6764435838720001</c:v>
                </c:pt>
                <c:pt idx="5">
                  <c:v>0.7988798725528321</c:v>
                </c:pt>
                <c:pt idx="6">
                  <c:v>0.88036561955322101</c:v>
                </c:pt>
                <c:pt idx="7">
                  <c:v>0.90501585690071118</c:v>
                </c:pt>
                <c:pt idx="8">
                  <c:v>1.03081306100991</c:v>
                </c:pt>
                <c:pt idx="9">
                  <c:v>1.1606955066971585</c:v>
                </c:pt>
                <c:pt idx="10">
                  <c:v>1.2833622609573379</c:v>
                </c:pt>
                <c:pt idx="11">
                  <c:v>1.5143674679296586</c:v>
                </c:pt>
                <c:pt idx="12">
                  <c:v>1.8323846361948868</c:v>
                </c:pt>
                <c:pt idx="13">
                  <c:v>2.0266174076315449</c:v>
                </c:pt>
                <c:pt idx="14">
                  <c:v>1.7347845009326024</c:v>
                </c:pt>
                <c:pt idx="15">
                  <c:v>1.8371367864876262</c:v>
                </c:pt>
                <c:pt idx="16">
                  <c:v>2.0043162340580003</c:v>
                </c:pt>
                <c:pt idx="17">
                  <c:v>2.1045320457609002</c:v>
                </c:pt>
                <c:pt idx="18">
                  <c:v>2.1318909623557918</c:v>
                </c:pt>
                <c:pt idx="19">
                  <c:v>2.0935169250333874</c:v>
                </c:pt>
                <c:pt idx="20">
                  <c:v>1.869510614054815</c:v>
                </c:pt>
                <c:pt idx="21">
                  <c:v>1.8882057201953633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F71-4C03-AC10-86B76FB690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6324992"/>
        <c:axId val="156326528"/>
      </c:scatterChart>
      <c:valAx>
        <c:axId val="156324992"/>
        <c:scaling>
          <c:orientation val="minMax"/>
          <c:max val="3.5"/>
          <c:min val="0"/>
        </c:scaling>
        <c:delete val="0"/>
        <c:axPos val="b"/>
        <c:numFmt formatCode="0.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ru-RU"/>
          </a:p>
        </c:txPr>
        <c:crossAx val="156326528"/>
        <c:crosses val="autoZero"/>
        <c:crossBetween val="midCat"/>
        <c:majorUnit val="0.5"/>
      </c:valAx>
      <c:valAx>
        <c:axId val="156326528"/>
        <c:scaling>
          <c:orientation val="minMax"/>
          <c:max val="3"/>
          <c:min val="0"/>
        </c:scaling>
        <c:delete val="0"/>
        <c:axPos val="l"/>
        <c:majorGridlines/>
        <c:numFmt formatCode="0.0" sourceLinked="0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ru-RU"/>
          </a:p>
        </c:txPr>
        <c:crossAx val="156324992"/>
        <c:crosses val="autoZero"/>
        <c:crossBetween val="midCat"/>
        <c:majorUnit val="0.5"/>
      </c:valAx>
    </c:plotArea>
    <c:plotVisOnly val="1"/>
    <c:dispBlanksAs val="gap"/>
    <c:showDLblsOverMax val="0"/>
  </c:chart>
  <c:spPr>
    <a:solidFill>
      <a:schemeClr val="bg2">
        <a:lumMod val="90000"/>
      </a:schemeClr>
    </a:solidFill>
  </c:spPr>
  <c:txPr>
    <a:bodyPr/>
    <a:lstStyle/>
    <a:p>
      <a:pPr>
        <a:defRPr sz="1400" baseline="0">
          <a:latin typeface="Arial" pitchFamily="34" charset="0"/>
          <a:cs typeface="Arial" pitchFamily="34" charset="0"/>
        </a:defRPr>
      </a:pPr>
      <a:endParaRPr lang="ru-RU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5.8104370756472352E-2"/>
          <c:y val="2.6254687448309652E-2"/>
          <c:w val="0.90571199343527165"/>
          <c:h val="0.93179980239697824"/>
        </c:manualLayout>
      </c:layout>
      <c:scatterChart>
        <c:scatterStyle val="smoothMarker"/>
        <c:varyColors val="0"/>
        <c:ser>
          <c:idx val="0"/>
          <c:order val="0"/>
          <c:spPr>
            <a:ln w="111125">
              <a:solidFill>
                <a:srgbClr val="FFC000"/>
              </a:solidFill>
            </a:ln>
          </c:spPr>
          <c:xVal>
            <c:numRef>
              <c:f>НАСТРОЙКА!$FI$9:$FI$31</c:f>
              <c:numCache>
                <c:formatCode>0.0</c:formatCode>
                <c:ptCount val="23"/>
                <c:pt idx="0">
                  <c:v>197.18216614420064</c:v>
                </c:pt>
                <c:pt idx="1">
                  <c:v>168.29100626959249</c:v>
                </c:pt>
                <c:pt idx="2">
                  <c:v>160.34593730407522</c:v>
                </c:pt>
                <c:pt idx="3">
                  <c:v>171.18012225705328</c:v>
                </c:pt>
                <c:pt idx="4">
                  <c:v>213.79458307210035</c:v>
                </c:pt>
                <c:pt idx="5">
                  <c:v>254.24220689655175</c:v>
                </c:pt>
                <c:pt idx="6">
                  <c:v>274.46601880877739</c:v>
                </c:pt>
                <c:pt idx="7">
                  <c:v>307.69085266457677</c:v>
                </c:pt>
                <c:pt idx="8">
                  <c:v>343.804802507837</c:v>
                </c:pt>
                <c:pt idx="9">
                  <c:v>381.3633103448276</c:v>
                </c:pt>
                <c:pt idx="10">
                  <c:v>443.47930407523512</c:v>
                </c:pt>
                <c:pt idx="11">
                  <c:v>540.98696865203772</c:v>
                </c:pt>
                <c:pt idx="12">
                  <c:v>616.82626332288407</c:v>
                </c:pt>
                <c:pt idx="13">
                  <c:v>595.88017241379305</c:v>
                </c:pt>
                <c:pt idx="14">
                  <c:v>556.55208103448274</c:v>
                </c:pt>
                <c:pt idx="15">
                  <c:v>717.5262886488664</c:v>
                </c:pt>
                <c:pt idx="16">
                  <c:v>780.3098389056421</c:v>
                </c:pt>
                <c:pt idx="17">
                  <c:v>788.24558996731253</c:v>
                </c:pt>
                <c:pt idx="18">
                  <c:v>764.59822226829317</c:v>
                </c:pt>
                <c:pt idx="19">
                  <c:v>722.545320043537</c:v>
                </c:pt>
                <c:pt idx="20">
                  <c:v>843.93293381085118</c:v>
                </c:pt>
                <c:pt idx="21">
                  <c:v>844.7768667446619</c:v>
                </c:pt>
                <c:pt idx="22">
                  <c:v>968.11428928938244</c:v>
                </c:pt>
              </c:numCache>
            </c:numRef>
          </c:xVal>
          <c:yVal>
            <c:numRef>
              <c:f>НАСТРОЙКА!$FJ$9:$FJ$31</c:f>
              <c:numCache>
                <c:formatCode>0.0</c:formatCode>
                <c:ptCount val="23"/>
                <c:pt idx="0">
                  <c:v>202.48816614420022</c:v>
                </c:pt>
                <c:pt idx="1">
                  <c:v>189.49378226959257</c:v>
                </c:pt>
                <c:pt idx="2">
                  <c:v>176.18441097607518</c:v>
                </c:pt>
                <c:pt idx="3">
                  <c:v>160.65281675639685</c:v>
                </c:pt>
                <c:pt idx="4">
                  <c:v>187.42368279295744</c:v>
                </c:pt>
                <c:pt idx="5">
                  <c:v>206.53724829158108</c:v>
                </c:pt>
                <c:pt idx="6">
                  <c:v>220.98345966164931</c:v>
                </c:pt>
                <c:pt idx="7">
                  <c:v>237.46825250439923</c:v>
                </c:pt>
                <c:pt idx="8">
                  <c:v>256.2534253235163</c:v>
                </c:pt>
                <c:pt idx="9">
                  <c:v>275.73257377194318</c:v>
                </c:pt>
                <c:pt idx="10">
                  <c:v>307.51586756858018</c:v>
                </c:pt>
                <c:pt idx="11">
                  <c:v>361.15266329923622</c:v>
                </c:pt>
                <c:pt idx="12">
                  <c:v>401.51238985596126</c:v>
                </c:pt>
                <c:pt idx="13">
                  <c:v>397.6000187144756</c:v>
                </c:pt>
                <c:pt idx="14">
                  <c:v>364.71603233039366</c:v>
                </c:pt>
                <c:pt idx="15">
                  <c:v>454.07144842858281</c:v>
                </c:pt>
                <c:pt idx="16">
                  <c:v>485.7673275393671</c:v>
                </c:pt>
                <c:pt idx="17">
                  <c:v>495.32648732647453</c:v>
                </c:pt>
                <c:pt idx="18">
                  <c:v>489.41858625811881</c:v>
                </c:pt>
                <c:pt idx="19">
                  <c:v>475.74637297970753</c:v>
                </c:pt>
                <c:pt idx="20">
                  <c:v>533.52155814132152</c:v>
                </c:pt>
                <c:pt idx="21">
                  <c:v>530.5291248424985</c:v>
                </c:pt>
                <c:pt idx="22">
                  <c:v>607.58943255341387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52C-4FB4-950F-87AB89EE618A}"/>
            </c:ext>
          </c:extLst>
        </c:ser>
        <c:ser>
          <c:idx val="1"/>
          <c:order val="1"/>
          <c:trendline>
            <c:spPr>
              <a:ln w="31750">
                <a:prstDash val="lgDash"/>
              </a:ln>
            </c:spPr>
            <c:trendlineType val="linear"/>
            <c:forward val="200"/>
            <c:dispRSqr val="1"/>
            <c:dispEq val="1"/>
            <c:trendlineLbl>
              <c:layout>
                <c:manualLayout>
                  <c:x val="-0.28515057978286396"/>
                  <c:y val="0.62539097740659333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sz="1800"/>
                  </a:pPr>
                  <a:endParaRPr lang="ru-RU"/>
                </a:p>
              </c:txPr>
            </c:trendlineLbl>
          </c:trendline>
          <c:xVal>
            <c:numRef>
              <c:f>НАСТРОЙКА!$FI$27:$FI$31</c:f>
              <c:numCache>
                <c:formatCode>0.0</c:formatCode>
                <c:ptCount val="5"/>
                <c:pt idx="0">
                  <c:v>764.59822226829317</c:v>
                </c:pt>
                <c:pt idx="1">
                  <c:v>722.545320043537</c:v>
                </c:pt>
                <c:pt idx="2">
                  <c:v>843.93293381085118</c:v>
                </c:pt>
                <c:pt idx="3">
                  <c:v>844.7768667446619</c:v>
                </c:pt>
                <c:pt idx="4">
                  <c:v>968.11428928938244</c:v>
                </c:pt>
              </c:numCache>
            </c:numRef>
          </c:xVal>
          <c:yVal>
            <c:numRef>
              <c:f>НАСТРОЙКА!$FK$27:$FK$31</c:f>
              <c:numCache>
                <c:formatCode>0.0</c:formatCode>
                <c:ptCount val="5"/>
                <c:pt idx="0">
                  <c:v>489.41858625811881</c:v>
                </c:pt>
                <c:pt idx="1">
                  <c:v>475.74637297970753</c:v>
                </c:pt>
                <c:pt idx="2">
                  <c:v>533.52155814132152</c:v>
                </c:pt>
                <c:pt idx="3">
                  <c:v>530.5291248424985</c:v>
                </c:pt>
                <c:pt idx="4">
                  <c:v>607.58943255341387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52C-4FB4-950F-87AB89EE61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6351488"/>
        <c:axId val="156508928"/>
      </c:scatterChart>
      <c:valAx>
        <c:axId val="156351488"/>
        <c:scaling>
          <c:orientation val="minMax"/>
          <c:max val="1200"/>
        </c:scaling>
        <c:delete val="0"/>
        <c:axPos val="b"/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ru-RU"/>
          </a:p>
        </c:txPr>
        <c:crossAx val="156508928"/>
        <c:crosses val="autoZero"/>
        <c:crossBetween val="midCat"/>
        <c:majorUnit val="200"/>
      </c:valAx>
      <c:valAx>
        <c:axId val="156508928"/>
        <c:scaling>
          <c:orientation val="minMax"/>
          <c:max val="800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txPr>
          <a:bodyPr/>
          <a:lstStyle/>
          <a:p>
            <a:pPr>
              <a:defRPr sz="1800"/>
            </a:pPr>
            <a:endParaRPr lang="ru-RU"/>
          </a:p>
        </c:txPr>
        <c:crossAx val="156351488"/>
        <c:crossesAt val="0"/>
        <c:crossBetween val="midCat"/>
        <c:majorUnit val="200"/>
      </c:valAx>
    </c:plotArea>
    <c:plotVisOnly val="1"/>
    <c:dispBlanksAs val="gap"/>
    <c:showDLblsOverMax val="0"/>
  </c:chart>
  <c:spPr>
    <a:solidFill>
      <a:schemeClr val="bg1">
        <a:lumMod val="85000"/>
      </a:schemeClr>
    </a:solidFill>
  </c:spPr>
  <c:txPr>
    <a:bodyPr/>
    <a:lstStyle/>
    <a:p>
      <a:pPr>
        <a:defRPr sz="1400" baseline="0">
          <a:latin typeface="Arial" pitchFamily="34" charset="0"/>
          <a:cs typeface="Arial" pitchFamily="34" charset="0"/>
        </a:defRPr>
      </a:pPr>
      <a:endParaRPr lang="ru-RU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1197961568672544E-2"/>
          <c:y val="4.7571545418320066E-2"/>
          <c:w val="0.8880174006027024"/>
          <c:h val="0.91367591465067377"/>
        </c:manualLayout>
      </c:layout>
      <c:scatterChart>
        <c:scatterStyle val="smoothMarker"/>
        <c:varyColors val="0"/>
        <c:ser>
          <c:idx val="0"/>
          <c:order val="0"/>
          <c:spPr>
            <a:ln w="190500">
              <a:solidFill>
                <a:schemeClr val="accent4">
                  <a:lumMod val="75000"/>
                </a:schemeClr>
              </a:solidFill>
            </a:ln>
          </c:spPr>
          <c:marker>
            <c:symbol val="circle"/>
            <c:size val="22"/>
            <c:spPr>
              <a:noFill/>
            </c:spPr>
          </c:marker>
          <c:xVal>
            <c:numRef>
              <c:f>НАСТРОЙКА!$FN$49:$FN$72</c:f>
              <c:numCache>
                <c:formatCode>0.00</c:formatCode>
                <c:ptCount val="24"/>
                <c:pt idx="0">
                  <c:v>1</c:v>
                </c:pt>
                <c:pt idx="1">
                  <c:v>1.458015926869807</c:v>
                </c:pt>
                <c:pt idx="2">
                  <c:v>1.6775696170093486</c:v>
                </c:pt>
                <c:pt idx="3">
                  <c:v>1.988574685283935</c:v>
                </c:pt>
                <c:pt idx="4">
                  <c:v>3.4280333525379545</c:v>
                </c:pt>
                <c:pt idx="5">
                  <c:v>4.7203345530217637</c:v>
                </c:pt>
                <c:pt idx="6">
                  <c:v>5.4982302967459242</c:v>
                </c:pt>
                <c:pt idx="7">
                  <c:v>6.3527295286418424</c:v>
                </c:pt>
                <c:pt idx="8">
                  <c:v>7.2278602743829534</c:v>
                </c:pt>
                <c:pt idx="9">
                  <c:v>8.6918699640274202</c:v>
                </c:pt>
                <c:pt idx="10">
                  <c:v>10.367609749128871</c:v>
                </c:pt>
                <c:pt idx="11">
                  <c:v>11.935242035159135</c:v>
                </c:pt>
                <c:pt idx="12">
                  <c:v>13.587224630705832</c:v>
                </c:pt>
                <c:pt idx="13">
                  <c:v>16.03475716499792</c:v>
                </c:pt>
                <c:pt idx="14">
                  <c:v>16.368494611949213</c:v>
                </c:pt>
                <c:pt idx="15">
                  <c:v>18.691365335566658</c:v>
                </c:pt>
                <c:pt idx="16">
                  <c:v>23.328518818067689</c:v>
                </c:pt>
                <c:pt idx="17">
                  <c:v>25.448132013167307</c:v>
                </c:pt>
                <c:pt idx="18">
                  <c:v>26.82470761987901</c:v>
                </c:pt>
                <c:pt idx="19">
                  <c:v>28.785172632075849</c:v>
                </c:pt>
                <c:pt idx="20">
                  <c:v>30.966851255246702</c:v>
                </c:pt>
                <c:pt idx="21">
                  <c:v>31.991031785021747</c:v>
                </c:pt>
                <c:pt idx="22">
                  <c:v>33.649317794864295</c:v>
                </c:pt>
                <c:pt idx="23">
                  <c:v>36.91744034444185</c:v>
                </c:pt>
              </c:numCache>
            </c:numRef>
          </c:xVal>
          <c:yVal>
            <c:numRef>
              <c:f>НАСТРОЙКА!$FM$49:$FM$72</c:f>
              <c:numCache>
                <c:formatCode>0.00</c:formatCode>
                <c:ptCount val="24"/>
                <c:pt idx="0">
                  <c:v>1</c:v>
                </c:pt>
                <c:pt idx="1">
                  <c:v>1.3890656660960248</c:v>
                </c:pt>
                <c:pt idx="2">
                  <c:v>1.5288420201321875</c:v>
                </c:pt>
                <c:pt idx="3">
                  <c:v>1.6012135978440234</c:v>
                </c:pt>
                <c:pt idx="4">
                  <c:v>2.7614512511832352</c:v>
                </c:pt>
                <c:pt idx="5">
                  <c:v>3.8813756116757316</c:v>
                </c:pt>
                <c:pt idx="6">
                  <c:v>4.9244555432757879</c:v>
                </c:pt>
                <c:pt idx="7">
                  <c:v>5.5076003782834864</c:v>
                </c:pt>
                <c:pt idx="8">
                  <c:v>6.3255097831872691</c:v>
                </c:pt>
                <c:pt idx="9">
                  <c:v>7.3003121869901326</c:v>
                </c:pt>
                <c:pt idx="10">
                  <c:v>8.7907908216125801</c:v>
                </c:pt>
                <c:pt idx="11">
                  <c:v>10.077706332186347</c:v>
                </c:pt>
                <c:pt idx="12">
                  <c:v>11.630372067549995</c:v>
                </c:pt>
                <c:pt idx="13">
                  <c:v>13.808577618030881</c:v>
                </c:pt>
                <c:pt idx="14">
                  <c:v>13.964756035279709</c:v>
                </c:pt>
                <c:pt idx="15">
                  <c:v>16.223531809175668</c:v>
                </c:pt>
                <c:pt idx="16">
                  <c:v>18.09503717757504</c:v>
                </c:pt>
                <c:pt idx="17">
                  <c:v>19.232494464635629</c:v>
                </c:pt>
                <c:pt idx="18">
                  <c:v>20.587243519803909</c:v>
                </c:pt>
                <c:pt idx="19">
                  <c:v>22.05840052773225</c:v>
                </c:pt>
                <c:pt idx="20">
                  <c:v>24.641576618684894</c:v>
                </c:pt>
                <c:pt idx="21">
                  <c:v>25.837490201740536</c:v>
                </c:pt>
                <c:pt idx="22">
                  <c:v>27.279512414925115</c:v>
                </c:pt>
                <c:pt idx="23">
                  <c:v>29.751686227172179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DB7-4F54-A90D-CDEAA3776838}"/>
            </c:ext>
          </c:extLst>
        </c:ser>
        <c:ser>
          <c:idx val="1"/>
          <c:order val="1"/>
          <c:trendline>
            <c:spPr>
              <a:ln w="44450">
                <a:prstDash val="lgDash"/>
              </a:ln>
            </c:spPr>
            <c:trendlineType val="linear"/>
            <c:forward val="7"/>
            <c:dispRSqr val="1"/>
            <c:dispEq val="1"/>
            <c:trendlineLbl>
              <c:layout>
                <c:manualLayout>
                  <c:x val="5.1236268193748512E-2"/>
                  <c:y val="0.40084200306410162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sz="2000">
                      <a:latin typeface="Arial" panose="020B0604020202020204" pitchFamily="34" charset="0"/>
                      <a:cs typeface="Arial" panose="020B0604020202020204" pitchFamily="34" charset="0"/>
                    </a:defRPr>
                  </a:pPr>
                  <a:endParaRPr lang="ru-RU"/>
                </a:p>
              </c:txPr>
            </c:trendlineLbl>
          </c:trendline>
          <c:xVal>
            <c:numRef>
              <c:f>НАСТРОЙКА!$FN$65:$FN$72</c:f>
              <c:numCache>
                <c:formatCode>0.00</c:formatCode>
                <c:ptCount val="8"/>
                <c:pt idx="0">
                  <c:v>23.328518818067689</c:v>
                </c:pt>
                <c:pt idx="1">
                  <c:v>25.448132013167307</c:v>
                </c:pt>
                <c:pt idx="2">
                  <c:v>26.82470761987901</c:v>
                </c:pt>
                <c:pt idx="3">
                  <c:v>28.785172632075849</c:v>
                </c:pt>
                <c:pt idx="4">
                  <c:v>30.966851255246702</c:v>
                </c:pt>
                <c:pt idx="5">
                  <c:v>31.991031785021747</c:v>
                </c:pt>
                <c:pt idx="6">
                  <c:v>33.649317794864295</c:v>
                </c:pt>
                <c:pt idx="7">
                  <c:v>36.91744034444185</c:v>
                </c:pt>
              </c:numCache>
            </c:numRef>
          </c:xVal>
          <c:yVal>
            <c:numRef>
              <c:f>НАСТРОЙКА!$FP$65:$FP$72</c:f>
              <c:numCache>
                <c:formatCode>0.00</c:formatCode>
                <c:ptCount val="8"/>
                <c:pt idx="0">
                  <c:v>18.09503717757504</c:v>
                </c:pt>
                <c:pt idx="1">
                  <c:v>19.232494464635629</c:v>
                </c:pt>
                <c:pt idx="2">
                  <c:v>20.587243519803909</c:v>
                </c:pt>
                <c:pt idx="3">
                  <c:v>22.05840052773225</c:v>
                </c:pt>
                <c:pt idx="4">
                  <c:v>24.641576618684894</c:v>
                </c:pt>
                <c:pt idx="5">
                  <c:v>25.837490201740536</c:v>
                </c:pt>
                <c:pt idx="6">
                  <c:v>27.279512414925115</c:v>
                </c:pt>
                <c:pt idx="7">
                  <c:v>29.751686227172179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D8E-4AD5-8008-C2B4677B3895}"/>
            </c:ext>
          </c:extLst>
        </c:ser>
        <c:ser>
          <c:idx val="2"/>
          <c:order val="2"/>
          <c:trendline>
            <c:spPr>
              <a:ln w="25400">
                <a:prstDash val="lgDash"/>
              </a:ln>
            </c:spPr>
            <c:trendlineType val="linear"/>
            <c:forward val="20"/>
            <c:dispRSqr val="1"/>
            <c:dispEq val="1"/>
            <c:trendlineLbl>
              <c:layout>
                <c:manualLayout>
                  <c:x val="-0.35149739918873785"/>
                  <c:y val="0.3343349796220777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sz="2000">
                      <a:latin typeface="Arial" pitchFamily="34" charset="0"/>
                      <a:cs typeface="Arial" pitchFamily="34" charset="0"/>
                    </a:defRPr>
                  </a:pPr>
                  <a:endParaRPr lang="ru-RU"/>
                </a:p>
              </c:txPr>
            </c:trendlineLbl>
          </c:trendline>
          <c:xVal>
            <c:numRef>
              <c:f>НАСТРОЙКА!$FN$50:$FN$64</c:f>
              <c:numCache>
                <c:formatCode>0.00</c:formatCode>
                <c:ptCount val="15"/>
                <c:pt idx="0">
                  <c:v>1.458015926869807</c:v>
                </c:pt>
                <c:pt idx="1">
                  <c:v>1.6775696170093486</c:v>
                </c:pt>
                <c:pt idx="2">
                  <c:v>1.988574685283935</c:v>
                </c:pt>
                <c:pt idx="3">
                  <c:v>3.4280333525379545</c:v>
                </c:pt>
                <c:pt idx="4">
                  <c:v>4.7203345530217637</c:v>
                </c:pt>
                <c:pt idx="5">
                  <c:v>5.4982302967459242</c:v>
                </c:pt>
                <c:pt idx="6">
                  <c:v>6.3527295286418424</c:v>
                </c:pt>
                <c:pt idx="7">
                  <c:v>7.2278602743829534</c:v>
                </c:pt>
                <c:pt idx="8">
                  <c:v>8.6918699640274202</c:v>
                </c:pt>
                <c:pt idx="9">
                  <c:v>10.367609749128871</c:v>
                </c:pt>
                <c:pt idx="10">
                  <c:v>11.935242035159135</c:v>
                </c:pt>
                <c:pt idx="11">
                  <c:v>13.587224630705832</c:v>
                </c:pt>
                <c:pt idx="12">
                  <c:v>16.03475716499792</c:v>
                </c:pt>
                <c:pt idx="13">
                  <c:v>16.368494611949213</c:v>
                </c:pt>
                <c:pt idx="14">
                  <c:v>18.691365335566658</c:v>
                </c:pt>
              </c:numCache>
            </c:numRef>
          </c:xVal>
          <c:yVal>
            <c:numRef>
              <c:f>НАСТРОЙКА!$FO$50:$FO$64</c:f>
              <c:numCache>
                <c:formatCode>0.00</c:formatCode>
                <c:ptCount val="15"/>
                <c:pt idx="0">
                  <c:v>1.3890656660960248</c:v>
                </c:pt>
                <c:pt idx="1">
                  <c:v>1.5288420201321875</c:v>
                </c:pt>
                <c:pt idx="2">
                  <c:v>1.6012135978440234</c:v>
                </c:pt>
                <c:pt idx="3">
                  <c:v>2.7614512511832352</c:v>
                </c:pt>
                <c:pt idx="4">
                  <c:v>3.8813756116757316</c:v>
                </c:pt>
                <c:pt idx="5">
                  <c:v>4.9244555432757879</c:v>
                </c:pt>
                <c:pt idx="6">
                  <c:v>5.5076003782834864</c:v>
                </c:pt>
                <c:pt idx="7">
                  <c:v>6.3255097831872691</c:v>
                </c:pt>
                <c:pt idx="8">
                  <c:v>7.3003121869901326</c:v>
                </c:pt>
                <c:pt idx="9">
                  <c:v>8.7907908216125801</c:v>
                </c:pt>
                <c:pt idx="10">
                  <c:v>10.077706332186347</c:v>
                </c:pt>
                <c:pt idx="11">
                  <c:v>11.630372067549995</c:v>
                </c:pt>
                <c:pt idx="12">
                  <c:v>13.808577618030881</c:v>
                </c:pt>
                <c:pt idx="13">
                  <c:v>13.964756035279709</c:v>
                </c:pt>
                <c:pt idx="14">
                  <c:v>16.223531809175668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E80-4B7F-91BB-86E173741B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6568192"/>
        <c:axId val="156578176"/>
      </c:scatterChart>
      <c:valAx>
        <c:axId val="156568192"/>
        <c:scaling>
          <c:orientation val="minMax"/>
          <c:max val="50"/>
          <c:min val="0"/>
        </c:scaling>
        <c:delete val="0"/>
        <c:axPos val="b"/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800" b="0" i="0" u="none" strike="noStrike" baseline="0">
                <a:solidFill>
                  <a:srgbClr val="000000"/>
                </a:solidFill>
                <a:latin typeface="Arial" pitchFamily="34" charset="0"/>
                <a:ea typeface="Calibri"/>
                <a:cs typeface="Arial" pitchFamily="34" charset="0"/>
              </a:defRPr>
            </a:pPr>
            <a:endParaRPr lang="ru-RU"/>
          </a:p>
        </c:txPr>
        <c:crossAx val="156578176"/>
        <c:crosses val="autoZero"/>
        <c:crossBetween val="midCat"/>
        <c:majorUnit val="10"/>
      </c:valAx>
      <c:valAx>
        <c:axId val="156578176"/>
        <c:scaling>
          <c:orientation val="minMax"/>
          <c:max val="40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txPr>
          <a:bodyPr/>
          <a:lstStyle/>
          <a:p>
            <a:pPr>
              <a:defRPr sz="20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56568192"/>
        <c:crosses val="autoZero"/>
        <c:crossBetween val="midCat"/>
        <c:majorUnit val="10"/>
      </c:valAx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800" baseline="0">
                <a:latin typeface="Arial" panose="020B0604020202020204" pitchFamily="34" charset="0"/>
                <a:cs typeface="Arial" panose="020B0604020202020204" pitchFamily="34" charset="0"/>
              </a:rPr>
              <a:t> </a:t>
            </a:r>
            <a:r>
              <a:rPr lang="ru-RU" sz="2800" baseline="0">
                <a:latin typeface="Arial" panose="020B0604020202020204" pitchFamily="34" charset="0"/>
                <a:cs typeface="Arial" panose="020B0604020202020204" pitchFamily="34" charset="0"/>
              </a:rPr>
              <a:t>Конечное потребление сектора "НКО"</a:t>
            </a:r>
            <a:endParaRPr lang="ru-RU" sz="2800"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layout>
        <c:manualLayout>
          <c:xMode val="edge"/>
          <c:yMode val="edge"/>
          <c:x val="0.19454983341028753"/>
          <c:y val="0.10622515935508314"/>
        </c:manualLayout>
      </c:layout>
      <c:overlay val="0"/>
      <c:spPr>
        <a:solidFill>
          <a:sysClr val="window" lastClr="FFFFFF"/>
        </a:solidFill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4.1766629757219273E-2"/>
          <c:y val="3.7211065159108811E-2"/>
          <c:w val="0.91565524524278263"/>
          <c:h val="0.89589305751255965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НАСТРОЙКА!$GY$93:$GY$114</c:f>
              <c:numCache>
                <c:formatCode>0</c:formatCode>
                <c:ptCount val="22"/>
                <c:pt idx="0">
                  <c:v>1428.5209</c:v>
                </c:pt>
                <c:pt idx="1">
                  <c:v>2007.8252000000002</c:v>
                </c:pt>
                <c:pt idx="2">
                  <c:v>2342.5137</c:v>
                </c:pt>
                <c:pt idx="3">
                  <c:v>2629.6228999999998</c:v>
                </c:pt>
                <c:pt idx="4">
                  <c:v>4823.2329</c:v>
                </c:pt>
                <c:pt idx="5">
                  <c:v>7305.6466</c:v>
                </c:pt>
                <c:pt idx="6">
                  <c:v>8943.5825999999997</c:v>
                </c:pt>
                <c:pt idx="7">
                  <c:v>10819.270899999998</c:v>
                </c:pt>
                <c:pt idx="8">
                  <c:v>13208.250299999998</c:v>
                </c:pt>
                <c:pt idx="9">
                  <c:v>17027.166999999998</c:v>
                </c:pt>
                <c:pt idx="10">
                  <c:v>21609.765799999997</c:v>
                </c:pt>
                <c:pt idx="11">
                  <c:v>26917.203699999998</c:v>
                </c:pt>
                <c:pt idx="12">
                  <c:v>33247.513200000001</c:v>
                </c:pt>
                <c:pt idx="13">
                  <c:v>41276.849199999997</c:v>
                </c:pt>
                <c:pt idx="14">
                  <c:v>38807.270899999996</c:v>
                </c:pt>
                <c:pt idx="15">
                  <c:v>46308.53100000001</c:v>
                </c:pt>
                <c:pt idx="16">
                  <c:v>60282.540400000005</c:v>
                </c:pt>
                <c:pt idx="17">
                  <c:v>68163.883100000006</c:v>
                </c:pt>
                <c:pt idx="18">
                  <c:v>73133.89509999998</c:v>
                </c:pt>
                <c:pt idx="19">
                  <c:v>79199.658500000005</c:v>
                </c:pt>
                <c:pt idx="20">
                  <c:v>83232.618400000007</c:v>
                </c:pt>
                <c:pt idx="21">
                  <c:v>86043.648900000015</c:v>
                </c:pt>
              </c:numCache>
            </c:numRef>
          </c:xVal>
          <c:yVal>
            <c:numRef>
              <c:f>НАСТРОЙКА!$GX$93:$GX$114</c:f>
              <c:numCache>
                <c:formatCode>0</c:formatCode>
                <c:ptCount val="22"/>
                <c:pt idx="0">
                  <c:v>24.299299999999999</c:v>
                </c:pt>
                <c:pt idx="1">
                  <c:v>36.661499999999997</c:v>
                </c:pt>
                <c:pt idx="2">
                  <c:v>47.3504</c:v>
                </c:pt>
                <c:pt idx="3">
                  <c:v>48.8855</c:v>
                </c:pt>
                <c:pt idx="4">
                  <c:v>56.301099999999998</c:v>
                </c:pt>
                <c:pt idx="5">
                  <c:v>79.116500000000002</c:v>
                </c:pt>
                <c:pt idx="6">
                  <c:v>98.781899999999993</c:v>
                </c:pt>
                <c:pt idx="7">
                  <c:v>132.51599999999999</c:v>
                </c:pt>
                <c:pt idx="8">
                  <c:v>154.91739999999999</c:v>
                </c:pt>
                <c:pt idx="9">
                  <c:v>149.55099999999999</c:v>
                </c:pt>
                <c:pt idx="10">
                  <c:v>139.37289999999999</c:v>
                </c:pt>
                <c:pt idx="11">
                  <c:v>154.58760000000001</c:v>
                </c:pt>
                <c:pt idx="12">
                  <c:v>185.87559999999999</c:v>
                </c:pt>
                <c:pt idx="13">
                  <c:v>216.71250000000001</c:v>
                </c:pt>
                <c:pt idx="14">
                  <c:v>216.99639999999999</c:v>
                </c:pt>
                <c:pt idx="15">
                  <c:v>225.726</c:v>
                </c:pt>
                <c:pt idx="16">
                  <c:v>225.33240000000001</c:v>
                </c:pt>
                <c:pt idx="17">
                  <c:v>247.44670000000002</c:v>
                </c:pt>
                <c:pt idx="18">
                  <c:v>257.19670000000002</c:v>
                </c:pt>
                <c:pt idx="19">
                  <c:v>290.19099999999997</c:v>
                </c:pt>
                <c:pt idx="20">
                  <c:v>314.08699999999999</c:v>
                </c:pt>
                <c:pt idx="21">
                  <c:v>344.22899999999998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CC08-4381-80E6-E030BD76F6C9}"/>
            </c:ext>
          </c:extLst>
        </c:ser>
        <c:ser>
          <c:idx val="1"/>
          <c:order val="1"/>
          <c:spPr>
            <a:ln w="222250" cap="rnd">
              <a:solidFill>
                <a:srgbClr val="00B0F0">
                  <a:alpha val="26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tx1"/>
                </a:solidFill>
                <a:prstDash val="lgDash"/>
              </a:ln>
              <a:effectLst/>
            </c:spPr>
            <c:trendlineType val="linear"/>
            <c:forward val="20000"/>
            <c:dispRSqr val="1"/>
            <c:dispEq val="1"/>
            <c:trendlineLbl>
              <c:layout>
                <c:manualLayout>
                  <c:x val="-0.3087259966519933"/>
                  <c:y val="0.1284278435641981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20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Arial" panose="020B0604020202020204" pitchFamily="34" charset="0"/>
                      <a:ea typeface="+mn-ea"/>
                      <a:cs typeface="Arial" panose="020B0604020202020204" pitchFamily="34" charset="0"/>
                    </a:defRPr>
                  </a:pPr>
                  <a:endParaRPr lang="ru-RU"/>
                </a:p>
              </c:txPr>
            </c:trendlineLbl>
          </c:trendline>
          <c:xVal>
            <c:numRef>
              <c:f>НАСТРОЙКА!$HA$101:$HA$114</c:f>
              <c:numCache>
                <c:formatCode>0</c:formatCode>
                <c:ptCount val="14"/>
                <c:pt idx="0">
                  <c:v>13208.250299999998</c:v>
                </c:pt>
                <c:pt idx="1">
                  <c:v>17027.166999999998</c:v>
                </c:pt>
                <c:pt idx="2">
                  <c:v>21609.765799999997</c:v>
                </c:pt>
                <c:pt idx="3">
                  <c:v>26917.203699999998</c:v>
                </c:pt>
                <c:pt idx="4">
                  <c:v>33247.513200000001</c:v>
                </c:pt>
                <c:pt idx="5">
                  <c:v>41276.849199999997</c:v>
                </c:pt>
                <c:pt idx="6">
                  <c:v>38807.270899999996</c:v>
                </c:pt>
                <c:pt idx="7">
                  <c:v>46308.53100000001</c:v>
                </c:pt>
                <c:pt idx="8">
                  <c:v>60282.540400000005</c:v>
                </c:pt>
                <c:pt idx="9">
                  <c:v>68163.883100000006</c:v>
                </c:pt>
                <c:pt idx="10">
                  <c:v>73133.89509999998</c:v>
                </c:pt>
                <c:pt idx="11">
                  <c:v>79199.658500000005</c:v>
                </c:pt>
                <c:pt idx="12">
                  <c:v>83232.618400000007</c:v>
                </c:pt>
                <c:pt idx="13">
                  <c:v>86043.648900000015</c:v>
                </c:pt>
              </c:numCache>
            </c:numRef>
          </c:xVal>
          <c:yVal>
            <c:numRef>
              <c:f>НАСТРОЙКА!$GZ$101:$GZ$114</c:f>
              <c:numCache>
                <c:formatCode>0</c:formatCode>
                <c:ptCount val="14"/>
                <c:pt idx="0">
                  <c:v>154.91739999999999</c:v>
                </c:pt>
                <c:pt idx="1">
                  <c:v>149.55099999999999</c:v>
                </c:pt>
                <c:pt idx="2">
                  <c:v>139.37289999999999</c:v>
                </c:pt>
                <c:pt idx="3">
                  <c:v>154.58760000000001</c:v>
                </c:pt>
                <c:pt idx="4">
                  <c:v>185.87559999999999</c:v>
                </c:pt>
                <c:pt idx="5">
                  <c:v>216.71250000000001</c:v>
                </c:pt>
                <c:pt idx="6">
                  <c:v>216.99639999999999</c:v>
                </c:pt>
                <c:pt idx="7">
                  <c:v>225.726</c:v>
                </c:pt>
                <c:pt idx="8">
                  <c:v>225.33240000000001</c:v>
                </c:pt>
                <c:pt idx="9">
                  <c:v>247.44670000000002</c:v>
                </c:pt>
                <c:pt idx="10">
                  <c:v>257.19670000000002</c:v>
                </c:pt>
                <c:pt idx="11">
                  <c:v>290.19099999999997</c:v>
                </c:pt>
                <c:pt idx="12">
                  <c:v>314.08699999999999</c:v>
                </c:pt>
                <c:pt idx="13">
                  <c:v>344.22899999999998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CC08-4381-80E6-E030BD76F6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6677248"/>
        <c:axId val="156678784"/>
      </c:scatterChart>
      <c:valAx>
        <c:axId val="156677248"/>
        <c:scaling>
          <c:orientation val="minMax"/>
          <c:max val="110000"/>
        </c:scaling>
        <c:delete val="0"/>
        <c:axPos val="b"/>
        <c:numFmt formatCode="0" sourceLinked="1"/>
        <c:majorTickMark val="in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ru-RU"/>
          </a:p>
        </c:txPr>
        <c:crossAx val="156678784"/>
        <c:crosses val="autoZero"/>
        <c:crossBetween val="midCat"/>
      </c:valAx>
      <c:valAx>
        <c:axId val="156678784"/>
        <c:scaling>
          <c:orientation val="minMax"/>
          <c:max val="5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ru-RU"/>
          </a:p>
        </c:txPr>
        <c:crossAx val="156677248"/>
        <c:crosses val="autoZero"/>
        <c:crossBetween val="midCat"/>
        <c:majorUnit val="100"/>
      </c:valAx>
      <c:spPr>
        <a:solidFill>
          <a:sysClr val="window" lastClr="FFFFFF"/>
        </a:solidFill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8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00000000000091" l="0.70000000000000062" r="0.70000000000000062" t="0.7500000000000091" header="0.30000000000000032" footer="0.30000000000000032"/>
    <c:pageSetup orientation="landscape"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0981172479793843E-2"/>
          <c:y val="3.9387229600147275E-2"/>
          <c:w val="0.87140145069015373"/>
          <c:h val="0.9124793845878445"/>
        </c:manualLayout>
      </c:layout>
      <c:scatterChart>
        <c:scatterStyle val="smoothMarker"/>
        <c:varyColors val="0"/>
        <c:ser>
          <c:idx val="0"/>
          <c:order val="0"/>
          <c:spPr>
            <a:ln w="168275">
              <a:solidFill>
                <a:srgbClr val="FFC000"/>
              </a:solidFill>
            </a:ln>
          </c:spPr>
          <c:marker>
            <c:symbol val="circle"/>
            <c:size val="8"/>
          </c:marker>
          <c:trendline>
            <c:spPr>
              <a:ln w="12700">
                <a:prstDash val="lgDash"/>
              </a:ln>
            </c:spPr>
            <c:trendlineType val="linear"/>
            <c:forward val="10000"/>
            <c:dispRSqr val="1"/>
            <c:dispEq val="1"/>
            <c:trendlineLbl>
              <c:layout>
                <c:manualLayout>
                  <c:x val="1.0554718150848328E-3"/>
                  <c:y val="0.37350922100642081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sz="2000"/>
                  </a:pPr>
                  <a:endParaRPr lang="ru-RU"/>
                </a:p>
              </c:txPr>
            </c:trendlineLbl>
          </c:trendline>
          <c:xVal>
            <c:numRef>
              <c:f>НАСТРОЙКА!$DT$95:$DT$118</c:f>
              <c:numCache>
                <c:formatCode>0</c:formatCode>
                <c:ptCount val="24"/>
                <c:pt idx="0">
                  <c:v>910.9</c:v>
                </c:pt>
                <c:pt idx="1">
                  <c:v>1357.1</c:v>
                </c:pt>
                <c:pt idx="2">
                  <c:v>1656.4</c:v>
                </c:pt>
                <c:pt idx="3">
                  <c:v>1776</c:v>
                </c:pt>
                <c:pt idx="4">
                  <c:v>2908.1</c:v>
                </c:pt>
                <c:pt idx="5">
                  <c:v>3983.9</c:v>
                </c:pt>
                <c:pt idx="6">
                  <c:v>5325.8</c:v>
                </c:pt>
                <c:pt idx="7">
                  <c:v>6831</c:v>
                </c:pt>
                <c:pt idx="8">
                  <c:v>8900.5</c:v>
                </c:pt>
                <c:pt idx="9">
                  <c:v>10976.3</c:v>
                </c:pt>
                <c:pt idx="10">
                  <c:v>13819</c:v>
                </c:pt>
                <c:pt idx="11">
                  <c:v>17290.099999999999</c:v>
                </c:pt>
                <c:pt idx="12">
                  <c:v>21311.5</c:v>
                </c:pt>
                <c:pt idx="13">
                  <c:v>25244</c:v>
                </c:pt>
                <c:pt idx="14">
                  <c:v>28697.5</c:v>
                </c:pt>
                <c:pt idx="15">
                  <c:v>32498.3</c:v>
                </c:pt>
                <c:pt idx="16">
                  <c:v>35648.699999999997</c:v>
                </c:pt>
                <c:pt idx="17">
                  <c:v>39904</c:v>
                </c:pt>
                <c:pt idx="18">
                  <c:v>44650</c:v>
                </c:pt>
                <c:pt idx="19">
                  <c:v>47921</c:v>
                </c:pt>
                <c:pt idx="20">
                  <c:v>53526</c:v>
                </c:pt>
                <c:pt idx="21">
                  <c:v>54117</c:v>
                </c:pt>
                <c:pt idx="22">
                  <c:v>55368</c:v>
                </c:pt>
                <c:pt idx="23">
                  <c:v>57500</c:v>
                </c:pt>
              </c:numCache>
            </c:numRef>
          </c:xVal>
          <c:yVal>
            <c:numRef>
              <c:f>НАСТРОЙКА!$DS$95:$DS$118</c:f>
              <c:numCache>
                <c:formatCode>0</c:formatCode>
                <c:ptCount val="24"/>
                <c:pt idx="0">
                  <c:v>719.79349999999999</c:v>
                </c:pt>
                <c:pt idx="1">
                  <c:v>1007.827</c:v>
                </c:pt>
                <c:pt idx="2">
                  <c:v>1235.2137</c:v>
                </c:pt>
                <c:pt idx="3">
                  <c:v>1462.2840000000001</c:v>
                </c:pt>
                <c:pt idx="4">
                  <c:v>2526.1678999999999</c:v>
                </c:pt>
                <c:pt idx="5">
                  <c:v>3295.2372999999998</c:v>
                </c:pt>
                <c:pt idx="6">
                  <c:v>4318.1211000000003</c:v>
                </c:pt>
                <c:pt idx="7">
                  <c:v>5409.1576999999997</c:v>
                </c:pt>
                <c:pt idx="8">
                  <c:v>6537.4014999999999</c:v>
                </c:pt>
                <c:pt idx="9">
                  <c:v>8438.4840999999997</c:v>
                </c:pt>
                <c:pt idx="10">
                  <c:v>10652.8578</c:v>
                </c:pt>
                <c:pt idx="11">
                  <c:v>12974.743399999999</c:v>
                </c:pt>
                <c:pt idx="12">
                  <c:v>16031.739799999999</c:v>
                </c:pt>
                <c:pt idx="13">
                  <c:v>19966.954699999998</c:v>
                </c:pt>
                <c:pt idx="14">
                  <c:v>20986.036</c:v>
                </c:pt>
                <c:pt idx="15">
                  <c:v>23617.623</c:v>
                </c:pt>
                <c:pt idx="16">
                  <c:v>29939.463500000002</c:v>
                </c:pt>
                <c:pt idx="17">
                  <c:v>34492.361700000001</c:v>
                </c:pt>
                <c:pt idx="18">
                  <c:v>38465.140799999994</c:v>
                </c:pt>
                <c:pt idx="19">
                  <c:v>41954.83</c:v>
                </c:pt>
                <c:pt idx="20">
                  <c:v>43242.32</c:v>
                </c:pt>
                <c:pt idx="21">
                  <c:v>45317.05</c:v>
                </c:pt>
                <c:pt idx="22">
                  <c:v>48135.66</c:v>
                </c:pt>
                <c:pt idx="23">
                  <c:v>50851.05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192-4A74-BF27-ABC1AB1999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6831104"/>
        <c:axId val="156841088"/>
      </c:scatterChart>
      <c:valAx>
        <c:axId val="156831104"/>
        <c:scaling>
          <c:orientation val="minMax"/>
          <c:max val="80000"/>
          <c:min val="0"/>
        </c:scaling>
        <c:delete val="0"/>
        <c:axPos val="b"/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800"/>
            </a:pPr>
            <a:endParaRPr lang="ru-RU"/>
          </a:p>
        </c:txPr>
        <c:crossAx val="156841088"/>
        <c:crosses val="autoZero"/>
        <c:crossBetween val="midCat"/>
        <c:majorUnit val="20000"/>
      </c:valAx>
      <c:valAx>
        <c:axId val="156841088"/>
        <c:scaling>
          <c:orientation val="minMax"/>
          <c:max val="60000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txPr>
          <a:bodyPr/>
          <a:lstStyle/>
          <a:p>
            <a:pPr>
              <a:defRPr sz="1800"/>
            </a:pPr>
            <a:endParaRPr lang="ru-RU"/>
          </a:p>
        </c:txPr>
        <c:crossAx val="156831104"/>
        <c:crosses val="autoZero"/>
        <c:crossBetween val="midCat"/>
        <c:majorUnit val="15000"/>
      </c:valAx>
    </c:plotArea>
    <c:plotVisOnly val="1"/>
    <c:dispBlanksAs val="gap"/>
    <c:showDLblsOverMax val="0"/>
  </c:chart>
  <c:spPr>
    <a:solidFill>
      <a:schemeClr val="bg1">
        <a:lumMod val="85000"/>
      </a:schemeClr>
    </a:solidFill>
  </c:spPr>
  <c:txPr>
    <a:bodyPr/>
    <a:lstStyle/>
    <a:p>
      <a:pPr>
        <a:defRPr>
          <a:latin typeface="Arial" panose="020B0604020202020204" pitchFamily="34" charset="0"/>
          <a:cs typeface="Arial" panose="020B0604020202020204" pitchFamily="34" charset="0"/>
        </a:defRPr>
      </a:pPr>
      <a:endParaRPr lang="ru-RU"/>
    </a:p>
  </c:tx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800" baseline="0">
                <a:latin typeface="Arial" panose="020B0604020202020204" pitchFamily="34" charset="0"/>
                <a:cs typeface="Arial" panose="020B0604020202020204" pitchFamily="34" charset="0"/>
              </a:rPr>
              <a:t> </a:t>
            </a:r>
            <a:r>
              <a:rPr lang="ru-RU" sz="2800" baseline="0">
                <a:latin typeface="Arial" panose="020B0604020202020204" pitchFamily="34" charset="0"/>
                <a:cs typeface="Arial" panose="020B0604020202020204" pitchFamily="34" charset="0"/>
              </a:rPr>
              <a:t>Регрессия базисных дефляторов КП ДХ и КП НКО от базисного индекса потребительских цен</a:t>
            </a:r>
            <a:endParaRPr lang="ru-RU" sz="2800"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layout>
        <c:manualLayout>
          <c:xMode val="edge"/>
          <c:yMode val="edge"/>
          <c:x val="0.12713983668708076"/>
          <c:y val="7.6643222088342164E-2"/>
        </c:manualLayout>
      </c:layout>
      <c:overlay val="0"/>
      <c:spPr>
        <a:solidFill>
          <a:sysClr val="window" lastClr="FFFFFF"/>
        </a:solidFill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4.1766629757219273E-2"/>
          <c:y val="3.7211065159108811E-2"/>
          <c:w val="0.91565524524278263"/>
          <c:h val="0.90775548519068572"/>
        </c:manualLayout>
      </c:layout>
      <c:scatterChart>
        <c:scatterStyle val="smoothMarker"/>
        <c:varyColors val="0"/>
        <c:ser>
          <c:idx val="0"/>
          <c:order val="0"/>
          <c:spPr>
            <a:ln w="127000" cap="rnd">
              <a:solidFill>
                <a:srgbClr val="00B0F0">
                  <a:alpha val="67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tx1"/>
                </a:solidFill>
                <a:prstDash val="lgDash"/>
              </a:ln>
              <a:effectLst/>
            </c:spPr>
            <c:trendlineType val="linear"/>
            <c:forward val="5"/>
            <c:dispRSqr val="1"/>
            <c:dispEq val="1"/>
            <c:trendlineLbl>
              <c:layout>
                <c:manualLayout>
                  <c:x val="-0.34084500219819563"/>
                  <c:y val="0.3045913077591279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Arial" panose="020B0604020202020204" pitchFamily="34" charset="0"/>
                      <a:ea typeface="+mn-ea"/>
                      <a:cs typeface="Arial" panose="020B0604020202020204" pitchFamily="34" charset="0"/>
                    </a:defRPr>
                  </a:pPr>
                  <a:endParaRPr lang="ru-RU"/>
                </a:p>
              </c:txPr>
            </c:trendlineLbl>
          </c:trendline>
          <c:xVal>
            <c:numRef>
              <c:f>НАСТРОЙКА!$GX$134:$GX$155</c:f>
              <c:numCache>
                <c:formatCode>0.00</c:formatCode>
                <c:ptCount val="22"/>
                <c:pt idx="0">
                  <c:v>1</c:v>
                </c:pt>
                <c:pt idx="1">
                  <c:v>1.218</c:v>
                </c:pt>
                <c:pt idx="2">
                  <c:v>1.3519800000000002</c:v>
                </c:pt>
                <c:pt idx="3">
                  <c:v>2.4930511200000005</c:v>
                </c:pt>
                <c:pt idx="4">
                  <c:v>3.4030147788000007</c:v>
                </c:pt>
                <c:pt idx="5">
                  <c:v>4.0904237641176007</c:v>
                </c:pt>
                <c:pt idx="6">
                  <c:v>4.8512425842434741</c:v>
                </c:pt>
                <c:pt idx="7">
                  <c:v>5.5837802144642392</c:v>
                </c:pt>
                <c:pt idx="8">
                  <c:v>6.2538338401999489</c:v>
                </c:pt>
                <c:pt idx="9">
                  <c:v>6.9855323995033425</c:v>
                </c:pt>
                <c:pt idx="10">
                  <c:v>7.7469554310492068</c:v>
                </c:pt>
                <c:pt idx="11">
                  <c:v>8.4441814198436358</c:v>
                </c:pt>
                <c:pt idx="12">
                  <c:v>9.4465057543790749</c:v>
                </c:pt>
                <c:pt idx="13">
                  <c:v>10.701001718560617</c:v>
                </c:pt>
                <c:pt idx="14">
                  <c:v>11.642689869793951</c:v>
                </c:pt>
                <c:pt idx="15">
                  <c:v>12.664918040361862</c:v>
                </c:pt>
                <c:pt idx="16">
                  <c:v>13.437478040823935</c:v>
                </c:pt>
                <c:pt idx="17">
                  <c:v>14.321664095910151</c:v>
                </c:pt>
                <c:pt idx="18">
                  <c:v>15.245411430096356</c:v>
                </c:pt>
                <c:pt idx="19">
                  <c:v>17.318787384589459</c:v>
                </c:pt>
                <c:pt idx="20">
                  <c:v>19.552910957201501</c:v>
                </c:pt>
                <c:pt idx="21">
                  <c:v>20.608768148890384</c:v>
                </c:pt>
              </c:numCache>
            </c:numRef>
          </c:xVal>
          <c:yVal>
            <c:numRef>
              <c:f>НАСТРОЙКА!$GZ$134:$GZ$155</c:f>
              <c:numCache>
                <c:formatCode>0.00</c:formatCode>
                <c:ptCount val="22"/>
                <c:pt idx="0">
                  <c:v>1</c:v>
                </c:pt>
                <c:pt idx="1">
                  <c:v>1.4723042021668387</c:v>
                </c:pt>
                <c:pt idx="2">
                  <c:v>1.718558670886825</c:v>
                </c:pt>
                <c:pt idx="3">
                  <c:v>2.1060897046594418</c:v>
                </c:pt>
                <c:pt idx="4">
                  <c:v>3.7278422973468679</c:v>
                </c:pt>
                <c:pt idx="5">
                  <c:v>4.5918326760987345</c:v>
                </c:pt>
                <c:pt idx="6">
                  <c:v>5.5611795404054956</c:v>
                </c:pt>
                <c:pt idx="7">
                  <c:v>6.4682386989177063</c:v>
                </c:pt>
                <c:pt idx="8">
                  <c:v>7.2584827706254744</c:v>
                </c:pt>
                <c:pt idx="9">
                  <c:v>8.3282279936178867</c:v>
                </c:pt>
                <c:pt idx="10">
                  <c:v>9.3704714639566831</c:v>
                </c:pt>
                <c:pt idx="11">
                  <c:v>10.171880121895711</c:v>
                </c:pt>
                <c:pt idx="12">
                  <c:v>10.996054426330467</c:v>
                </c:pt>
                <c:pt idx="13">
                  <c:v>12.382630991276981</c:v>
                </c:pt>
                <c:pt idx="14">
                  <c:v>13.714036448863869</c:v>
                </c:pt>
                <c:pt idx="15">
                  <c:v>14.629133800462956</c:v>
                </c:pt>
                <c:pt idx="16">
                  <c:v>17.36421630879255</c:v>
                </c:pt>
                <c:pt idx="17">
                  <c:v>18.540125110660799</c:v>
                </c:pt>
                <c:pt idx="18">
                  <c:v>19.653563919076568</c:v>
                </c:pt>
                <c:pt idx="19">
                  <c:v>21.016276952701091</c:v>
                </c:pt>
                <c:pt idx="20">
                  <c:v>23.908625308988828</c:v>
                </c:pt>
                <c:pt idx="21">
                  <c:v>25.541020349632802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D326-42AB-80F3-72AEE16606ED}"/>
            </c:ext>
          </c:extLst>
        </c:ser>
        <c:ser>
          <c:idx val="1"/>
          <c:order val="1"/>
          <c:spPr>
            <a:ln w="142875" cap="rnd">
              <a:solidFill>
                <a:srgbClr val="FFC000">
                  <a:alpha val="8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tx1"/>
                </a:solidFill>
                <a:prstDash val="lgDash"/>
              </a:ln>
              <a:effectLst/>
            </c:spPr>
            <c:trendlineType val="linear"/>
            <c:forward val="5"/>
            <c:dispRSqr val="1"/>
            <c:dispEq val="1"/>
            <c:trendlineLbl>
              <c:layout>
                <c:manualLayout>
                  <c:x val="8.9793474912927773E-2"/>
                  <c:y val="0.2165963329316976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Arial" panose="020B0604020202020204" pitchFamily="34" charset="0"/>
                      <a:ea typeface="+mn-ea"/>
                      <a:cs typeface="Arial" panose="020B0604020202020204" pitchFamily="34" charset="0"/>
                    </a:defRPr>
                  </a:pPr>
                  <a:endParaRPr lang="ru-RU"/>
                </a:p>
              </c:txPr>
            </c:trendlineLbl>
          </c:trendline>
          <c:xVal>
            <c:numRef>
              <c:f>НАСТРОЙКА!$GX$134:$GX$155</c:f>
              <c:numCache>
                <c:formatCode>0.00</c:formatCode>
                <c:ptCount val="22"/>
                <c:pt idx="0">
                  <c:v>1</c:v>
                </c:pt>
                <c:pt idx="1">
                  <c:v>1.218</c:v>
                </c:pt>
                <c:pt idx="2">
                  <c:v>1.3519800000000002</c:v>
                </c:pt>
                <c:pt idx="3">
                  <c:v>2.4930511200000005</c:v>
                </c:pt>
                <c:pt idx="4">
                  <c:v>3.4030147788000007</c:v>
                </c:pt>
                <c:pt idx="5">
                  <c:v>4.0904237641176007</c:v>
                </c:pt>
                <c:pt idx="6">
                  <c:v>4.8512425842434741</c:v>
                </c:pt>
                <c:pt idx="7">
                  <c:v>5.5837802144642392</c:v>
                </c:pt>
                <c:pt idx="8">
                  <c:v>6.2538338401999489</c:v>
                </c:pt>
                <c:pt idx="9">
                  <c:v>6.9855323995033425</c:v>
                </c:pt>
                <c:pt idx="10">
                  <c:v>7.7469554310492068</c:v>
                </c:pt>
                <c:pt idx="11">
                  <c:v>8.4441814198436358</c:v>
                </c:pt>
                <c:pt idx="12">
                  <c:v>9.4465057543790749</c:v>
                </c:pt>
                <c:pt idx="13">
                  <c:v>10.701001718560617</c:v>
                </c:pt>
                <c:pt idx="14">
                  <c:v>11.642689869793951</c:v>
                </c:pt>
                <c:pt idx="15">
                  <c:v>12.664918040361862</c:v>
                </c:pt>
                <c:pt idx="16">
                  <c:v>13.437478040823935</c:v>
                </c:pt>
                <c:pt idx="17">
                  <c:v>14.321664095910151</c:v>
                </c:pt>
                <c:pt idx="18">
                  <c:v>15.245411430096356</c:v>
                </c:pt>
                <c:pt idx="19">
                  <c:v>17.318787384589459</c:v>
                </c:pt>
                <c:pt idx="20">
                  <c:v>19.552910957201501</c:v>
                </c:pt>
                <c:pt idx="21">
                  <c:v>20.608768148890384</c:v>
                </c:pt>
              </c:numCache>
            </c:numRef>
          </c:xVal>
          <c:yVal>
            <c:numRef>
              <c:f>НАСТРОЙКА!$HB$134:$HB$155</c:f>
              <c:numCache>
                <c:formatCode>0.00</c:formatCode>
                <c:ptCount val="22"/>
                <c:pt idx="0">
                  <c:v>1</c:v>
                </c:pt>
                <c:pt idx="1">
                  <c:v>1.4997486735151189</c:v>
                </c:pt>
                <c:pt idx="2">
                  <c:v>1.9526312539350381</c:v>
                </c:pt>
                <c:pt idx="3">
                  <c:v>2.0059060303554479</c:v>
                </c:pt>
                <c:pt idx="4">
                  <c:v>2.3429902839701637</c:v>
                </c:pt>
                <c:pt idx="5">
                  <c:v>3.2406114791110681</c:v>
                </c:pt>
                <c:pt idx="6">
                  <c:v>3.97066356566005</c:v>
                </c:pt>
                <c:pt idx="7">
                  <c:v>5.2843734476785453</c:v>
                </c:pt>
                <c:pt idx="8">
                  <c:v>6.1715081316356093</c:v>
                </c:pt>
                <c:pt idx="9">
                  <c:v>6.7016025302099056</c:v>
                </c:pt>
                <c:pt idx="10">
                  <c:v>7.6444391008680617</c:v>
                </c:pt>
                <c:pt idx="11">
                  <c:v>8.6255823418854529</c:v>
                </c:pt>
                <c:pt idx="12">
                  <c:v>10.098705571453516</c:v>
                </c:pt>
                <c:pt idx="13">
                  <c:v>11.941266045828566</c:v>
                </c:pt>
                <c:pt idx="14">
                  <c:v>12.996640727607122</c:v>
                </c:pt>
                <c:pt idx="15">
                  <c:v>13.587422805401822</c:v>
                </c:pt>
                <c:pt idx="16">
                  <c:v>14.262597604124318</c:v>
                </c:pt>
                <c:pt idx="17">
                  <c:v>15.820545673088896</c:v>
                </c:pt>
                <c:pt idx="18">
                  <c:v>16.643637181160418</c:v>
                </c:pt>
                <c:pt idx="19">
                  <c:v>18.778754615584578</c:v>
                </c:pt>
                <c:pt idx="20">
                  <c:v>20.932137525435952</c:v>
                </c:pt>
                <c:pt idx="21">
                  <c:v>22.713794876355891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D326-42AB-80F3-72AEE16606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6974080"/>
        <c:axId val="156975872"/>
      </c:scatterChart>
      <c:valAx>
        <c:axId val="156974080"/>
        <c:scaling>
          <c:orientation val="minMax"/>
          <c:max val="30"/>
          <c:min val="-5"/>
        </c:scaling>
        <c:delete val="0"/>
        <c:axPos val="b"/>
        <c:numFmt formatCode="0" sourceLinked="0"/>
        <c:majorTickMark val="in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ru-RU"/>
          </a:p>
        </c:txPr>
        <c:crossAx val="156975872"/>
        <c:crosses val="autoZero"/>
        <c:crossBetween val="midCat"/>
        <c:majorUnit val="5"/>
      </c:valAx>
      <c:valAx>
        <c:axId val="156975872"/>
        <c:scaling>
          <c:orientation val="minMax"/>
          <c:max val="4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ru-RU"/>
          </a:p>
        </c:txPr>
        <c:crossAx val="156974080"/>
        <c:crosses val="autoZero"/>
        <c:crossBetween val="midCat"/>
        <c:majorUnit val="10"/>
      </c:valAx>
      <c:spPr>
        <a:solidFill>
          <a:sysClr val="window" lastClr="FFFFFF"/>
        </a:solidFill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8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00000000000091" l="0.70000000000000062" r="0.70000000000000062" t="0.7500000000000091" header="0.30000000000000032" footer="0.30000000000000032"/>
    <c:pageSetup orientation="landscape"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1706922670132223E-2"/>
          <c:y val="1.6507202271060405E-2"/>
          <c:w val="0.91568652239397164"/>
          <c:h val="0.93688772025093958"/>
        </c:manualLayout>
      </c:layout>
      <c:scatterChart>
        <c:scatterStyle val="smoothMarker"/>
        <c:varyColors val="0"/>
        <c:ser>
          <c:idx val="0"/>
          <c:order val="0"/>
          <c:spPr>
            <a:ln>
              <a:solidFill>
                <a:srgbClr val="00B0F0"/>
              </a:solidFill>
              <a:prstDash val="lgDash"/>
            </a:ln>
          </c:spPr>
          <c:xVal>
            <c:numRef>
              <c:f>НАСТРОЙКА!$HQ$94:$HQ$129</c:f>
              <c:numCache>
                <c:formatCode>0</c:formatCode>
                <c:ptCount val="36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</c:numCache>
            </c:numRef>
          </c:xVal>
          <c:yVal>
            <c:numRef>
              <c:f>НАСТРОЙКА!$HU$94:$HU$129</c:f>
              <c:numCache>
                <c:formatCode>0.00</c:formatCode>
                <c:ptCount val="36"/>
                <c:pt idx="0">
                  <c:v>1</c:v>
                </c:pt>
                <c:pt idx="1">
                  <c:v>1.3191577216179184</c:v>
                </c:pt>
                <c:pt idx="2">
                  <c:v>1.465619370714605</c:v>
                </c:pt>
                <c:pt idx="3">
                  <c:v>0.85716727254299341</c:v>
                </c:pt>
                <c:pt idx="4">
                  <c:v>0.8905613871995075</c:v>
                </c:pt>
                <c:pt idx="5">
                  <c:v>1.0910735084339893</c:v>
                </c:pt>
                <c:pt idx="6">
                  <c:v>1.2043645968535897</c:v>
                </c:pt>
                <c:pt idx="7">
                  <c:v>1.3454454046567674</c:v>
                </c:pt>
                <c:pt idx="8">
                  <c:v>1.4850279596592788</c:v>
                </c:pt>
                <c:pt idx="9">
                  <c:v>1.6493886216432383</c:v>
                </c:pt>
                <c:pt idx="10">
                  <c:v>1.7629074929087367</c:v>
                </c:pt>
                <c:pt idx="11">
                  <c:v>2.0289294415498413</c:v>
                </c:pt>
                <c:pt idx="12">
                  <c:v>2.2961879581752398</c:v>
                </c:pt>
                <c:pt idx="13">
                  <c:v>2.5452330528232636</c:v>
                </c:pt>
                <c:pt idx="14">
                  <c:v>2.4972789335593348</c:v>
                </c:pt>
                <c:pt idx="15">
                  <c:v>2.5669743863224377</c:v>
                </c:pt>
                <c:pt idx="16">
                  <c:v>2.7400070660747096</c:v>
                </c:pt>
                <c:pt idx="17">
                  <c:v>2.9136140751903352</c:v>
                </c:pt>
                <c:pt idx="18">
                  <c:v>3.0676926627762775</c:v>
                </c:pt>
                <c:pt idx="19">
                  <c:v>3.0404294602847233</c:v>
                </c:pt>
                <c:pt idx="20">
                  <c:v>2.7139935535586104</c:v>
                </c:pt>
                <c:pt idx="21">
                  <c:v>2.7539998517348616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705-4348-A2DA-BBC1D9E7CF82}"/>
            </c:ext>
          </c:extLst>
        </c:ser>
        <c:ser>
          <c:idx val="1"/>
          <c:order val="1"/>
          <c:spPr>
            <a:ln w="152400">
              <a:solidFill>
                <a:srgbClr val="00B0F0">
                  <a:alpha val="47000"/>
                </a:srgbClr>
              </a:solidFill>
            </a:ln>
          </c:spPr>
          <c:marker>
            <c:symbol val="none"/>
          </c:marker>
          <c:xVal>
            <c:numRef>
              <c:f>НАСТРОЙКА!$HQ$97:$HQ$129</c:f>
              <c:numCache>
                <c:formatCode>0</c:formatCode>
                <c:ptCount val="33"/>
                <c:pt idx="0">
                  <c:v>1998</c:v>
                </c:pt>
                <c:pt idx="1">
                  <c:v>1999</c:v>
                </c:pt>
                <c:pt idx="2">
                  <c:v>2000</c:v>
                </c:pt>
                <c:pt idx="3">
                  <c:v>2001</c:v>
                </c:pt>
                <c:pt idx="4">
                  <c:v>2002</c:v>
                </c:pt>
                <c:pt idx="5">
                  <c:v>2003</c:v>
                </c:pt>
                <c:pt idx="6">
                  <c:v>2004</c:v>
                </c:pt>
                <c:pt idx="7">
                  <c:v>2005</c:v>
                </c:pt>
                <c:pt idx="8">
                  <c:v>2006</c:v>
                </c:pt>
                <c:pt idx="9">
                  <c:v>2007</c:v>
                </c:pt>
                <c:pt idx="10">
                  <c:v>2008</c:v>
                </c:pt>
                <c:pt idx="11">
                  <c:v>2009</c:v>
                </c:pt>
                <c:pt idx="12">
                  <c:v>2010</c:v>
                </c:pt>
                <c:pt idx="13">
                  <c:v>2011</c:v>
                </c:pt>
                <c:pt idx="14">
                  <c:v>2012</c:v>
                </c:pt>
                <c:pt idx="15">
                  <c:v>2013</c:v>
                </c:pt>
                <c:pt idx="16">
                  <c:v>2014</c:v>
                </c:pt>
                <c:pt idx="17">
                  <c:v>2015</c:v>
                </c:pt>
                <c:pt idx="18">
                  <c:v>2016</c:v>
                </c:pt>
                <c:pt idx="19">
                  <c:v>2017</c:v>
                </c:pt>
                <c:pt idx="20">
                  <c:v>2018</c:v>
                </c:pt>
                <c:pt idx="21">
                  <c:v>2019</c:v>
                </c:pt>
                <c:pt idx="22">
                  <c:v>2020</c:v>
                </c:pt>
                <c:pt idx="23">
                  <c:v>2021</c:v>
                </c:pt>
                <c:pt idx="24">
                  <c:v>2022</c:v>
                </c:pt>
                <c:pt idx="25">
                  <c:v>2023</c:v>
                </c:pt>
                <c:pt idx="26">
                  <c:v>2024</c:v>
                </c:pt>
                <c:pt idx="27">
                  <c:v>2025</c:v>
                </c:pt>
                <c:pt idx="28">
                  <c:v>2026</c:v>
                </c:pt>
                <c:pt idx="29">
                  <c:v>2027</c:v>
                </c:pt>
                <c:pt idx="30">
                  <c:v>2028</c:v>
                </c:pt>
                <c:pt idx="31">
                  <c:v>2029</c:v>
                </c:pt>
                <c:pt idx="32">
                  <c:v>2030</c:v>
                </c:pt>
              </c:numCache>
            </c:numRef>
          </c:xVal>
          <c:yVal>
            <c:numRef>
              <c:f>НАСТРОЙКА!$HU$97:$HU$115</c:f>
              <c:numCache>
                <c:formatCode>0.00</c:formatCode>
                <c:ptCount val="19"/>
                <c:pt idx="0">
                  <c:v>0.85716727254299341</c:v>
                </c:pt>
                <c:pt idx="1">
                  <c:v>0.8905613871995075</c:v>
                </c:pt>
                <c:pt idx="2">
                  <c:v>1.0910735084339893</c:v>
                </c:pt>
                <c:pt idx="3">
                  <c:v>1.2043645968535897</c:v>
                </c:pt>
                <c:pt idx="4">
                  <c:v>1.3454454046567674</c:v>
                </c:pt>
                <c:pt idx="5">
                  <c:v>1.4850279596592788</c:v>
                </c:pt>
                <c:pt idx="6">
                  <c:v>1.6493886216432383</c:v>
                </c:pt>
                <c:pt idx="7">
                  <c:v>1.7629074929087367</c:v>
                </c:pt>
                <c:pt idx="8">
                  <c:v>2.0289294415498413</c:v>
                </c:pt>
                <c:pt idx="9">
                  <c:v>2.2961879581752398</c:v>
                </c:pt>
                <c:pt idx="10">
                  <c:v>2.5452330528232636</c:v>
                </c:pt>
                <c:pt idx="11">
                  <c:v>2.4972789335593348</c:v>
                </c:pt>
                <c:pt idx="12">
                  <c:v>2.5669743863224377</c:v>
                </c:pt>
                <c:pt idx="13">
                  <c:v>2.7400070660747096</c:v>
                </c:pt>
                <c:pt idx="14">
                  <c:v>2.9136140751903352</c:v>
                </c:pt>
                <c:pt idx="15">
                  <c:v>3.0676926627762775</c:v>
                </c:pt>
                <c:pt idx="16">
                  <c:v>3.0404294602847233</c:v>
                </c:pt>
                <c:pt idx="17">
                  <c:v>2.7139935535586104</c:v>
                </c:pt>
                <c:pt idx="18">
                  <c:v>2.7539998517348616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705-4348-A2DA-BBC1D9E7CF82}"/>
            </c:ext>
          </c:extLst>
        </c:ser>
        <c:ser>
          <c:idx val="2"/>
          <c:order val="2"/>
          <c:spPr>
            <a:ln w="38100">
              <a:solidFill>
                <a:srgbClr val="00B0F0"/>
              </a:solidFill>
              <a:prstDash val="lgDash"/>
            </a:ln>
          </c:spPr>
          <c:marker>
            <c:symbol val="none"/>
          </c:marker>
          <c:xVal>
            <c:numRef>
              <c:f>НАСТРОЙКА!$HQ$114:$HQ$129</c:f>
              <c:numCache>
                <c:formatCode>0</c:formatCode>
                <c:ptCount val="16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  <c:pt idx="8">
                  <c:v>2023</c:v>
                </c:pt>
                <c:pt idx="9">
                  <c:v>2024</c:v>
                </c:pt>
                <c:pt idx="10">
                  <c:v>2025</c:v>
                </c:pt>
                <c:pt idx="11">
                  <c:v>2026</c:v>
                </c:pt>
                <c:pt idx="12">
                  <c:v>2027</c:v>
                </c:pt>
                <c:pt idx="13">
                  <c:v>2028</c:v>
                </c:pt>
                <c:pt idx="14">
                  <c:v>2029</c:v>
                </c:pt>
                <c:pt idx="15">
                  <c:v>2030</c:v>
                </c:pt>
              </c:numCache>
            </c:numRef>
          </c:xVal>
          <c:yVal>
            <c:numRef>
              <c:f>НАСТРОЙКА!$HV$114:$HV$129</c:f>
              <c:numCache>
                <c:formatCode>0.00</c:formatCode>
                <c:ptCount val="16"/>
                <c:pt idx="0">
                  <c:v>2.7139935535586104</c:v>
                </c:pt>
                <c:pt idx="1">
                  <c:v>2.7539998517348616</c:v>
                </c:pt>
                <c:pt idx="2">
                  <c:v>2.7900055200934877</c:v>
                </c:pt>
                <c:pt idx="3">
                  <c:v>2.8188100547803887</c:v>
                </c:pt>
                <c:pt idx="4">
                  <c:v>2.8389732290612195</c:v>
                </c:pt>
                <c:pt idx="5">
                  <c:v>2.8530874510578013</c:v>
                </c:pt>
                <c:pt idx="6">
                  <c:v>2.8629674064554083</c:v>
                </c:pt>
                <c:pt idx="7">
                  <c:v>2.8698833752337332</c:v>
                </c:pt>
                <c:pt idx="8">
                  <c:v>2.8747245533785604</c:v>
                </c:pt>
                <c:pt idx="9">
                  <c:v>2.8781133780799393</c:v>
                </c:pt>
                <c:pt idx="10">
                  <c:v>2.8804855553709046</c:v>
                </c:pt>
                <c:pt idx="11">
                  <c:v>2.8821460794745803</c:v>
                </c:pt>
                <c:pt idx="12">
                  <c:v>2.8833084463471534</c:v>
                </c:pt>
                <c:pt idx="13">
                  <c:v>2.8841221031579547</c:v>
                </c:pt>
                <c:pt idx="14">
                  <c:v>2.8846916629255155</c:v>
                </c:pt>
                <c:pt idx="15">
                  <c:v>2.885090354762808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705-4348-A2DA-BBC1D9E7CF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003776"/>
        <c:axId val="157005312"/>
      </c:scatterChart>
      <c:valAx>
        <c:axId val="157003776"/>
        <c:scaling>
          <c:orientation val="minMax"/>
          <c:max val="2030"/>
          <c:min val="1995"/>
        </c:scaling>
        <c:delete val="0"/>
        <c:axPos val="b"/>
        <c:numFmt formatCode="#,##0" sourceLinked="0"/>
        <c:majorTickMark val="out"/>
        <c:minorTickMark val="none"/>
        <c:tickLblPos val="nextTo"/>
        <c:txPr>
          <a:bodyPr rot="-2700000" vert="horz"/>
          <a:lstStyle/>
          <a:p>
            <a:pPr>
              <a:defRPr sz="18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57005312"/>
        <c:crosses val="autoZero"/>
        <c:crossBetween val="midCat"/>
        <c:majorUnit val="5"/>
      </c:valAx>
      <c:valAx>
        <c:axId val="157005312"/>
        <c:scaling>
          <c:orientation val="minMax"/>
          <c:max val="4"/>
          <c:min val="0"/>
        </c:scaling>
        <c:delete val="0"/>
        <c:axPos val="l"/>
        <c:majorGridlines/>
        <c:numFmt formatCode="0.0" sourceLinked="0"/>
        <c:majorTickMark val="out"/>
        <c:minorTickMark val="none"/>
        <c:tickLblPos val="nextTo"/>
        <c:txPr>
          <a:bodyPr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57003776"/>
        <c:crosses val="autoZero"/>
        <c:crossBetween val="midCat"/>
        <c:majorUnit val="1"/>
      </c:valAx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800" baseline="0">
                <a:latin typeface="Arial" panose="020B0604020202020204" pitchFamily="34" charset="0"/>
                <a:cs typeface="Arial" panose="020B0604020202020204" pitchFamily="34" charset="0"/>
              </a:rPr>
              <a:t> </a:t>
            </a:r>
            <a:r>
              <a:rPr lang="ru-RU" sz="2800" baseline="0">
                <a:latin typeface="Arial" panose="020B0604020202020204" pitchFamily="34" charset="0"/>
                <a:cs typeface="Arial" panose="020B0604020202020204" pitchFamily="34" charset="0"/>
              </a:rPr>
              <a:t>Регрессия базисного дефлятора Валового Накопления от базисного индекса потребительских цен</a:t>
            </a:r>
            <a:endParaRPr lang="ru-RU" sz="2800"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layout>
        <c:manualLayout>
          <c:xMode val="edge"/>
          <c:yMode val="edge"/>
          <c:x val="0.12713983668708076"/>
          <c:y val="7.6643222088342164E-2"/>
        </c:manualLayout>
      </c:layout>
      <c:overlay val="0"/>
      <c:spPr>
        <a:solidFill>
          <a:sysClr val="window" lastClr="FFFFFF"/>
        </a:solidFill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4.1766629757219273E-2"/>
          <c:y val="3.7211065159108811E-2"/>
          <c:w val="0.91565524524278263"/>
          <c:h val="0.90775548519068572"/>
        </c:manualLayout>
      </c:layout>
      <c:scatterChart>
        <c:scatterStyle val="smoothMarker"/>
        <c:varyColors val="0"/>
        <c:ser>
          <c:idx val="0"/>
          <c:order val="0"/>
          <c:spPr>
            <a:ln w="127000" cap="rnd">
              <a:solidFill>
                <a:srgbClr val="00B0F0">
                  <a:alpha val="67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tx1"/>
                </a:solidFill>
                <a:prstDash val="lgDash"/>
              </a:ln>
              <a:effectLst/>
            </c:spPr>
            <c:trendlineType val="linear"/>
            <c:forward val="5"/>
            <c:dispRSqr val="1"/>
            <c:dispEq val="1"/>
            <c:trendlineLbl>
              <c:layout>
                <c:manualLayout>
                  <c:x val="3.4386938062175292E-2"/>
                  <c:y val="0.3547888077324757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Arial" panose="020B0604020202020204" pitchFamily="34" charset="0"/>
                      <a:ea typeface="+mn-ea"/>
                      <a:cs typeface="Arial" panose="020B0604020202020204" pitchFamily="34" charset="0"/>
                    </a:defRPr>
                  </a:pPr>
                  <a:endParaRPr lang="ru-RU"/>
                </a:p>
              </c:txPr>
            </c:trendlineLbl>
          </c:trendline>
          <c:xVal>
            <c:numRef>
              <c:f>НАСТРОЙКА!$HX$134:$HX$155</c:f>
              <c:numCache>
                <c:formatCode>0.00</c:formatCode>
                <c:ptCount val="22"/>
                <c:pt idx="0">
                  <c:v>1</c:v>
                </c:pt>
                <c:pt idx="1">
                  <c:v>1.218</c:v>
                </c:pt>
                <c:pt idx="2">
                  <c:v>1.3519800000000002</c:v>
                </c:pt>
                <c:pt idx="3">
                  <c:v>2.4930511200000005</c:v>
                </c:pt>
                <c:pt idx="4">
                  <c:v>3.4030147788000007</c:v>
                </c:pt>
                <c:pt idx="5">
                  <c:v>4.0904237641176007</c:v>
                </c:pt>
                <c:pt idx="6">
                  <c:v>4.8512425842434741</c:v>
                </c:pt>
                <c:pt idx="7">
                  <c:v>5.5837802144642392</c:v>
                </c:pt>
                <c:pt idx="8">
                  <c:v>6.2538338401999489</c:v>
                </c:pt>
                <c:pt idx="9">
                  <c:v>6.9855323995033425</c:v>
                </c:pt>
                <c:pt idx="10">
                  <c:v>7.7469554310492068</c:v>
                </c:pt>
                <c:pt idx="11">
                  <c:v>8.4441814198436358</c:v>
                </c:pt>
                <c:pt idx="12">
                  <c:v>9.4465057543790749</c:v>
                </c:pt>
                <c:pt idx="13">
                  <c:v>10.701001718560617</c:v>
                </c:pt>
                <c:pt idx="14">
                  <c:v>11.642689869793951</c:v>
                </c:pt>
                <c:pt idx="15">
                  <c:v>12.664918040361862</c:v>
                </c:pt>
                <c:pt idx="16">
                  <c:v>13.437478040823935</c:v>
                </c:pt>
                <c:pt idx="17">
                  <c:v>14.321664095910151</c:v>
                </c:pt>
                <c:pt idx="18">
                  <c:v>15.245411430096356</c:v>
                </c:pt>
                <c:pt idx="19">
                  <c:v>17.318787384589459</c:v>
                </c:pt>
                <c:pt idx="20">
                  <c:v>19.552910957201501</c:v>
                </c:pt>
                <c:pt idx="21">
                  <c:v>20.606812857794662</c:v>
                </c:pt>
              </c:numCache>
            </c:numRef>
          </c:xVal>
          <c:yVal>
            <c:numRef>
              <c:f>НАСТРОЙКА!$HY$134:$HY$155</c:f>
              <c:numCache>
                <c:formatCode>0.00</c:formatCode>
                <c:ptCount val="22"/>
                <c:pt idx="0">
                  <c:v>1</c:v>
                </c:pt>
                <c:pt idx="1">
                  <c:v>1.5208627234830072</c:v>
                </c:pt>
                <c:pt idx="2">
                  <c:v>1.7178414165358655</c:v>
                </c:pt>
                <c:pt idx="3">
                  <c:v>2.3960063610370872</c:v>
                </c:pt>
                <c:pt idx="4">
                  <c:v>4.6635438415007853</c:v>
                </c:pt>
                <c:pt idx="5">
                  <c:v>5.0821555739588433</c:v>
                </c:pt>
                <c:pt idx="6">
                  <c:v>6.2597323676099617</c:v>
                </c:pt>
                <c:pt idx="7">
                  <c:v>7.0728069310904971</c:v>
                </c:pt>
                <c:pt idx="8">
                  <c:v>7.8586429903564081</c:v>
                </c:pt>
                <c:pt idx="9">
                  <c:v>9.0480534412004499</c:v>
                </c:pt>
                <c:pt idx="10">
                  <c:v>10.070168753275144</c:v>
                </c:pt>
                <c:pt idx="11">
                  <c:v>11.237649593940652</c:v>
                </c:pt>
                <c:pt idx="12">
                  <c:v>12.985985567555964</c:v>
                </c:pt>
                <c:pt idx="13">
                  <c:v>15.397267606350976</c:v>
                </c:pt>
                <c:pt idx="14">
                  <c:v>18.209619166526906</c:v>
                </c:pt>
                <c:pt idx="15">
                  <c:v>20.205803391972641</c:v>
                </c:pt>
                <c:pt idx="16">
                  <c:v>23.496938857350884</c:v>
                </c:pt>
                <c:pt idx="17">
                  <c:v>25.552634846384674</c:v>
                </c:pt>
                <c:pt idx="18">
                  <c:v>27.368855432385324</c:v>
                </c:pt>
                <c:pt idx="19">
                  <c:v>30.814371333057377</c:v>
                </c:pt>
                <c:pt idx="20">
                  <c:v>36.34296976353653</c:v>
                </c:pt>
                <c:pt idx="21">
                  <c:v>40.026077735793137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BC9-4C9D-AF5C-3DE8D64E23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083520"/>
        <c:axId val="157085056"/>
      </c:scatterChart>
      <c:valAx>
        <c:axId val="157083520"/>
        <c:scaling>
          <c:orientation val="minMax"/>
          <c:max val="30"/>
          <c:min val="-5"/>
        </c:scaling>
        <c:delete val="0"/>
        <c:axPos val="b"/>
        <c:numFmt formatCode="0" sourceLinked="0"/>
        <c:majorTickMark val="in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ru-RU"/>
          </a:p>
        </c:txPr>
        <c:crossAx val="157085056"/>
        <c:crosses val="autoZero"/>
        <c:crossBetween val="midCat"/>
        <c:majorUnit val="5"/>
      </c:valAx>
      <c:valAx>
        <c:axId val="157085056"/>
        <c:scaling>
          <c:orientation val="minMax"/>
          <c:max val="5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ru-RU"/>
          </a:p>
        </c:txPr>
        <c:crossAx val="157083520"/>
        <c:crosses val="autoZero"/>
        <c:crossBetween val="midCat"/>
        <c:majorUnit val="10"/>
      </c:valAx>
      <c:spPr>
        <a:solidFill>
          <a:sysClr val="window" lastClr="FFFFFF"/>
        </a:solidFill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8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00000000000091" l="0.70000000000000062" r="0.70000000000000062" t="0.7500000000000091" header="0.30000000000000032" footer="0.30000000000000032"/>
    <c:pageSetup orientation="landscape"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7381020807964084E-2"/>
          <c:y val="1.2750328927184159E-2"/>
          <c:w val="0.91208861123360063"/>
          <c:h val="0.92015474188778756"/>
        </c:manualLayout>
      </c:layout>
      <c:lineChart>
        <c:grouping val="standard"/>
        <c:varyColors val="0"/>
        <c:ser>
          <c:idx val="0"/>
          <c:order val="0"/>
          <c:spPr>
            <a:ln w="66675">
              <a:solidFill>
                <a:srgbClr val="00B0F0"/>
              </a:solidFill>
            </a:ln>
          </c:spPr>
          <c:marker>
            <c:symbol val="none"/>
          </c:marker>
          <c:cat>
            <c:numRef>
              <c:f>НАСТРОЙКА!$BD$43:$BD$68</c:f>
              <c:numCache>
                <c:formatCode>General</c:formatCode>
                <c:ptCount val="26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</c:numCache>
            </c:numRef>
          </c:cat>
          <c:val>
            <c:numRef>
              <c:f>НАСТРОЙКА!$BE$43:$BE$68</c:f>
              <c:numCache>
                <c:formatCode>0.000</c:formatCode>
                <c:ptCount val="26"/>
                <c:pt idx="0">
                  <c:v>1</c:v>
                </c:pt>
                <c:pt idx="1">
                  <c:v>1.0369999999999999</c:v>
                </c:pt>
                <c:pt idx="2">
                  <c:v>1.0318149999999999</c:v>
                </c:pt>
                <c:pt idx="3">
                  <c:v>1.0514194849999998</c:v>
                </c:pt>
                <c:pt idx="4">
                  <c:v>1.1691784673199999</c:v>
                </c:pt>
                <c:pt idx="5">
                  <c:v>1.2802504217153998</c:v>
                </c:pt>
                <c:pt idx="6">
                  <c:v>1.3340209394274467</c:v>
                </c:pt>
                <c:pt idx="7">
                  <c:v>1.4714250961884736</c:v>
                </c:pt>
                <c:pt idx="8">
                  <c:v>1.6568246583082211</c:v>
                </c:pt>
                <c:pt idx="9">
                  <c:v>1.8523299679885914</c:v>
                </c:pt>
                <c:pt idx="10">
                  <c:v>1.9727314159078497</c:v>
                </c:pt>
                <c:pt idx="11">
                  <c:v>2.1167408092691224</c:v>
                </c:pt>
                <c:pt idx="12">
                  <c:v>2.2500954802530773</c:v>
                </c:pt>
                <c:pt idx="13">
                  <c:v>2.2635960531345956</c:v>
                </c:pt>
                <c:pt idx="14">
                  <c:v>2.1572070386372695</c:v>
                </c:pt>
                <c:pt idx="15">
                  <c:v>2.3082115313418785</c:v>
                </c:pt>
                <c:pt idx="16">
                  <c:v>2.315136165935904</c:v>
                </c:pt>
                <c:pt idx="17">
                  <c:v>2.3475480722590065</c:v>
                </c:pt>
                <c:pt idx="18">
                  <c:v>2.4555352835829209</c:v>
                </c:pt>
                <c:pt idx="19">
                  <c:v>2.4678129600008352</c:v>
                </c:pt>
                <c:pt idx="20">
                  <c:v>2.559122039520866</c:v>
                </c:pt>
                <c:pt idx="21">
                  <c:v>2.6410139447855339</c:v>
                </c:pt>
                <c:pt idx="22" formatCode="General">
                  <c:v>2.7730646420248108</c:v>
                </c:pt>
                <c:pt idx="23" formatCode="General">
                  <c:v>2.9255831973361754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6272-41B9-B701-338C625482C3}"/>
            </c:ext>
          </c:extLst>
        </c:ser>
        <c:ser>
          <c:idx val="1"/>
          <c:order val="1"/>
          <c:spPr>
            <a:ln w="79375"/>
          </c:spPr>
          <c:marker>
            <c:symbol val="none"/>
          </c:marker>
          <c:cat>
            <c:numRef>
              <c:f>НАСТРОЙКА!$BD$43:$BD$68</c:f>
              <c:numCache>
                <c:formatCode>General</c:formatCode>
                <c:ptCount val="26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</c:numCache>
            </c:numRef>
          </c:cat>
          <c:val>
            <c:numRef>
              <c:f>НАСТРОЙКА!$BF$43:$BF$68</c:f>
              <c:numCache>
                <c:formatCode>0.000</c:formatCode>
                <c:ptCount val="26"/>
                <c:pt idx="0">
                  <c:v>1</c:v>
                </c:pt>
                <c:pt idx="1">
                  <c:v>1.0551214093635801</c:v>
                </c:pt>
                <c:pt idx="2">
                  <c:v>1.0637119701590636</c:v>
                </c:pt>
                <c:pt idx="3">
                  <c:v>0.88314145147840806</c:v>
                </c:pt>
                <c:pt idx="4">
                  <c:v>0.94351478283205603</c:v>
                </c:pt>
                <c:pt idx="5">
                  <c:v>1.2247462277047632</c:v>
                </c:pt>
                <c:pt idx="6">
                  <c:v>1.3476514205322294</c:v>
                </c:pt>
                <c:pt idx="7">
                  <c:v>1.4665054246210889</c:v>
                </c:pt>
                <c:pt idx="8">
                  <c:v>1.6632717318596482</c:v>
                </c:pt>
                <c:pt idx="9">
                  <c:v>1.8635052624946229</c:v>
                </c:pt>
                <c:pt idx="10">
                  <c:v>2.0184759057253379</c:v>
                </c:pt>
                <c:pt idx="11">
                  <c:v>2.2752108040676617</c:v>
                </c:pt>
                <c:pt idx="12">
                  <c:v>2.5742188048042465</c:v>
                </c:pt>
                <c:pt idx="13">
                  <c:v>2.7497145962121365</c:v>
                </c:pt>
                <c:pt idx="14">
                  <c:v>1.8560462102765105</c:v>
                </c:pt>
                <c:pt idx="15">
                  <c:v>2.3303852986711466</c:v>
                </c:pt>
                <c:pt idx="16">
                  <c:v>2.6832129238473335</c:v>
                </c:pt>
                <c:pt idx="17">
                  <c:v>2.7827499923033039</c:v>
                </c:pt>
                <c:pt idx="18">
                  <c:v>2.7806353412040012</c:v>
                </c:pt>
                <c:pt idx="19">
                  <c:v>2.5425873250540896</c:v>
                </c:pt>
                <c:pt idx="20">
                  <c:v>2.1845544171454656</c:v>
                </c:pt>
                <c:pt idx="21">
                  <c:v>2.1739784910614586</c:v>
                </c:pt>
                <c:pt idx="22">
                  <c:v>2.4593220931435207</c:v>
                </c:pt>
                <c:pt idx="23">
                  <c:v>2.5430287713640722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6272-41B9-B701-338C625482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6752512"/>
        <c:axId val="156754304"/>
      </c:lineChart>
      <c:catAx>
        <c:axId val="156752512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600" b="0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156754304"/>
        <c:crosses val="autoZero"/>
        <c:auto val="1"/>
        <c:lblAlgn val="ctr"/>
        <c:lblOffset val="0"/>
        <c:tickLblSkip val="2"/>
        <c:tickMarkSkip val="5"/>
        <c:noMultiLvlLbl val="0"/>
      </c:catAx>
      <c:valAx>
        <c:axId val="156754304"/>
        <c:scaling>
          <c:orientation val="minMax"/>
          <c:max val="3.7"/>
          <c:min val="0.8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156752512"/>
        <c:crosses val="autoZero"/>
        <c:crossBetween val="between"/>
        <c:majorUnit val="0.60000000000000064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chemeClr val="bg1">
        <a:lumMod val="85000"/>
      </a:schemeClr>
    </a:solidFill>
    <a:ln w="3175">
      <a:solidFill>
        <a:srgbClr val="000000"/>
      </a:solidFill>
      <a:prstDash val="solid"/>
    </a:ln>
  </c:spPr>
  <c:txPr>
    <a:bodyPr/>
    <a:lstStyle/>
    <a:p>
      <a:pPr>
        <a:defRPr sz="925" b="0" i="0" u="none" strike="noStrike" baseline="0">
          <a:solidFill>
            <a:srgbClr val="000000"/>
          </a:solidFill>
          <a:latin typeface="Arial Cyr"/>
          <a:ea typeface="Arial Cyr"/>
          <a:cs typeface="Arial Cyr"/>
        </a:defRPr>
      </a:pPr>
      <a:endParaRPr lang="ru-RU"/>
    </a:p>
  </c:txPr>
  <c:printSettings>
    <c:headerFooter alignWithMargins="0"/>
    <c:pageMargins b="1" l="0.75000000000001465" r="0.75000000000001465" t="1" header="0.5" footer="0.5"/>
    <c:pageSetup paperSize="9" orientation="landscape" horizontalDpi="200" verticalDpi="200"/>
  </c:printSettings>
  <c:userShapes r:id="rId1"/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7381020807964084E-2"/>
          <c:y val="1.2750328927184159E-2"/>
          <c:w val="0.91208861123360063"/>
          <c:h val="0.92015474188778756"/>
        </c:manualLayout>
      </c:layout>
      <c:lineChart>
        <c:grouping val="standard"/>
        <c:varyColors val="0"/>
        <c:ser>
          <c:idx val="0"/>
          <c:order val="0"/>
          <c:spPr>
            <a:ln w="63500"/>
          </c:spPr>
          <c:marker>
            <c:symbol val="none"/>
          </c:marker>
          <c:cat>
            <c:numRef>
              <c:f>НАСТРОЙКА!$BT$43:$BT$68</c:f>
              <c:numCache>
                <c:formatCode>General</c:formatCode>
                <c:ptCount val="26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</c:numCache>
            </c:numRef>
          </c:cat>
          <c:val>
            <c:numRef>
              <c:f>НАСТРОЙКА!$BU$43:$BU$68</c:f>
              <c:numCache>
                <c:formatCode>0.000</c:formatCode>
                <c:ptCount val="26"/>
                <c:pt idx="0">
                  <c:v>1</c:v>
                </c:pt>
                <c:pt idx="1">
                  <c:v>1.2062700474653716</c:v>
                </c:pt>
                <c:pt idx="2">
                  <c:v>1.3416177583578945</c:v>
                </c:pt>
                <c:pt idx="3">
                  <c:v>1.8660673788361899</c:v>
                </c:pt>
                <c:pt idx="4">
                  <c:v>4.2606518536034752</c:v>
                </c:pt>
                <c:pt idx="5">
                  <c:v>6.0082118596068304</c:v>
                </c:pt>
                <c:pt idx="6">
                  <c:v>5.9105900050191611</c:v>
                </c:pt>
                <c:pt idx="7">
                  <c:v>6.1936348205467269</c:v>
                </c:pt>
                <c:pt idx="8">
                  <c:v>6.7152546240758211</c:v>
                </c:pt>
                <c:pt idx="9">
                  <c:v>7.5604196927091616</c:v>
                </c:pt>
                <c:pt idx="10">
                  <c:v>9.215042167890525</c:v>
                </c:pt>
                <c:pt idx="11">
                  <c:v>10.249953881504441</c:v>
                </c:pt>
                <c:pt idx="12">
                  <c:v>10.650833844352405</c:v>
                </c:pt>
                <c:pt idx="13">
                  <c:v>13.643325842032947</c:v>
                </c:pt>
                <c:pt idx="14">
                  <c:v>12.010355196687106</c:v>
                </c:pt>
                <c:pt idx="15">
                  <c:v>14.006747557636276</c:v>
                </c:pt>
                <c:pt idx="16">
                  <c:v>17.408124468926459</c:v>
                </c:pt>
                <c:pt idx="17">
                  <c:v>18.653542469425737</c:v>
                </c:pt>
                <c:pt idx="18">
                  <c:v>18.357364736075578</c:v>
                </c:pt>
                <c:pt idx="19">
                  <c:v>20.747451690988555</c:v>
                </c:pt>
                <c:pt idx="20">
                  <c:v>22.274520095355602</c:v>
                </c:pt>
                <c:pt idx="21">
                  <c:v>20.030786917707065</c:v>
                </c:pt>
                <c:pt idx="22">
                  <c:v>20.67689483369983</c:v>
                </c:pt>
                <c:pt idx="23">
                  <c:v>26.083050100459737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F776-4E25-801A-CC0D898E96CB}"/>
            </c:ext>
          </c:extLst>
        </c:ser>
        <c:ser>
          <c:idx val="1"/>
          <c:order val="1"/>
          <c:spPr>
            <a:ln w="63500"/>
          </c:spPr>
          <c:marker>
            <c:symbol val="none"/>
          </c:marker>
          <c:cat>
            <c:numRef>
              <c:f>НАСТРОЙКА!$BT$43:$BT$68</c:f>
              <c:numCache>
                <c:formatCode>General</c:formatCode>
                <c:ptCount val="26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</c:numCache>
            </c:numRef>
          </c:cat>
          <c:val>
            <c:numRef>
              <c:f>НАСТРОЙКА!$BV$43:$BV$68</c:f>
              <c:numCache>
                <c:formatCode>0.000</c:formatCode>
                <c:ptCount val="26"/>
                <c:pt idx="0">
                  <c:v>1</c:v>
                </c:pt>
                <c:pt idx="1">
                  <c:v>1.1463921152743082</c:v>
                </c:pt>
                <c:pt idx="2">
                  <c:v>1.2513079717780973</c:v>
                </c:pt>
                <c:pt idx="3">
                  <c:v>1.7757982734232483</c:v>
                </c:pt>
                <c:pt idx="4">
                  <c:v>4.3836468174313552</c:v>
                </c:pt>
                <c:pt idx="5">
                  <c:v>5.4226708047280461</c:v>
                </c:pt>
                <c:pt idx="6">
                  <c:v>5.4161394271000178</c:v>
                </c:pt>
                <c:pt idx="7">
                  <c:v>5.5899139616982199</c:v>
                </c:pt>
                <c:pt idx="8">
                  <c:v>6.1009299967879249</c:v>
                </c:pt>
                <c:pt idx="9">
                  <c:v>6.8314848750672237</c:v>
                </c:pt>
                <c:pt idx="10">
                  <c:v>8.0203113568391942</c:v>
                </c:pt>
                <c:pt idx="11">
                  <c:v>8.5777696291926198</c:v>
                </c:pt>
                <c:pt idx="12">
                  <c:v>8.5612179305936156</c:v>
                </c:pt>
                <c:pt idx="13">
                  <c:v>10.360928463828227</c:v>
                </c:pt>
                <c:pt idx="14">
                  <c:v>10.685108713411861</c:v>
                </c:pt>
                <c:pt idx="15">
                  <c:v>12.376786544178128</c:v>
                </c:pt>
                <c:pt idx="16">
                  <c:v>14.886630426588829</c:v>
                </c:pt>
                <c:pt idx="17">
                  <c:v>15.682710215951941</c:v>
                </c:pt>
                <c:pt idx="18">
                  <c:v>15.596922733834754</c:v>
                </c:pt>
                <c:pt idx="19">
                  <c:v>19.408439246487287</c:v>
                </c:pt>
                <c:pt idx="20">
                  <c:v>25.392886440510974</c:v>
                </c:pt>
                <c:pt idx="21">
                  <c:v>24.68687303788094</c:v>
                </c:pt>
                <c:pt idx="22">
                  <c:v>23.816230026937784</c:v>
                </c:pt>
                <c:pt idx="23">
                  <c:v>28.984145751879609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3-F776-4E25-801A-CC0D898E96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306880"/>
        <c:axId val="157308416"/>
      </c:lineChart>
      <c:catAx>
        <c:axId val="15730688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600" b="0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157308416"/>
        <c:crosses val="autoZero"/>
        <c:auto val="1"/>
        <c:lblAlgn val="ctr"/>
        <c:lblOffset val="0"/>
        <c:tickLblSkip val="2"/>
        <c:tickMarkSkip val="5"/>
        <c:noMultiLvlLbl val="0"/>
      </c:catAx>
      <c:valAx>
        <c:axId val="157308416"/>
        <c:scaling>
          <c:orientation val="minMax"/>
          <c:max val="35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157306880"/>
        <c:crosses val="autoZero"/>
        <c:crossBetween val="between"/>
        <c:majorUnit val="5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chemeClr val="bg1">
        <a:lumMod val="85000"/>
      </a:schemeClr>
    </a:solidFill>
    <a:ln w="3175">
      <a:solidFill>
        <a:srgbClr val="000000"/>
      </a:solidFill>
      <a:prstDash val="solid"/>
    </a:ln>
  </c:spPr>
  <c:txPr>
    <a:bodyPr/>
    <a:lstStyle/>
    <a:p>
      <a:pPr>
        <a:defRPr sz="925" b="0" i="0" u="none" strike="noStrike" baseline="0">
          <a:solidFill>
            <a:srgbClr val="000000"/>
          </a:solidFill>
          <a:latin typeface="Arial Cyr"/>
          <a:ea typeface="Arial Cyr"/>
          <a:cs typeface="Arial Cyr"/>
        </a:defRPr>
      </a:pPr>
      <a:endParaRPr lang="ru-RU"/>
    </a:p>
  </c:txPr>
  <c:printSettings>
    <c:headerFooter alignWithMargins="0"/>
    <c:pageMargins b="1" l="0.75000000000001465" r="0.75000000000001465" t="1" header="0.5" footer="0.5"/>
    <c:pageSetup paperSize="9" orientation="landscape" horizontalDpi="200" verticalDpi="200"/>
  </c:printSettings>
  <c:userShapes r:id="rId1"/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5.0684519911003104E-2"/>
          <c:y val="1.3655983454526278E-2"/>
          <c:w val="0.91208861123360063"/>
          <c:h val="0.92015474188778756"/>
        </c:manualLayout>
      </c:layout>
      <c:lineChart>
        <c:grouping val="standard"/>
        <c:varyColors val="0"/>
        <c:ser>
          <c:idx val="0"/>
          <c:order val="0"/>
          <c:spPr>
            <a:ln w="92075">
              <a:solidFill>
                <a:schemeClr val="accent1">
                  <a:lumMod val="60000"/>
                  <a:lumOff val="40000"/>
                </a:schemeClr>
              </a:solidFill>
            </a:ln>
          </c:spPr>
          <c:marker>
            <c:symbol val="none"/>
          </c:marker>
          <c:cat>
            <c:numRef>
              <c:f>НАСТРОЙКА!$BD$73:$BD$113</c:f>
              <c:numCache>
                <c:formatCode>General</c:formatCode>
                <c:ptCount val="41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  <c:pt idx="36">
                  <c:v>2031</c:v>
                </c:pt>
                <c:pt idx="37">
                  <c:v>2032</c:v>
                </c:pt>
                <c:pt idx="38">
                  <c:v>2033</c:v>
                </c:pt>
                <c:pt idx="39">
                  <c:v>2034</c:v>
                </c:pt>
                <c:pt idx="40">
                  <c:v>2035</c:v>
                </c:pt>
              </c:numCache>
            </c:numRef>
          </c:cat>
          <c:val>
            <c:numRef>
              <c:f>НАСТРОЙКА!$BE$73:$BE$113</c:f>
              <c:numCache>
                <c:formatCode>0.000</c:formatCode>
                <c:ptCount val="41"/>
                <c:pt idx="0">
                  <c:v>0.50338504971343634</c:v>
                </c:pt>
                <c:pt idx="1">
                  <c:v>0.4953618002876285</c:v>
                </c:pt>
                <c:pt idx="2">
                  <c:v>0.48426929267941665</c:v>
                </c:pt>
                <c:pt idx="3">
                  <c:v>0.45447359805696708</c:v>
                </c:pt>
                <c:pt idx="4">
                  <c:v>0.45181578644747206</c:v>
                </c:pt>
                <c:pt idx="5">
                  <c:v>0.45421840440510231</c:v>
                </c:pt>
                <c:pt idx="6">
                  <c:v>0.47453367284444886</c:v>
                </c:pt>
                <c:pt idx="7">
                  <c:v>0.46500098778747362</c:v>
                </c:pt>
                <c:pt idx="8">
                  <c:v>0.46872864665390768</c:v>
                </c:pt>
                <c:pt idx="9">
                  <c:v>0.46217016187985543</c:v>
                </c:pt>
                <c:pt idx="10">
                  <c:v>0.46127374316494563</c:v>
                </c:pt>
                <c:pt idx="11">
                  <c:v>0.46341299624141757</c:v>
                </c:pt>
                <c:pt idx="12">
                  <c:v>0.46816891313324255</c:v>
                </c:pt>
                <c:pt idx="13">
                  <c:v>0.46873776285343211</c:v>
                </c:pt>
                <c:pt idx="14">
                  <c:v>0.46906554432792302</c:v>
                </c:pt>
                <c:pt idx="15">
                  <c:v>0.47569154866767077</c:v>
                </c:pt>
                <c:pt idx="16">
                  <c:v>0.44775372911459155</c:v>
                </c:pt>
                <c:pt idx="17">
                  <c:v>0.44246702013857986</c:v>
                </c:pt>
                <c:pt idx="18">
                  <c:v>0.44775403162769778</c:v>
                </c:pt>
                <c:pt idx="19">
                  <c:v>0.44767236568512109</c:v>
                </c:pt>
                <c:pt idx="20">
                  <c:v>0.46190475940081643</c:v>
                </c:pt>
                <c:pt idx="21">
                  <c:v>0.47034109705803279</c:v>
                </c:pt>
                <c:pt idx="22">
                  <c:v>0.47453242920013833</c:v>
                </c:pt>
                <c:pt idx="23">
                  <c:v>0.47166714977081331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D3E4-4184-BAC6-5FF231D95AB4}"/>
            </c:ext>
          </c:extLst>
        </c:ser>
        <c:ser>
          <c:idx val="1"/>
          <c:order val="1"/>
          <c:spPr>
            <a:ln w="73025">
              <a:solidFill>
                <a:srgbClr val="FF0000"/>
              </a:solidFill>
            </a:ln>
          </c:spPr>
          <c:marker>
            <c:symbol val="none"/>
          </c:marker>
          <c:cat>
            <c:numRef>
              <c:f>НАСТРОЙКА!$BD$73:$BD$113</c:f>
              <c:numCache>
                <c:formatCode>General</c:formatCode>
                <c:ptCount val="41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  <c:pt idx="36">
                  <c:v>2031</c:v>
                </c:pt>
                <c:pt idx="37">
                  <c:v>2032</c:v>
                </c:pt>
                <c:pt idx="38">
                  <c:v>2033</c:v>
                </c:pt>
                <c:pt idx="39">
                  <c:v>2034</c:v>
                </c:pt>
                <c:pt idx="40">
                  <c:v>2035</c:v>
                </c:pt>
              </c:numCache>
            </c:numRef>
          </c:cat>
          <c:val>
            <c:numRef>
              <c:f>НАСТРОЙКА!$BG$73:$BG$113</c:f>
              <c:numCache>
                <c:formatCode>0.000</c:formatCode>
                <c:ptCount val="41"/>
                <c:pt idx="0">
                  <c:v>0.50338504971343634</c:v>
                </c:pt>
                <c:pt idx="1">
                  <c:v>0.50747241555941625</c:v>
                </c:pt>
                <c:pt idx="2">
                  <c:v>0.50747241555941636</c:v>
                </c:pt>
                <c:pt idx="3">
                  <c:v>0.50851040836118788</c:v>
                </c:pt>
                <c:pt idx="4">
                  <c:v>0.50572313279423808</c:v>
                </c:pt>
                <c:pt idx="5">
                  <c:v>0.50301229074374942</c:v>
                </c:pt>
                <c:pt idx="6">
                  <c:v>0.50206474506356591</c:v>
                </c:pt>
                <c:pt idx="7">
                  <c:v>0.50063389662984059</c:v>
                </c:pt>
                <c:pt idx="8">
                  <c:v>0.50202618130466459</c:v>
                </c:pt>
                <c:pt idx="9">
                  <c:v>0.5057148762579633</c:v>
                </c:pt>
                <c:pt idx="10">
                  <c:v>0.502441464842453</c:v>
                </c:pt>
                <c:pt idx="11">
                  <c:v>0.50563972907211574</c:v>
                </c:pt>
                <c:pt idx="12">
                  <c:v>0.50700285481915963</c:v>
                </c:pt>
                <c:pt idx="13">
                  <c:v>0.50606381263786271</c:v>
                </c:pt>
                <c:pt idx="14">
                  <c:v>0.50873085468625434</c:v>
                </c:pt>
                <c:pt idx="15">
                  <c:v>0.51107023156870091</c:v>
                </c:pt>
                <c:pt idx="16">
                  <c:v>0.51107023156870091</c:v>
                </c:pt>
                <c:pt idx="17">
                  <c:v>0.51221890324681785</c:v>
                </c:pt>
                <c:pt idx="18">
                  <c:v>0.51372211702384318</c:v>
                </c:pt>
                <c:pt idx="19">
                  <c:v>0.51401831827360078</c:v>
                </c:pt>
                <c:pt idx="20">
                  <c:v>0.51894214483617829</c:v>
                </c:pt>
                <c:pt idx="21">
                  <c:v>0.52369568095439789</c:v>
                </c:pt>
                <c:pt idx="22">
                  <c:v>0.5269484909381239</c:v>
                </c:pt>
                <c:pt idx="23">
                  <c:v>0.52556394993599154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3E4-4184-BAC6-5FF231D95AB4}"/>
            </c:ext>
          </c:extLst>
        </c:ser>
        <c:ser>
          <c:idx val="2"/>
          <c:order val="2"/>
          <c:spPr>
            <a:ln w="28575">
              <a:solidFill>
                <a:schemeClr val="tx1"/>
              </a:solidFill>
            </a:ln>
          </c:spPr>
          <c:marker>
            <c:symbol val="none"/>
          </c:marker>
          <c:cat>
            <c:numRef>
              <c:f>НАСТРОЙКА!$BD$73:$BD$113</c:f>
              <c:numCache>
                <c:formatCode>General</c:formatCode>
                <c:ptCount val="41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  <c:pt idx="36">
                  <c:v>2031</c:v>
                </c:pt>
                <c:pt idx="37">
                  <c:v>2032</c:v>
                </c:pt>
                <c:pt idx="38">
                  <c:v>2033</c:v>
                </c:pt>
                <c:pt idx="39">
                  <c:v>2034</c:v>
                </c:pt>
                <c:pt idx="40">
                  <c:v>2035</c:v>
                </c:pt>
              </c:numCache>
            </c:numRef>
          </c:cat>
          <c:val>
            <c:numRef>
              <c:f>НАСТРОЙКА!$BI$73:$BI$96</c:f>
              <c:numCache>
                <c:formatCode>0.000</c:formatCode>
                <c:ptCount val="24"/>
                <c:pt idx="0">
                  <c:v>1</c:v>
                </c:pt>
                <c:pt idx="1">
                  <c:v>0.9761354215510657</c:v>
                </c:pt>
                <c:pt idx="2">
                  <c:v>0.95427707562307296</c:v>
                </c:pt>
                <c:pt idx="3">
                  <c:v>0.89373509486586689</c:v>
                </c:pt>
                <c:pt idx="4">
                  <c:v>0.89340541721135935</c:v>
                </c:pt>
                <c:pt idx="5">
                  <c:v>0.90299663201767688</c:v>
                </c:pt>
                <c:pt idx="6">
                  <c:v>0.94516429904746357</c:v>
                </c:pt>
                <c:pt idx="7">
                  <c:v>0.92882441823807749</c:v>
                </c:pt>
                <c:pt idx="8">
                  <c:v>0.93367370888063361</c:v>
                </c:pt>
                <c:pt idx="9">
                  <c:v>0.91389473313437597</c:v>
                </c:pt>
                <c:pt idx="10">
                  <c:v>0.91806464124051512</c:v>
                </c:pt>
                <c:pt idx="11">
                  <c:v>0.91648849882071715</c:v>
                </c:pt>
                <c:pt idx="12">
                  <c:v>0.92340488556071609</c:v>
                </c:pt>
                <c:pt idx="13">
                  <c:v>0.92624240490568122</c:v>
                </c:pt>
                <c:pt idx="14">
                  <c:v>0.92203085385337247</c:v>
                </c:pt>
                <c:pt idx="15">
                  <c:v>0.93077530109230333</c:v>
                </c:pt>
                <c:pt idx="16">
                  <c:v>0.8761099775665605</c:v>
                </c:pt>
                <c:pt idx="17">
                  <c:v>0.86382407469521394</c:v>
                </c:pt>
                <c:pt idx="18">
                  <c:v>0.87158799823858124</c:v>
                </c:pt>
                <c:pt idx="19">
                  <c:v>0.87092687122258317</c:v>
                </c:pt>
                <c:pt idx="20">
                  <c:v>0.89008912457212808</c:v>
                </c:pt>
                <c:pt idx="21">
                  <c:v>0.89811910650259674</c:v>
                </c:pt>
                <c:pt idx="22">
                  <c:v>0.90052905997573029</c:v>
                </c:pt>
                <c:pt idx="23">
                  <c:v>0.89744958692135879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D3E4-4184-BAC6-5FF231D95AB4}"/>
            </c:ext>
          </c:extLst>
        </c:ser>
        <c:ser>
          <c:idx val="3"/>
          <c:order val="3"/>
          <c:spPr>
            <a:ln w="50800">
              <a:solidFill>
                <a:srgbClr val="FF0000"/>
              </a:solidFill>
              <a:prstDash val="dash"/>
            </a:ln>
          </c:spPr>
          <c:marker>
            <c:symbol val="none"/>
          </c:marker>
          <c:cat>
            <c:numRef>
              <c:f>НАСТРОЙКА!$BD$73:$BD$113</c:f>
              <c:numCache>
                <c:formatCode>General</c:formatCode>
                <c:ptCount val="41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  <c:pt idx="36">
                  <c:v>2031</c:v>
                </c:pt>
                <c:pt idx="37">
                  <c:v>2032</c:v>
                </c:pt>
                <c:pt idx="38">
                  <c:v>2033</c:v>
                </c:pt>
                <c:pt idx="39">
                  <c:v>2034</c:v>
                </c:pt>
                <c:pt idx="40">
                  <c:v>2035</c:v>
                </c:pt>
              </c:numCache>
            </c:numRef>
          </c:cat>
          <c:val>
            <c:numRef>
              <c:f>НАСТРОЙКА!$BH$73:$BH$113</c:f>
              <c:numCache>
                <c:formatCode>General</c:formatCode>
                <c:ptCount val="41"/>
                <c:pt idx="22" formatCode="0.000">
                  <c:v>0.5269484909381239</c:v>
                </c:pt>
                <c:pt idx="23" formatCode="0.000">
                  <c:v>0.52556394993599154</c:v>
                </c:pt>
                <c:pt idx="24" formatCode="0.000">
                  <c:v>0.52656394993599154</c:v>
                </c:pt>
                <c:pt idx="25" formatCode="0.000">
                  <c:v>0.52756394993599154</c:v>
                </c:pt>
                <c:pt idx="26" formatCode="0.000">
                  <c:v>0.52856394993599154</c:v>
                </c:pt>
                <c:pt idx="27" formatCode="0.000">
                  <c:v>0.52956394993599154</c:v>
                </c:pt>
                <c:pt idx="28" formatCode="0.000">
                  <c:v>0.53056394993599154</c:v>
                </c:pt>
                <c:pt idx="29" formatCode="0.000">
                  <c:v>0.53156394993599154</c:v>
                </c:pt>
                <c:pt idx="30" formatCode="0.000">
                  <c:v>0.53256394993599154</c:v>
                </c:pt>
                <c:pt idx="31" formatCode="0.000">
                  <c:v>0.53356394993599154</c:v>
                </c:pt>
                <c:pt idx="32" formatCode="0.000">
                  <c:v>0.53456394993599154</c:v>
                </c:pt>
                <c:pt idx="33" formatCode="0.000">
                  <c:v>0.53556394993599155</c:v>
                </c:pt>
                <c:pt idx="34" formatCode="0.000">
                  <c:v>0.53656394993599155</c:v>
                </c:pt>
                <c:pt idx="35" formatCode="0.000">
                  <c:v>0.53756394993599155</c:v>
                </c:pt>
                <c:pt idx="36" formatCode="0.000">
                  <c:v>0.53856394993599155</c:v>
                </c:pt>
                <c:pt idx="37" formatCode="0.000">
                  <c:v>0.53956394993599155</c:v>
                </c:pt>
                <c:pt idx="38" formatCode="0.000">
                  <c:v>0.54056394993599155</c:v>
                </c:pt>
                <c:pt idx="39" formatCode="0.000">
                  <c:v>0.54156394993599155</c:v>
                </c:pt>
                <c:pt idx="40" formatCode="0.000">
                  <c:v>0.54256394993599155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3E4-4184-BAC6-5FF231D95A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366144"/>
        <c:axId val="157367680"/>
      </c:lineChart>
      <c:catAx>
        <c:axId val="15736614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800" b="0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157367680"/>
        <c:crosses val="autoZero"/>
        <c:auto val="1"/>
        <c:lblAlgn val="ctr"/>
        <c:lblOffset val="0"/>
        <c:tickLblSkip val="5"/>
        <c:tickMarkSkip val="5"/>
        <c:noMultiLvlLbl val="0"/>
      </c:catAx>
      <c:valAx>
        <c:axId val="157367680"/>
        <c:scaling>
          <c:orientation val="minMax"/>
          <c:max val="1.5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2000" b="0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157366144"/>
        <c:crosses val="autoZero"/>
        <c:crossBetween val="between"/>
        <c:majorUnit val="0.5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chemeClr val="bg1">
        <a:lumMod val="85000"/>
      </a:schemeClr>
    </a:solidFill>
    <a:ln w="3175">
      <a:solidFill>
        <a:srgbClr val="000000"/>
      </a:solidFill>
      <a:prstDash val="solid"/>
    </a:ln>
  </c:spPr>
  <c:txPr>
    <a:bodyPr/>
    <a:lstStyle/>
    <a:p>
      <a:pPr>
        <a:defRPr sz="925" b="0" i="0" u="none" strike="noStrike" baseline="0">
          <a:solidFill>
            <a:srgbClr val="000000"/>
          </a:solidFill>
          <a:latin typeface="Arial Cyr"/>
          <a:ea typeface="Arial Cyr"/>
          <a:cs typeface="Arial Cyr"/>
        </a:defRPr>
      </a:pPr>
      <a:endParaRPr lang="ru-RU"/>
    </a:p>
  </c:txPr>
  <c:printSettings>
    <c:headerFooter alignWithMargins="0"/>
    <c:pageMargins b="1" l="0.75000000000001465" r="0.75000000000001465" t="1" header="0.5" footer="0.5"/>
    <c:pageSetup paperSize="9" orientation="landscape" horizontalDpi="200" verticalDpi="200"/>
  </c:printSettings>
  <c:userShapes r:id="rId1"/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4.7539628830522533E-2"/>
          <c:y val="2.8159284776902868E-2"/>
          <c:w val="0.92778086510672531"/>
          <c:h val="0.91152952755905514"/>
        </c:manualLayout>
      </c:layout>
      <c:lineChart>
        <c:grouping val="standard"/>
        <c:varyColors val="0"/>
        <c:ser>
          <c:idx val="0"/>
          <c:order val="0"/>
          <c:spPr>
            <a:ln w="73025"/>
          </c:spPr>
          <c:cat>
            <c:numRef>
              <c:f>НАСТРОЙКА!$BD$120:$BD$160</c:f>
              <c:numCache>
                <c:formatCode>General</c:formatCode>
                <c:ptCount val="41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  <c:pt idx="36">
                  <c:v>2031</c:v>
                </c:pt>
                <c:pt idx="37">
                  <c:v>2032</c:v>
                </c:pt>
                <c:pt idx="38">
                  <c:v>2033</c:v>
                </c:pt>
                <c:pt idx="39">
                  <c:v>2034</c:v>
                </c:pt>
                <c:pt idx="40">
                  <c:v>2035</c:v>
                </c:pt>
              </c:numCache>
            </c:numRef>
          </c:cat>
          <c:val>
            <c:numRef>
              <c:f>НАСТРОЙКА!$BE$120:$BE$160</c:f>
              <c:numCache>
                <c:formatCode>0.00</c:formatCode>
                <c:ptCount val="41"/>
                <c:pt idx="0">
                  <c:v>4.6399999999999997</c:v>
                </c:pt>
                <c:pt idx="1">
                  <c:v>5.56</c:v>
                </c:pt>
                <c:pt idx="2">
                  <c:v>5.8</c:v>
                </c:pt>
                <c:pt idx="3">
                  <c:v>6</c:v>
                </c:pt>
                <c:pt idx="4">
                  <c:v>24.62</c:v>
                </c:pt>
                <c:pt idx="5">
                  <c:v>28.16</c:v>
                </c:pt>
                <c:pt idx="6">
                  <c:v>30.14</c:v>
                </c:pt>
                <c:pt idx="7">
                  <c:v>31.4</c:v>
                </c:pt>
                <c:pt idx="8">
                  <c:v>29.45</c:v>
                </c:pt>
                <c:pt idx="9">
                  <c:v>27.75</c:v>
                </c:pt>
                <c:pt idx="10">
                  <c:v>28.78</c:v>
                </c:pt>
                <c:pt idx="11">
                  <c:v>26.33</c:v>
                </c:pt>
                <c:pt idx="12">
                  <c:v>25.58</c:v>
                </c:pt>
                <c:pt idx="13">
                  <c:v>24.85</c:v>
                </c:pt>
                <c:pt idx="14">
                  <c:v>31.72</c:v>
                </c:pt>
                <c:pt idx="15">
                  <c:v>30.37</c:v>
                </c:pt>
                <c:pt idx="16">
                  <c:v>29.39</c:v>
                </c:pt>
                <c:pt idx="17">
                  <c:v>31.1</c:v>
                </c:pt>
                <c:pt idx="18">
                  <c:v>31.85</c:v>
                </c:pt>
                <c:pt idx="19">
                  <c:v>38.421999999999997</c:v>
                </c:pt>
                <c:pt idx="20">
                  <c:v>60.957999999999998</c:v>
                </c:pt>
                <c:pt idx="21">
                  <c:v>67.034999999999997</c:v>
                </c:pt>
                <c:pt idx="22">
                  <c:v>58.35</c:v>
                </c:pt>
                <c:pt idx="23">
                  <c:v>62</c:v>
                </c:pt>
                <c:pt idx="24">
                  <c:v>64.5</c:v>
                </c:pt>
                <c:pt idx="25">
                  <c:v>75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1591-4F74-AE8F-718EE2411E06}"/>
            </c:ext>
          </c:extLst>
        </c:ser>
        <c:ser>
          <c:idx val="1"/>
          <c:order val="1"/>
          <c:spPr>
            <a:ln w="79375">
              <a:solidFill>
                <a:srgbClr val="FF0000"/>
              </a:solidFill>
            </a:ln>
          </c:spPr>
          <c:trendline>
            <c:spPr>
              <a:ln w="25400">
                <a:prstDash val="lgDash"/>
              </a:ln>
            </c:spPr>
            <c:trendlineType val="linear"/>
            <c:dispRSqr val="1"/>
            <c:dispEq val="1"/>
            <c:trendlineLbl>
              <c:layout>
                <c:manualLayout>
                  <c:x val="-3.0337133083164396E-3"/>
                  <c:y val="0.15327813320210282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sz="2000">
                      <a:latin typeface="Arial" panose="020B0604020202020204" pitchFamily="34" charset="0"/>
                      <a:cs typeface="Arial" panose="020B0604020202020204" pitchFamily="34" charset="0"/>
                    </a:defRPr>
                  </a:pPr>
                  <a:endParaRPr lang="ru-RU"/>
                </a:p>
              </c:txPr>
            </c:trendlineLbl>
          </c:trendline>
          <c:cat>
            <c:numRef>
              <c:f>НАСТРОЙКА!$BD$120:$BD$160</c:f>
              <c:numCache>
                <c:formatCode>General</c:formatCode>
                <c:ptCount val="41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  <c:pt idx="36">
                  <c:v>2031</c:v>
                </c:pt>
                <c:pt idx="37">
                  <c:v>2032</c:v>
                </c:pt>
                <c:pt idx="38">
                  <c:v>2033</c:v>
                </c:pt>
                <c:pt idx="39">
                  <c:v>2034</c:v>
                </c:pt>
                <c:pt idx="40">
                  <c:v>2035</c:v>
                </c:pt>
              </c:numCache>
            </c:numRef>
          </c:cat>
          <c:val>
            <c:numRef>
              <c:f>НАСТРОЙКА!$BG$120:$BG$160</c:f>
              <c:numCache>
                <c:formatCode>0.00</c:formatCode>
                <c:ptCount val="41"/>
                <c:pt idx="0">
                  <c:v>1.65</c:v>
                </c:pt>
                <c:pt idx="1">
                  <c:v>2.35</c:v>
                </c:pt>
                <c:pt idx="2">
                  <c:v>2.63</c:v>
                </c:pt>
                <c:pt idx="3">
                  <c:v>3.02</c:v>
                </c:pt>
                <c:pt idx="4">
                  <c:v>4.55</c:v>
                </c:pt>
                <c:pt idx="5">
                  <c:v>7.04</c:v>
                </c:pt>
                <c:pt idx="6">
                  <c:v>8.1</c:v>
                </c:pt>
                <c:pt idx="7">
                  <c:v>9.17</c:v>
                </c:pt>
                <c:pt idx="8">
                  <c:v>10.14</c:v>
                </c:pt>
                <c:pt idx="9">
                  <c:v>11.55</c:v>
                </c:pt>
                <c:pt idx="10">
                  <c:v>12.74</c:v>
                </c:pt>
                <c:pt idx="11">
                  <c:v>12.64</c:v>
                </c:pt>
                <c:pt idx="12">
                  <c:v>13.98</c:v>
                </c:pt>
                <c:pt idx="13">
                  <c:v>14.34</c:v>
                </c:pt>
                <c:pt idx="14">
                  <c:v>14.22</c:v>
                </c:pt>
                <c:pt idx="15">
                  <c:v>15.82</c:v>
                </c:pt>
                <c:pt idx="16">
                  <c:v>17.350000000000001</c:v>
                </c:pt>
                <c:pt idx="17">
                  <c:v>18.46</c:v>
                </c:pt>
                <c:pt idx="18">
                  <c:v>20.48</c:v>
                </c:pt>
                <c:pt idx="19">
                  <c:v>21.26</c:v>
                </c:pt>
                <c:pt idx="20">
                  <c:v>22.57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1591-4F74-AE8F-718EE2411E06}"/>
            </c:ext>
          </c:extLst>
        </c:ser>
        <c:ser>
          <c:idx val="2"/>
          <c:order val="2"/>
          <c:spPr>
            <a:ln w="50800">
              <a:prstDash val="lgDash"/>
            </a:ln>
          </c:spPr>
          <c:cat>
            <c:numRef>
              <c:f>НАСТРОЙКА!$BD$120:$BD$160</c:f>
              <c:numCache>
                <c:formatCode>General</c:formatCode>
                <c:ptCount val="41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  <c:pt idx="36">
                  <c:v>2031</c:v>
                </c:pt>
                <c:pt idx="37">
                  <c:v>2032</c:v>
                </c:pt>
                <c:pt idx="38">
                  <c:v>2033</c:v>
                </c:pt>
                <c:pt idx="39">
                  <c:v>2034</c:v>
                </c:pt>
                <c:pt idx="40">
                  <c:v>2035</c:v>
                </c:pt>
              </c:numCache>
            </c:numRef>
          </c:cat>
          <c:val>
            <c:numRef>
              <c:f>НАСТРОЙКА!$BF$120:$BF$160</c:f>
              <c:numCache>
                <c:formatCode>General</c:formatCode>
                <c:ptCount val="41"/>
                <c:pt idx="24" formatCode="0.00">
                  <c:v>64.5</c:v>
                </c:pt>
                <c:pt idx="25" formatCode="0.00">
                  <c:v>75</c:v>
                </c:pt>
                <c:pt idx="26" formatCode="0.0">
                  <c:v>84</c:v>
                </c:pt>
                <c:pt idx="27" formatCode="0.0">
                  <c:v>72</c:v>
                </c:pt>
                <c:pt idx="28" formatCode="0.0">
                  <c:v>70</c:v>
                </c:pt>
                <c:pt idx="29" formatCode="0.0">
                  <c:v>68</c:v>
                </c:pt>
                <c:pt idx="30" formatCode="0.0">
                  <c:v>68.8</c:v>
                </c:pt>
                <c:pt idx="31" formatCode="0.0">
                  <c:v>69.599999999999994</c:v>
                </c:pt>
                <c:pt idx="32" formatCode="0.0">
                  <c:v>70.399999999999991</c:v>
                </c:pt>
                <c:pt idx="33" formatCode="0.0">
                  <c:v>71.199999999999989</c:v>
                </c:pt>
                <c:pt idx="34" formatCode="0.0">
                  <c:v>71.999999999999986</c:v>
                </c:pt>
                <c:pt idx="35" formatCode="0.0">
                  <c:v>72.799999999999983</c:v>
                </c:pt>
                <c:pt idx="36" formatCode="0.0">
                  <c:v>73.59999999999998</c:v>
                </c:pt>
                <c:pt idx="37" formatCode="0.0">
                  <c:v>74.399999999999977</c:v>
                </c:pt>
                <c:pt idx="38" formatCode="0.0">
                  <c:v>75.199999999999974</c:v>
                </c:pt>
                <c:pt idx="39" formatCode="0.0">
                  <c:v>75.999999999999972</c:v>
                </c:pt>
                <c:pt idx="40" formatCode="0.0">
                  <c:v>76.799999999999969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591-4F74-AE8F-718EE2411E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7203072"/>
        <c:axId val="157217152"/>
      </c:lineChart>
      <c:catAx>
        <c:axId val="157203072"/>
        <c:scaling>
          <c:orientation val="minMax"/>
        </c:scaling>
        <c:delete val="0"/>
        <c:axPos val="b"/>
        <c:numFmt formatCode="General" sourceLinked="1"/>
        <c:majorTickMark val="out"/>
        <c:minorTickMark val="cross"/>
        <c:tickLblPos val="nextTo"/>
        <c:spPr>
          <a:ln>
            <a:solidFill>
              <a:schemeClr val="tx1">
                <a:tint val="75000"/>
              </a:schemeClr>
            </a:solidFill>
          </a:ln>
        </c:spPr>
        <c:txPr>
          <a:bodyPr/>
          <a:lstStyle/>
          <a:p>
            <a:pPr>
              <a:defRPr sz="18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57217152"/>
        <c:crosses val="autoZero"/>
        <c:auto val="1"/>
        <c:lblAlgn val="ctr"/>
        <c:lblOffset val="10"/>
        <c:tickLblSkip val="5"/>
        <c:noMultiLvlLbl val="0"/>
      </c:catAx>
      <c:valAx>
        <c:axId val="157217152"/>
        <c:scaling>
          <c:orientation val="minMax"/>
          <c:max val="100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txPr>
          <a:bodyPr/>
          <a:lstStyle/>
          <a:p>
            <a:pPr>
              <a:defRPr sz="18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57203072"/>
        <c:crosses val="autoZero"/>
        <c:crossBetween val="between"/>
        <c:majorUnit val="20"/>
      </c:valAx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8966754063196434E-2"/>
          <c:y val="2.8061862562912012E-2"/>
          <c:w val="0.88358502933090355"/>
          <c:h val="0.91961256642845679"/>
        </c:manualLayout>
      </c:layout>
      <c:scatterChart>
        <c:scatterStyle val="smoothMarker"/>
        <c:varyColors val="0"/>
        <c:ser>
          <c:idx val="0"/>
          <c:order val="0"/>
          <c:spPr>
            <a:ln w="73025"/>
          </c:spPr>
          <c:marker>
            <c:symbol val="circle"/>
            <c:size val="17"/>
            <c:spPr>
              <a:noFill/>
            </c:spPr>
          </c:marker>
          <c:xVal>
            <c:numRef>
              <c:f>ОТЧЁТ!$EK$184:$EK$219</c:f>
              <c:numCache>
                <c:formatCode>0</c:formatCode>
                <c:ptCount val="36"/>
                <c:pt idx="0">
                  <c:v>207.71912069999996</c:v>
                </c:pt>
                <c:pt idx="1">
                  <c:v>182.79282621599998</c:v>
                </c:pt>
                <c:pt idx="2">
                  <c:v>191.93246752679997</c:v>
                </c:pt>
                <c:pt idx="3">
                  <c:v>225.32871687646315</c:v>
                </c:pt>
                <c:pt idx="4">
                  <c:v>247.86158856410947</c:v>
                </c:pt>
                <c:pt idx="5">
                  <c:v>254.80171304390456</c:v>
                </c:pt>
                <c:pt idx="6">
                  <c:v>286.6519271743926</c:v>
                </c:pt>
                <c:pt idx="7">
                  <c:v>325.92324119728437</c:v>
                </c:pt>
                <c:pt idx="8">
                  <c:v>359.16741179940743</c:v>
                </c:pt>
                <c:pt idx="9">
                  <c:v>419.14836956990848</c:v>
                </c:pt>
                <c:pt idx="10">
                  <c:v>514.29504946227769</c:v>
                </c:pt>
                <c:pt idx="11">
                  <c:v>563.15307916119411</c:v>
                </c:pt>
                <c:pt idx="12">
                  <c:v>487.1274134744329</c:v>
                </c:pt>
                <c:pt idx="13">
                  <c:v>517.81644052332217</c:v>
                </c:pt>
                <c:pt idx="14">
                  <c:v>573.74061609984096</c:v>
                </c:pt>
                <c:pt idx="15">
                  <c:v>612.75497799463017</c:v>
                </c:pt>
                <c:pt idx="16">
                  <c:v>617.65701781858718</c:v>
                </c:pt>
                <c:pt idx="17">
                  <c:v>608.39216255130839</c:v>
                </c:pt>
                <c:pt idx="18">
                  <c:v>546.9445541336263</c:v>
                </c:pt>
                <c:pt idx="19">
                  <c:v>545.85066502535915</c:v>
                </c:pt>
                <c:pt idx="20">
                  <c:v>572.05149694657644</c:v>
                </c:pt>
                <c:pt idx="21">
                  <c:v>596.64971131527921</c:v>
                </c:pt>
              </c:numCache>
            </c:numRef>
          </c:xVal>
          <c:yVal>
            <c:numRef>
              <c:f>ОТЧЁТ!#REF!</c:f>
              <c:numCache>
                <c:formatCode>0</c:formatCode>
                <c:ptCount val="25"/>
                <c:pt idx="0">
                  <c:v>408.79700000000003</c:v>
                </c:pt>
                <c:pt idx="1">
                  <c:v>407.08599999999899</c:v>
                </c:pt>
                <c:pt idx="2">
                  <c:v>670.43899999999996</c:v>
                </c:pt>
                <c:pt idx="3">
                  <c:v>1165.2339999999999</c:v>
                </c:pt>
                <c:pt idx="4">
                  <c:v>1504.7</c:v>
                </c:pt>
                <c:pt idx="5">
                  <c:v>1762.4</c:v>
                </c:pt>
                <c:pt idx="6">
                  <c:v>2186.4</c:v>
                </c:pt>
                <c:pt idx="7">
                  <c:v>2865</c:v>
                </c:pt>
                <c:pt idx="8">
                  <c:v>3611.1</c:v>
                </c:pt>
                <c:pt idx="9">
                  <c:v>4730</c:v>
                </c:pt>
                <c:pt idx="10">
                  <c:v>6716.2220000000034</c:v>
                </c:pt>
                <c:pt idx="11">
                  <c:v>8781.616</c:v>
                </c:pt>
                <c:pt idx="12">
                  <c:v>7976.0130000000017</c:v>
                </c:pt>
                <c:pt idx="13">
                  <c:v>9152.1</c:v>
                </c:pt>
                <c:pt idx="14">
                  <c:v>11035.652</c:v>
                </c:pt>
                <c:pt idx="15">
                  <c:v>12586.090400000006</c:v>
                </c:pt>
                <c:pt idx="16">
                  <c:v>13450.238200000014</c:v>
                </c:pt>
                <c:pt idx="17">
                  <c:v>13902.6453</c:v>
                </c:pt>
                <c:pt idx="18">
                  <c:v>13897.2</c:v>
                </c:pt>
                <c:pt idx="19">
                  <c:v>14748.8</c:v>
                </c:pt>
                <c:pt idx="20">
                  <c:v>16027.3</c:v>
                </c:pt>
                <c:pt idx="21">
                  <c:v>17595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210-4452-AEB2-59DDF7466952}"/>
            </c:ext>
          </c:extLst>
        </c:ser>
        <c:ser>
          <c:idx val="1"/>
          <c:order val="1"/>
          <c:xVal>
            <c:numRef>
              <c:f>ОТЧЁТ!$EK$200:$EK$219</c:f>
              <c:numCache>
                <c:formatCode>0</c:formatCode>
                <c:ptCount val="20"/>
                <c:pt idx="0">
                  <c:v>617.65701781858718</c:v>
                </c:pt>
                <c:pt idx="1">
                  <c:v>608.39216255130839</c:v>
                </c:pt>
                <c:pt idx="2">
                  <c:v>546.9445541336263</c:v>
                </c:pt>
                <c:pt idx="3">
                  <c:v>545.85066502535915</c:v>
                </c:pt>
                <c:pt idx="4">
                  <c:v>572.05149694657644</c:v>
                </c:pt>
                <c:pt idx="5">
                  <c:v>596.64971131527921</c:v>
                </c:pt>
              </c:numCache>
            </c:numRef>
          </c:xVal>
          <c:yVal>
            <c:numRef>
              <c:f>ОТЧЁТ!$EM$200:$EM$219</c:f>
              <c:numCache>
                <c:formatCode>0</c:formatCode>
                <c:ptCount val="2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210-4452-AEB2-59DDF7466952}"/>
            </c:ext>
          </c:extLst>
        </c:ser>
        <c:ser>
          <c:idx val="2"/>
          <c:order val="2"/>
          <c:xVal>
            <c:numRef>
              <c:f>ОТЧЁТ!$EK$208:$EK$219</c:f>
              <c:numCache>
                <c:formatCode>General</c:formatCode>
                <c:ptCount val="12"/>
              </c:numCache>
            </c:numRef>
          </c:xVal>
          <c:yVal>
            <c:numRef>
              <c:f>ОТЧЁТ!$EN$208:$EN$219</c:f>
              <c:numCache>
                <c:formatCode>General</c:formatCode>
                <c:ptCount val="12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210-4452-AEB2-59DDF74669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499776"/>
        <c:axId val="157501312"/>
      </c:scatterChart>
      <c:valAx>
        <c:axId val="157499776"/>
        <c:scaling>
          <c:orientation val="minMax"/>
          <c:max val="2030"/>
          <c:min val="1995"/>
        </c:scaling>
        <c:delete val="0"/>
        <c:axPos val="b"/>
        <c:numFmt formatCode="#,##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57501312"/>
        <c:crosses val="autoZero"/>
        <c:crossBetween val="midCat"/>
        <c:majorUnit val="5"/>
      </c:valAx>
      <c:valAx>
        <c:axId val="157501312"/>
        <c:scaling>
          <c:orientation val="minMax"/>
          <c:max val="900"/>
          <c:min val="10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txPr>
          <a:bodyPr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57499776"/>
        <c:crosses val="autoZero"/>
        <c:crossBetween val="midCat"/>
        <c:majorUnit val="200"/>
      </c:valAx>
      <c:spPr>
        <a:solidFill>
          <a:sysClr val="window" lastClr="FFFFFF"/>
        </a:solidFill>
        <a:ln>
          <a:solidFill>
            <a:schemeClr val="accent4">
              <a:lumMod val="75000"/>
            </a:schemeClr>
          </a:solidFill>
          <a:prstDash val="lgDashDotDot"/>
        </a:ln>
      </c:spPr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8966754063196434E-2"/>
          <c:y val="2.8061862562912012E-2"/>
          <c:w val="0.88358502933090355"/>
          <c:h val="0.91961256642845679"/>
        </c:manualLayout>
      </c:layout>
      <c:scatterChart>
        <c:scatterStyle val="smoothMarker"/>
        <c:varyColors val="0"/>
        <c:ser>
          <c:idx val="0"/>
          <c:order val="0"/>
          <c:spPr>
            <a:ln w="73025"/>
          </c:spPr>
          <c:marker>
            <c:symbol val="circle"/>
            <c:size val="17"/>
            <c:spPr>
              <a:noFill/>
            </c:spPr>
          </c:marker>
          <c:xVal>
            <c:numRef>
              <c:f>ОТЧЁТ!$EK$184:$EK$219</c:f>
              <c:numCache>
                <c:formatCode>0</c:formatCode>
                <c:ptCount val="36"/>
                <c:pt idx="0">
                  <c:v>207.71912069999996</c:v>
                </c:pt>
                <c:pt idx="1">
                  <c:v>182.79282621599998</c:v>
                </c:pt>
                <c:pt idx="2">
                  <c:v>191.93246752679997</c:v>
                </c:pt>
                <c:pt idx="3">
                  <c:v>225.32871687646315</c:v>
                </c:pt>
                <c:pt idx="4">
                  <c:v>247.86158856410947</c:v>
                </c:pt>
                <c:pt idx="5">
                  <c:v>254.80171304390456</c:v>
                </c:pt>
                <c:pt idx="6">
                  <c:v>286.6519271743926</c:v>
                </c:pt>
                <c:pt idx="7">
                  <c:v>325.92324119728437</c:v>
                </c:pt>
                <c:pt idx="8">
                  <c:v>359.16741179940743</c:v>
                </c:pt>
                <c:pt idx="9">
                  <c:v>419.14836956990848</c:v>
                </c:pt>
                <c:pt idx="10">
                  <c:v>514.29504946227769</c:v>
                </c:pt>
                <c:pt idx="11">
                  <c:v>563.15307916119411</c:v>
                </c:pt>
                <c:pt idx="12">
                  <c:v>487.1274134744329</c:v>
                </c:pt>
                <c:pt idx="13">
                  <c:v>517.81644052332217</c:v>
                </c:pt>
                <c:pt idx="14">
                  <c:v>573.74061609984096</c:v>
                </c:pt>
                <c:pt idx="15">
                  <c:v>612.75497799463017</c:v>
                </c:pt>
                <c:pt idx="16">
                  <c:v>617.65701781858718</c:v>
                </c:pt>
                <c:pt idx="17">
                  <c:v>608.39216255130839</c:v>
                </c:pt>
                <c:pt idx="18">
                  <c:v>546.9445541336263</c:v>
                </c:pt>
                <c:pt idx="19">
                  <c:v>545.85066502535915</c:v>
                </c:pt>
                <c:pt idx="20">
                  <c:v>572.05149694657644</c:v>
                </c:pt>
                <c:pt idx="21">
                  <c:v>596.64971131527921</c:v>
                </c:pt>
              </c:numCache>
            </c:numRef>
          </c:xVal>
          <c:yVal>
            <c:numRef>
              <c:f>ОТЧЁТ!#REF!</c:f>
              <c:numCache>
                <c:formatCode>0</c:formatCode>
                <c:ptCount val="25"/>
                <c:pt idx="0">
                  <c:v>408.79700000000003</c:v>
                </c:pt>
                <c:pt idx="1">
                  <c:v>407.08599999999899</c:v>
                </c:pt>
                <c:pt idx="2">
                  <c:v>670.43899999999996</c:v>
                </c:pt>
                <c:pt idx="3">
                  <c:v>1165.2339999999999</c:v>
                </c:pt>
                <c:pt idx="4">
                  <c:v>1504.7</c:v>
                </c:pt>
                <c:pt idx="5">
                  <c:v>1762.4</c:v>
                </c:pt>
                <c:pt idx="6">
                  <c:v>2186.4</c:v>
                </c:pt>
                <c:pt idx="7">
                  <c:v>2865</c:v>
                </c:pt>
                <c:pt idx="8">
                  <c:v>3611.1</c:v>
                </c:pt>
                <c:pt idx="9">
                  <c:v>4730</c:v>
                </c:pt>
                <c:pt idx="10">
                  <c:v>6716.2220000000034</c:v>
                </c:pt>
                <c:pt idx="11">
                  <c:v>8781.616</c:v>
                </c:pt>
                <c:pt idx="12">
                  <c:v>7976.0130000000017</c:v>
                </c:pt>
                <c:pt idx="13">
                  <c:v>9152.1</c:v>
                </c:pt>
                <c:pt idx="14">
                  <c:v>11035.652</c:v>
                </c:pt>
                <c:pt idx="15">
                  <c:v>12586.090400000006</c:v>
                </c:pt>
                <c:pt idx="16">
                  <c:v>13450.238200000014</c:v>
                </c:pt>
                <c:pt idx="17">
                  <c:v>13902.6453</c:v>
                </c:pt>
                <c:pt idx="18">
                  <c:v>13897.2</c:v>
                </c:pt>
                <c:pt idx="19">
                  <c:v>14748.8</c:v>
                </c:pt>
                <c:pt idx="20">
                  <c:v>16027.3</c:v>
                </c:pt>
                <c:pt idx="21">
                  <c:v>17595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6D4-4B58-92B7-D4462C65D346}"/>
            </c:ext>
          </c:extLst>
        </c:ser>
        <c:ser>
          <c:idx val="1"/>
          <c:order val="1"/>
          <c:xVal>
            <c:numRef>
              <c:f>ОТЧЁТ!$EK$200:$EK$219</c:f>
              <c:numCache>
                <c:formatCode>0</c:formatCode>
                <c:ptCount val="20"/>
                <c:pt idx="0">
                  <c:v>617.65701781858718</c:v>
                </c:pt>
                <c:pt idx="1">
                  <c:v>608.39216255130839</c:v>
                </c:pt>
                <c:pt idx="2">
                  <c:v>546.9445541336263</c:v>
                </c:pt>
                <c:pt idx="3">
                  <c:v>545.85066502535915</c:v>
                </c:pt>
                <c:pt idx="4">
                  <c:v>572.05149694657644</c:v>
                </c:pt>
                <c:pt idx="5">
                  <c:v>596.64971131527921</c:v>
                </c:pt>
              </c:numCache>
            </c:numRef>
          </c:xVal>
          <c:yVal>
            <c:numRef>
              <c:f>ОТЧЁТ!$EM$200:$EM$219</c:f>
              <c:numCache>
                <c:formatCode>0</c:formatCode>
                <c:ptCount val="2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6D4-4B58-92B7-D4462C65D346}"/>
            </c:ext>
          </c:extLst>
        </c:ser>
        <c:ser>
          <c:idx val="2"/>
          <c:order val="2"/>
          <c:xVal>
            <c:numRef>
              <c:f>ОТЧЁТ!$EK$208:$EK$219</c:f>
              <c:numCache>
                <c:formatCode>General</c:formatCode>
                <c:ptCount val="12"/>
              </c:numCache>
            </c:numRef>
          </c:xVal>
          <c:yVal>
            <c:numRef>
              <c:f>ОТЧЁТ!$EN$208:$EN$219</c:f>
              <c:numCache>
                <c:formatCode>General</c:formatCode>
                <c:ptCount val="12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6D4-4B58-92B7-D4462C65D3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554944"/>
        <c:axId val="157569024"/>
      </c:scatterChart>
      <c:valAx>
        <c:axId val="157554944"/>
        <c:scaling>
          <c:orientation val="minMax"/>
          <c:max val="2030"/>
          <c:min val="1995"/>
        </c:scaling>
        <c:delete val="0"/>
        <c:axPos val="b"/>
        <c:numFmt formatCode="#,##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57569024"/>
        <c:crosses val="autoZero"/>
        <c:crossBetween val="midCat"/>
        <c:majorUnit val="5"/>
      </c:valAx>
      <c:valAx>
        <c:axId val="157569024"/>
        <c:scaling>
          <c:orientation val="minMax"/>
          <c:max val="900"/>
          <c:min val="10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txPr>
          <a:bodyPr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57554944"/>
        <c:crosses val="autoZero"/>
        <c:crossBetween val="midCat"/>
        <c:majorUnit val="200"/>
      </c:valAx>
      <c:spPr>
        <a:solidFill>
          <a:sysClr val="window" lastClr="FFFFFF"/>
        </a:solidFill>
        <a:ln>
          <a:solidFill>
            <a:schemeClr val="accent4">
              <a:lumMod val="75000"/>
            </a:schemeClr>
          </a:solidFill>
          <a:prstDash val="lgDashDotDot"/>
        </a:ln>
      </c:spPr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8966754063196434E-2"/>
          <c:y val="2.8061862562912012E-2"/>
          <c:w val="0.88358502933090355"/>
          <c:h val="0.91961256642845679"/>
        </c:manualLayout>
      </c:layout>
      <c:scatterChart>
        <c:scatterStyle val="smoothMarker"/>
        <c:varyColors val="0"/>
        <c:ser>
          <c:idx val="0"/>
          <c:order val="0"/>
          <c:spPr>
            <a:ln w="73025"/>
          </c:spPr>
          <c:marker>
            <c:symbol val="circle"/>
            <c:size val="17"/>
            <c:spPr>
              <a:noFill/>
            </c:spPr>
          </c:marker>
          <c:xVal>
            <c:numRef>
              <c:f>ОТЧЁТ!$EK$184:$EK$219</c:f>
              <c:numCache>
                <c:formatCode>0</c:formatCode>
                <c:ptCount val="36"/>
                <c:pt idx="0">
                  <c:v>207.71912069999996</c:v>
                </c:pt>
                <c:pt idx="1">
                  <c:v>182.79282621599998</c:v>
                </c:pt>
                <c:pt idx="2">
                  <c:v>191.93246752679997</c:v>
                </c:pt>
                <c:pt idx="3">
                  <c:v>225.32871687646315</c:v>
                </c:pt>
                <c:pt idx="4">
                  <c:v>247.86158856410947</c:v>
                </c:pt>
                <c:pt idx="5">
                  <c:v>254.80171304390456</c:v>
                </c:pt>
                <c:pt idx="6">
                  <c:v>286.6519271743926</c:v>
                </c:pt>
                <c:pt idx="7">
                  <c:v>325.92324119728437</c:v>
                </c:pt>
                <c:pt idx="8">
                  <c:v>359.16741179940743</c:v>
                </c:pt>
                <c:pt idx="9">
                  <c:v>419.14836956990848</c:v>
                </c:pt>
                <c:pt idx="10">
                  <c:v>514.29504946227769</c:v>
                </c:pt>
                <c:pt idx="11">
                  <c:v>563.15307916119411</c:v>
                </c:pt>
                <c:pt idx="12">
                  <c:v>487.1274134744329</c:v>
                </c:pt>
                <c:pt idx="13">
                  <c:v>517.81644052332217</c:v>
                </c:pt>
                <c:pt idx="14">
                  <c:v>573.74061609984096</c:v>
                </c:pt>
                <c:pt idx="15">
                  <c:v>612.75497799463017</c:v>
                </c:pt>
                <c:pt idx="16">
                  <c:v>617.65701781858718</c:v>
                </c:pt>
                <c:pt idx="17">
                  <c:v>608.39216255130839</c:v>
                </c:pt>
                <c:pt idx="18">
                  <c:v>546.9445541336263</c:v>
                </c:pt>
                <c:pt idx="19">
                  <c:v>545.85066502535915</c:v>
                </c:pt>
                <c:pt idx="20">
                  <c:v>572.05149694657644</c:v>
                </c:pt>
                <c:pt idx="21">
                  <c:v>596.64971131527921</c:v>
                </c:pt>
              </c:numCache>
            </c:numRef>
          </c:xVal>
          <c:yVal>
            <c:numRef>
              <c:f>ОТЧЁТ!#REF!</c:f>
              <c:numCache>
                <c:formatCode>0</c:formatCode>
                <c:ptCount val="25"/>
                <c:pt idx="0">
                  <c:v>408.79700000000003</c:v>
                </c:pt>
                <c:pt idx="1">
                  <c:v>407.08599999999899</c:v>
                </c:pt>
                <c:pt idx="2">
                  <c:v>670.43899999999996</c:v>
                </c:pt>
                <c:pt idx="3">
                  <c:v>1165.2339999999999</c:v>
                </c:pt>
                <c:pt idx="4">
                  <c:v>1504.7</c:v>
                </c:pt>
                <c:pt idx="5">
                  <c:v>1762.4</c:v>
                </c:pt>
                <c:pt idx="6">
                  <c:v>2186.4</c:v>
                </c:pt>
                <c:pt idx="7">
                  <c:v>2865</c:v>
                </c:pt>
                <c:pt idx="8">
                  <c:v>3611.1</c:v>
                </c:pt>
                <c:pt idx="9">
                  <c:v>4730</c:v>
                </c:pt>
                <c:pt idx="10">
                  <c:v>6716.2220000000034</c:v>
                </c:pt>
                <c:pt idx="11">
                  <c:v>8781.616</c:v>
                </c:pt>
                <c:pt idx="12">
                  <c:v>7976.0130000000017</c:v>
                </c:pt>
                <c:pt idx="13">
                  <c:v>9152.1</c:v>
                </c:pt>
                <c:pt idx="14">
                  <c:v>11035.652</c:v>
                </c:pt>
                <c:pt idx="15">
                  <c:v>12586.090400000006</c:v>
                </c:pt>
                <c:pt idx="16">
                  <c:v>13450.238200000014</c:v>
                </c:pt>
                <c:pt idx="17">
                  <c:v>13902.6453</c:v>
                </c:pt>
                <c:pt idx="18">
                  <c:v>13897.2</c:v>
                </c:pt>
                <c:pt idx="19">
                  <c:v>14748.8</c:v>
                </c:pt>
                <c:pt idx="20">
                  <c:v>16027.3</c:v>
                </c:pt>
                <c:pt idx="21">
                  <c:v>17595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39C-4F35-AA52-436F5B8D81D1}"/>
            </c:ext>
          </c:extLst>
        </c:ser>
        <c:ser>
          <c:idx val="1"/>
          <c:order val="1"/>
          <c:xVal>
            <c:numRef>
              <c:f>ОТЧЁТ!$EK$200:$EK$219</c:f>
              <c:numCache>
                <c:formatCode>0</c:formatCode>
                <c:ptCount val="20"/>
                <c:pt idx="0">
                  <c:v>617.65701781858718</c:v>
                </c:pt>
                <c:pt idx="1">
                  <c:v>608.39216255130839</c:v>
                </c:pt>
                <c:pt idx="2">
                  <c:v>546.9445541336263</c:v>
                </c:pt>
                <c:pt idx="3">
                  <c:v>545.85066502535915</c:v>
                </c:pt>
                <c:pt idx="4">
                  <c:v>572.05149694657644</c:v>
                </c:pt>
                <c:pt idx="5">
                  <c:v>596.64971131527921</c:v>
                </c:pt>
              </c:numCache>
            </c:numRef>
          </c:xVal>
          <c:yVal>
            <c:numRef>
              <c:f>ОТЧЁТ!$EM$200:$EM$219</c:f>
              <c:numCache>
                <c:formatCode>0</c:formatCode>
                <c:ptCount val="2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39C-4F35-AA52-436F5B8D81D1}"/>
            </c:ext>
          </c:extLst>
        </c:ser>
        <c:ser>
          <c:idx val="2"/>
          <c:order val="2"/>
          <c:xVal>
            <c:numRef>
              <c:f>ОТЧЁТ!$EK$208:$EK$219</c:f>
              <c:numCache>
                <c:formatCode>General</c:formatCode>
                <c:ptCount val="12"/>
              </c:numCache>
            </c:numRef>
          </c:xVal>
          <c:yVal>
            <c:numRef>
              <c:f>ОТЧЁТ!$EN$208:$EN$219</c:f>
              <c:numCache>
                <c:formatCode>General</c:formatCode>
                <c:ptCount val="12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39C-4F35-AA52-436F5B8D81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225728"/>
        <c:axId val="157226880"/>
      </c:scatterChart>
      <c:valAx>
        <c:axId val="157225728"/>
        <c:scaling>
          <c:orientation val="minMax"/>
          <c:max val="2030"/>
          <c:min val="1995"/>
        </c:scaling>
        <c:delete val="0"/>
        <c:axPos val="b"/>
        <c:numFmt formatCode="#,##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57226880"/>
        <c:crosses val="autoZero"/>
        <c:crossBetween val="midCat"/>
        <c:majorUnit val="5"/>
      </c:valAx>
      <c:valAx>
        <c:axId val="157226880"/>
        <c:scaling>
          <c:orientation val="minMax"/>
          <c:max val="900"/>
          <c:min val="10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txPr>
          <a:bodyPr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57225728"/>
        <c:crosses val="autoZero"/>
        <c:crossBetween val="midCat"/>
        <c:majorUnit val="200"/>
      </c:valAx>
      <c:spPr>
        <a:solidFill>
          <a:sysClr val="window" lastClr="FFFFFF"/>
        </a:solidFill>
        <a:ln>
          <a:solidFill>
            <a:schemeClr val="accent4">
              <a:lumMod val="75000"/>
            </a:schemeClr>
          </a:solidFill>
          <a:prstDash val="lgDashDotDot"/>
        </a:ln>
      </c:spPr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8648995193458946E-2"/>
          <c:y val="2.8061862562912012E-2"/>
          <c:w val="0.90817160809799968"/>
          <c:h val="0.91961256642845679"/>
        </c:manualLayout>
      </c:layout>
      <c:scatterChart>
        <c:scatterStyle val="smoothMarker"/>
        <c:varyColors val="0"/>
        <c:ser>
          <c:idx val="0"/>
          <c:order val="0"/>
          <c:spPr>
            <a:ln w="85725"/>
          </c:spPr>
          <c:marker>
            <c:symbol val="circle"/>
            <c:size val="15"/>
            <c:spPr>
              <a:noFill/>
            </c:spPr>
          </c:marker>
          <c:xVal>
            <c:numRef>
              <c:f>НАСТРОЙКА!$BD$165:$BD$205</c:f>
              <c:numCache>
                <c:formatCode>General</c:formatCode>
                <c:ptCount val="41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  <c:pt idx="36">
                  <c:v>2031</c:v>
                </c:pt>
                <c:pt idx="37">
                  <c:v>2032</c:v>
                </c:pt>
                <c:pt idx="38">
                  <c:v>2033</c:v>
                </c:pt>
                <c:pt idx="39">
                  <c:v>2034</c:v>
                </c:pt>
                <c:pt idx="40">
                  <c:v>2035</c:v>
                </c:pt>
              </c:numCache>
            </c:numRef>
          </c:xVal>
          <c:yVal>
            <c:numRef>
              <c:f>НАСТРОЙКА!$BE$165:$BE$205</c:f>
              <c:numCache>
                <c:formatCode>0</c:formatCode>
                <c:ptCount val="41"/>
                <c:pt idx="0">
                  <c:v>266.97399999999999</c:v>
                </c:pt>
                <c:pt idx="1">
                  <c:v>218.65170599999999</c:v>
                </c:pt>
                <c:pt idx="2">
                  <c:v>207.71912069999999</c:v>
                </c:pt>
                <c:pt idx="3">
                  <c:v>182.79282621599998</c:v>
                </c:pt>
                <c:pt idx="4">
                  <c:v>191.9324675268</c:v>
                </c:pt>
                <c:pt idx="5">
                  <c:v>225.32871687646318</c:v>
                </c:pt>
                <c:pt idx="6">
                  <c:v>247.86158856410952</c:v>
                </c:pt>
                <c:pt idx="7">
                  <c:v>254.80171304390458</c:v>
                </c:pt>
                <c:pt idx="8">
                  <c:v>286.65192717439265</c:v>
                </c:pt>
                <c:pt idx="9">
                  <c:v>325.92324119728443</c:v>
                </c:pt>
                <c:pt idx="10">
                  <c:v>359.16741179940749</c:v>
                </c:pt>
                <c:pt idx="11">
                  <c:v>419.14836956990854</c:v>
                </c:pt>
                <c:pt idx="12">
                  <c:v>514.2950494622778</c:v>
                </c:pt>
                <c:pt idx="13">
                  <c:v>563.15307916119423</c:v>
                </c:pt>
                <c:pt idx="14">
                  <c:v>487.12741347443301</c:v>
                </c:pt>
                <c:pt idx="15">
                  <c:v>517.81644052332229</c:v>
                </c:pt>
                <c:pt idx="16">
                  <c:v>573.74061609984119</c:v>
                </c:pt>
                <c:pt idx="17">
                  <c:v>612.75497799463039</c:v>
                </c:pt>
                <c:pt idx="18">
                  <c:v>617.65701781858741</c:v>
                </c:pt>
                <c:pt idx="19">
                  <c:v>608.39216255130862</c:v>
                </c:pt>
                <c:pt idx="20">
                  <c:v>546.94455413362641</c:v>
                </c:pt>
                <c:pt idx="21">
                  <c:v>545.85066502535915</c:v>
                </c:pt>
                <c:pt idx="22">
                  <c:v>572.05149694657644</c:v>
                </c:pt>
                <c:pt idx="23">
                  <c:v>596.64971131527921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EF18-43F4-971F-602325808958}"/>
            </c:ext>
          </c:extLst>
        </c:ser>
        <c:ser>
          <c:idx val="1"/>
          <c:order val="1"/>
          <c:xVal>
            <c:numRef>
              <c:f>НАСТРОЙКА!$BD$165:$BD$205</c:f>
              <c:numCache>
                <c:formatCode>General</c:formatCode>
                <c:ptCount val="41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  <c:pt idx="36">
                  <c:v>2031</c:v>
                </c:pt>
                <c:pt idx="37">
                  <c:v>2032</c:v>
                </c:pt>
                <c:pt idx="38">
                  <c:v>2033</c:v>
                </c:pt>
                <c:pt idx="39">
                  <c:v>2034</c:v>
                </c:pt>
                <c:pt idx="40">
                  <c:v>2035</c:v>
                </c:pt>
              </c:numCache>
            </c:numRef>
          </c:xVal>
          <c:yVal>
            <c:numRef>
              <c:f>НАСТРОЙКА!$BG$165:$BG$205</c:f>
              <c:numCache>
                <c:formatCode>0.00</c:formatCode>
                <c:ptCount val="41"/>
                <c:pt idx="16" formatCode="0">
                  <c:v>573.74061609984119</c:v>
                </c:pt>
                <c:pt idx="17" formatCode="0">
                  <c:v>573.74061609984119</c:v>
                </c:pt>
                <c:pt idx="18" formatCode="0">
                  <c:v>573.74061609984119</c:v>
                </c:pt>
                <c:pt idx="19" formatCode="0">
                  <c:v>573.74061609984119</c:v>
                </c:pt>
                <c:pt idx="20" formatCode="0">
                  <c:v>573.74061609984119</c:v>
                </c:pt>
                <c:pt idx="21" formatCode="0">
                  <c:v>573.74061609984119</c:v>
                </c:pt>
                <c:pt idx="22" formatCode="0">
                  <c:v>573.74061609984119</c:v>
                </c:pt>
                <c:pt idx="23" formatCode="0">
                  <c:v>573.74061609984119</c:v>
                </c:pt>
                <c:pt idx="24" formatCode="0">
                  <c:v>573.74061609984119</c:v>
                </c:pt>
                <c:pt idx="25" formatCode="0">
                  <c:v>573.74061609984119</c:v>
                </c:pt>
                <c:pt idx="26" formatCode="0">
                  <c:v>573.74061609984119</c:v>
                </c:pt>
                <c:pt idx="27" formatCode="0">
                  <c:v>573.74061609984119</c:v>
                </c:pt>
                <c:pt idx="28" formatCode="0">
                  <c:v>573.74061609984119</c:v>
                </c:pt>
                <c:pt idx="29" formatCode="0">
                  <c:v>573.74061609984119</c:v>
                </c:pt>
                <c:pt idx="30" formatCode="0">
                  <c:v>573.74061609984119</c:v>
                </c:pt>
                <c:pt idx="31" formatCode="0">
                  <c:v>573.74061609984119</c:v>
                </c:pt>
                <c:pt idx="32" formatCode="0">
                  <c:v>573.74061609984119</c:v>
                </c:pt>
                <c:pt idx="33" formatCode="0">
                  <c:v>573.74061609984119</c:v>
                </c:pt>
                <c:pt idx="34" formatCode="0">
                  <c:v>573.74061609984119</c:v>
                </c:pt>
                <c:pt idx="35" formatCode="0">
                  <c:v>573.74061609984119</c:v>
                </c:pt>
                <c:pt idx="36" formatCode="0">
                  <c:v>573.74061609984119</c:v>
                </c:pt>
                <c:pt idx="37" formatCode="0">
                  <c:v>573.74061609984119</c:v>
                </c:pt>
                <c:pt idx="38" formatCode="0">
                  <c:v>573.74061609984119</c:v>
                </c:pt>
                <c:pt idx="39" formatCode="0">
                  <c:v>573.74061609984119</c:v>
                </c:pt>
                <c:pt idx="40" formatCode="0">
                  <c:v>573.74061609984119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EF18-43F4-971F-602325808958}"/>
            </c:ext>
          </c:extLst>
        </c:ser>
        <c:ser>
          <c:idx val="2"/>
          <c:order val="2"/>
          <c:spPr>
            <a:ln w="25400"/>
          </c:spPr>
          <c:xVal>
            <c:numRef>
              <c:f>НАСТРОЙКА!$BD$165:$BD$205</c:f>
              <c:numCache>
                <c:formatCode>General</c:formatCode>
                <c:ptCount val="41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  <c:pt idx="36">
                  <c:v>2031</c:v>
                </c:pt>
                <c:pt idx="37">
                  <c:v>2032</c:v>
                </c:pt>
                <c:pt idx="38">
                  <c:v>2033</c:v>
                </c:pt>
                <c:pt idx="39">
                  <c:v>2034</c:v>
                </c:pt>
                <c:pt idx="40">
                  <c:v>2035</c:v>
                </c:pt>
              </c:numCache>
            </c:numRef>
          </c:xVal>
          <c:yVal>
            <c:numRef>
              <c:f>НАСТРОЙКА!$BH$165:$BH$205</c:f>
              <c:numCache>
                <c:formatCode>General</c:formatCode>
                <c:ptCount val="41"/>
                <c:pt idx="19" formatCode="0">
                  <c:v>608.39216255130862</c:v>
                </c:pt>
                <c:pt idx="20" formatCode="0">
                  <c:v>546.94455413362641</c:v>
                </c:pt>
                <c:pt idx="21" formatCode="0">
                  <c:v>545.85066502535915</c:v>
                </c:pt>
                <c:pt idx="22" formatCode="0">
                  <c:v>572.05149694657644</c:v>
                </c:pt>
                <c:pt idx="23" formatCode="0">
                  <c:v>596.64971131527921</c:v>
                </c:pt>
                <c:pt idx="24" formatCode="0">
                  <c:v>601.42290900580144</c:v>
                </c:pt>
                <c:pt idx="25" formatCode="0">
                  <c:v>596.64971131527921</c:v>
                </c:pt>
                <c:pt idx="26" formatCode="0">
                  <c:v>552.30376652686937</c:v>
                </c:pt>
                <c:pt idx="27" formatCode="0">
                  <c:v>554.21765034770374</c:v>
                </c:pt>
                <c:pt idx="28" formatCode="0">
                  <c:v>572.72714460788234</c:v>
                </c:pt>
                <c:pt idx="29" formatCode="0">
                  <c:v>585.19516370756014</c:v>
                </c:pt>
                <c:pt idx="30" formatCode="0">
                  <c:v>584.81353326222529</c:v>
                </c:pt>
                <c:pt idx="31" formatCode="0">
                  <c:v>580.61334466447261</c:v>
                </c:pt>
                <c:pt idx="32" formatCode="0">
                  <c:v>569.45324618524683</c:v>
                </c:pt>
                <c:pt idx="33" formatCode="0">
                  <c:v>571.78831952462747</c:v>
                </c:pt>
                <c:pt idx="34" formatCode="0">
                  <c:v>573.74061609984119</c:v>
                </c:pt>
                <c:pt idx="35" formatCode="0">
                  <c:v>573.74061609984119</c:v>
                </c:pt>
                <c:pt idx="36" formatCode="0">
                  <c:v>573.74061609984119</c:v>
                </c:pt>
                <c:pt idx="37" formatCode="0">
                  <c:v>573.74061609984119</c:v>
                </c:pt>
                <c:pt idx="38" formatCode="0">
                  <c:v>573.74061609984119</c:v>
                </c:pt>
                <c:pt idx="39" formatCode="0">
                  <c:v>573.74061609984119</c:v>
                </c:pt>
                <c:pt idx="40" formatCode="0">
                  <c:v>573.74061609984119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EF18-43F4-971F-6023258089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283072"/>
        <c:axId val="157284608"/>
      </c:scatterChart>
      <c:valAx>
        <c:axId val="157283072"/>
        <c:scaling>
          <c:orientation val="minMax"/>
          <c:max val="2035"/>
          <c:min val="1995"/>
        </c:scaling>
        <c:delete val="0"/>
        <c:axPos val="b"/>
        <c:numFmt formatCode="#,##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20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57284608"/>
        <c:crosses val="autoZero"/>
        <c:crossBetween val="midCat"/>
        <c:majorUnit val="5"/>
      </c:valAx>
      <c:valAx>
        <c:axId val="157284608"/>
        <c:scaling>
          <c:orientation val="minMax"/>
          <c:max val="900"/>
          <c:min val="10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txPr>
          <a:bodyPr/>
          <a:lstStyle/>
          <a:p>
            <a:pPr>
              <a:defRPr sz="18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57283072"/>
        <c:crosses val="autoZero"/>
        <c:crossBetween val="midCat"/>
        <c:majorUnit val="200"/>
      </c:valAx>
      <c:spPr>
        <a:solidFill>
          <a:sysClr val="window" lastClr="FFFFFF"/>
        </a:solidFill>
        <a:ln>
          <a:solidFill>
            <a:schemeClr val="accent4">
              <a:lumMod val="75000"/>
            </a:schemeClr>
          </a:solidFill>
          <a:prstDash val="lgDashDotDot"/>
        </a:ln>
      </c:spPr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5.5813020202902533E-2"/>
          <c:y val="2.4722473203253381E-2"/>
          <c:w val="0.91247748231154169"/>
          <c:h val="0.91506378274495292"/>
        </c:manualLayout>
      </c:layout>
      <c:scatterChart>
        <c:scatterStyle val="smoothMarker"/>
        <c:varyColors val="0"/>
        <c:ser>
          <c:idx val="0"/>
          <c:order val="0"/>
          <c:spPr>
            <a:ln w="73025"/>
          </c:spPr>
          <c:marker>
            <c:symbol val="circle"/>
            <c:size val="12"/>
            <c:spPr>
              <a:noFill/>
            </c:spPr>
          </c:marker>
          <c:xVal>
            <c:numRef>
              <c:f>НАСТРОЙКА!$CO$60:$CO$90</c:f>
              <c:numCache>
                <c:formatCode>0.00</c:formatCode>
                <c:ptCount val="31"/>
                <c:pt idx="0">
                  <c:v>82.842244945749741</c:v>
                </c:pt>
                <c:pt idx="1">
                  <c:v>84.234267734553782</c:v>
                </c:pt>
                <c:pt idx="2">
                  <c:v>87.960734143049933</c:v>
                </c:pt>
                <c:pt idx="3">
                  <c:v>90.073972831048835</c:v>
                </c:pt>
                <c:pt idx="4">
                  <c:v>83.60832021541259</c:v>
                </c:pt>
                <c:pt idx="5">
                  <c:v>81.459212480525593</c:v>
                </c:pt>
                <c:pt idx="6">
                  <c:v>82.125453598771088</c:v>
                </c:pt>
                <c:pt idx="7">
                  <c:v>81.035396178458996</c:v>
                </c:pt>
                <c:pt idx="8">
                  <c:v>82.484829045057609</c:v>
                </c:pt>
                <c:pt idx="9">
                  <c:v>82.584596491397647</c:v>
                </c:pt>
                <c:pt idx="10">
                  <c:v>82.897660015178488</c:v>
                </c:pt>
                <c:pt idx="11">
                  <c:v>83.868591772093538</c:v>
                </c:pt>
                <c:pt idx="12">
                  <c:v>84.512377132072061</c:v>
                </c:pt>
                <c:pt idx="13">
                  <c:v>87.267507050457894</c:v>
                </c:pt>
                <c:pt idx="14">
                  <c:v>92.126998369154009</c:v>
                </c:pt>
                <c:pt idx="15">
                  <c:v>94.180205088588238</c:v>
                </c:pt>
                <c:pt idx="16">
                  <c:v>96.671652013207932</c:v>
                </c:pt>
                <c:pt idx="17">
                  <c:v>99.857807392108484</c:v>
                </c:pt>
                <c:pt idx="18">
                  <c:v>104.1761508077991</c:v>
                </c:pt>
                <c:pt idx="19">
                  <c:v>107.80780271745721</c:v>
                </c:pt>
                <c:pt idx="20">
                  <c:v>110.05071046098531</c:v>
                </c:pt>
                <c:pt idx="21">
                  <c:v>114.23310842868784</c:v>
                </c:pt>
                <c:pt idx="22">
                  <c:v>118.98651493415989</c:v>
                </c:pt>
                <c:pt idx="23">
                  <c:v>123.62067082837341</c:v>
                </c:pt>
              </c:numCache>
            </c:numRef>
          </c:xVal>
          <c:yVal>
            <c:numRef>
              <c:f>НАСТРОЙКА!$CN$60:$CN$90</c:f>
              <c:numCache>
                <c:formatCode>0.00</c:formatCode>
                <c:ptCount val="31"/>
                <c:pt idx="0">
                  <c:v>22.301473733510264</c:v>
                </c:pt>
                <c:pt idx="1">
                  <c:v>21.883647145944572</c:v>
                </c:pt>
                <c:pt idx="2">
                  <c:v>23.264748432488631</c:v>
                </c:pt>
                <c:pt idx="3">
                  <c:v>22.628910997930777</c:v>
                </c:pt>
                <c:pt idx="4">
                  <c:v>22.304255968314099</c:v>
                </c:pt>
                <c:pt idx="5">
                  <c:v>23.785105002190093</c:v>
                </c:pt>
                <c:pt idx="6">
                  <c:v>24.977800752416609</c:v>
                </c:pt>
                <c:pt idx="7">
                  <c:v>25.549151597899893</c:v>
                </c:pt>
                <c:pt idx="8">
                  <c:v>27.546477966188984</c:v>
                </c:pt>
                <c:pt idx="9">
                  <c:v>29.099942356965194</c:v>
                </c:pt>
                <c:pt idx="10">
                  <c:v>30.500207447846275</c:v>
                </c:pt>
                <c:pt idx="11">
                  <c:v>32.605223124147997</c:v>
                </c:pt>
                <c:pt idx="12">
                  <c:v>34.576355601632038</c:v>
                </c:pt>
                <c:pt idx="13">
                  <c:v>36.254961869156645</c:v>
                </c:pt>
                <c:pt idx="14">
                  <c:v>34.157158680963363</c:v>
                </c:pt>
                <c:pt idx="15">
                  <c:v>35.426929528449264</c:v>
                </c:pt>
                <c:pt idx="16">
                  <c:v>36.469011429199981</c:v>
                </c:pt>
                <c:pt idx="17">
                  <c:v>37.438341507582962</c:v>
                </c:pt>
                <c:pt idx="18">
                  <c:v>38.188926146237897</c:v>
                </c:pt>
                <c:pt idx="19">
                  <c:v>38.39162476730791</c:v>
                </c:pt>
                <c:pt idx="20">
                  <c:v>37.101717534154105</c:v>
                </c:pt>
                <c:pt idx="21">
                  <c:v>37.140293612287223</c:v>
                </c:pt>
                <c:pt idx="22">
                  <c:v>37.940365202418107</c:v>
                </c:pt>
                <c:pt idx="23">
                  <c:v>38.88841603191208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0B6-4EA9-97E3-0820C93E9FC9}"/>
            </c:ext>
          </c:extLst>
        </c:ser>
        <c:ser>
          <c:idx val="1"/>
          <c:order val="1"/>
          <c:marker>
            <c:symbol val="none"/>
          </c:marker>
          <c:trendline>
            <c:spPr>
              <a:ln>
                <a:prstDash val="lgDash"/>
              </a:ln>
            </c:spPr>
            <c:trendlineType val="linear"/>
            <c:forward val="3"/>
            <c:dispRSqr val="0"/>
            <c:dispEq val="0"/>
          </c:trendline>
          <c:xVal>
            <c:numRef>
              <c:f>НАСТРОЙКА!$CO$65:$CO$72</c:f>
              <c:numCache>
                <c:formatCode>0.00</c:formatCode>
                <c:ptCount val="8"/>
                <c:pt idx="0">
                  <c:v>81.459212480525593</c:v>
                </c:pt>
                <c:pt idx="1">
                  <c:v>82.125453598771088</c:v>
                </c:pt>
                <c:pt idx="2">
                  <c:v>81.035396178458996</c:v>
                </c:pt>
                <c:pt idx="3">
                  <c:v>82.484829045057609</c:v>
                </c:pt>
                <c:pt idx="4">
                  <c:v>82.584596491397647</c:v>
                </c:pt>
                <c:pt idx="5">
                  <c:v>82.897660015178488</c:v>
                </c:pt>
                <c:pt idx="6">
                  <c:v>83.868591772093538</c:v>
                </c:pt>
                <c:pt idx="7">
                  <c:v>84.512377132072061</c:v>
                </c:pt>
              </c:numCache>
            </c:numRef>
          </c:xVal>
          <c:yVal>
            <c:numRef>
              <c:f>НАСТРОЙКА!$CN$65:$CN$72</c:f>
              <c:numCache>
                <c:formatCode>0.00</c:formatCode>
                <c:ptCount val="8"/>
                <c:pt idx="0">
                  <c:v>23.785105002190093</c:v>
                </c:pt>
                <c:pt idx="1">
                  <c:v>24.977800752416609</c:v>
                </c:pt>
                <c:pt idx="2">
                  <c:v>25.549151597899893</c:v>
                </c:pt>
                <c:pt idx="3">
                  <c:v>27.546477966188984</c:v>
                </c:pt>
                <c:pt idx="4">
                  <c:v>29.099942356965194</c:v>
                </c:pt>
                <c:pt idx="5">
                  <c:v>30.500207447846275</c:v>
                </c:pt>
                <c:pt idx="6">
                  <c:v>32.605223124147997</c:v>
                </c:pt>
                <c:pt idx="7">
                  <c:v>34.576355601632038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B98-43C5-BC77-004EA43D5A6C}"/>
            </c:ext>
          </c:extLst>
        </c:ser>
        <c:ser>
          <c:idx val="2"/>
          <c:order val="2"/>
          <c:trendline>
            <c:spPr>
              <a:ln>
                <a:prstDash val="lgDash"/>
              </a:ln>
            </c:spPr>
            <c:trendlineType val="linear"/>
            <c:forward val="6"/>
            <c:backward val="6"/>
            <c:dispRSqr val="0"/>
            <c:dispEq val="0"/>
          </c:trendline>
          <c:xVal>
            <c:numRef>
              <c:f>НАСТРОЙКА!$CO$81:$CO$90</c:f>
              <c:numCache>
                <c:formatCode>0.00</c:formatCode>
                <c:ptCount val="10"/>
                <c:pt idx="0">
                  <c:v>114.23310842868784</c:v>
                </c:pt>
                <c:pt idx="1">
                  <c:v>118.98651493415989</c:v>
                </c:pt>
                <c:pt idx="2">
                  <c:v>123.62067082837341</c:v>
                </c:pt>
              </c:numCache>
            </c:numRef>
          </c:xVal>
          <c:yVal>
            <c:numRef>
              <c:f>НАСТРОЙКА!$CN$81:$CN$90</c:f>
              <c:numCache>
                <c:formatCode>0.00</c:formatCode>
                <c:ptCount val="10"/>
                <c:pt idx="0">
                  <c:v>37.140293612287223</c:v>
                </c:pt>
                <c:pt idx="1">
                  <c:v>37.940365202418107</c:v>
                </c:pt>
                <c:pt idx="2">
                  <c:v>38.88841603191208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61A-4CFB-AE7B-DD5D5A1B5E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622272"/>
        <c:axId val="157623808"/>
      </c:scatterChart>
      <c:valAx>
        <c:axId val="157622272"/>
        <c:scaling>
          <c:orientation val="minMax"/>
          <c:max val="130"/>
          <c:min val="75"/>
        </c:scaling>
        <c:delete val="0"/>
        <c:axPos val="b"/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600" b="0" i="0" u="none" strike="noStrike" baseline="0">
                <a:solidFill>
                  <a:srgbClr val="000000"/>
                </a:solidFill>
                <a:latin typeface="Arial" panose="020B0604020202020204" pitchFamily="34" charset="0"/>
                <a:ea typeface="Calibri"/>
                <a:cs typeface="Arial" panose="020B0604020202020204" pitchFamily="34" charset="0"/>
              </a:defRPr>
            </a:pPr>
            <a:endParaRPr lang="ru-RU"/>
          </a:p>
        </c:txPr>
        <c:crossAx val="157623808"/>
        <c:crosses val="autoZero"/>
        <c:crossBetween val="midCat"/>
        <c:majorUnit val="5"/>
      </c:valAx>
      <c:valAx>
        <c:axId val="157623808"/>
        <c:scaling>
          <c:orientation val="minMax"/>
          <c:max val="45"/>
          <c:min val="2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txPr>
          <a:bodyPr/>
          <a:lstStyle/>
          <a:p>
            <a:pPr>
              <a:defRPr sz="1600">
                <a:latin typeface="Arial" panose="020B0604020202020204" pitchFamily="34" charset="0"/>
                <a:cs typeface="Arial" panose="020B0604020202020204" pitchFamily="34" charset="0"/>
              </a:defRPr>
            </a:pPr>
            <a:endParaRPr lang="ru-RU"/>
          </a:p>
        </c:txPr>
        <c:crossAx val="157622272"/>
        <c:crosses val="autoZero"/>
        <c:crossBetween val="midCat"/>
        <c:majorUnit val="5"/>
      </c:valAx>
    </c:plotArea>
    <c:plotVisOnly val="1"/>
    <c:dispBlanksAs val="gap"/>
    <c:showDLblsOverMax val="0"/>
  </c:chart>
  <c:spPr>
    <a:solidFill>
      <a:schemeClr val="bg2"/>
    </a:solidFill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4.922685845371691E-2"/>
          <c:y val="2.2592016970750552E-2"/>
          <c:w val="0.90571199343527165"/>
          <c:h val="0.93620848871062057"/>
        </c:manualLayout>
      </c:layout>
      <c:scatterChart>
        <c:scatterStyle val="smoothMarker"/>
        <c:varyColors val="0"/>
        <c:ser>
          <c:idx val="0"/>
          <c:order val="0"/>
          <c:spPr>
            <a:ln w="79375">
              <a:solidFill>
                <a:srgbClr val="FF0000"/>
              </a:solidFill>
            </a:ln>
          </c:spPr>
          <c:marker>
            <c:symbol val="circle"/>
            <c:size val="15"/>
            <c:spPr>
              <a:noFill/>
            </c:spPr>
          </c:marker>
          <c:xVal>
            <c:numRef>
              <c:f>НАСТРОЙКА!$DB$95:$DB$118</c:f>
              <c:numCache>
                <c:formatCode>0</c:formatCode>
                <c:ptCount val="24"/>
                <c:pt idx="0">
                  <c:v>1428.5209</c:v>
                </c:pt>
                <c:pt idx="1">
                  <c:v>1377.0941476</c:v>
                </c:pt>
                <c:pt idx="2">
                  <c:v>1396.3734656664001</c:v>
                </c:pt>
                <c:pt idx="3">
                  <c:v>1322.3656719860808</c:v>
                </c:pt>
                <c:pt idx="4">
                  <c:v>1406.9970749931899</c:v>
                </c:pt>
                <c:pt idx="5">
                  <c:v>1547.6967824925091</c:v>
                </c:pt>
                <c:pt idx="6">
                  <c:v>1626.629318399627</c:v>
                </c:pt>
                <c:pt idx="7">
                  <c:v>1703.0808963644092</c:v>
                </c:pt>
                <c:pt idx="8">
                  <c:v>1827.405801799011</c:v>
                </c:pt>
                <c:pt idx="9">
                  <c:v>1958.97901952854</c:v>
                </c:pt>
                <c:pt idx="10">
                  <c:v>2084.3536767783667</c:v>
                </c:pt>
                <c:pt idx="11">
                  <c:v>2255.270678274193</c:v>
                </c:pt>
                <c:pt idx="12">
                  <c:v>2446.9686859274993</c:v>
                </c:pt>
                <c:pt idx="13">
                  <c:v>2574.2110575957295</c:v>
                </c:pt>
                <c:pt idx="14">
                  <c:v>2370.848384045667</c:v>
                </c:pt>
                <c:pt idx="15">
                  <c:v>2477.5365613277218</c:v>
                </c:pt>
                <c:pt idx="16">
                  <c:v>2584.0706334648135</c:v>
                </c:pt>
                <c:pt idx="17">
                  <c:v>2678.541712402734</c:v>
                </c:pt>
                <c:pt idx="18">
                  <c:v>2726.3631774238834</c:v>
                </c:pt>
                <c:pt idx="19">
                  <c:v>2746.5001169353304</c:v>
                </c:pt>
                <c:pt idx="20">
                  <c:v>2683.3306142458177</c:v>
                </c:pt>
                <c:pt idx="21">
                  <c:v>2688.6972754743092</c:v>
                </c:pt>
                <c:pt idx="22">
                  <c:v>2737.093826432847</c:v>
                </c:pt>
                <c:pt idx="23">
                  <c:v>2813.7324535729667</c:v>
                </c:pt>
              </c:numCache>
            </c:numRef>
          </c:xVal>
          <c:yVal>
            <c:numRef>
              <c:f>НАСТРОЙКА!$DA$95:$DA$118</c:f>
              <c:numCache>
                <c:formatCode>0.0</c:formatCode>
                <c:ptCount val="24"/>
                <c:pt idx="0">
                  <c:v>64.055000000000007</c:v>
                </c:pt>
                <c:pt idx="1">
                  <c:v>62.927999999999997</c:v>
                </c:pt>
                <c:pt idx="2">
                  <c:v>60.021000000000001</c:v>
                </c:pt>
                <c:pt idx="3">
                  <c:v>58.436999999999998</c:v>
                </c:pt>
                <c:pt idx="4">
                  <c:v>63.082000000000001</c:v>
                </c:pt>
                <c:pt idx="5">
                  <c:v>65.069999999999993</c:v>
                </c:pt>
                <c:pt idx="6">
                  <c:v>65.123000000000005</c:v>
                </c:pt>
                <c:pt idx="7">
                  <c:v>66.659000000000006</c:v>
                </c:pt>
                <c:pt idx="8">
                  <c:v>66.338999999999999</c:v>
                </c:pt>
                <c:pt idx="9">
                  <c:v>67.319000000000003</c:v>
                </c:pt>
                <c:pt idx="10">
                  <c:v>68.338999999999999</c:v>
                </c:pt>
                <c:pt idx="11">
                  <c:v>69.168999999999997</c:v>
                </c:pt>
                <c:pt idx="12">
                  <c:v>70.77</c:v>
                </c:pt>
                <c:pt idx="13">
                  <c:v>71.003</c:v>
                </c:pt>
                <c:pt idx="14">
                  <c:v>69.41</c:v>
                </c:pt>
                <c:pt idx="15">
                  <c:v>69.933708461473046</c:v>
                </c:pt>
                <c:pt idx="16">
                  <c:v>70.85661311334043</c:v>
                </c:pt>
                <c:pt idx="17">
                  <c:v>71.545415863579535</c:v>
                </c:pt>
                <c:pt idx="18">
                  <c:v>71.391459581339006</c:v>
                </c:pt>
                <c:pt idx="19">
                  <c:v>71.539043569577998</c:v>
                </c:pt>
                <c:pt idx="20">
                  <c:v>72.323622532452006</c:v>
                </c:pt>
                <c:pt idx="21">
                  <c:v>72.393000000000001</c:v>
                </c:pt>
                <c:pt idx="22">
                  <c:v>72.141999999999996</c:v>
                </c:pt>
                <c:pt idx="23">
                  <c:v>72.353999999999999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39EF-424B-9724-7300FA3F763A}"/>
            </c:ext>
          </c:extLst>
        </c:ser>
        <c:ser>
          <c:idx val="1"/>
          <c:order val="1"/>
          <c:trendline>
            <c:spPr>
              <a:ln w="25400">
                <a:prstDash val="lgDash"/>
              </a:ln>
            </c:spPr>
            <c:trendlineType val="linear"/>
            <c:forward val="500"/>
            <c:backward val="500"/>
            <c:dispRSqr val="1"/>
            <c:dispEq val="1"/>
            <c:trendlineLbl>
              <c:layout>
                <c:manualLayout>
                  <c:x val="-0.22446153611843261"/>
                  <c:y val="0.17336949445737043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sz="1800"/>
                  </a:pPr>
                  <a:endParaRPr lang="ru-RU"/>
                </a:p>
              </c:txPr>
            </c:trendlineLbl>
          </c:trendline>
          <c:xVal>
            <c:numRef>
              <c:f>НАСТРОЙКА!$DB$103:$DB$107</c:f>
              <c:numCache>
                <c:formatCode>0</c:formatCode>
                <c:ptCount val="5"/>
                <c:pt idx="0">
                  <c:v>1827.405801799011</c:v>
                </c:pt>
                <c:pt idx="1">
                  <c:v>1958.97901952854</c:v>
                </c:pt>
                <c:pt idx="2">
                  <c:v>2084.3536767783667</c:v>
                </c:pt>
                <c:pt idx="3">
                  <c:v>2255.270678274193</c:v>
                </c:pt>
                <c:pt idx="4">
                  <c:v>2446.9686859274993</c:v>
                </c:pt>
              </c:numCache>
            </c:numRef>
          </c:xVal>
          <c:yVal>
            <c:numRef>
              <c:f>НАСТРОЙКА!$DA$103:$DA$107</c:f>
              <c:numCache>
                <c:formatCode>0.0</c:formatCode>
                <c:ptCount val="5"/>
                <c:pt idx="0">
                  <c:v>66.338999999999999</c:v>
                </c:pt>
                <c:pt idx="1">
                  <c:v>67.319000000000003</c:v>
                </c:pt>
                <c:pt idx="2">
                  <c:v>68.338999999999999</c:v>
                </c:pt>
                <c:pt idx="3">
                  <c:v>69.168999999999997</c:v>
                </c:pt>
                <c:pt idx="4">
                  <c:v>70.77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39EF-424B-9724-7300FA3F763A}"/>
            </c:ext>
          </c:extLst>
        </c:ser>
        <c:ser>
          <c:idx val="2"/>
          <c:order val="2"/>
          <c:trendline>
            <c:spPr>
              <a:ln w="25400">
                <a:prstDash val="lgDash"/>
              </a:ln>
            </c:spPr>
            <c:trendlineType val="linear"/>
            <c:forward val="400"/>
            <c:backward val="300"/>
            <c:dispRSqr val="1"/>
            <c:dispEq val="1"/>
            <c:trendlineLbl>
              <c:layout>
                <c:manualLayout>
                  <c:x val="-0.14107129258746412"/>
                  <c:y val="0.33732614711505959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sz="1800"/>
                  </a:pPr>
                  <a:endParaRPr lang="ru-RU"/>
                </a:p>
              </c:txPr>
            </c:trendlineLbl>
          </c:trendline>
          <c:xVal>
            <c:numRef>
              <c:f>НАСТРОЙКА!$DB$109:$DB$118</c:f>
              <c:numCache>
                <c:formatCode>0</c:formatCode>
                <c:ptCount val="10"/>
                <c:pt idx="0">
                  <c:v>2370.848384045667</c:v>
                </c:pt>
                <c:pt idx="1">
                  <c:v>2477.5365613277218</c:v>
                </c:pt>
                <c:pt idx="2">
                  <c:v>2584.0706334648135</c:v>
                </c:pt>
                <c:pt idx="3">
                  <c:v>2678.541712402734</c:v>
                </c:pt>
                <c:pt idx="4">
                  <c:v>2726.3631774238834</c:v>
                </c:pt>
                <c:pt idx="5">
                  <c:v>2746.5001169353304</c:v>
                </c:pt>
                <c:pt idx="6">
                  <c:v>2683.3306142458177</c:v>
                </c:pt>
                <c:pt idx="7">
                  <c:v>2688.6972754743092</c:v>
                </c:pt>
                <c:pt idx="8">
                  <c:v>2737.093826432847</c:v>
                </c:pt>
                <c:pt idx="9">
                  <c:v>2813.7324535729667</c:v>
                </c:pt>
              </c:numCache>
            </c:numRef>
          </c:xVal>
          <c:yVal>
            <c:numRef>
              <c:f>НАСТРОЙКА!$DA$109:$DA$118</c:f>
              <c:numCache>
                <c:formatCode>0.0</c:formatCode>
                <c:ptCount val="10"/>
                <c:pt idx="0">
                  <c:v>69.41</c:v>
                </c:pt>
                <c:pt idx="1">
                  <c:v>69.933708461473046</c:v>
                </c:pt>
                <c:pt idx="2">
                  <c:v>70.85661311334043</c:v>
                </c:pt>
                <c:pt idx="3">
                  <c:v>71.545415863579535</c:v>
                </c:pt>
                <c:pt idx="4">
                  <c:v>71.391459581339006</c:v>
                </c:pt>
                <c:pt idx="5">
                  <c:v>71.539043569577998</c:v>
                </c:pt>
                <c:pt idx="6">
                  <c:v>72.323622532452006</c:v>
                </c:pt>
                <c:pt idx="7">
                  <c:v>72.393000000000001</c:v>
                </c:pt>
                <c:pt idx="8">
                  <c:v>72.141999999999996</c:v>
                </c:pt>
                <c:pt idx="9">
                  <c:v>72.353999999999999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39EF-424B-9724-7300FA3F76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507328"/>
        <c:axId val="23508864"/>
      </c:scatterChart>
      <c:valAx>
        <c:axId val="23507328"/>
        <c:scaling>
          <c:orientation val="minMax"/>
          <c:max val="3500"/>
          <c:min val="1000"/>
        </c:scaling>
        <c:delete val="0"/>
        <c:axPos val="b"/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6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ru-RU"/>
          </a:p>
        </c:txPr>
        <c:crossAx val="23508864"/>
        <c:crosses val="autoZero"/>
        <c:crossBetween val="midCat"/>
        <c:majorUnit val="500"/>
      </c:valAx>
      <c:valAx>
        <c:axId val="23508864"/>
        <c:scaling>
          <c:orientation val="minMax"/>
          <c:max val="75"/>
          <c:min val="55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ru-RU"/>
          </a:p>
        </c:txPr>
        <c:crossAx val="23507328"/>
        <c:crosses val="autoZero"/>
        <c:crossBetween val="midCat"/>
        <c:majorUnit val="10"/>
      </c:valAx>
    </c:plotArea>
    <c:plotVisOnly val="1"/>
    <c:dispBlanksAs val="gap"/>
    <c:showDLblsOverMax val="0"/>
  </c:chart>
  <c:spPr>
    <a:solidFill>
      <a:schemeClr val="bg1">
        <a:lumMod val="85000"/>
      </a:schemeClr>
    </a:solidFill>
  </c:spPr>
  <c:txPr>
    <a:bodyPr/>
    <a:lstStyle/>
    <a:p>
      <a:pPr>
        <a:defRPr sz="1400" baseline="0">
          <a:latin typeface="Arial" pitchFamily="34" charset="0"/>
          <a:cs typeface="Arial" pitchFamily="34" charset="0"/>
        </a:defRPr>
      </a:pPr>
      <a:endParaRPr lang="ru-RU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1197961568672544E-2"/>
          <c:y val="3.6370235294377051E-2"/>
          <c:w val="0.8880174006027024"/>
          <c:h val="0.91143564629330365"/>
        </c:manualLayout>
      </c:layout>
      <c:scatterChart>
        <c:scatterStyle val="smoothMarker"/>
        <c:varyColors val="0"/>
        <c:ser>
          <c:idx val="0"/>
          <c:order val="0"/>
          <c:spPr>
            <a:ln w="127000">
              <a:solidFill>
                <a:schemeClr val="accent4">
                  <a:lumMod val="75000"/>
                </a:schemeClr>
              </a:solidFill>
            </a:ln>
          </c:spPr>
          <c:marker>
            <c:symbol val="circle"/>
            <c:size val="23"/>
            <c:spPr>
              <a:noFill/>
            </c:spPr>
          </c:marker>
          <c:xVal>
            <c:numRef>
              <c:f>НАСТРОЙКА!$GK$51:$GK$72</c:f>
              <c:numCache>
                <c:formatCode>0.0</c:formatCode>
                <c:ptCount val="22"/>
                <c:pt idx="0">
                  <c:v>215.83112568999996</c:v>
                </c:pt>
                <c:pt idx="1">
                  <c:v>191.36397309119997</c:v>
                </c:pt>
                <c:pt idx="2">
                  <c:v>191.68320458196001</c:v>
                </c:pt>
                <c:pt idx="3">
                  <c:v>214.39587794048421</c:v>
                </c:pt>
                <c:pt idx="4">
                  <c:v>237.76210212284931</c:v>
                </c:pt>
                <c:pt idx="5">
                  <c:v>250.46638853120143</c:v>
                </c:pt>
                <c:pt idx="6">
                  <c:v>276.40285048726673</c:v>
                </c:pt>
                <c:pt idx="7">
                  <c:v>310.95682557736808</c:v>
                </c:pt>
                <c:pt idx="8">
                  <c:v>345.26702921648138</c:v>
                </c:pt>
                <c:pt idx="9">
                  <c:v>397.82966517854589</c:v>
                </c:pt>
                <c:pt idx="10">
                  <c:v>479.75294971751691</c:v>
                </c:pt>
                <c:pt idx="11">
                  <c:v>538.98100226228235</c:v>
                </c:pt>
                <c:pt idx="12">
                  <c:v>505.04931021056973</c:v>
                </c:pt>
                <c:pt idx="13">
                  <c:v>516.21229897733156</c:v>
                </c:pt>
                <c:pt idx="14">
                  <c:v>553.89446072199655</c:v>
                </c:pt>
                <c:pt idx="15">
                  <c:v>595.45825186854177</c:v>
                </c:pt>
                <c:pt idx="16">
                  <c:v>612.28496968192132</c:v>
                </c:pt>
                <c:pt idx="17">
                  <c:v>610.68141514909644</c:v>
                </c:pt>
                <c:pt idx="18">
                  <c:v>566.30532218565895</c:v>
                </c:pt>
                <c:pt idx="19">
                  <c:v>552.32359259960754</c:v>
                </c:pt>
                <c:pt idx="20">
                  <c:v>564.3006362810379</c:v>
                </c:pt>
                <c:pt idx="21">
                  <c:v>586.65016381254668</c:v>
                </c:pt>
              </c:numCache>
            </c:numRef>
          </c:xVal>
          <c:yVal>
            <c:numRef>
              <c:f>НАСТРОЙКА!$GI$51:$GI$72</c:f>
              <c:numCache>
                <c:formatCode>0.0</c:formatCode>
                <c:ptCount val="22"/>
                <c:pt idx="0">
                  <c:v>168.29100626959249</c:v>
                </c:pt>
                <c:pt idx="1">
                  <c:v>160.34593730407522</c:v>
                </c:pt>
                <c:pt idx="2">
                  <c:v>171.18012225705328</c:v>
                </c:pt>
                <c:pt idx="3">
                  <c:v>213.79458307210035</c:v>
                </c:pt>
                <c:pt idx="4">
                  <c:v>254.24220689655175</c:v>
                </c:pt>
                <c:pt idx="5">
                  <c:v>274.46601880877739</c:v>
                </c:pt>
                <c:pt idx="6">
                  <c:v>307.69085266457677</c:v>
                </c:pt>
                <c:pt idx="7">
                  <c:v>343.804802507837</c:v>
                </c:pt>
                <c:pt idx="8">
                  <c:v>381.3633103448276</c:v>
                </c:pt>
                <c:pt idx="9">
                  <c:v>443.47930407523512</c:v>
                </c:pt>
                <c:pt idx="10">
                  <c:v>540.98696865203772</c:v>
                </c:pt>
                <c:pt idx="11">
                  <c:v>616.82626332288407</c:v>
                </c:pt>
                <c:pt idx="12">
                  <c:v>595.88017241379305</c:v>
                </c:pt>
                <c:pt idx="13">
                  <c:v>556.55208103448274</c:v>
                </c:pt>
                <c:pt idx="14">
                  <c:v>717.5262886488664</c:v>
                </c:pt>
                <c:pt idx="15">
                  <c:v>780.3098389056421</c:v>
                </c:pt>
                <c:pt idx="16">
                  <c:v>788.24558996731253</c:v>
                </c:pt>
                <c:pt idx="17">
                  <c:v>764.59822226829317</c:v>
                </c:pt>
                <c:pt idx="18">
                  <c:v>722.545320043537</c:v>
                </c:pt>
                <c:pt idx="19">
                  <c:v>843.93293381085118</c:v>
                </c:pt>
                <c:pt idx="20">
                  <c:v>844.7768667446619</c:v>
                </c:pt>
                <c:pt idx="21">
                  <c:v>968.11428928938244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622-4B73-B42D-724B0E60D667}"/>
            </c:ext>
          </c:extLst>
        </c:ser>
        <c:ser>
          <c:idx val="1"/>
          <c:order val="1"/>
          <c:trendline>
            <c:spPr>
              <a:ln w="25400">
                <a:prstDash val="lgDash"/>
              </a:ln>
            </c:spPr>
            <c:trendlineType val="linear"/>
            <c:forward val="300"/>
            <c:dispRSqr val="1"/>
            <c:dispEq val="1"/>
            <c:trendlineLbl>
              <c:layout>
                <c:manualLayout>
                  <c:x val="0.1329851883117199"/>
                  <c:y val="0.25925519881283393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sz="1800">
                      <a:latin typeface="Arial" panose="020B0604020202020204" pitchFamily="34" charset="0"/>
                      <a:cs typeface="Arial" panose="020B0604020202020204" pitchFamily="34" charset="0"/>
                    </a:defRPr>
                  </a:pPr>
                  <a:endParaRPr lang="ru-RU"/>
                </a:p>
              </c:txPr>
            </c:trendlineLbl>
          </c:trendline>
          <c:xVal>
            <c:numRef>
              <c:f>НАСТРОЙКА!$GK$54:$GK$61</c:f>
              <c:numCache>
                <c:formatCode>0.0</c:formatCode>
                <c:ptCount val="8"/>
                <c:pt idx="0">
                  <c:v>214.39587794048421</c:v>
                </c:pt>
                <c:pt idx="1">
                  <c:v>237.76210212284931</c:v>
                </c:pt>
                <c:pt idx="2">
                  <c:v>250.46638853120143</c:v>
                </c:pt>
                <c:pt idx="3">
                  <c:v>276.40285048726673</c:v>
                </c:pt>
                <c:pt idx="4">
                  <c:v>310.95682557736808</c:v>
                </c:pt>
                <c:pt idx="5">
                  <c:v>345.26702921648138</c:v>
                </c:pt>
                <c:pt idx="6">
                  <c:v>397.82966517854589</c:v>
                </c:pt>
                <c:pt idx="7">
                  <c:v>479.75294971751691</c:v>
                </c:pt>
              </c:numCache>
            </c:numRef>
          </c:xVal>
          <c:yVal>
            <c:numRef>
              <c:f>НАСТРОЙКА!$GI$54:$GI$61</c:f>
              <c:numCache>
                <c:formatCode>0.0</c:formatCode>
                <c:ptCount val="8"/>
                <c:pt idx="0">
                  <c:v>213.79458307210035</c:v>
                </c:pt>
                <c:pt idx="1">
                  <c:v>254.24220689655175</c:v>
                </c:pt>
                <c:pt idx="2">
                  <c:v>274.46601880877739</c:v>
                </c:pt>
                <c:pt idx="3">
                  <c:v>307.69085266457677</c:v>
                </c:pt>
                <c:pt idx="4">
                  <c:v>343.804802507837</c:v>
                </c:pt>
                <c:pt idx="5">
                  <c:v>381.3633103448276</c:v>
                </c:pt>
                <c:pt idx="6">
                  <c:v>443.47930407523512</c:v>
                </c:pt>
                <c:pt idx="7">
                  <c:v>540.98696865203772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01B-4C21-A456-D594A9754C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873216"/>
        <c:axId val="23527424"/>
      </c:scatterChart>
      <c:valAx>
        <c:axId val="152873216"/>
        <c:scaling>
          <c:orientation val="minMax"/>
          <c:max val="1000"/>
          <c:min val="0"/>
        </c:scaling>
        <c:delete val="0"/>
        <c:axPos val="b"/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800" b="0" i="0" u="none" strike="noStrike" baseline="0">
                <a:solidFill>
                  <a:srgbClr val="000000"/>
                </a:solidFill>
                <a:latin typeface="Arial" pitchFamily="34" charset="0"/>
                <a:ea typeface="Calibri"/>
                <a:cs typeface="Arial" pitchFamily="34" charset="0"/>
              </a:defRPr>
            </a:pPr>
            <a:endParaRPr lang="ru-RU"/>
          </a:p>
        </c:txPr>
        <c:crossAx val="23527424"/>
        <c:crosses val="autoZero"/>
        <c:crossBetween val="midCat"/>
        <c:majorUnit val="200"/>
      </c:valAx>
      <c:valAx>
        <c:axId val="23527424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txPr>
          <a:bodyPr/>
          <a:lstStyle/>
          <a:p>
            <a:pPr>
              <a:defRPr sz="18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52873216"/>
        <c:crosses val="autoZero"/>
        <c:crossBetween val="midCat"/>
        <c:majorUnit val="200"/>
      </c:valAx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1197961568672544E-2"/>
          <c:y val="3.6370235294377051E-2"/>
          <c:w val="0.8880174006027024"/>
          <c:h val="0.91143564629330365"/>
        </c:manualLayout>
      </c:layout>
      <c:scatterChart>
        <c:scatterStyle val="smoothMarker"/>
        <c:varyColors val="0"/>
        <c:ser>
          <c:idx val="0"/>
          <c:order val="0"/>
          <c:spPr>
            <a:ln w="133350">
              <a:solidFill>
                <a:schemeClr val="accent4">
                  <a:lumMod val="60000"/>
                  <a:lumOff val="40000"/>
                </a:schemeClr>
              </a:solidFill>
            </a:ln>
          </c:spPr>
          <c:marker>
            <c:symbol val="circle"/>
            <c:size val="23"/>
            <c:spPr>
              <a:noFill/>
            </c:spPr>
          </c:marker>
          <c:xVal>
            <c:numRef>
              <c:f>НАСТРОЙКА!$HF$51:$HF$72</c:f>
              <c:numCache>
                <c:formatCode>0</c:formatCode>
                <c:ptCount val="22"/>
                <c:pt idx="0">
                  <c:v>388.04689999999999</c:v>
                </c:pt>
                <c:pt idx="1">
                  <c:v>404.31540000000001</c:v>
                </c:pt>
                <c:pt idx="2">
                  <c:v>591.60419999999988</c:v>
                </c:pt>
                <c:pt idx="3">
                  <c:v>990.46019999999999</c:v>
                </c:pt>
                <c:pt idx="4">
                  <c:v>1353.3806999999999</c:v>
                </c:pt>
                <c:pt idx="5">
                  <c:v>1651.1434000000002</c:v>
                </c:pt>
                <c:pt idx="6">
                  <c:v>2033.43</c:v>
                </c:pt>
                <c:pt idx="7">
                  <c:v>2619.0199999999995</c:v>
                </c:pt>
                <c:pt idx="8">
                  <c:v>3319.41</c:v>
                </c:pt>
                <c:pt idx="9">
                  <c:v>4319.72</c:v>
                </c:pt>
                <c:pt idx="10">
                  <c:v>6008.4653999999991</c:v>
                </c:pt>
                <c:pt idx="11">
                  <c:v>7963.3755999999994</c:v>
                </c:pt>
                <c:pt idx="12">
                  <c:v>8011.1544999999996</c:v>
                </c:pt>
                <c:pt idx="13">
                  <c:v>8879.8341999999993</c:v>
                </c:pt>
                <c:pt idx="14">
                  <c:v>10352.977699999999</c:v>
                </c:pt>
                <c:pt idx="15">
                  <c:v>11932.60368</c:v>
                </c:pt>
                <c:pt idx="16">
                  <c:v>13035.95002</c:v>
                </c:pt>
                <c:pt idx="17">
                  <c:v>13680.508389999999</c:v>
                </c:pt>
                <c:pt idx="18">
                  <c:v>13853.59288</c:v>
                </c:pt>
                <c:pt idx="19">
                  <c:v>14493.864529999999</c:v>
                </c:pt>
                <c:pt idx="20">
                  <c:v>15558.59</c:v>
                </c:pt>
                <c:pt idx="21">
                  <c:v>16996.84</c:v>
                </c:pt>
              </c:numCache>
            </c:numRef>
          </c:xVal>
          <c:yVal>
            <c:numRef>
              <c:f>НАСТРОЙКА!$HD$51:$HD$72</c:f>
              <c:numCache>
                <c:formatCode>0</c:formatCode>
                <c:ptCount val="22"/>
                <c:pt idx="0">
                  <c:v>406.47199999999998</c:v>
                </c:pt>
                <c:pt idx="1">
                  <c:v>428.56400000000002</c:v>
                </c:pt>
                <c:pt idx="2">
                  <c:v>597.30600000000004</c:v>
                </c:pt>
                <c:pt idx="3">
                  <c:v>843.37800000000004</c:v>
                </c:pt>
                <c:pt idx="4">
                  <c:v>1117.655</c:v>
                </c:pt>
                <c:pt idx="5">
                  <c:v>1615.0630000000001</c:v>
                </c:pt>
                <c:pt idx="6">
                  <c:v>1815.6579999999999</c:v>
                </c:pt>
                <c:pt idx="7">
                  <c:v>1972.1120000000001</c:v>
                </c:pt>
                <c:pt idx="8">
                  <c:v>2943.6860000000001</c:v>
                </c:pt>
                <c:pt idx="9">
                  <c:v>3252.4360000000001</c:v>
                </c:pt>
                <c:pt idx="10">
                  <c:v>4296.4110000000001</c:v>
                </c:pt>
                <c:pt idx="11">
                  <c:v>5744.8469999999998</c:v>
                </c:pt>
                <c:pt idx="12">
                  <c:v>6356.223</c:v>
                </c:pt>
                <c:pt idx="13">
                  <c:v>6275.9309999999996</c:v>
                </c:pt>
                <c:pt idx="14">
                  <c:v>8813.3140000000003</c:v>
                </c:pt>
                <c:pt idx="15">
                  <c:v>10338.4</c:v>
                </c:pt>
                <c:pt idx="16">
                  <c:v>11160.485000000001</c:v>
                </c:pt>
                <c:pt idx="17">
                  <c:v>10888</c:v>
                </c:pt>
                <c:pt idx="18">
                  <c:v>10721</c:v>
                </c:pt>
                <c:pt idx="19">
                  <c:v>13256</c:v>
                </c:pt>
                <c:pt idx="20">
                  <c:v>12484.1</c:v>
                </c:pt>
                <c:pt idx="21">
                  <c:v>14909.4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64D-4E36-BEEF-4BA10F8081EA}"/>
            </c:ext>
          </c:extLst>
        </c:ser>
        <c:ser>
          <c:idx val="1"/>
          <c:order val="1"/>
          <c:trendline>
            <c:trendlineType val="linear"/>
            <c:forward val="5000"/>
            <c:dispRSqr val="1"/>
            <c:dispEq val="1"/>
            <c:trendlineLbl>
              <c:layout>
                <c:manualLayout>
                  <c:x val="-0.16991997653378321"/>
                  <c:y val="0.57186275266419151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sz="1800">
                      <a:latin typeface="Arial" panose="020B0604020202020204" pitchFamily="34" charset="0"/>
                      <a:cs typeface="Arial" panose="020B0604020202020204" pitchFamily="34" charset="0"/>
                    </a:defRPr>
                  </a:pPr>
                  <a:endParaRPr lang="ru-RU"/>
                </a:p>
              </c:txPr>
            </c:trendlineLbl>
          </c:trendline>
          <c:xVal>
            <c:numRef>
              <c:f>НАСТРОЙКА!$HF$64:$HF$72</c:f>
              <c:numCache>
                <c:formatCode>0</c:formatCode>
                <c:ptCount val="9"/>
                <c:pt idx="0">
                  <c:v>8879.8341999999993</c:v>
                </c:pt>
                <c:pt idx="1">
                  <c:v>10352.977699999999</c:v>
                </c:pt>
                <c:pt idx="2">
                  <c:v>11932.60368</c:v>
                </c:pt>
                <c:pt idx="3">
                  <c:v>13035.95002</c:v>
                </c:pt>
                <c:pt idx="4">
                  <c:v>13680.508389999999</c:v>
                </c:pt>
                <c:pt idx="5">
                  <c:v>13853.59288</c:v>
                </c:pt>
                <c:pt idx="6">
                  <c:v>14493.864529999999</c:v>
                </c:pt>
                <c:pt idx="7">
                  <c:v>15558.59</c:v>
                </c:pt>
                <c:pt idx="8">
                  <c:v>16996.84</c:v>
                </c:pt>
              </c:numCache>
            </c:numRef>
          </c:xVal>
          <c:yVal>
            <c:numRef>
              <c:f>НАСТРОЙКА!$HD$64:$HD$72</c:f>
              <c:numCache>
                <c:formatCode>0</c:formatCode>
                <c:ptCount val="9"/>
                <c:pt idx="0">
                  <c:v>6275.9309999999996</c:v>
                </c:pt>
                <c:pt idx="1">
                  <c:v>8813.3140000000003</c:v>
                </c:pt>
                <c:pt idx="2">
                  <c:v>10338.4</c:v>
                </c:pt>
                <c:pt idx="3">
                  <c:v>11160.485000000001</c:v>
                </c:pt>
                <c:pt idx="4">
                  <c:v>10888</c:v>
                </c:pt>
                <c:pt idx="5">
                  <c:v>10721</c:v>
                </c:pt>
                <c:pt idx="6">
                  <c:v>13256</c:v>
                </c:pt>
                <c:pt idx="7">
                  <c:v>12484.1</c:v>
                </c:pt>
                <c:pt idx="8">
                  <c:v>14909.4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59A-476A-9A3E-AB8A1C57C8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8044544"/>
        <c:axId val="158046080"/>
      </c:scatterChart>
      <c:valAx>
        <c:axId val="158044544"/>
        <c:scaling>
          <c:orientation val="minMax"/>
          <c:max val="25000"/>
          <c:min val="0"/>
        </c:scaling>
        <c:delete val="0"/>
        <c:axPos val="b"/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800" b="0" i="0" u="none" strike="noStrike" baseline="0">
                <a:solidFill>
                  <a:srgbClr val="000000"/>
                </a:solidFill>
                <a:latin typeface="Arial" pitchFamily="34" charset="0"/>
                <a:ea typeface="Calibri"/>
                <a:cs typeface="Arial" pitchFamily="34" charset="0"/>
              </a:defRPr>
            </a:pPr>
            <a:endParaRPr lang="ru-RU"/>
          </a:p>
        </c:txPr>
        <c:crossAx val="158046080"/>
        <c:crosses val="autoZero"/>
        <c:crossBetween val="midCat"/>
        <c:majorUnit val="5000"/>
      </c:valAx>
      <c:valAx>
        <c:axId val="158046080"/>
        <c:scaling>
          <c:orientation val="minMax"/>
          <c:max val="20000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txPr>
          <a:bodyPr/>
          <a:lstStyle/>
          <a:p>
            <a:pPr>
              <a:defRPr sz="18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58044544"/>
        <c:crosses val="autoZero"/>
        <c:crossBetween val="midCat"/>
        <c:majorUnit val="5000"/>
      </c:valAx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1197961568672544E-2"/>
          <c:y val="4.7571545418320066E-2"/>
          <c:w val="0.8880174006027024"/>
          <c:h val="0.91367591465067377"/>
        </c:manualLayout>
      </c:layout>
      <c:scatterChart>
        <c:scatterStyle val="smoothMarker"/>
        <c:varyColors val="0"/>
        <c:ser>
          <c:idx val="0"/>
          <c:order val="0"/>
          <c:spPr>
            <a:ln w="117475">
              <a:solidFill>
                <a:schemeClr val="accent2">
                  <a:lumMod val="50000"/>
                  <a:alpha val="66000"/>
                </a:schemeClr>
              </a:solidFill>
            </a:ln>
          </c:spPr>
          <c:marker>
            <c:symbol val="circle"/>
            <c:size val="21"/>
            <c:spPr>
              <a:noFill/>
            </c:spPr>
          </c:marker>
          <c:trendline>
            <c:spPr>
              <a:ln w="31750">
                <a:prstDash val="lgDash"/>
              </a:ln>
            </c:spPr>
            <c:trendlineType val="linear"/>
            <c:forward val="6"/>
            <c:dispRSqr val="1"/>
            <c:dispEq val="1"/>
            <c:trendlineLbl>
              <c:layout>
                <c:manualLayout>
                  <c:x val="-2.836319067238947E-2"/>
                  <c:y val="0.50277200550776757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sz="1800">
                      <a:latin typeface="Arial" panose="020B0604020202020204" pitchFamily="34" charset="0"/>
                      <a:cs typeface="Arial" panose="020B0604020202020204" pitchFamily="34" charset="0"/>
                    </a:defRPr>
                  </a:pPr>
                  <a:endParaRPr lang="ru-RU"/>
                </a:p>
              </c:txPr>
            </c:trendlineLbl>
          </c:trendline>
          <c:xVal>
            <c:numRef>
              <c:f>НАСТРОЙКА!$GD$8:$GD$31</c:f>
              <c:numCache>
                <c:formatCode>0.00</c:formatCode>
                <c:ptCount val="24"/>
                <c:pt idx="0">
                  <c:v>1</c:v>
                </c:pt>
                <c:pt idx="1">
                  <c:v>1.218</c:v>
                </c:pt>
                <c:pt idx="2">
                  <c:v>1.3519800000000002</c:v>
                </c:pt>
                <c:pt idx="3">
                  <c:v>2.4930511200000005</c:v>
                </c:pt>
                <c:pt idx="4">
                  <c:v>3.4030147788000007</c:v>
                </c:pt>
                <c:pt idx="5">
                  <c:v>4.0904237641176007</c:v>
                </c:pt>
                <c:pt idx="6">
                  <c:v>4.8512425842434741</c:v>
                </c:pt>
                <c:pt idx="7">
                  <c:v>5.5837802144642392</c:v>
                </c:pt>
                <c:pt idx="8">
                  <c:v>6.2538338401999489</c:v>
                </c:pt>
                <c:pt idx="9">
                  <c:v>6.9855323995033425</c:v>
                </c:pt>
                <c:pt idx="10">
                  <c:v>7.7469554310492068</c:v>
                </c:pt>
                <c:pt idx="11">
                  <c:v>8.4441814198436358</c:v>
                </c:pt>
                <c:pt idx="12">
                  <c:v>9.4465057543790749</c:v>
                </c:pt>
                <c:pt idx="13">
                  <c:v>10.701001718560617</c:v>
                </c:pt>
                <c:pt idx="14">
                  <c:v>11.642689869793951</c:v>
                </c:pt>
                <c:pt idx="15">
                  <c:v>12.664918040361862</c:v>
                </c:pt>
                <c:pt idx="16">
                  <c:v>13.437478040823935</c:v>
                </c:pt>
                <c:pt idx="17">
                  <c:v>14.321664095910151</c:v>
                </c:pt>
                <c:pt idx="18">
                  <c:v>15.245411430096356</c:v>
                </c:pt>
                <c:pt idx="19">
                  <c:v>17.318787384589459</c:v>
                </c:pt>
                <c:pt idx="20">
                  <c:v>19.552910957201501</c:v>
                </c:pt>
                <c:pt idx="21">
                  <c:v>20.606812857794662</c:v>
                </c:pt>
                <c:pt idx="22">
                  <c:v>21.124043860525305</c:v>
                </c:pt>
                <c:pt idx="23">
                  <c:v>22.02392812898368</c:v>
                </c:pt>
              </c:numCache>
            </c:numRef>
          </c:xVal>
          <c:yVal>
            <c:numRef>
              <c:f>НАСТРОЙКА!$GC$8:$GC$31</c:f>
              <c:numCache>
                <c:formatCode>0.00</c:formatCode>
                <c:ptCount val="24"/>
                <c:pt idx="0">
                  <c:v>1</c:v>
                </c:pt>
                <c:pt idx="1">
                  <c:v>2.4661634872716665</c:v>
                </c:pt>
                <c:pt idx="2">
                  <c:v>2.5165818894824628</c:v>
                </c:pt>
                <c:pt idx="3">
                  <c:v>2.6836249787031963</c:v>
                </c:pt>
                <c:pt idx="4">
                  <c:v>2.701164323022275</c:v>
                </c:pt>
                <c:pt idx="5">
                  <c:v>3.2947518370474893</c:v>
                </c:pt>
                <c:pt idx="6">
                  <c:v>3.7846782806927575</c:v>
                </c:pt>
                <c:pt idx="7">
                  <c:v>4.5228031897927927</c:v>
                </c:pt>
                <c:pt idx="8">
                  <c:v>5.5426381126863848</c:v>
                </c:pt>
                <c:pt idx="9">
                  <c:v>6.272852216104849</c:v>
                </c:pt>
                <c:pt idx="10">
                  <c:v>7.3244397581202483</c:v>
                </c:pt>
                <c:pt idx="11">
                  <c:v>8.1861967165379994</c:v>
                </c:pt>
                <c:pt idx="12">
                  <c:v>10.097240670067603</c:v>
                </c:pt>
                <c:pt idx="13">
                  <c:v>12.014838376677154</c:v>
                </c:pt>
                <c:pt idx="14">
                  <c:v>12.870829474853371</c:v>
                </c:pt>
                <c:pt idx="15">
                  <c:v>14.148307151553462</c:v>
                </c:pt>
                <c:pt idx="16">
                  <c:v>15.766970202222986</c:v>
                </c:pt>
                <c:pt idx="17">
                  <c:v>16.974068796381744</c:v>
                </c:pt>
                <c:pt idx="18">
                  <c:v>17.953158422730539</c:v>
                </c:pt>
                <c:pt idx="19">
                  <c:v>19.115802786548635</c:v>
                </c:pt>
                <c:pt idx="20">
                  <c:v>20.193444864834216</c:v>
                </c:pt>
                <c:pt idx="21">
                  <c:v>22.177890468882982</c:v>
                </c:pt>
                <c:pt idx="22">
                  <c:v>22.675989872141368</c:v>
                </c:pt>
                <c:pt idx="23">
                  <c:v>23.085153319082956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CD9-44BE-9C7D-7AC4897498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693440"/>
        <c:axId val="157694976"/>
      </c:scatterChart>
      <c:valAx>
        <c:axId val="157693440"/>
        <c:scaling>
          <c:orientation val="minMax"/>
          <c:max val="30"/>
          <c:min val="0"/>
        </c:scaling>
        <c:delete val="0"/>
        <c:axPos val="b"/>
        <c:numFmt formatCode="0.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800" b="0" i="0" u="none" strike="noStrike" baseline="0">
                <a:solidFill>
                  <a:srgbClr val="000000"/>
                </a:solidFill>
                <a:latin typeface="Arial" pitchFamily="34" charset="0"/>
                <a:ea typeface="Calibri"/>
                <a:cs typeface="Arial" pitchFamily="34" charset="0"/>
              </a:defRPr>
            </a:pPr>
            <a:endParaRPr lang="ru-RU"/>
          </a:p>
        </c:txPr>
        <c:crossAx val="157694976"/>
        <c:crosses val="autoZero"/>
        <c:crossBetween val="midCat"/>
        <c:majorUnit val="5"/>
      </c:valAx>
      <c:valAx>
        <c:axId val="157694976"/>
        <c:scaling>
          <c:orientation val="minMax"/>
          <c:max val="40"/>
          <c:min val="0"/>
        </c:scaling>
        <c:delete val="0"/>
        <c:axPos val="l"/>
        <c:majorGridlines/>
        <c:numFmt formatCode="0.0" sourceLinked="0"/>
        <c:majorTickMark val="out"/>
        <c:minorTickMark val="none"/>
        <c:tickLblPos val="nextTo"/>
        <c:txPr>
          <a:bodyPr/>
          <a:lstStyle/>
          <a:p>
            <a:pPr>
              <a:defRPr sz="18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57693440"/>
        <c:crosses val="autoZero"/>
        <c:crossBetween val="midCat"/>
        <c:majorUnit val="10"/>
      </c:valAx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5884569789057568E-2"/>
          <c:y val="3.6955163854297042E-2"/>
          <c:w val="0.88918902711853465"/>
          <c:h val="0.91367591465067377"/>
        </c:manualLayout>
      </c:layout>
      <c:scatterChart>
        <c:scatterStyle val="smoothMarker"/>
        <c:varyColors val="0"/>
        <c:ser>
          <c:idx val="0"/>
          <c:order val="0"/>
          <c:spPr>
            <a:ln w="104775">
              <a:solidFill>
                <a:srgbClr val="00B050">
                  <a:alpha val="49000"/>
                </a:srgbClr>
              </a:solidFill>
            </a:ln>
          </c:spPr>
          <c:marker>
            <c:symbol val="circle"/>
            <c:size val="20"/>
            <c:spPr>
              <a:noFill/>
            </c:spPr>
          </c:marker>
          <c:xVal>
            <c:numRef>
              <c:f>НАСТРОЙКА!$GW$5:$GW$28</c:f>
              <c:numCache>
                <c:formatCode>0.00</c:formatCode>
                <c:ptCount val="24"/>
                <c:pt idx="0">
                  <c:v>1</c:v>
                </c:pt>
                <c:pt idx="1">
                  <c:v>1.218</c:v>
                </c:pt>
                <c:pt idx="2">
                  <c:v>1.3519800000000002</c:v>
                </c:pt>
                <c:pt idx="3">
                  <c:v>2.4930511200000005</c:v>
                </c:pt>
                <c:pt idx="4">
                  <c:v>3.4030147788000007</c:v>
                </c:pt>
                <c:pt idx="5">
                  <c:v>4.0904237641176007</c:v>
                </c:pt>
                <c:pt idx="6">
                  <c:v>4.8512425842434741</c:v>
                </c:pt>
                <c:pt idx="7">
                  <c:v>5.5837802144642392</c:v>
                </c:pt>
                <c:pt idx="8">
                  <c:v>6.2538338401999489</c:v>
                </c:pt>
                <c:pt idx="9">
                  <c:v>6.9855323995033425</c:v>
                </c:pt>
                <c:pt idx="10">
                  <c:v>7.7469554310492068</c:v>
                </c:pt>
                <c:pt idx="11">
                  <c:v>8.4441814198436358</c:v>
                </c:pt>
                <c:pt idx="12">
                  <c:v>9.4465057543790749</c:v>
                </c:pt>
                <c:pt idx="13">
                  <c:v>10.701001718560617</c:v>
                </c:pt>
                <c:pt idx="14">
                  <c:v>11.642689869793951</c:v>
                </c:pt>
                <c:pt idx="15">
                  <c:v>12.664918040361862</c:v>
                </c:pt>
                <c:pt idx="16">
                  <c:v>13.437478040823935</c:v>
                </c:pt>
                <c:pt idx="17">
                  <c:v>14.321664095910151</c:v>
                </c:pt>
                <c:pt idx="18">
                  <c:v>15.245411430096356</c:v>
                </c:pt>
                <c:pt idx="19">
                  <c:v>17.318787384589459</c:v>
                </c:pt>
                <c:pt idx="20">
                  <c:v>19.552910957201501</c:v>
                </c:pt>
                <c:pt idx="21">
                  <c:v>20.606812857794662</c:v>
                </c:pt>
                <c:pt idx="22">
                  <c:v>21.124043860525305</c:v>
                </c:pt>
                <c:pt idx="23">
                  <c:v>22.02392812898368</c:v>
                </c:pt>
              </c:numCache>
            </c:numRef>
          </c:xVal>
          <c:yVal>
            <c:numRef>
              <c:f>НАСТРОЙКА!$GV$5:$GV$28</c:f>
              <c:numCache>
                <c:formatCode>0.00</c:formatCode>
                <c:ptCount val="24"/>
                <c:pt idx="0">
                  <c:v>1</c:v>
                </c:pt>
                <c:pt idx="1">
                  <c:v>1.6953967315458069</c:v>
                </c:pt>
                <c:pt idx="2">
                  <c:v>2.415292468742241</c:v>
                </c:pt>
                <c:pt idx="3">
                  <c:v>2.6727462335842294</c:v>
                </c:pt>
                <c:pt idx="4">
                  <c:v>3.4893420575027583</c:v>
                </c:pt>
                <c:pt idx="5">
                  <c:v>3.9448052793534916</c:v>
                </c:pt>
                <c:pt idx="6">
                  <c:v>4.3960246162225971</c:v>
                </c:pt>
                <c:pt idx="7">
                  <c:v>5.8843823618297426</c:v>
                </c:pt>
                <c:pt idx="8">
                  <c:v>5.9009164044902702</c:v>
                </c:pt>
                <c:pt idx="9">
                  <c:v>5.7361386042739939</c:v>
                </c:pt>
                <c:pt idx="10">
                  <c:v>7.7188495068870884</c:v>
                </c:pt>
                <c:pt idx="11">
                  <c:v>7.333907061981483</c:v>
                </c:pt>
                <c:pt idx="12">
                  <c:v>7.9418012798076241</c:v>
                </c:pt>
                <c:pt idx="13">
                  <c:v>9.313557709187231</c:v>
                </c:pt>
                <c:pt idx="14">
                  <c:v>10.66694831320229</c:v>
                </c:pt>
                <c:pt idx="15">
                  <c:v>11.27644871677545</c:v>
                </c:pt>
                <c:pt idx="16">
                  <c:v>12.282914423380722</c:v>
                </c:pt>
                <c:pt idx="17">
                  <c:v>13.249096044334456</c:v>
                </c:pt>
                <c:pt idx="18">
                  <c:v>14.15863931501705</c:v>
                </c:pt>
                <c:pt idx="19">
                  <c:v>14.240158664898729</c:v>
                </c:pt>
                <c:pt idx="20">
                  <c:v>14.837823597492827</c:v>
                </c:pt>
                <c:pt idx="21">
                  <c:v>15.707409284457475</c:v>
                </c:pt>
                <c:pt idx="22">
                  <c:v>14.777985159687598</c:v>
                </c:pt>
                <c:pt idx="23">
                  <c:v>15.400454434924034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FED-4234-B666-38E077573CFC}"/>
            </c:ext>
          </c:extLst>
        </c:ser>
        <c:ser>
          <c:idx val="1"/>
          <c:order val="1"/>
          <c:trendline>
            <c:spPr>
              <a:ln w="25400">
                <a:prstDash val="lgDash"/>
              </a:ln>
            </c:spPr>
            <c:trendlineType val="linear"/>
            <c:forward val="7"/>
            <c:backward val="5"/>
            <c:dispRSqr val="1"/>
            <c:dispEq val="1"/>
            <c:trendlineLbl>
              <c:layout>
                <c:manualLayout>
                  <c:x val="-0.12035057129282388"/>
                  <c:y val="0.35055693974555741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sz="2000">
                      <a:latin typeface="Arial" panose="020B0604020202020204" pitchFamily="34" charset="0"/>
                      <a:cs typeface="Arial" panose="020B0604020202020204" pitchFamily="34" charset="0"/>
                    </a:defRPr>
                  </a:pPr>
                  <a:endParaRPr lang="ru-RU"/>
                </a:p>
              </c:txPr>
            </c:trendlineLbl>
          </c:trendline>
          <c:xVal>
            <c:numRef>
              <c:f>НАСТРОЙКА!$GW$23:$GW$28</c:f>
              <c:numCache>
                <c:formatCode>0.00</c:formatCode>
                <c:ptCount val="6"/>
                <c:pt idx="0">
                  <c:v>15.245411430096356</c:v>
                </c:pt>
                <c:pt idx="1">
                  <c:v>17.318787384589459</c:v>
                </c:pt>
                <c:pt idx="2">
                  <c:v>19.552910957201501</c:v>
                </c:pt>
                <c:pt idx="3">
                  <c:v>20.606812857794662</c:v>
                </c:pt>
                <c:pt idx="4">
                  <c:v>21.124043860525305</c:v>
                </c:pt>
                <c:pt idx="5">
                  <c:v>22.02392812898368</c:v>
                </c:pt>
              </c:numCache>
            </c:numRef>
          </c:xVal>
          <c:yVal>
            <c:numRef>
              <c:f>НАСТРОЙКА!$GX$23:$GX$28</c:f>
              <c:numCache>
                <c:formatCode>0.00</c:formatCode>
                <c:ptCount val="6"/>
                <c:pt idx="0">
                  <c:v>14.050968757444029</c:v>
                </c:pt>
                <c:pt idx="1">
                  <c:v>14.460460508456418</c:v>
                </c:pt>
                <c:pt idx="2">
                  <c:v>14.901699914047295</c:v>
                </c:pt>
                <c:pt idx="3">
                  <c:v>15.109845539414444</c:v>
                </c:pt>
                <c:pt idx="4">
                  <c:v>15.211998662453748</c:v>
                </c:pt>
                <c:pt idx="5">
                  <c:v>15.389725805474276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FED-4234-B666-38E077573C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969792"/>
        <c:axId val="157979776"/>
      </c:scatterChart>
      <c:valAx>
        <c:axId val="157969792"/>
        <c:scaling>
          <c:orientation val="minMax"/>
          <c:max val="30"/>
          <c:min val="0"/>
        </c:scaling>
        <c:delete val="0"/>
        <c:axPos val="b"/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2000" b="0" i="0" u="none" strike="noStrike" baseline="0">
                <a:solidFill>
                  <a:srgbClr val="000000"/>
                </a:solidFill>
                <a:latin typeface="Arial" pitchFamily="34" charset="0"/>
                <a:ea typeface="Calibri"/>
                <a:cs typeface="Arial" pitchFamily="34" charset="0"/>
              </a:defRPr>
            </a:pPr>
            <a:endParaRPr lang="ru-RU"/>
          </a:p>
        </c:txPr>
        <c:crossAx val="157979776"/>
        <c:crosses val="autoZero"/>
        <c:crossBetween val="midCat"/>
        <c:majorUnit val="5"/>
      </c:valAx>
      <c:valAx>
        <c:axId val="157979776"/>
        <c:scaling>
          <c:orientation val="minMax"/>
          <c:max val="20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txPr>
          <a:bodyPr/>
          <a:lstStyle/>
          <a:p>
            <a:pPr>
              <a:defRPr sz="20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57969792"/>
        <c:crosses val="autoZero"/>
        <c:crossBetween val="midCat"/>
        <c:majorUnit val="5"/>
      </c:valAx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7175662448134595E-2"/>
          <c:y val="3.6756026257555315E-2"/>
          <c:w val="0.87174622974108462"/>
          <c:h val="0.89716159263636719"/>
        </c:manualLayout>
      </c:layout>
      <c:scatterChart>
        <c:scatterStyle val="smoothMarker"/>
        <c:varyColors val="0"/>
        <c:ser>
          <c:idx val="0"/>
          <c:order val="0"/>
          <c:spPr>
            <a:ln w="222250">
              <a:solidFill>
                <a:srgbClr val="FFC000"/>
              </a:solidFill>
            </a:ln>
          </c:spPr>
          <c:marker>
            <c:symbol val="none"/>
          </c:marker>
          <c:xVal>
            <c:numRef>
              <c:f>НАСТРОЙКА!$HY$5:$HY$28</c:f>
              <c:numCache>
                <c:formatCode>0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НАСТРОЙКА!$IA$5:$IA$28</c:f>
              <c:numCache>
                <c:formatCode>0</c:formatCode>
                <c:ptCount val="24"/>
                <c:pt idx="0">
                  <c:v>5306</c:v>
                </c:pt>
                <c:pt idx="1">
                  <c:v>5300.6940000000004</c:v>
                </c:pt>
                <c:pt idx="2">
                  <c:v>5279.4912240000003</c:v>
                </c:pt>
                <c:pt idx="3">
                  <c:v>5263.6527503280004</c:v>
                </c:pt>
                <c:pt idx="4">
                  <c:v>5274.1800558286568</c:v>
                </c:pt>
                <c:pt idx="5">
                  <c:v>5300.5509561077997</c:v>
                </c:pt>
                <c:pt idx="6">
                  <c:v>5348.2559147127704</c:v>
                </c:pt>
                <c:pt idx="7">
                  <c:v>5401.7384738598985</c:v>
                </c:pt>
                <c:pt idx="8">
                  <c:v>5471.961074020076</c:v>
                </c:pt>
                <c:pt idx="9">
                  <c:v>5559.5124512043967</c:v>
                </c:pt>
                <c:pt idx="10">
                  <c:v>5665.1431877772811</c:v>
                </c:pt>
                <c:pt idx="11">
                  <c:v>5801.1066242839361</c:v>
                </c:pt>
                <c:pt idx="12">
                  <c:v>5980.9409296367376</c:v>
                </c:pt>
                <c:pt idx="13">
                  <c:v>6196.2548031036604</c:v>
                </c:pt>
                <c:pt idx="14">
                  <c:v>6394.5349568029778</c:v>
                </c:pt>
                <c:pt idx="15">
                  <c:v>6586.3710055070669</c:v>
                </c:pt>
                <c:pt idx="16">
                  <c:v>6849.8258457273505</c:v>
                </c:pt>
                <c:pt idx="17">
                  <c:v>7144.3683570936255</c:v>
                </c:pt>
                <c:pt idx="18">
                  <c:v>7437.2874597344635</c:v>
                </c:pt>
                <c:pt idx="19">
                  <c:v>7712.4670957446378</c:v>
                </c:pt>
                <c:pt idx="20">
                  <c:v>7959.2660428084673</c:v>
                </c:pt>
                <c:pt idx="21">
                  <c:v>8269.677418477997</c:v>
                </c:pt>
                <c:pt idx="22">
                  <c:v>8583.9251603801604</c:v>
                </c:pt>
                <c:pt idx="23">
                  <c:v>8944.4500171161289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088-4360-8A59-B352E3EC4C07}"/>
            </c:ext>
          </c:extLst>
        </c:ser>
        <c:ser>
          <c:idx val="1"/>
          <c:order val="1"/>
          <c:spPr>
            <a:ln w="44450">
              <a:solidFill>
                <a:srgbClr val="00B0F0"/>
              </a:solidFill>
            </a:ln>
          </c:spPr>
          <c:marker>
            <c:symbol val="none"/>
          </c:marker>
          <c:xVal>
            <c:numRef>
              <c:f>НАСТРОЙКА!$HY$29:$HY$45</c:f>
              <c:numCache>
                <c:formatCode>0</c:formatCode>
                <c:ptCount val="17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</c:numCache>
            </c:numRef>
          </c:xVal>
          <c:yVal>
            <c:numRef>
              <c:f>НАСТРОЙКА!$IB$29:$IB$45</c:f>
              <c:numCache>
                <c:formatCode>0</c:formatCode>
                <c:ptCount val="17"/>
                <c:pt idx="0">
                  <c:v>9315.4794364663703</c:v>
                </c:pt>
                <c:pt idx="1">
                  <c:v>9701.5634658874351</c:v>
                </c:pt>
                <c:pt idx="2">
                  <c:v>10100.449024754149</c:v>
                </c:pt>
                <c:pt idx="3">
                  <c:v>10526.232536339399</c:v>
                </c:pt>
                <c:pt idx="4">
                  <c:v>10976.127338183813</c:v>
                </c:pt>
                <c:pt idx="5">
                  <c:v>11450.376438115263</c:v>
                </c:pt>
                <c:pt idx="6">
                  <c:v>11948.374451382973</c:v>
                </c:pt>
                <c:pt idx="7">
                  <c:v>12470.493165184831</c:v>
                </c:pt>
                <c:pt idx="8">
                  <c:v>13017.144068658055</c:v>
                </c:pt>
                <c:pt idx="9">
                  <c:v>13588.769822736602</c:v>
                </c:pt>
                <c:pt idx="10">
                  <c:v>14185.83670455504</c:v>
                </c:pt>
                <c:pt idx="11">
                  <c:v>14808.82788562779</c:v>
                </c:pt>
                <c:pt idx="12">
                  <c:v>15458.237424001558</c:v>
                </c:pt>
                <c:pt idx="13">
                  <c:v>16134.564868588497</c:v>
                </c:pt>
                <c:pt idx="14">
                  <c:v>16838.310389353599</c:v>
                </c:pt>
                <c:pt idx="15">
                  <c:v>17569.97036030794</c:v>
                </c:pt>
                <c:pt idx="16">
                  <c:v>18330.033333654035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0F6-4626-B96F-712BC84782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8331648"/>
        <c:axId val="158333184"/>
      </c:scatterChart>
      <c:valAx>
        <c:axId val="158331648"/>
        <c:scaling>
          <c:orientation val="minMax"/>
          <c:max val="42"/>
          <c:min val="0"/>
        </c:scaling>
        <c:delete val="0"/>
        <c:axPos val="b"/>
        <c:numFmt formatCode="0" sourceLinked="0"/>
        <c:majorTickMark val="in"/>
        <c:minorTickMark val="none"/>
        <c:tickLblPos val="nextTo"/>
        <c:spPr>
          <a:ln/>
        </c:spPr>
        <c:txPr>
          <a:bodyPr rot="0" vert="horz"/>
          <a:lstStyle/>
          <a:p>
            <a:pPr>
              <a:defRPr sz="2000" b="0" i="0" u="none" strike="noStrike" baseline="0">
                <a:solidFill>
                  <a:srgbClr val="000000"/>
                </a:solidFill>
                <a:latin typeface="Arial" pitchFamily="34" charset="0"/>
                <a:ea typeface="Calibri"/>
                <a:cs typeface="Arial" pitchFamily="34" charset="0"/>
              </a:defRPr>
            </a:pPr>
            <a:endParaRPr lang="ru-RU"/>
          </a:p>
        </c:txPr>
        <c:crossAx val="158333184"/>
        <c:crosses val="autoZero"/>
        <c:crossBetween val="midCat"/>
        <c:majorUnit val="5"/>
      </c:valAx>
      <c:valAx>
        <c:axId val="158333184"/>
        <c:scaling>
          <c:orientation val="minMax"/>
          <c:max val="17500"/>
          <c:min val="500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txPr>
          <a:bodyPr/>
          <a:lstStyle/>
          <a:p>
            <a:pPr>
              <a:defRPr sz="20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58331648"/>
        <c:crosses val="autoZero"/>
        <c:crossBetween val="midCat"/>
        <c:majorUnit val="2500"/>
      </c:valAx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043474828804282E-2"/>
          <c:y val="2.6365625575287849E-2"/>
          <c:w val="0.85580614923134557"/>
          <c:h val="0.92550095191933457"/>
        </c:manualLayout>
      </c:layout>
      <c:scatterChart>
        <c:scatterStyle val="smoothMarker"/>
        <c:varyColors val="0"/>
        <c:ser>
          <c:idx val="0"/>
          <c:order val="0"/>
          <c:spPr>
            <a:ln w="120650">
              <a:solidFill>
                <a:srgbClr val="FF0000"/>
              </a:solidFill>
            </a:ln>
          </c:spPr>
          <c:marker>
            <c:symbol val="circle"/>
            <c:size val="21"/>
            <c:spPr>
              <a:noFill/>
            </c:spPr>
          </c:marker>
          <c:xVal>
            <c:numRef>
              <c:f>НАСТРОЙКА!$EP$95:$EP$118</c:f>
              <c:numCache>
                <c:formatCode>0</c:formatCode>
                <c:ptCount val="24"/>
                <c:pt idx="0">
                  <c:v>1428.5209</c:v>
                </c:pt>
                <c:pt idx="1">
                  <c:v>2007.8252000000002</c:v>
                </c:pt>
                <c:pt idx="2">
                  <c:v>2342.5137</c:v>
                </c:pt>
                <c:pt idx="3">
                  <c:v>2629.6228999999998</c:v>
                </c:pt>
                <c:pt idx="4">
                  <c:v>4823.2329</c:v>
                </c:pt>
                <c:pt idx="5">
                  <c:v>7305.6466</c:v>
                </c:pt>
                <c:pt idx="6">
                  <c:v>8943.5825999999997</c:v>
                </c:pt>
                <c:pt idx="7">
                  <c:v>10819.270899999998</c:v>
                </c:pt>
                <c:pt idx="8">
                  <c:v>13208.250299999998</c:v>
                </c:pt>
                <c:pt idx="9">
                  <c:v>17027.166999999998</c:v>
                </c:pt>
                <c:pt idx="10">
                  <c:v>21609.765799999997</c:v>
                </c:pt>
                <c:pt idx="11">
                  <c:v>26917.203699999998</c:v>
                </c:pt>
                <c:pt idx="12">
                  <c:v>33247.513200000001</c:v>
                </c:pt>
                <c:pt idx="13">
                  <c:v>41276.849199999997</c:v>
                </c:pt>
                <c:pt idx="14">
                  <c:v>38807.270899999996</c:v>
                </c:pt>
                <c:pt idx="15">
                  <c:v>46308.53100000001</c:v>
                </c:pt>
                <c:pt idx="16">
                  <c:v>60282.540400000005</c:v>
                </c:pt>
                <c:pt idx="17">
                  <c:v>68163.883100000006</c:v>
                </c:pt>
                <c:pt idx="18">
                  <c:v>73133.89509999998</c:v>
                </c:pt>
                <c:pt idx="19">
                  <c:v>79058</c:v>
                </c:pt>
                <c:pt idx="20">
                  <c:v>83094</c:v>
                </c:pt>
                <c:pt idx="21">
                  <c:v>86014</c:v>
                </c:pt>
                <c:pt idx="22">
                  <c:v>92101</c:v>
                </c:pt>
                <c:pt idx="23">
                  <c:v>103876</c:v>
                </c:pt>
              </c:numCache>
            </c:numRef>
          </c:xVal>
          <c:yVal>
            <c:numRef>
              <c:f>НАСТРОЙКА!$EM$95:$EM$118</c:f>
              <c:numCache>
                <c:formatCode>0</c:formatCode>
                <c:ptCount val="24"/>
                <c:pt idx="0">
                  <c:v>910.9</c:v>
                </c:pt>
                <c:pt idx="1">
                  <c:v>1357.1</c:v>
                </c:pt>
                <c:pt idx="2">
                  <c:v>1656.4</c:v>
                </c:pt>
                <c:pt idx="3">
                  <c:v>1776</c:v>
                </c:pt>
                <c:pt idx="4">
                  <c:v>2908.1</c:v>
                </c:pt>
                <c:pt idx="5">
                  <c:v>3983.9</c:v>
                </c:pt>
                <c:pt idx="6">
                  <c:v>5325.8</c:v>
                </c:pt>
                <c:pt idx="7">
                  <c:v>6831</c:v>
                </c:pt>
                <c:pt idx="8">
                  <c:v>8900.5</c:v>
                </c:pt>
                <c:pt idx="9">
                  <c:v>10976.3</c:v>
                </c:pt>
                <c:pt idx="10">
                  <c:v>13819</c:v>
                </c:pt>
                <c:pt idx="11">
                  <c:v>17290.099999999999</c:v>
                </c:pt>
                <c:pt idx="12">
                  <c:v>21311.5</c:v>
                </c:pt>
                <c:pt idx="13">
                  <c:v>25244</c:v>
                </c:pt>
                <c:pt idx="14">
                  <c:v>28697.5</c:v>
                </c:pt>
                <c:pt idx="15">
                  <c:v>32498.3</c:v>
                </c:pt>
                <c:pt idx="16">
                  <c:v>35648.699999999997</c:v>
                </c:pt>
                <c:pt idx="17">
                  <c:v>39904</c:v>
                </c:pt>
                <c:pt idx="18">
                  <c:v>44650</c:v>
                </c:pt>
                <c:pt idx="19">
                  <c:v>47921</c:v>
                </c:pt>
                <c:pt idx="20">
                  <c:v>53526</c:v>
                </c:pt>
                <c:pt idx="21">
                  <c:v>54117</c:v>
                </c:pt>
                <c:pt idx="22">
                  <c:v>55368</c:v>
                </c:pt>
                <c:pt idx="23">
                  <c:v>57500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128-4F5A-A7AA-6224E0C79D36}"/>
            </c:ext>
          </c:extLst>
        </c:ser>
        <c:ser>
          <c:idx val="1"/>
          <c:order val="1"/>
          <c:trendline>
            <c:spPr>
              <a:ln w="25400">
                <a:prstDash val="lgDash"/>
              </a:ln>
            </c:spPr>
            <c:trendlineType val="linear"/>
            <c:forward val="40000"/>
            <c:dispRSqr val="1"/>
            <c:dispEq val="1"/>
            <c:trendlineLbl>
              <c:layout>
                <c:manualLayout>
                  <c:x val="-0.33568034258876039"/>
                  <c:y val="0.33816509100908915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sz="2000"/>
                  </a:pPr>
                  <a:endParaRPr lang="ru-RU"/>
                </a:p>
              </c:txPr>
            </c:trendlineLbl>
          </c:trendline>
          <c:xVal>
            <c:numRef>
              <c:f>НАСТРОЙКА!$EP$95:$EP$114</c:f>
              <c:numCache>
                <c:formatCode>0</c:formatCode>
                <c:ptCount val="20"/>
                <c:pt idx="0">
                  <c:v>1428.5209</c:v>
                </c:pt>
                <c:pt idx="1">
                  <c:v>2007.8252000000002</c:v>
                </c:pt>
                <c:pt idx="2">
                  <c:v>2342.5137</c:v>
                </c:pt>
                <c:pt idx="3">
                  <c:v>2629.6228999999998</c:v>
                </c:pt>
                <c:pt idx="4">
                  <c:v>4823.2329</c:v>
                </c:pt>
                <c:pt idx="5">
                  <c:v>7305.6466</c:v>
                </c:pt>
                <c:pt idx="6">
                  <c:v>8943.5825999999997</c:v>
                </c:pt>
                <c:pt idx="7">
                  <c:v>10819.270899999998</c:v>
                </c:pt>
                <c:pt idx="8">
                  <c:v>13208.250299999998</c:v>
                </c:pt>
                <c:pt idx="9">
                  <c:v>17027.166999999998</c:v>
                </c:pt>
                <c:pt idx="10">
                  <c:v>21609.765799999997</c:v>
                </c:pt>
                <c:pt idx="11">
                  <c:v>26917.203699999998</c:v>
                </c:pt>
                <c:pt idx="12">
                  <c:v>33247.513200000001</c:v>
                </c:pt>
                <c:pt idx="13">
                  <c:v>41276.849199999997</c:v>
                </c:pt>
                <c:pt idx="14">
                  <c:v>38807.270899999996</c:v>
                </c:pt>
                <c:pt idx="15">
                  <c:v>46308.53100000001</c:v>
                </c:pt>
                <c:pt idx="16">
                  <c:v>60282.540400000005</c:v>
                </c:pt>
                <c:pt idx="17">
                  <c:v>68163.883100000006</c:v>
                </c:pt>
                <c:pt idx="18">
                  <c:v>73133.89509999998</c:v>
                </c:pt>
                <c:pt idx="19">
                  <c:v>79058</c:v>
                </c:pt>
              </c:numCache>
            </c:numRef>
          </c:xVal>
          <c:yVal>
            <c:numRef>
              <c:f>НАСТРОЙКА!$EN$95:$EN$114</c:f>
              <c:numCache>
                <c:formatCode>0</c:formatCode>
                <c:ptCount val="20"/>
                <c:pt idx="0">
                  <c:v>910.9</c:v>
                </c:pt>
                <c:pt idx="1">
                  <c:v>1357.1</c:v>
                </c:pt>
                <c:pt idx="2">
                  <c:v>1656.4</c:v>
                </c:pt>
                <c:pt idx="3">
                  <c:v>1776</c:v>
                </c:pt>
                <c:pt idx="4">
                  <c:v>2908.1</c:v>
                </c:pt>
                <c:pt idx="5">
                  <c:v>3983.9</c:v>
                </c:pt>
                <c:pt idx="6">
                  <c:v>5325.8</c:v>
                </c:pt>
                <c:pt idx="7">
                  <c:v>6831</c:v>
                </c:pt>
                <c:pt idx="8">
                  <c:v>8900.5</c:v>
                </c:pt>
                <c:pt idx="9">
                  <c:v>10976.3</c:v>
                </c:pt>
                <c:pt idx="10">
                  <c:v>13819</c:v>
                </c:pt>
                <c:pt idx="11">
                  <c:v>17290.099999999999</c:v>
                </c:pt>
                <c:pt idx="12">
                  <c:v>21311.5</c:v>
                </c:pt>
                <c:pt idx="13">
                  <c:v>25244</c:v>
                </c:pt>
                <c:pt idx="14">
                  <c:v>28697.5</c:v>
                </c:pt>
                <c:pt idx="15">
                  <c:v>32498.3</c:v>
                </c:pt>
                <c:pt idx="16">
                  <c:v>35648.699999999997</c:v>
                </c:pt>
                <c:pt idx="17">
                  <c:v>39904</c:v>
                </c:pt>
                <c:pt idx="18">
                  <c:v>44650</c:v>
                </c:pt>
                <c:pt idx="19">
                  <c:v>47921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D20-455F-9AA4-6367EC1F0ECA}"/>
            </c:ext>
          </c:extLst>
        </c:ser>
        <c:ser>
          <c:idx val="2"/>
          <c:order val="2"/>
          <c:trendline>
            <c:spPr>
              <a:ln>
                <a:prstDash val="lgDash"/>
              </a:ln>
            </c:spPr>
            <c:trendlineType val="linear"/>
            <c:forward val="30000"/>
            <c:backward val="10000"/>
            <c:dispRSqr val="1"/>
            <c:dispEq val="1"/>
            <c:trendlineLbl>
              <c:layout>
                <c:manualLayout>
                  <c:x val="5.373966412093362E-3"/>
                  <c:y val="0.22096282504491616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sz="2000"/>
                  </a:pPr>
                  <a:endParaRPr lang="ru-RU"/>
                </a:p>
              </c:txPr>
            </c:trendlineLbl>
          </c:trendline>
          <c:xVal>
            <c:numRef>
              <c:f>НАСТРОЙКА!$EP$115:$EP$118</c:f>
              <c:numCache>
                <c:formatCode>0</c:formatCode>
                <c:ptCount val="4"/>
                <c:pt idx="0">
                  <c:v>83094</c:v>
                </c:pt>
                <c:pt idx="1">
                  <c:v>86014</c:v>
                </c:pt>
                <c:pt idx="2">
                  <c:v>92101</c:v>
                </c:pt>
                <c:pt idx="3">
                  <c:v>103876</c:v>
                </c:pt>
              </c:numCache>
            </c:numRef>
          </c:xVal>
          <c:yVal>
            <c:numRef>
              <c:f>НАСТРОЙКА!$EO$115:$EO$118</c:f>
              <c:numCache>
                <c:formatCode>0</c:formatCode>
                <c:ptCount val="4"/>
                <c:pt idx="0">
                  <c:v>53526</c:v>
                </c:pt>
                <c:pt idx="1">
                  <c:v>54117</c:v>
                </c:pt>
                <c:pt idx="2">
                  <c:v>55368</c:v>
                </c:pt>
                <c:pt idx="3">
                  <c:v>57500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6B7-484B-8F71-F967073AB7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8208384"/>
        <c:axId val="158209920"/>
      </c:scatterChart>
      <c:valAx>
        <c:axId val="158208384"/>
        <c:scaling>
          <c:orientation val="minMax"/>
          <c:max val="140000"/>
          <c:min val="0"/>
        </c:scaling>
        <c:delete val="0"/>
        <c:axPos val="b"/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800"/>
            </a:pPr>
            <a:endParaRPr lang="ru-RU"/>
          </a:p>
        </c:txPr>
        <c:crossAx val="158209920"/>
        <c:crosses val="autoZero"/>
        <c:crossBetween val="midCat"/>
        <c:majorUnit val="40000"/>
      </c:valAx>
      <c:valAx>
        <c:axId val="158209920"/>
        <c:scaling>
          <c:orientation val="minMax"/>
          <c:max val="80000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txPr>
          <a:bodyPr/>
          <a:lstStyle/>
          <a:p>
            <a:pPr>
              <a:defRPr sz="1800"/>
            </a:pPr>
            <a:endParaRPr lang="ru-RU"/>
          </a:p>
        </c:txPr>
        <c:crossAx val="158208384"/>
        <c:crosses val="autoZero"/>
        <c:crossBetween val="midCat"/>
        <c:majorUnit val="20000"/>
      </c:valAx>
    </c:plotArea>
    <c:plotVisOnly val="1"/>
    <c:dispBlanksAs val="gap"/>
    <c:showDLblsOverMax val="0"/>
  </c:chart>
  <c:spPr>
    <a:solidFill>
      <a:schemeClr val="bg1">
        <a:lumMod val="85000"/>
      </a:schemeClr>
    </a:solidFill>
  </c:spPr>
  <c:txPr>
    <a:bodyPr/>
    <a:lstStyle/>
    <a:p>
      <a:pPr>
        <a:defRPr>
          <a:latin typeface="Arial" panose="020B0604020202020204" pitchFamily="34" charset="0"/>
          <a:cs typeface="Arial" panose="020B0604020202020204" pitchFamily="34" charset="0"/>
        </a:defRPr>
      </a:pPr>
      <a:endParaRPr lang="ru-RU"/>
    </a:p>
  </c:tx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3503003135844014E-2"/>
          <c:y val="2.9950517465175963E-2"/>
          <c:w val="0.89401260235728952"/>
          <c:h val="0.91247939775737996"/>
        </c:manualLayout>
      </c:layout>
      <c:scatterChart>
        <c:scatterStyle val="smoothMarker"/>
        <c:varyColors val="0"/>
        <c:ser>
          <c:idx val="0"/>
          <c:order val="0"/>
          <c:spPr>
            <a:ln w="114300">
              <a:solidFill>
                <a:srgbClr val="00B050">
                  <a:alpha val="65000"/>
                </a:srgbClr>
              </a:solidFill>
            </a:ln>
          </c:spPr>
          <c:marker>
            <c:symbol val="circle"/>
            <c:size val="21"/>
            <c:spPr>
              <a:noFill/>
            </c:spPr>
          </c:marker>
          <c:trendline>
            <c:spPr>
              <a:ln w="28575">
                <a:solidFill>
                  <a:schemeClr val="tx1"/>
                </a:solidFill>
                <a:prstDash val="lgDash"/>
              </a:ln>
            </c:spPr>
            <c:trendlineType val="power"/>
            <c:forward val="10"/>
            <c:dispRSqr val="0"/>
            <c:dispEq val="0"/>
          </c:trendline>
          <c:xVal>
            <c:numRef>
              <c:f>НАСТРОЙКА!$FF$95:$FF$130</c:f>
              <c:numCache>
                <c:formatCode>General</c:formatCode>
                <c:ptCount val="36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</c:numCache>
            </c:numRef>
          </c:xVal>
          <c:yVal>
            <c:numRef>
              <c:f>НАСТРОЙКА!$FG$95:$FG$130</c:f>
              <c:numCache>
                <c:formatCode>0.000</c:formatCode>
                <c:ptCount val="36"/>
                <c:pt idx="0">
                  <c:v>1</c:v>
                </c:pt>
                <c:pt idx="1">
                  <c:v>0.95099999999999996</c:v>
                </c:pt>
                <c:pt idx="2">
                  <c:v>0.99855000000000005</c:v>
                </c:pt>
                <c:pt idx="3">
                  <c:v>0.96459930000000005</c:v>
                </c:pt>
                <c:pt idx="4">
                  <c:v>0.94144891679999998</c:v>
                </c:pt>
                <c:pt idx="5">
                  <c:v>0.99699440289119989</c:v>
                </c:pt>
                <c:pt idx="6">
                  <c:v>1.0787479439282783</c:v>
                </c:pt>
                <c:pt idx="7">
                  <c:v>1.1618115356107557</c:v>
                </c:pt>
                <c:pt idx="8">
                  <c:v>1.2512710238527838</c:v>
                </c:pt>
                <c:pt idx="9">
                  <c:v>1.4076799018343817</c:v>
                </c:pt>
                <c:pt idx="10">
                  <c:v>1.5794168498581764</c:v>
                </c:pt>
                <c:pt idx="11">
                  <c:v>1.7721057055408742</c:v>
                </c:pt>
                <c:pt idx="12">
                  <c:v>2.0255168214332193</c:v>
                </c:pt>
                <c:pt idx="13">
                  <c:v>2.2402216045051406</c:v>
                </c:pt>
                <c:pt idx="14">
                  <c:v>2.1259703026753782</c:v>
                </c:pt>
                <c:pt idx="15">
                  <c:v>2.2428986693225239</c:v>
                </c:pt>
                <c:pt idx="16">
                  <c:v>2.3954157788364556</c:v>
                </c:pt>
                <c:pt idx="17">
                  <c:v>2.5846536253645356</c:v>
                </c:pt>
                <c:pt idx="18">
                  <c:v>2.7190556138834916</c:v>
                </c:pt>
                <c:pt idx="19">
                  <c:v>2.7734367261611617</c:v>
                </c:pt>
                <c:pt idx="20">
                  <c:v>2.5127336739020127</c:v>
                </c:pt>
                <c:pt idx="21">
                  <c:v>2.4649917340978744</c:v>
                </c:pt>
                <c:pt idx="22">
                  <c:v>2.5463364613231039</c:v>
                </c:pt>
                <c:pt idx="23">
                  <c:v>2.6049021999335351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288-4F7E-A6A9-7131D711A95B}"/>
            </c:ext>
          </c:extLst>
        </c:ser>
        <c:ser>
          <c:idx val="1"/>
          <c:order val="1"/>
          <c:trendline>
            <c:spPr>
              <a:ln w="25400">
                <a:prstDash val="lgDash"/>
              </a:ln>
            </c:spPr>
            <c:trendlineType val="power"/>
            <c:forward val="5"/>
            <c:dispRSqr val="0"/>
            <c:dispEq val="0"/>
          </c:trendline>
          <c:trendline>
            <c:spPr>
              <a:ln w="25400">
                <a:prstDash val="lgDash"/>
              </a:ln>
            </c:spPr>
            <c:trendlineType val="poly"/>
            <c:order val="2"/>
            <c:forward val="5"/>
            <c:dispRSqr val="0"/>
            <c:dispEq val="0"/>
          </c:trendline>
          <c:xVal>
            <c:numRef>
              <c:f>НАСТРОЙКА!$FF$99:$FF$108</c:f>
              <c:numCache>
                <c:formatCode>General</c:formatCode>
                <c:ptCount val="10"/>
                <c:pt idx="0">
                  <c:v>1999</c:v>
                </c:pt>
                <c:pt idx="1">
                  <c:v>2000</c:v>
                </c:pt>
                <c:pt idx="2">
                  <c:v>2001</c:v>
                </c:pt>
                <c:pt idx="3">
                  <c:v>2002</c:v>
                </c:pt>
                <c:pt idx="4">
                  <c:v>2003</c:v>
                </c:pt>
                <c:pt idx="5">
                  <c:v>2004</c:v>
                </c:pt>
                <c:pt idx="6">
                  <c:v>2005</c:v>
                </c:pt>
                <c:pt idx="7">
                  <c:v>2006</c:v>
                </c:pt>
                <c:pt idx="8">
                  <c:v>2007</c:v>
                </c:pt>
                <c:pt idx="9">
                  <c:v>2008</c:v>
                </c:pt>
              </c:numCache>
            </c:numRef>
          </c:xVal>
          <c:yVal>
            <c:numRef>
              <c:f>НАСТРОЙКА!$FH$99:$FH$108</c:f>
              <c:numCache>
                <c:formatCode>0.000</c:formatCode>
                <c:ptCount val="10"/>
                <c:pt idx="0">
                  <c:v>0.94144891679999998</c:v>
                </c:pt>
                <c:pt idx="1">
                  <c:v>0.99699440289119989</c:v>
                </c:pt>
                <c:pt idx="2">
                  <c:v>1.0787479439282783</c:v>
                </c:pt>
                <c:pt idx="3">
                  <c:v>1.1618115356107557</c:v>
                </c:pt>
                <c:pt idx="4">
                  <c:v>1.2512710238527838</c:v>
                </c:pt>
                <c:pt idx="5">
                  <c:v>1.4076799018343817</c:v>
                </c:pt>
                <c:pt idx="6">
                  <c:v>1.5794168498581764</c:v>
                </c:pt>
                <c:pt idx="7">
                  <c:v>1.7721057055408742</c:v>
                </c:pt>
                <c:pt idx="8">
                  <c:v>2.0255168214332193</c:v>
                </c:pt>
                <c:pt idx="9">
                  <c:v>2.2402216045051406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5288-4F7E-A6A9-7131D711A95B}"/>
            </c:ext>
          </c:extLst>
        </c:ser>
        <c:ser>
          <c:idx val="2"/>
          <c:order val="2"/>
          <c:trendline>
            <c:spPr>
              <a:ln w="25400">
                <a:prstDash val="lgDash"/>
              </a:ln>
            </c:spPr>
            <c:trendlineType val="poly"/>
            <c:order val="2"/>
            <c:forward val="7"/>
            <c:dispRSqr val="0"/>
            <c:dispEq val="0"/>
          </c:trendline>
          <c:xVal>
            <c:numRef>
              <c:f>НАСТРОЙКА!$FF$110:$FF$113</c:f>
              <c:numCache>
                <c:formatCode>General</c:formatCode>
                <c:ptCount val="4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</c:numCache>
            </c:numRef>
          </c:xVal>
          <c:yVal>
            <c:numRef>
              <c:f>НАСТРОЙКА!$FI$110:$FI$113</c:f>
              <c:numCache>
                <c:formatCode>0.000</c:formatCode>
                <c:ptCount val="4"/>
                <c:pt idx="0">
                  <c:v>2.2428986693225239</c:v>
                </c:pt>
                <c:pt idx="1">
                  <c:v>2.3954157788364556</c:v>
                </c:pt>
                <c:pt idx="2">
                  <c:v>2.5846536253645356</c:v>
                </c:pt>
                <c:pt idx="3">
                  <c:v>2.7190556138834916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5288-4F7E-A6A9-7131D711A95B}"/>
            </c:ext>
          </c:extLst>
        </c:ser>
        <c:ser>
          <c:idx val="3"/>
          <c:order val="3"/>
          <c:trendline>
            <c:spPr>
              <a:ln w="12700">
                <a:prstDash val="lgDash"/>
              </a:ln>
            </c:spPr>
            <c:trendlineType val="poly"/>
            <c:order val="2"/>
            <c:forward val="7"/>
            <c:dispRSqr val="0"/>
            <c:dispEq val="0"/>
          </c:trendline>
          <c:xVal>
            <c:numRef>
              <c:f>НАСТРОЙКА!$FF$116:$FF$118</c:f>
              <c:numCache>
                <c:formatCode>General</c:formatCode>
                <c:ptCount val="3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</c:numCache>
            </c:numRef>
          </c:xVal>
          <c:yVal>
            <c:numRef>
              <c:f>НАСТРОЙКА!$FJ$116:$FJ$118</c:f>
              <c:numCache>
                <c:formatCode>0.000</c:formatCode>
                <c:ptCount val="3"/>
                <c:pt idx="0">
                  <c:v>2.4649917340978744</c:v>
                </c:pt>
                <c:pt idx="1">
                  <c:v>2.5463364613231039</c:v>
                </c:pt>
                <c:pt idx="2">
                  <c:v>2.6049021999335351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5288-4F7E-A6A9-7131D711A9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8423296"/>
        <c:axId val="158429184"/>
      </c:scatterChart>
      <c:valAx>
        <c:axId val="158423296"/>
        <c:scaling>
          <c:orientation val="minMax"/>
          <c:max val="2030"/>
          <c:min val="1995"/>
        </c:scaling>
        <c:delete val="0"/>
        <c:axPos val="b"/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800"/>
            </a:pPr>
            <a:endParaRPr lang="ru-RU"/>
          </a:p>
        </c:txPr>
        <c:crossAx val="158429184"/>
        <c:crosses val="autoZero"/>
        <c:crossBetween val="midCat"/>
        <c:majorUnit val="5"/>
      </c:valAx>
      <c:valAx>
        <c:axId val="158429184"/>
        <c:scaling>
          <c:orientation val="minMax"/>
          <c:max val="4"/>
          <c:min val="0.5"/>
        </c:scaling>
        <c:delete val="0"/>
        <c:axPos val="l"/>
        <c:majorGridlines/>
        <c:numFmt formatCode="0.00" sourceLinked="0"/>
        <c:majorTickMark val="out"/>
        <c:minorTickMark val="none"/>
        <c:tickLblPos val="nextTo"/>
        <c:txPr>
          <a:bodyPr/>
          <a:lstStyle/>
          <a:p>
            <a:pPr>
              <a:defRPr sz="1800"/>
            </a:pPr>
            <a:endParaRPr lang="ru-RU"/>
          </a:p>
        </c:txPr>
        <c:crossAx val="158423296"/>
        <c:crosses val="autoZero"/>
        <c:crossBetween val="midCat"/>
        <c:majorUnit val="0.5"/>
      </c:valAx>
    </c:plotArea>
    <c:plotVisOnly val="1"/>
    <c:dispBlanksAs val="gap"/>
    <c:showDLblsOverMax val="0"/>
  </c:chart>
  <c:spPr>
    <a:solidFill>
      <a:schemeClr val="bg1">
        <a:lumMod val="85000"/>
      </a:schemeClr>
    </a:solidFill>
  </c:spPr>
  <c:txPr>
    <a:bodyPr/>
    <a:lstStyle/>
    <a:p>
      <a:pPr>
        <a:defRPr>
          <a:latin typeface="Arial" panose="020B0604020202020204" pitchFamily="34" charset="0"/>
          <a:cs typeface="Arial" panose="020B0604020202020204" pitchFamily="34" charset="0"/>
        </a:defRPr>
      </a:pPr>
      <a:endParaRPr lang="ru-RU"/>
    </a:p>
  </c:tx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8804564958393145E-2"/>
          <c:y val="3.6982006562066815E-2"/>
          <c:w val="0.8702056739494699"/>
          <c:h val="0.91134587386250065"/>
        </c:manualLayout>
      </c:layout>
      <c:scatterChart>
        <c:scatterStyle val="smoothMarker"/>
        <c:varyColors val="0"/>
        <c:ser>
          <c:idx val="0"/>
          <c:order val="0"/>
          <c:spPr>
            <a:ln w="98425"/>
          </c:spPr>
          <c:marker>
            <c:symbol val="circle"/>
            <c:size val="17"/>
            <c:spPr>
              <a:noFill/>
            </c:spPr>
          </c:marker>
          <c:xVal>
            <c:numRef>
              <c:f>НАСТРОЙКА!$GE$95:$GE$118</c:f>
              <c:numCache>
                <c:formatCode>0</c:formatCode>
                <c:ptCount val="24"/>
                <c:pt idx="0">
                  <c:v>1428.5209</c:v>
                </c:pt>
                <c:pt idx="1">
                  <c:v>2007.8252000000002</c:v>
                </c:pt>
                <c:pt idx="2">
                  <c:v>2342.5137</c:v>
                </c:pt>
                <c:pt idx="3">
                  <c:v>2629.6228999999998</c:v>
                </c:pt>
                <c:pt idx="4">
                  <c:v>4823.2329</c:v>
                </c:pt>
                <c:pt idx="5">
                  <c:v>7305.6466</c:v>
                </c:pt>
                <c:pt idx="6">
                  <c:v>8943.5825999999997</c:v>
                </c:pt>
                <c:pt idx="7">
                  <c:v>10819.270899999998</c:v>
                </c:pt>
                <c:pt idx="8">
                  <c:v>13208.250299999998</c:v>
                </c:pt>
                <c:pt idx="9">
                  <c:v>17027.166999999998</c:v>
                </c:pt>
                <c:pt idx="10">
                  <c:v>21609.765799999997</c:v>
                </c:pt>
                <c:pt idx="11">
                  <c:v>26917.203699999998</c:v>
                </c:pt>
                <c:pt idx="12">
                  <c:v>33247.513200000001</c:v>
                </c:pt>
                <c:pt idx="13">
                  <c:v>41276.849199999997</c:v>
                </c:pt>
                <c:pt idx="14">
                  <c:v>38807.270899999996</c:v>
                </c:pt>
                <c:pt idx="15">
                  <c:v>46308.53100000001</c:v>
                </c:pt>
                <c:pt idx="16">
                  <c:v>60282.540400000005</c:v>
                </c:pt>
                <c:pt idx="17">
                  <c:v>68163.883100000006</c:v>
                </c:pt>
                <c:pt idx="18">
                  <c:v>73133.89509999998</c:v>
                </c:pt>
                <c:pt idx="19">
                  <c:v>79058</c:v>
                </c:pt>
                <c:pt idx="20">
                  <c:v>83094</c:v>
                </c:pt>
                <c:pt idx="21">
                  <c:v>86014</c:v>
                </c:pt>
                <c:pt idx="22">
                  <c:v>92101</c:v>
                </c:pt>
                <c:pt idx="23">
                  <c:v>103876</c:v>
                </c:pt>
              </c:numCache>
            </c:numRef>
          </c:xVal>
          <c:yVal>
            <c:numRef>
              <c:f>НАСТРОЙКА!$GB$95:$GB$118</c:f>
              <c:numCache>
                <c:formatCode>0</c:formatCode>
                <c:ptCount val="24"/>
                <c:pt idx="0">
                  <c:v>647.87</c:v>
                </c:pt>
                <c:pt idx="1">
                  <c:v>1022.64</c:v>
                </c:pt>
                <c:pt idx="2">
                  <c:v>1202.9000000000001</c:v>
                </c:pt>
                <c:pt idx="3">
                  <c:v>1263.047</c:v>
                </c:pt>
                <c:pt idx="4">
                  <c:v>1933.606</c:v>
                </c:pt>
                <c:pt idx="5">
                  <c:v>2937.23</c:v>
                </c:pt>
                <c:pt idx="6">
                  <c:v>3848.4</c:v>
                </c:pt>
                <c:pt idx="7">
                  <c:v>5065.1000000000004</c:v>
                </c:pt>
                <c:pt idx="8">
                  <c:v>6231.3869999999997</c:v>
                </c:pt>
                <c:pt idx="9">
                  <c:v>7845.0370000000003</c:v>
                </c:pt>
                <c:pt idx="10">
                  <c:v>9439.8269999999993</c:v>
                </c:pt>
                <c:pt idx="11">
                  <c:v>11985.905000000001</c:v>
                </c:pt>
                <c:pt idx="12">
                  <c:v>15526.11</c:v>
                </c:pt>
                <c:pt idx="13">
                  <c:v>19559.759999999998</c:v>
                </c:pt>
                <c:pt idx="14">
                  <c:v>20411.61</c:v>
                </c:pt>
                <c:pt idx="15">
                  <c:v>22995.63</c:v>
                </c:pt>
                <c:pt idx="16">
                  <c:v>26386.6754</c:v>
                </c:pt>
                <c:pt idx="17">
                  <c:v>30201.161499999998</c:v>
                </c:pt>
                <c:pt idx="18">
                  <c:v>33792.282200000001</c:v>
                </c:pt>
                <c:pt idx="19">
                  <c:v>37430.46</c:v>
                </c:pt>
                <c:pt idx="20">
                  <c:v>37745.49</c:v>
                </c:pt>
                <c:pt idx="21">
                  <c:v>41245.360000000001</c:v>
                </c:pt>
                <c:pt idx="22">
                  <c:v>43884.32</c:v>
                </c:pt>
                <c:pt idx="23">
                  <c:v>48244.37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DE57-4D06-9186-192DEC59A4A5}"/>
            </c:ext>
          </c:extLst>
        </c:ser>
        <c:ser>
          <c:idx val="1"/>
          <c:order val="1"/>
          <c:trendline>
            <c:spPr>
              <a:ln w="28575">
                <a:prstDash val="lgDashDot"/>
              </a:ln>
            </c:spPr>
            <c:trendlineType val="linear"/>
            <c:forward val="50000"/>
            <c:dispRSqr val="1"/>
            <c:dispEq val="1"/>
            <c:trendlineLbl>
              <c:layout>
                <c:manualLayout>
                  <c:x val="-0.49154353999266254"/>
                  <c:y val="0.38649189494191438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sz="1800"/>
                  </a:pPr>
                  <a:endParaRPr lang="ru-RU"/>
                </a:p>
              </c:txPr>
            </c:trendlineLbl>
          </c:trendline>
          <c:xVal>
            <c:numRef>
              <c:f>НАСТРОЙКА!$GE$95:$GE$114</c:f>
              <c:numCache>
                <c:formatCode>0</c:formatCode>
                <c:ptCount val="20"/>
                <c:pt idx="0">
                  <c:v>1428.5209</c:v>
                </c:pt>
                <c:pt idx="1">
                  <c:v>2007.8252000000002</c:v>
                </c:pt>
                <c:pt idx="2">
                  <c:v>2342.5137</c:v>
                </c:pt>
                <c:pt idx="3">
                  <c:v>2629.6228999999998</c:v>
                </c:pt>
                <c:pt idx="4">
                  <c:v>4823.2329</c:v>
                </c:pt>
                <c:pt idx="5">
                  <c:v>7305.6466</c:v>
                </c:pt>
                <c:pt idx="6">
                  <c:v>8943.5825999999997</c:v>
                </c:pt>
                <c:pt idx="7">
                  <c:v>10819.270899999998</c:v>
                </c:pt>
                <c:pt idx="8">
                  <c:v>13208.250299999998</c:v>
                </c:pt>
                <c:pt idx="9">
                  <c:v>17027.166999999998</c:v>
                </c:pt>
                <c:pt idx="10">
                  <c:v>21609.765799999997</c:v>
                </c:pt>
                <c:pt idx="11">
                  <c:v>26917.203699999998</c:v>
                </c:pt>
                <c:pt idx="12">
                  <c:v>33247.513200000001</c:v>
                </c:pt>
                <c:pt idx="13">
                  <c:v>41276.849199999997</c:v>
                </c:pt>
                <c:pt idx="14">
                  <c:v>38807.270899999996</c:v>
                </c:pt>
                <c:pt idx="15">
                  <c:v>46308.53100000001</c:v>
                </c:pt>
                <c:pt idx="16">
                  <c:v>60282.540400000005</c:v>
                </c:pt>
                <c:pt idx="17">
                  <c:v>68163.883100000006</c:v>
                </c:pt>
                <c:pt idx="18">
                  <c:v>73133.89509999998</c:v>
                </c:pt>
                <c:pt idx="19">
                  <c:v>79058</c:v>
                </c:pt>
              </c:numCache>
            </c:numRef>
          </c:xVal>
          <c:yVal>
            <c:numRef>
              <c:f>НАСТРОЙКА!$GC$95:$GC$114</c:f>
              <c:numCache>
                <c:formatCode>0</c:formatCode>
                <c:ptCount val="20"/>
                <c:pt idx="0">
                  <c:v>647.87</c:v>
                </c:pt>
                <c:pt idx="1">
                  <c:v>1022.64</c:v>
                </c:pt>
                <c:pt idx="2">
                  <c:v>1202.9000000000001</c:v>
                </c:pt>
                <c:pt idx="3">
                  <c:v>1263.047</c:v>
                </c:pt>
                <c:pt idx="4">
                  <c:v>1933.606</c:v>
                </c:pt>
                <c:pt idx="5">
                  <c:v>2937.23</c:v>
                </c:pt>
                <c:pt idx="6">
                  <c:v>3848.4</c:v>
                </c:pt>
                <c:pt idx="7">
                  <c:v>5065.1000000000004</c:v>
                </c:pt>
                <c:pt idx="8">
                  <c:v>6231.3869999999997</c:v>
                </c:pt>
                <c:pt idx="9">
                  <c:v>7845.0370000000003</c:v>
                </c:pt>
                <c:pt idx="10">
                  <c:v>9439.8269999999993</c:v>
                </c:pt>
                <c:pt idx="11">
                  <c:v>11985.905000000001</c:v>
                </c:pt>
                <c:pt idx="12">
                  <c:v>15526.11</c:v>
                </c:pt>
                <c:pt idx="13">
                  <c:v>19559.759999999998</c:v>
                </c:pt>
                <c:pt idx="14">
                  <c:v>20411.61</c:v>
                </c:pt>
                <c:pt idx="15">
                  <c:v>22995.63</c:v>
                </c:pt>
                <c:pt idx="16">
                  <c:v>26386.6754</c:v>
                </c:pt>
                <c:pt idx="17">
                  <c:v>30201.161499999998</c:v>
                </c:pt>
                <c:pt idx="18">
                  <c:v>33792.282200000001</c:v>
                </c:pt>
                <c:pt idx="19">
                  <c:v>37430.46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61A-49C6-ABB7-C8E74909A7BB}"/>
            </c:ext>
          </c:extLst>
        </c:ser>
        <c:ser>
          <c:idx val="2"/>
          <c:order val="2"/>
          <c:trendline>
            <c:spPr>
              <a:ln w="25400">
                <a:prstDash val="lgDash"/>
              </a:ln>
            </c:spPr>
            <c:trendlineType val="linear"/>
            <c:forward val="25000"/>
            <c:backward val="15000"/>
            <c:dispRSqr val="1"/>
            <c:dispEq val="1"/>
            <c:trendlineLbl>
              <c:layout>
                <c:manualLayout>
                  <c:x val="-4.6329490383668764E-3"/>
                  <c:y val="0.39238986014392979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sz="1800"/>
                  </a:pPr>
                  <a:endParaRPr lang="ru-RU"/>
                </a:p>
              </c:txPr>
            </c:trendlineLbl>
          </c:trendline>
          <c:xVal>
            <c:numRef>
              <c:f>НАСТРОЙКА!$GE$116:$GE$118</c:f>
              <c:numCache>
                <c:formatCode>0</c:formatCode>
                <c:ptCount val="3"/>
                <c:pt idx="0">
                  <c:v>86014</c:v>
                </c:pt>
                <c:pt idx="1">
                  <c:v>92101</c:v>
                </c:pt>
                <c:pt idx="2">
                  <c:v>103876</c:v>
                </c:pt>
              </c:numCache>
            </c:numRef>
          </c:xVal>
          <c:yVal>
            <c:numRef>
              <c:f>НАСТРОЙКА!$GD$116:$GD$118</c:f>
              <c:numCache>
                <c:formatCode>0</c:formatCode>
                <c:ptCount val="3"/>
                <c:pt idx="0">
                  <c:v>41245.360000000001</c:v>
                </c:pt>
                <c:pt idx="1">
                  <c:v>43884.32</c:v>
                </c:pt>
                <c:pt idx="2">
                  <c:v>48244.37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61A-49C6-ABB7-C8E74909A7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8489216"/>
        <c:axId val="158499200"/>
      </c:scatterChart>
      <c:valAx>
        <c:axId val="158489216"/>
        <c:scaling>
          <c:orientation val="minMax"/>
          <c:max val="140000"/>
          <c:min val="0"/>
        </c:scaling>
        <c:delete val="0"/>
        <c:axPos val="b"/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800"/>
            </a:pPr>
            <a:endParaRPr lang="ru-RU"/>
          </a:p>
        </c:txPr>
        <c:crossAx val="158499200"/>
        <c:crosses val="autoZero"/>
        <c:crossBetween val="midCat"/>
        <c:majorUnit val="40000"/>
      </c:valAx>
      <c:valAx>
        <c:axId val="158499200"/>
        <c:scaling>
          <c:orientation val="minMax"/>
          <c:max val="60000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txPr>
          <a:bodyPr/>
          <a:lstStyle/>
          <a:p>
            <a:pPr>
              <a:defRPr sz="1800"/>
            </a:pPr>
            <a:endParaRPr lang="ru-RU"/>
          </a:p>
        </c:txPr>
        <c:crossAx val="158489216"/>
        <c:crosses val="autoZero"/>
        <c:crossBetween val="midCat"/>
        <c:majorUnit val="20000"/>
      </c:valAx>
    </c:plotArea>
    <c:plotVisOnly val="1"/>
    <c:dispBlanksAs val="gap"/>
    <c:showDLblsOverMax val="0"/>
  </c:chart>
  <c:spPr>
    <a:solidFill>
      <a:schemeClr val="bg1">
        <a:lumMod val="85000"/>
      </a:schemeClr>
    </a:solidFill>
  </c:spPr>
  <c:txPr>
    <a:bodyPr/>
    <a:lstStyle/>
    <a:p>
      <a:pPr>
        <a:defRPr>
          <a:latin typeface="Arial" panose="020B0604020202020204" pitchFamily="34" charset="0"/>
          <a:cs typeface="Arial" panose="020B0604020202020204" pitchFamily="34" charset="0"/>
        </a:defRPr>
      </a:pPr>
      <a:endParaRPr lang="ru-RU"/>
    </a:p>
  </c:tx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043474828804282E-2"/>
          <c:y val="2.6365625575287849E-2"/>
          <c:w val="0.85580614923134557"/>
          <c:h val="0.92550095191933457"/>
        </c:manualLayout>
      </c:layout>
      <c:scatterChart>
        <c:scatterStyle val="smoothMarker"/>
        <c:varyColors val="0"/>
        <c:ser>
          <c:idx val="0"/>
          <c:order val="0"/>
          <c:spPr>
            <a:ln w="117475">
              <a:solidFill>
                <a:schemeClr val="accent2"/>
              </a:solidFill>
            </a:ln>
          </c:spPr>
          <c:marker>
            <c:symbol val="circle"/>
            <c:size val="21"/>
            <c:spPr>
              <a:noFill/>
            </c:spPr>
          </c:marker>
          <c:xVal>
            <c:numRef>
              <c:f>НАСТРОЙКА!$EQ$136:$EQ$159</c:f>
              <c:numCache>
                <c:formatCode>0</c:formatCode>
                <c:ptCount val="24"/>
                <c:pt idx="0">
                  <c:v>1428.5209</c:v>
                </c:pt>
                <c:pt idx="1">
                  <c:v>2007.8252000000002</c:v>
                </c:pt>
                <c:pt idx="2">
                  <c:v>2342.5137</c:v>
                </c:pt>
                <c:pt idx="3">
                  <c:v>2629.6228999999998</c:v>
                </c:pt>
                <c:pt idx="4">
                  <c:v>4823.2329</c:v>
                </c:pt>
                <c:pt idx="5">
                  <c:v>7305.6466</c:v>
                </c:pt>
                <c:pt idx="6">
                  <c:v>8943.5825999999997</c:v>
                </c:pt>
                <c:pt idx="7">
                  <c:v>10819.270899999998</c:v>
                </c:pt>
                <c:pt idx="8">
                  <c:v>13208.250299999998</c:v>
                </c:pt>
                <c:pt idx="9">
                  <c:v>17027.166999999998</c:v>
                </c:pt>
                <c:pt idx="10">
                  <c:v>21609.765799999997</c:v>
                </c:pt>
                <c:pt idx="11">
                  <c:v>26917.203699999998</c:v>
                </c:pt>
                <c:pt idx="12">
                  <c:v>33247.513200000001</c:v>
                </c:pt>
                <c:pt idx="13">
                  <c:v>41276.849199999997</c:v>
                </c:pt>
                <c:pt idx="14">
                  <c:v>38807.270899999996</c:v>
                </c:pt>
                <c:pt idx="15">
                  <c:v>46308.53100000001</c:v>
                </c:pt>
                <c:pt idx="16">
                  <c:v>60282.540400000005</c:v>
                </c:pt>
                <c:pt idx="17">
                  <c:v>68163.883100000006</c:v>
                </c:pt>
                <c:pt idx="18">
                  <c:v>73133.89509999998</c:v>
                </c:pt>
                <c:pt idx="19">
                  <c:v>79058</c:v>
                </c:pt>
                <c:pt idx="20">
                  <c:v>83094</c:v>
                </c:pt>
                <c:pt idx="21">
                  <c:v>86014</c:v>
                </c:pt>
                <c:pt idx="22">
                  <c:v>92101</c:v>
                </c:pt>
                <c:pt idx="23">
                  <c:v>103876</c:v>
                </c:pt>
              </c:numCache>
            </c:numRef>
          </c:xVal>
          <c:yVal>
            <c:numRef>
              <c:f>НАСТРОЙКА!$EN$136:$EN$159</c:f>
              <c:numCache>
                <c:formatCode>0</c:formatCode>
                <c:ptCount val="24"/>
                <c:pt idx="0">
                  <c:v>263.02999999999997</c:v>
                </c:pt>
                <c:pt idx="1">
                  <c:v>334.45999999999992</c:v>
                </c:pt>
                <c:pt idx="2">
                  <c:v>453.5</c:v>
                </c:pt>
                <c:pt idx="3">
                  <c:v>512.95299999999997</c:v>
                </c:pt>
                <c:pt idx="4">
                  <c:v>974.49399999999991</c:v>
                </c:pt>
                <c:pt idx="5">
                  <c:v>1046.67</c:v>
                </c:pt>
                <c:pt idx="6">
                  <c:v>1477.4</c:v>
                </c:pt>
                <c:pt idx="7">
                  <c:v>1765.8999999999996</c:v>
                </c:pt>
                <c:pt idx="8">
                  <c:v>2669.1130000000003</c:v>
                </c:pt>
                <c:pt idx="9">
                  <c:v>3131.262999999999</c:v>
                </c:pt>
                <c:pt idx="10">
                  <c:v>4379.1730000000007</c:v>
                </c:pt>
                <c:pt idx="11">
                  <c:v>5304.1949999999979</c:v>
                </c:pt>
                <c:pt idx="12">
                  <c:v>5785.3899999999994</c:v>
                </c:pt>
                <c:pt idx="13">
                  <c:v>5684.2400000000016</c:v>
                </c:pt>
                <c:pt idx="14">
                  <c:v>8285.89</c:v>
                </c:pt>
                <c:pt idx="15">
                  <c:v>9502.6699999999983</c:v>
                </c:pt>
                <c:pt idx="16">
                  <c:v>9262.024599999997</c:v>
                </c:pt>
                <c:pt idx="17">
                  <c:v>9702.8385000000017</c:v>
                </c:pt>
                <c:pt idx="18">
                  <c:v>10857.717799999999</c:v>
                </c:pt>
                <c:pt idx="19">
                  <c:v>10490.54</c:v>
                </c:pt>
                <c:pt idx="20">
                  <c:v>15780.510000000002</c:v>
                </c:pt>
                <c:pt idx="21">
                  <c:v>12871.64</c:v>
                </c:pt>
                <c:pt idx="22">
                  <c:v>11483.68</c:v>
                </c:pt>
                <c:pt idx="23">
                  <c:v>9255.6299999999974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3A9-469A-97DC-B659165E183D}"/>
            </c:ext>
          </c:extLst>
        </c:ser>
        <c:ser>
          <c:idx val="1"/>
          <c:order val="1"/>
          <c:trendline>
            <c:spPr>
              <a:ln w="25400">
                <a:prstDash val="lgDash"/>
              </a:ln>
            </c:spPr>
            <c:trendlineType val="linear"/>
            <c:forward val="20000"/>
            <c:dispRSqr val="1"/>
            <c:dispEq val="1"/>
            <c:trendlineLbl>
              <c:layout>
                <c:manualLayout>
                  <c:x val="-0.25328824028575381"/>
                  <c:y val="9.7621307656614725E-2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sz="2000"/>
                  </a:pPr>
                  <a:endParaRPr lang="ru-RU"/>
                </a:p>
              </c:txPr>
            </c:trendlineLbl>
          </c:trendline>
          <c:xVal>
            <c:numRef>
              <c:f>НАСТРОЙКА!$EQ$136:$EQ$156</c:f>
              <c:numCache>
                <c:formatCode>0</c:formatCode>
                <c:ptCount val="21"/>
                <c:pt idx="0">
                  <c:v>1428.5209</c:v>
                </c:pt>
                <c:pt idx="1">
                  <c:v>2007.8252000000002</c:v>
                </c:pt>
                <c:pt idx="2">
                  <c:v>2342.5137</c:v>
                </c:pt>
                <c:pt idx="3">
                  <c:v>2629.6228999999998</c:v>
                </c:pt>
                <c:pt idx="4">
                  <c:v>4823.2329</c:v>
                </c:pt>
                <c:pt idx="5">
                  <c:v>7305.6466</c:v>
                </c:pt>
                <c:pt idx="6">
                  <c:v>8943.5825999999997</c:v>
                </c:pt>
                <c:pt idx="7">
                  <c:v>10819.270899999998</c:v>
                </c:pt>
                <c:pt idx="8">
                  <c:v>13208.250299999998</c:v>
                </c:pt>
                <c:pt idx="9">
                  <c:v>17027.166999999998</c:v>
                </c:pt>
                <c:pt idx="10">
                  <c:v>21609.765799999997</c:v>
                </c:pt>
                <c:pt idx="11">
                  <c:v>26917.203699999998</c:v>
                </c:pt>
                <c:pt idx="12">
                  <c:v>33247.513200000001</c:v>
                </c:pt>
                <c:pt idx="13">
                  <c:v>41276.849199999997</c:v>
                </c:pt>
                <c:pt idx="14">
                  <c:v>38807.270899999996</c:v>
                </c:pt>
                <c:pt idx="15">
                  <c:v>46308.53100000001</c:v>
                </c:pt>
                <c:pt idx="16">
                  <c:v>60282.540400000005</c:v>
                </c:pt>
                <c:pt idx="17">
                  <c:v>68163.883100000006</c:v>
                </c:pt>
                <c:pt idx="18">
                  <c:v>73133.89509999998</c:v>
                </c:pt>
                <c:pt idx="19">
                  <c:v>79058</c:v>
                </c:pt>
                <c:pt idx="20">
                  <c:v>83094</c:v>
                </c:pt>
              </c:numCache>
            </c:numRef>
          </c:xVal>
          <c:yVal>
            <c:numRef>
              <c:f>НАСТРОЙКА!$EO$136:$EO$156</c:f>
              <c:numCache>
                <c:formatCode>0</c:formatCode>
                <c:ptCount val="21"/>
                <c:pt idx="0">
                  <c:v>263.02999999999997</c:v>
                </c:pt>
                <c:pt idx="1">
                  <c:v>334.45999999999992</c:v>
                </c:pt>
                <c:pt idx="2">
                  <c:v>453.5</c:v>
                </c:pt>
                <c:pt idx="3">
                  <c:v>512.95299999999997</c:v>
                </c:pt>
                <c:pt idx="4">
                  <c:v>974.49399999999991</c:v>
                </c:pt>
                <c:pt idx="5">
                  <c:v>1046.67</c:v>
                </c:pt>
                <c:pt idx="6">
                  <c:v>1477.4</c:v>
                </c:pt>
                <c:pt idx="7">
                  <c:v>1765.8999999999996</c:v>
                </c:pt>
                <c:pt idx="8">
                  <c:v>2669.1130000000003</c:v>
                </c:pt>
                <c:pt idx="9">
                  <c:v>3131.262999999999</c:v>
                </c:pt>
                <c:pt idx="10">
                  <c:v>4379.1730000000007</c:v>
                </c:pt>
                <c:pt idx="11">
                  <c:v>5304.1949999999979</c:v>
                </c:pt>
                <c:pt idx="12">
                  <c:v>5785.3899999999994</c:v>
                </c:pt>
                <c:pt idx="13">
                  <c:v>5684.2400000000016</c:v>
                </c:pt>
                <c:pt idx="14">
                  <c:v>8285.89</c:v>
                </c:pt>
                <c:pt idx="15">
                  <c:v>9502.6699999999983</c:v>
                </c:pt>
                <c:pt idx="16">
                  <c:v>9262.024599999997</c:v>
                </c:pt>
                <c:pt idx="17">
                  <c:v>9702.8385000000017</c:v>
                </c:pt>
                <c:pt idx="18">
                  <c:v>10857.717799999999</c:v>
                </c:pt>
                <c:pt idx="19">
                  <c:v>10490.54</c:v>
                </c:pt>
                <c:pt idx="20">
                  <c:v>15780.510000000002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8CA-4872-A7FB-E5654440E7F4}"/>
            </c:ext>
          </c:extLst>
        </c:ser>
        <c:ser>
          <c:idx val="2"/>
          <c:order val="2"/>
          <c:trendline>
            <c:spPr>
              <a:ln w="31750">
                <a:prstDash val="lgDashDot"/>
              </a:ln>
            </c:spPr>
            <c:trendlineType val="linear"/>
            <c:forward val="10000"/>
            <c:dispRSqr val="1"/>
            <c:dispEq val="1"/>
            <c:trendlineLbl>
              <c:layout>
                <c:manualLayout>
                  <c:x val="0.13982505476289389"/>
                  <c:y val="-0.32580411295433026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sz="1800"/>
                  </a:pPr>
                  <a:endParaRPr lang="ru-RU"/>
                </a:p>
              </c:txPr>
            </c:trendlineLbl>
          </c:trendline>
          <c:xVal>
            <c:numRef>
              <c:f>НАСТРОЙКА!$EQ$157:$EQ$159</c:f>
              <c:numCache>
                <c:formatCode>0</c:formatCode>
                <c:ptCount val="3"/>
                <c:pt idx="0">
                  <c:v>86014</c:v>
                </c:pt>
                <c:pt idx="1">
                  <c:v>92101</c:v>
                </c:pt>
                <c:pt idx="2">
                  <c:v>103876</c:v>
                </c:pt>
              </c:numCache>
            </c:numRef>
          </c:xVal>
          <c:yVal>
            <c:numRef>
              <c:f>НАСТРОЙКА!$EP$157:$EP$159</c:f>
              <c:numCache>
                <c:formatCode>0</c:formatCode>
                <c:ptCount val="3"/>
                <c:pt idx="0">
                  <c:v>12871.64</c:v>
                </c:pt>
                <c:pt idx="1">
                  <c:v>11483.68</c:v>
                </c:pt>
                <c:pt idx="2">
                  <c:v>9255.6299999999974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8CA-4872-A7FB-E5654440E7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8534656"/>
        <c:axId val="158569216"/>
      </c:scatterChart>
      <c:valAx>
        <c:axId val="158534656"/>
        <c:scaling>
          <c:orientation val="minMax"/>
          <c:max val="140000"/>
          <c:min val="0"/>
        </c:scaling>
        <c:delete val="0"/>
        <c:axPos val="b"/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800"/>
            </a:pPr>
            <a:endParaRPr lang="ru-RU"/>
          </a:p>
        </c:txPr>
        <c:crossAx val="158569216"/>
        <c:crosses val="autoZero"/>
        <c:crossBetween val="midCat"/>
        <c:majorUnit val="40000"/>
      </c:valAx>
      <c:valAx>
        <c:axId val="158569216"/>
        <c:scaling>
          <c:orientation val="minMax"/>
          <c:max val="20000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txPr>
          <a:bodyPr/>
          <a:lstStyle/>
          <a:p>
            <a:pPr>
              <a:defRPr sz="1800"/>
            </a:pPr>
            <a:endParaRPr lang="ru-RU"/>
          </a:p>
        </c:txPr>
        <c:crossAx val="158534656"/>
        <c:crosses val="autoZero"/>
        <c:crossBetween val="midCat"/>
        <c:majorUnit val="5000"/>
      </c:valAx>
    </c:plotArea>
    <c:plotVisOnly val="1"/>
    <c:dispBlanksAs val="gap"/>
    <c:showDLblsOverMax val="0"/>
  </c:chart>
  <c:spPr>
    <a:solidFill>
      <a:schemeClr val="bg1">
        <a:lumMod val="85000"/>
      </a:schemeClr>
    </a:solidFill>
  </c:spPr>
  <c:txPr>
    <a:bodyPr/>
    <a:lstStyle/>
    <a:p>
      <a:pPr>
        <a:defRPr>
          <a:latin typeface="Arial" panose="020B0604020202020204" pitchFamily="34" charset="0"/>
          <a:cs typeface="Arial" panose="020B0604020202020204" pitchFamily="34" charset="0"/>
        </a:defRPr>
      </a:pPr>
      <a:endParaRPr lang="ru-RU"/>
    </a:p>
  </c:tx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5853242157154267E-2"/>
          <c:y val="4.6657777290107762E-2"/>
          <c:w val="0.87140145069015373"/>
          <c:h val="0.9124793845878445"/>
        </c:manualLayout>
      </c:layout>
      <c:scatterChart>
        <c:scatterStyle val="smoothMarker"/>
        <c:varyColors val="0"/>
        <c:ser>
          <c:idx val="0"/>
          <c:order val="0"/>
          <c:spPr>
            <a:ln w="88900">
              <a:solidFill>
                <a:srgbClr val="FF0000"/>
              </a:solidFill>
            </a:ln>
          </c:spPr>
          <c:marker>
            <c:symbol val="circle"/>
            <c:size val="17"/>
            <c:spPr>
              <a:noFill/>
            </c:spPr>
          </c:marker>
          <c:xVal>
            <c:numRef>
              <c:f>НАСТРОЙКА!$DT$136:$DT$159</c:f>
              <c:numCache>
                <c:formatCode>General</c:formatCode>
                <c:ptCount val="24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</c:numCache>
            </c:numRef>
          </c:xVal>
          <c:yVal>
            <c:numRef>
              <c:f>НАСТРОЙКА!$DV$136:$DV$159</c:f>
              <c:numCache>
                <c:formatCode>0</c:formatCode>
                <c:ptCount val="24"/>
                <c:pt idx="0">
                  <c:v>910.9</c:v>
                </c:pt>
                <c:pt idx="1">
                  <c:v>1114.2036124794745</c:v>
                </c:pt>
                <c:pt idx="2">
                  <c:v>1225.1660527522595</c:v>
                </c:pt>
                <c:pt idx="3">
                  <c:v>712.38009752483515</c:v>
                </c:pt>
                <c:pt idx="4">
                  <c:v>854.56578623072517</c:v>
                </c:pt>
                <c:pt idx="5">
                  <c:v>973.95776812855956</c:v>
                </c:pt>
                <c:pt idx="6">
                  <c:v>1097.8218276071905</c:v>
                </c:pt>
                <c:pt idx="7">
                  <c:v>1223.3647703942499</c:v>
                </c:pt>
                <c:pt idx="8">
                  <c:v>1423.2069842961212</c:v>
                </c:pt>
                <c:pt idx="9">
                  <c:v>1571.2904002535859</c:v>
                </c:pt>
                <c:pt idx="10">
                  <c:v>1783.7975347856659</c:v>
                </c:pt>
                <c:pt idx="11">
                  <c:v>2047.5756192741967</c:v>
                </c:pt>
                <c:pt idx="12">
                  <c:v>2256.0193741607286</c:v>
                </c:pt>
                <c:pt idx="13">
                  <c:v>2359.0314873246793</c:v>
                </c:pt>
                <c:pt idx="14">
                  <c:v>2464.851363468284</c:v>
                </c:pt>
                <c:pt idx="15">
                  <c:v>2566.0094993454422</c:v>
                </c:pt>
                <c:pt idx="16">
                  <c:v>2652.9308469712041</c:v>
                </c:pt>
                <c:pt idx="17">
                  <c:v>2786.2683926091672</c:v>
                </c:pt>
                <c:pt idx="18">
                  <c:v>2928.7500835730348</c:v>
                </c:pt>
                <c:pt idx="19">
                  <c:v>2766.9951097523658</c:v>
                </c:pt>
                <c:pt idx="20">
                  <c:v>2737.4952055558729</c:v>
                </c:pt>
                <c:pt idx="21">
                  <c:v>2626.1703046199059</c:v>
                </c:pt>
                <c:pt idx="22">
                  <c:v>2621.0890474179846</c:v>
                </c:pt>
                <c:pt idx="23">
                  <c:v>2610.7967508452548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F8E-4CD2-BC65-B04AB7B9D8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8578944"/>
        <c:axId val="158597504"/>
      </c:scatterChart>
      <c:valAx>
        <c:axId val="158578944"/>
        <c:scaling>
          <c:orientation val="minMax"/>
          <c:max val="2030"/>
          <c:min val="1995"/>
        </c:scaling>
        <c:delete val="0"/>
        <c:axPos val="b"/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800"/>
            </a:pPr>
            <a:endParaRPr lang="ru-RU"/>
          </a:p>
        </c:txPr>
        <c:crossAx val="158597504"/>
        <c:crosses val="autoZero"/>
        <c:crossBetween val="midCat"/>
        <c:majorUnit val="5"/>
      </c:valAx>
      <c:valAx>
        <c:axId val="158597504"/>
        <c:scaling>
          <c:orientation val="minMax"/>
          <c:max val="4000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txPr>
          <a:bodyPr/>
          <a:lstStyle/>
          <a:p>
            <a:pPr>
              <a:defRPr sz="1800"/>
            </a:pPr>
            <a:endParaRPr lang="ru-RU"/>
          </a:p>
        </c:txPr>
        <c:crossAx val="158578944"/>
        <c:crosses val="autoZero"/>
        <c:crossBetween val="midCat"/>
        <c:majorUnit val="1000"/>
      </c:valAx>
    </c:plotArea>
    <c:plotVisOnly val="1"/>
    <c:dispBlanksAs val="gap"/>
    <c:showDLblsOverMax val="0"/>
  </c:chart>
  <c:spPr>
    <a:solidFill>
      <a:schemeClr val="bg1">
        <a:lumMod val="85000"/>
      </a:schemeClr>
    </a:solidFill>
  </c:spPr>
  <c:txPr>
    <a:bodyPr/>
    <a:lstStyle/>
    <a:p>
      <a:pPr>
        <a:defRPr>
          <a:latin typeface="Arial" panose="020B0604020202020204" pitchFamily="34" charset="0"/>
          <a:cs typeface="Arial" panose="020B0604020202020204" pitchFamily="34" charset="0"/>
        </a:defRPr>
      </a:pPr>
      <a:endParaRPr lang="ru-RU"/>
    </a:p>
  </c:tx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4481324930842113E-2"/>
          <c:y val="2.6254687448309652E-2"/>
          <c:w val="0.89175036683572351"/>
          <c:h val="0.93179980239697824"/>
        </c:manualLayout>
      </c:layout>
      <c:scatterChart>
        <c:scatterStyle val="smoothMarker"/>
        <c:varyColors val="0"/>
        <c:ser>
          <c:idx val="0"/>
          <c:order val="0"/>
          <c:spPr>
            <a:ln w="136525">
              <a:solidFill>
                <a:schemeClr val="accent2">
                  <a:lumMod val="75000"/>
                  <a:alpha val="57000"/>
                </a:schemeClr>
              </a:solidFill>
            </a:ln>
          </c:spPr>
          <c:marker>
            <c:symbol val="circle"/>
            <c:size val="23"/>
            <c:spPr>
              <a:noFill/>
            </c:spPr>
          </c:marker>
          <c:xVal>
            <c:numRef>
              <c:f>НАСТРОЙКА!$ET$50:$ET$72</c:f>
              <c:numCache>
                <c:formatCode>0.0</c:formatCode>
                <c:ptCount val="23"/>
                <c:pt idx="0">
                  <c:v>197.18216614420064</c:v>
                </c:pt>
                <c:pt idx="1">
                  <c:v>168.29100626959249</c:v>
                </c:pt>
                <c:pt idx="2">
                  <c:v>160.34593730407522</c:v>
                </c:pt>
                <c:pt idx="3">
                  <c:v>171.18012225705328</c:v>
                </c:pt>
                <c:pt idx="4">
                  <c:v>213.79458307210035</c:v>
                </c:pt>
                <c:pt idx="5">
                  <c:v>254.24220689655175</c:v>
                </c:pt>
                <c:pt idx="6">
                  <c:v>274.46601880877739</c:v>
                </c:pt>
                <c:pt idx="7">
                  <c:v>307.69085266457677</c:v>
                </c:pt>
                <c:pt idx="8">
                  <c:v>343.804802507837</c:v>
                </c:pt>
                <c:pt idx="9">
                  <c:v>381.3633103448276</c:v>
                </c:pt>
                <c:pt idx="10">
                  <c:v>443.47930407523512</c:v>
                </c:pt>
                <c:pt idx="11">
                  <c:v>540.98696865203772</c:v>
                </c:pt>
                <c:pt idx="12">
                  <c:v>616.82626332288407</c:v>
                </c:pt>
                <c:pt idx="13">
                  <c:v>595.88017241379305</c:v>
                </c:pt>
                <c:pt idx="14">
                  <c:v>556.55208103448274</c:v>
                </c:pt>
                <c:pt idx="15">
                  <c:v>717.5262886488664</c:v>
                </c:pt>
                <c:pt idx="16">
                  <c:v>780.3098389056421</c:v>
                </c:pt>
                <c:pt idx="17">
                  <c:v>788.24558996731253</c:v>
                </c:pt>
                <c:pt idx="18">
                  <c:v>764.59822226829317</c:v>
                </c:pt>
                <c:pt idx="19">
                  <c:v>722.545320043537</c:v>
                </c:pt>
                <c:pt idx="20">
                  <c:v>843.93293381085118</c:v>
                </c:pt>
                <c:pt idx="21">
                  <c:v>844.7768667446619</c:v>
                </c:pt>
                <c:pt idx="22">
                  <c:v>968.11428928938244</c:v>
                </c:pt>
              </c:numCache>
            </c:numRef>
          </c:xVal>
          <c:yVal>
            <c:numRef>
              <c:f>НАСТРОЙКА!$EU$50:$EU$72</c:f>
              <c:numCache>
                <c:formatCode>0.0</c:formatCode>
                <c:ptCount val="23"/>
                <c:pt idx="0">
                  <c:v>202.48816614420022</c:v>
                </c:pt>
                <c:pt idx="1">
                  <c:v>189.49378226959257</c:v>
                </c:pt>
                <c:pt idx="2">
                  <c:v>176.18441097607518</c:v>
                </c:pt>
                <c:pt idx="3">
                  <c:v>160.65281675639685</c:v>
                </c:pt>
                <c:pt idx="4">
                  <c:v>187.42368279295744</c:v>
                </c:pt>
                <c:pt idx="5">
                  <c:v>206.53724829158108</c:v>
                </c:pt>
                <c:pt idx="6">
                  <c:v>220.98345966164931</c:v>
                </c:pt>
                <c:pt idx="7">
                  <c:v>237.46825250439923</c:v>
                </c:pt>
                <c:pt idx="8">
                  <c:v>256.2534253235163</c:v>
                </c:pt>
                <c:pt idx="9">
                  <c:v>275.73257377194318</c:v>
                </c:pt>
                <c:pt idx="10">
                  <c:v>307.51586756858018</c:v>
                </c:pt>
                <c:pt idx="11">
                  <c:v>361.15266329923622</c:v>
                </c:pt>
                <c:pt idx="12">
                  <c:v>401.51238985596126</c:v>
                </c:pt>
                <c:pt idx="13">
                  <c:v>397.6000187144756</c:v>
                </c:pt>
                <c:pt idx="14">
                  <c:v>364.71603233039366</c:v>
                </c:pt>
                <c:pt idx="15">
                  <c:v>454.07144842858281</c:v>
                </c:pt>
                <c:pt idx="16">
                  <c:v>485.7673275393671</c:v>
                </c:pt>
                <c:pt idx="17">
                  <c:v>495.32648732647453</c:v>
                </c:pt>
                <c:pt idx="18">
                  <c:v>489.41858625811881</c:v>
                </c:pt>
                <c:pt idx="19">
                  <c:v>475.74637297970753</c:v>
                </c:pt>
                <c:pt idx="20">
                  <c:v>533.52155814132152</c:v>
                </c:pt>
                <c:pt idx="21">
                  <c:v>530.5291248424985</c:v>
                </c:pt>
                <c:pt idx="22">
                  <c:v>607.58943255341387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A1D-413D-8FF2-176285ABC8DF}"/>
            </c:ext>
          </c:extLst>
        </c:ser>
        <c:ser>
          <c:idx val="1"/>
          <c:order val="1"/>
          <c:trendline>
            <c:spPr>
              <a:ln w="31750">
                <a:prstDash val="lgDash"/>
              </a:ln>
            </c:spPr>
            <c:trendlineType val="linear"/>
            <c:forward val="200"/>
            <c:dispRSqr val="1"/>
            <c:dispEq val="1"/>
            <c:trendlineLbl>
              <c:layout>
                <c:manualLayout>
                  <c:x val="-0.15193178161005391"/>
                  <c:y val="0.50783517284694657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sz="2000"/>
                  </a:pPr>
                  <a:endParaRPr lang="ru-RU"/>
                </a:p>
              </c:txPr>
            </c:trendlineLbl>
          </c:trendline>
          <c:xVal>
            <c:numRef>
              <c:f>НАСТРОЙКА!$ET$52:$ET$72</c:f>
              <c:numCache>
                <c:formatCode>0.0</c:formatCode>
                <c:ptCount val="21"/>
                <c:pt idx="0">
                  <c:v>160.34593730407522</c:v>
                </c:pt>
                <c:pt idx="1">
                  <c:v>171.18012225705328</c:v>
                </c:pt>
                <c:pt idx="2">
                  <c:v>213.79458307210035</c:v>
                </c:pt>
                <c:pt idx="3">
                  <c:v>254.24220689655175</c:v>
                </c:pt>
                <c:pt idx="4">
                  <c:v>274.46601880877739</c:v>
                </c:pt>
                <c:pt idx="5">
                  <c:v>307.69085266457677</c:v>
                </c:pt>
                <c:pt idx="6">
                  <c:v>343.804802507837</c:v>
                </c:pt>
                <c:pt idx="7">
                  <c:v>381.3633103448276</c:v>
                </c:pt>
                <c:pt idx="8">
                  <c:v>443.47930407523512</c:v>
                </c:pt>
                <c:pt idx="9">
                  <c:v>540.98696865203772</c:v>
                </c:pt>
                <c:pt idx="10">
                  <c:v>616.82626332288407</c:v>
                </c:pt>
                <c:pt idx="11">
                  <c:v>595.88017241379305</c:v>
                </c:pt>
                <c:pt idx="12">
                  <c:v>556.55208103448274</c:v>
                </c:pt>
                <c:pt idx="13">
                  <c:v>717.5262886488664</c:v>
                </c:pt>
                <c:pt idx="14">
                  <c:v>780.3098389056421</c:v>
                </c:pt>
                <c:pt idx="15">
                  <c:v>788.24558996731253</c:v>
                </c:pt>
                <c:pt idx="16">
                  <c:v>764.59822226829317</c:v>
                </c:pt>
                <c:pt idx="17">
                  <c:v>722.545320043537</c:v>
                </c:pt>
                <c:pt idx="18">
                  <c:v>843.93293381085118</c:v>
                </c:pt>
                <c:pt idx="19">
                  <c:v>844.7768667446619</c:v>
                </c:pt>
                <c:pt idx="20">
                  <c:v>968.11428928938244</c:v>
                </c:pt>
              </c:numCache>
            </c:numRef>
          </c:xVal>
          <c:yVal>
            <c:numRef>
              <c:f>НАСТРОЙКА!$EU$52:$EU$72</c:f>
              <c:numCache>
                <c:formatCode>0.0</c:formatCode>
                <c:ptCount val="21"/>
                <c:pt idx="0">
                  <c:v>176.18441097607518</c:v>
                </c:pt>
                <c:pt idx="1">
                  <c:v>160.65281675639685</c:v>
                </c:pt>
                <c:pt idx="2">
                  <c:v>187.42368279295744</c:v>
                </c:pt>
                <c:pt idx="3">
                  <c:v>206.53724829158108</c:v>
                </c:pt>
                <c:pt idx="4">
                  <c:v>220.98345966164931</c:v>
                </c:pt>
                <c:pt idx="5">
                  <c:v>237.46825250439923</c:v>
                </c:pt>
                <c:pt idx="6">
                  <c:v>256.2534253235163</c:v>
                </c:pt>
                <c:pt idx="7">
                  <c:v>275.73257377194318</c:v>
                </c:pt>
                <c:pt idx="8">
                  <c:v>307.51586756858018</c:v>
                </c:pt>
                <c:pt idx="9">
                  <c:v>361.15266329923622</c:v>
                </c:pt>
                <c:pt idx="10">
                  <c:v>401.51238985596126</c:v>
                </c:pt>
                <c:pt idx="11">
                  <c:v>397.6000187144756</c:v>
                </c:pt>
                <c:pt idx="12">
                  <c:v>364.71603233039366</c:v>
                </c:pt>
                <c:pt idx="13">
                  <c:v>454.07144842858281</c:v>
                </c:pt>
                <c:pt idx="14">
                  <c:v>485.7673275393671</c:v>
                </c:pt>
                <c:pt idx="15">
                  <c:v>495.32648732647453</c:v>
                </c:pt>
                <c:pt idx="16">
                  <c:v>489.41858625811881</c:v>
                </c:pt>
                <c:pt idx="17">
                  <c:v>475.74637297970753</c:v>
                </c:pt>
                <c:pt idx="18">
                  <c:v>533.52155814132152</c:v>
                </c:pt>
                <c:pt idx="19">
                  <c:v>530.5291248424985</c:v>
                </c:pt>
                <c:pt idx="20">
                  <c:v>607.58943255341387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3A1D-413D-8FF2-176285ABC8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8823936"/>
        <c:axId val="158825472"/>
      </c:scatterChart>
      <c:valAx>
        <c:axId val="158823936"/>
        <c:scaling>
          <c:orientation val="minMax"/>
          <c:max val="1400"/>
          <c:min val="0"/>
        </c:scaling>
        <c:delete val="0"/>
        <c:axPos val="b"/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ru-RU"/>
          </a:p>
        </c:txPr>
        <c:crossAx val="158825472"/>
        <c:crosses val="autoZero"/>
        <c:crossBetween val="midCat"/>
        <c:majorUnit val="200"/>
      </c:valAx>
      <c:valAx>
        <c:axId val="158825472"/>
        <c:scaling>
          <c:orientation val="minMax"/>
          <c:max val="900"/>
          <c:min val="10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txPr>
          <a:bodyPr/>
          <a:lstStyle/>
          <a:p>
            <a:pPr>
              <a:defRPr sz="1800"/>
            </a:pPr>
            <a:endParaRPr lang="ru-RU"/>
          </a:p>
        </c:txPr>
        <c:crossAx val="158823936"/>
        <c:crossesAt val="0"/>
        <c:crossBetween val="midCat"/>
        <c:majorUnit val="200"/>
      </c:valAx>
    </c:plotArea>
    <c:plotVisOnly val="1"/>
    <c:dispBlanksAs val="gap"/>
    <c:showDLblsOverMax val="0"/>
  </c:chart>
  <c:spPr>
    <a:solidFill>
      <a:schemeClr val="bg1">
        <a:lumMod val="85000"/>
      </a:schemeClr>
    </a:solidFill>
  </c:spPr>
  <c:txPr>
    <a:bodyPr/>
    <a:lstStyle/>
    <a:p>
      <a:pPr>
        <a:defRPr sz="1400" baseline="0">
          <a:latin typeface="Arial" pitchFamily="34" charset="0"/>
          <a:cs typeface="Arial" pitchFamily="34" charset="0"/>
        </a:defRPr>
      </a:pPr>
      <a:endParaRPr lang="ru-RU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0632749749387517E-2"/>
          <c:y val="2.9649428797597438E-2"/>
          <c:w val="0.90809139348865064"/>
          <c:h val="0.91815645279008284"/>
        </c:manualLayout>
      </c:layout>
      <c:scatterChart>
        <c:scatterStyle val="smoothMarker"/>
        <c:varyColors val="0"/>
        <c:ser>
          <c:idx val="0"/>
          <c:order val="0"/>
          <c:spPr>
            <a:ln w="161925">
              <a:solidFill>
                <a:srgbClr val="FFC000"/>
              </a:solidFill>
            </a:ln>
          </c:spPr>
          <c:marker>
            <c:symbol val="none"/>
          </c:marker>
          <c:xVal>
            <c:numRef>
              <c:f>НАСТРОЙКА!$HZ$49:$HZ$72</c:f>
              <c:numCache>
                <c:formatCode>General</c:formatCode>
                <c:ptCount val="24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</c:numCache>
            </c:numRef>
          </c:xVal>
          <c:yVal>
            <c:numRef>
              <c:f>НАСТРОЙКА!$IA$49:$IA$72</c:f>
              <c:numCache>
                <c:formatCode>0</c:formatCode>
                <c:ptCount val="24"/>
                <c:pt idx="0">
                  <c:v>230.40700000000001</c:v>
                </c:pt>
                <c:pt idx="1">
                  <c:v>197.18216614420064</c:v>
                </c:pt>
                <c:pt idx="2">
                  <c:v>168.29100626959249</c:v>
                </c:pt>
                <c:pt idx="3">
                  <c:v>160.34593730407522</c:v>
                </c:pt>
                <c:pt idx="4">
                  <c:v>171.18012225705328</c:v>
                </c:pt>
                <c:pt idx="5">
                  <c:v>213.79458307210035</c:v>
                </c:pt>
                <c:pt idx="6">
                  <c:v>254.24220689655175</c:v>
                </c:pt>
                <c:pt idx="7">
                  <c:v>274.46601880877739</c:v>
                </c:pt>
                <c:pt idx="8">
                  <c:v>307.69085266457677</c:v>
                </c:pt>
                <c:pt idx="9">
                  <c:v>343.804802507837</c:v>
                </c:pt>
                <c:pt idx="10">
                  <c:v>381.3633103448276</c:v>
                </c:pt>
                <c:pt idx="11">
                  <c:v>443.47930407523512</c:v>
                </c:pt>
                <c:pt idx="12">
                  <c:v>540.98696865203772</c:v>
                </c:pt>
                <c:pt idx="13">
                  <c:v>616.82626332288407</c:v>
                </c:pt>
                <c:pt idx="14">
                  <c:v>595.88017241379305</c:v>
                </c:pt>
                <c:pt idx="15">
                  <c:v>556.55208103448274</c:v>
                </c:pt>
                <c:pt idx="16">
                  <c:v>717.5262886488664</c:v>
                </c:pt>
                <c:pt idx="17">
                  <c:v>780.3098389056421</c:v>
                </c:pt>
                <c:pt idx="18">
                  <c:v>788.24558996731253</c:v>
                </c:pt>
                <c:pt idx="19">
                  <c:v>764.59822226829317</c:v>
                </c:pt>
                <c:pt idx="20">
                  <c:v>722.545320043537</c:v>
                </c:pt>
                <c:pt idx="21">
                  <c:v>843.93293381085118</c:v>
                </c:pt>
                <c:pt idx="22">
                  <c:v>844.7768667446619</c:v>
                </c:pt>
                <c:pt idx="23">
                  <c:v>968.11428928938244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405-4FBB-8FFC-F7D005138411}"/>
            </c:ext>
          </c:extLst>
        </c:ser>
        <c:ser>
          <c:idx val="1"/>
          <c:order val="1"/>
          <c:spPr>
            <a:ln>
              <a:solidFill>
                <a:schemeClr val="tx1"/>
              </a:solidFill>
            </a:ln>
          </c:spPr>
          <c:xVal>
            <c:numRef>
              <c:f>НАСТРОЙКА!$HZ$49:$HZ$89</c:f>
              <c:numCache>
                <c:formatCode>General</c:formatCode>
                <c:ptCount val="41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  <c:pt idx="36">
                  <c:v>2031</c:v>
                </c:pt>
                <c:pt idx="37">
                  <c:v>2032</c:v>
                </c:pt>
                <c:pt idx="38">
                  <c:v>2033</c:v>
                </c:pt>
                <c:pt idx="39">
                  <c:v>2034</c:v>
                </c:pt>
                <c:pt idx="40">
                  <c:v>2035</c:v>
                </c:pt>
              </c:numCache>
            </c:numRef>
          </c:xVal>
          <c:yVal>
            <c:numRef>
              <c:f>НАСТРОЙКА!$IB$49:$IB$89</c:f>
              <c:numCache>
                <c:formatCode>0</c:formatCode>
                <c:ptCount val="41"/>
                <c:pt idx="1">
                  <c:v>143.80847600000089</c:v>
                </c:pt>
                <c:pt idx="2">
                  <c:v>108.9786397839998</c:v>
                </c:pt>
                <c:pt idx="3">
                  <c:v>120.73182618464806</c:v>
                </c:pt>
                <c:pt idx="4">
                  <c:v>178.49924835193823</c:v>
                </c:pt>
                <c:pt idx="5">
                  <c:v>213.2125645116021</c:v>
                </c:pt>
                <c:pt idx="6">
                  <c:v>259.95548630349072</c:v>
                </c:pt>
                <c:pt idx="7">
                  <c:v>272.61420909135762</c:v>
                </c:pt>
                <c:pt idx="8">
                  <c:v>309.29163895094899</c:v>
                </c:pt>
                <c:pt idx="9">
                  <c:v>347.25898941084665</c:v>
                </c:pt>
                <c:pt idx="10">
                  <c:v>386.87086583118975</c:v>
                </c:pt>
                <c:pt idx="11">
                  <c:v>453.32981138608096</c:v>
                </c:pt>
                <c:pt idx="12">
                  <c:v>549.45088502798808</c:v>
                </c:pt>
                <c:pt idx="13">
                  <c:v>627.18661876602789</c:v>
                </c:pt>
                <c:pt idx="14">
                  <c:v>589.86573875520446</c:v>
                </c:pt>
                <c:pt idx="15">
                  <c:v>575.74670471065917</c:v>
                </c:pt>
                <c:pt idx="16">
                  <c:v>732.66347692264128</c:v>
                </c:pt>
                <c:pt idx="17">
                  <c:v>800.77656440350847</c:v>
                </c:pt>
                <c:pt idx="18">
                  <c:v>797.21967588607595</c:v>
                </c:pt>
                <c:pt idx="19">
                  <c:v>758.35250449829198</c:v>
                </c:pt>
                <c:pt idx="20">
                  <c:v>696.17041501685037</c:v>
                </c:pt>
                <c:pt idx="21">
                  <c:v>835.54524609193948</c:v>
                </c:pt>
                <c:pt idx="22">
                  <c:v>843.95072450763996</c:v>
                </c:pt>
                <c:pt idx="23">
                  <c:v>945.34388310850704</c:v>
                </c:pt>
                <c:pt idx="24">
                  <c:v>968.35937979637879</c:v>
                </c:pt>
                <c:pt idx="25">
                  <c:v>1001.3440304615528</c:v>
                </c:pt>
                <c:pt idx="26">
                  <c:v>1029.3921814769699</c:v>
                </c:pt>
                <c:pt idx="27">
                  <c:v>1088.3255958832835</c:v>
                </c:pt>
                <c:pt idx="28">
                  <c:v>1141.1534328411099</c:v>
                </c:pt>
                <c:pt idx="29">
                  <c:v>1194.5136999498079</c:v>
                </c:pt>
                <c:pt idx="30">
                  <c:v>1246.5475690695528</c:v>
                </c:pt>
                <c:pt idx="31">
                  <c:v>1299.39602393987</c:v>
                </c:pt>
                <c:pt idx="32">
                  <c:v>1353.1460515098345</c:v>
                </c:pt>
                <c:pt idx="33">
                  <c:v>1407.8659491860951</c:v>
                </c:pt>
                <c:pt idx="34">
                  <c:v>1463.6074600641989</c:v>
                </c:pt>
                <c:pt idx="35">
                  <c:v>1520.4075997303948</c:v>
                </c:pt>
                <c:pt idx="36">
                  <c:v>1578.2902205769249</c:v>
                </c:pt>
                <c:pt idx="37">
                  <c:v>1637.2673530899838</c:v>
                </c:pt>
                <c:pt idx="38">
                  <c:v>1697.3403579963381</c:v>
                </c:pt>
                <c:pt idx="39">
                  <c:v>1758.5009183609602</c:v>
                </c:pt>
                <c:pt idx="40">
                  <c:v>1820.7318966012951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E405-4FBB-8FFC-F7D0051384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033344"/>
        <c:axId val="153047424"/>
      </c:scatterChart>
      <c:valAx>
        <c:axId val="153033344"/>
        <c:scaling>
          <c:orientation val="minMax"/>
          <c:max val="2035"/>
          <c:min val="1995"/>
        </c:scaling>
        <c:delete val="0"/>
        <c:axPos val="b"/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800" b="0" i="0" u="none" strike="noStrike" baseline="0">
                <a:solidFill>
                  <a:srgbClr val="000000"/>
                </a:solidFill>
                <a:latin typeface="Arial" pitchFamily="34" charset="0"/>
                <a:ea typeface="Calibri"/>
                <a:cs typeface="Arial" pitchFamily="34" charset="0"/>
              </a:defRPr>
            </a:pPr>
            <a:endParaRPr lang="ru-RU"/>
          </a:p>
        </c:txPr>
        <c:crossAx val="153047424"/>
        <c:crosses val="autoZero"/>
        <c:crossBetween val="midCat"/>
        <c:majorUnit val="5"/>
      </c:valAx>
      <c:valAx>
        <c:axId val="153047424"/>
        <c:scaling>
          <c:orientation val="minMax"/>
          <c:max val="2000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txPr>
          <a:bodyPr/>
          <a:lstStyle/>
          <a:p>
            <a:pPr>
              <a:defRPr sz="18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53033344"/>
        <c:crosses val="autoZero"/>
        <c:crossBetween val="midCat"/>
        <c:majorUnit val="500"/>
      </c:valAx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9736728753950534E-2"/>
          <c:y val="2.5147045880668052E-2"/>
          <c:w val="0.91085468861846863"/>
          <c:h val="0.9013501072566833"/>
        </c:manualLayout>
      </c:layout>
      <c:lineChart>
        <c:grouping val="standard"/>
        <c:varyColors val="0"/>
        <c:ser>
          <c:idx val="0"/>
          <c:order val="0"/>
          <c:spPr>
            <a:ln w="101600">
              <a:solidFill>
                <a:schemeClr val="accent6"/>
              </a:solidFill>
            </a:ln>
          </c:spPr>
          <c:marker>
            <c:symbol val="none"/>
          </c:marker>
          <c:cat>
            <c:numRef>
              <c:f>ДЕМО!$AH$8:$AH$43</c:f>
              <c:numCache>
                <c:formatCode>General</c:formatCode>
                <c:ptCount val="36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</c:numCache>
            </c:numRef>
          </c:cat>
          <c:val>
            <c:numRef>
              <c:f>ДЕМО!$AI$8:$AI$43</c:f>
              <c:numCache>
                <c:formatCode>0.0000</c:formatCode>
                <c:ptCount val="36"/>
                <c:pt idx="0">
                  <c:v>9.1900269541778969E-3</c:v>
                </c:pt>
                <c:pt idx="1">
                  <c:v>8.7970330411328377E-3</c:v>
                </c:pt>
                <c:pt idx="2">
                  <c:v>8.4956169925826022E-3</c:v>
                </c:pt>
                <c:pt idx="3">
                  <c:v>8.6709459459459459E-3</c:v>
                </c:pt>
                <c:pt idx="4">
                  <c:v>8.2185385656292267E-3</c:v>
                </c:pt>
                <c:pt idx="5">
                  <c:v>8.5884745762711857E-3</c:v>
                </c:pt>
                <c:pt idx="6">
                  <c:v>8.96514012303486E-3</c:v>
                </c:pt>
                <c:pt idx="7">
                  <c:v>9.5486111111111119E-3</c:v>
                </c:pt>
                <c:pt idx="8">
                  <c:v>1.0176344974857065E-2</c:v>
                </c:pt>
                <c:pt idx="9">
                  <c:v>1.0419556171983356E-2</c:v>
                </c:pt>
                <c:pt idx="10">
                  <c:v>1.0968641114982578E-2</c:v>
                </c:pt>
                <c:pt idx="11">
                  <c:v>1.0361344537815126E-2</c:v>
                </c:pt>
                <c:pt idx="12">
                  <c:v>1.1322784810126585E-2</c:v>
                </c:pt>
                <c:pt idx="13">
                  <c:v>1.2069718309859154E-2</c:v>
                </c:pt>
                <c:pt idx="14">
                  <c:v>1.2432699083861874E-2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98A5-49AE-BDB4-56DB1953BEC3}"/>
            </c:ext>
          </c:extLst>
        </c:ser>
        <c:ser>
          <c:idx val="1"/>
          <c:order val="1"/>
          <c:spPr>
            <a:ln>
              <a:solidFill>
                <a:srgbClr val="F79646"/>
              </a:solidFill>
              <a:prstDash val="lgDash"/>
            </a:ln>
          </c:spPr>
          <c:marker>
            <c:symbol val="none"/>
          </c:marker>
          <c:cat>
            <c:numRef>
              <c:f>ДЕМО!$AH$8:$AH$43</c:f>
              <c:numCache>
                <c:formatCode>General</c:formatCode>
                <c:ptCount val="36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</c:numCache>
            </c:numRef>
          </c:cat>
          <c:val>
            <c:numRef>
              <c:f>ДЕМО!$AJ$8:$AJ$43</c:f>
              <c:numCache>
                <c:formatCode>0.0000</c:formatCode>
                <c:ptCount val="36"/>
                <c:pt idx="13">
                  <c:v>1.2069718309859154E-2</c:v>
                </c:pt>
                <c:pt idx="14">
                  <c:v>1.2432699083861874E-2</c:v>
                </c:pt>
                <c:pt idx="15">
                  <c:v>1.2759381780464322E-2</c:v>
                </c:pt>
                <c:pt idx="16">
                  <c:v>1.3020727937746279E-2</c:v>
                </c:pt>
                <c:pt idx="17">
                  <c:v>1.3229804863571845E-2</c:v>
                </c:pt>
                <c:pt idx="18">
                  <c:v>1.3397066404232298E-2</c:v>
                </c:pt>
                <c:pt idx="19">
                  <c:v>1.3530875636760659E-2</c:v>
                </c:pt>
                <c:pt idx="20">
                  <c:v>1.3637923022783348E-2</c:v>
                </c:pt>
                <c:pt idx="21">
                  <c:v>1.3723560931601498E-2</c:v>
                </c:pt>
                <c:pt idx="22">
                  <c:v>1.3792071258656018E-2</c:v>
                </c:pt>
                <c:pt idx="23">
                  <c:v>1.3846879520299634E-2</c:v>
                </c:pt>
                <c:pt idx="24">
                  <c:v>1.3890726129614528E-2</c:v>
                </c:pt>
                <c:pt idx="25">
                  <c:v>1.3925803417066443E-2</c:v>
                </c:pt>
                <c:pt idx="26">
                  <c:v>1.3953865247027974E-2</c:v>
                </c:pt>
                <c:pt idx="27">
                  <c:v>1.3976314710997199E-2</c:v>
                </c:pt>
                <c:pt idx="28">
                  <c:v>1.3994274282172578E-2</c:v>
                </c:pt>
                <c:pt idx="29">
                  <c:v>1.4008641939112882E-2</c:v>
                </c:pt>
                <c:pt idx="30">
                  <c:v>1.4020136064665125E-2</c:v>
                </c:pt>
                <c:pt idx="31">
                  <c:v>1.4029331365106919E-2</c:v>
                </c:pt>
                <c:pt idx="32">
                  <c:v>1.4036687605460355E-2</c:v>
                </c:pt>
                <c:pt idx="33">
                  <c:v>1.4042572597743103E-2</c:v>
                </c:pt>
                <c:pt idx="34">
                  <c:v>1.4047280591569301E-2</c:v>
                </c:pt>
                <c:pt idx="35">
                  <c:v>1.4051046986630259E-2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98A5-49AE-BDB4-56DB1953BEC3}"/>
            </c:ext>
          </c:extLst>
        </c:ser>
        <c:ser>
          <c:idx val="2"/>
          <c:order val="2"/>
          <c:spPr>
            <a:ln w="101600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cat>
            <c:numRef>
              <c:f>ДЕМО!$AH$8:$AH$43</c:f>
              <c:numCache>
                <c:formatCode>General</c:formatCode>
                <c:ptCount val="36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</c:numCache>
            </c:numRef>
          </c:cat>
          <c:val>
            <c:numRef>
              <c:f>ДЕМО!$AK$8:$AK$43</c:f>
              <c:numCache>
                <c:formatCode>0.0000</c:formatCode>
                <c:ptCount val="36"/>
                <c:pt idx="0">
                  <c:v>1.4850404312668465E-2</c:v>
                </c:pt>
                <c:pt idx="1">
                  <c:v>1.404045853000674E-2</c:v>
                </c:pt>
                <c:pt idx="2">
                  <c:v>1.3592717464598785E-2</c:v>
                </c:pt>
                <c:pt idx="3">
                  <c:v>1.3437162162162161E-2</c:v>
                </c:pt>
                <c:pt idx="4">
                  <c:v>1.4508119079837616E-2</c:v>
                </c:pt>
                <c:pt idx="5">
                  <c:v>1.5086779661016948E-2</c:v>
                </c:pt>
                <c:pt idx="6">
                  <c:v>1.5412850307587149E-2</c:v>
                </c:pt>
                <c:pt idx="7">
                  <c:v>1.5941464348206473E-2</c:v>
                </c:pt>
                <c:pt idx="8">
                  <c:v>1.6296755528001656E-2</c:v>
                </c:pt>
                <c:pt idx="9">
                  <c:v>1.5915395284327324E-2</c:v>
                </c:pt>
                <c:pt idx="10">
                  <c:v>1.6055749128919859E-2</c:v>
                </c:pt>
                <c:pt idx="11">
                  <c:v>1.5168067226890755E-2</c:v>
                </c:pt>
                <c:pt idx="12">
                  <c:v>1.4630098452883265E-2</c:v>
                </c:pt>
                <c:pt idx="13">
                  <c:v>1.4619014084507042E-2</c:v>
                </c:pt>
                <c:pt idx="14">
                  <c:v>1.4190274841437631E-2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98A5-49AE-BDB4-56DB1953BEC3}"/>
            </c:ext>
          </c:extLst>
        </c:ser>
        <c:ser>
          <c:idx val="3"/>
          <c:order val="3"/>
          <c:spPr>
            <a:ln>
              <a:solidFill>
                <a:srgbClr val="1F497D">
                  <a:lumMod val="60000"/>
                  <a:lumOff val="40000"/>
                </a:srgbClr>
              </a:solidFill>
              <a:prstDash val="lgDash"/>
            </a:ln>
          </c:spPr>
          <c:marker>
            <c:symbol val="none"/>
          </c:marker>
          <c:cat>
            <c:numRef>
              <c:f>ДЕМО!$AH$8:$AH$43</c:f>
              <c:numCache>
                <c:formatCode>General</c:formatCode>
                <c:ptCount val="36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</c:numCache>
            </c:numRef>
          </c:cat>
          <c:val>
            <c:numRef>
              <c:f>ДЕМО!$AL$8:$AL$43</c:f>
              <c:numCache>
                <c:formatCode>0.0000</c:formatCode>
                <c:ptCount val="36"/>
                <c:pt idx="14">
                  <c:v>1.4190274841437631E-2</c:v>
                </c:pt>
                <c:pt idx="15">
                  <c:v>1.4013142572476973E-2</c:v>
                </c:pt>
                <c:pt idx="16">
                  <c:v>1.4E-2</c:v>
                </c:pt>
                <c:pt idx="17">
                  <c:v>1.4E-2</c:v>
                </c:pt>
                <c:pt idx="18">
                  <c:v>1.4E-2</c:v>
                </c:pt>
                <c:pt idx="19">
                  <c:v>1.4E-2</c:v>
                </c:pt>
                <c:pt idx="20">
                  <c:v>1.4E-2</c:v>
                </c:pt>
                <c:pt idx="21">
                  <c:v>1.4E-2</c:v>
                </c:pt>
                <c:pt idx="22">
                  <c:v>1.4E-2</c:v>
                </c:pt>
                <c:pt idx="23">
                  <c:v>1.4E-2</c:v>
                </c:pt>
                <c:pt idx="24">
                  <c:v>1.4E-2</c:v>
                </c:pt>
                <c:pt idx="25">
                  <c:v>1.4E-2</c:v>
                </c:pt>
                <c:pt idx="26">
                  <c:v>1.4E-2</c:v>
                </c:pt>
                <c:pt idx="27">
                  <c:v>1.4E-2</c:v>
                </c:pt>
                <c:pt idx="28">
                  <c:v>1.4E-2</c:v>
                </c:pt>
                <c:pt idx="29">
                  <c:v>1.4E-2</c:v>
                </c:pt>
                <c:pt idx="30">
                  <c:v>1.4E-2</c:v>
                </c:pt>
                <c:pt idx="31">
                  <c:v>1.4E-2</c:v>
                </c:pt>
                <c:pt idx="32">
                  <c:v>1.4E-2</c:v>
                </c:pt>
                <c:pt idx="33">
                  <c:v>1.4E-2</c:v>
                </c:pt>
                <c:pt idx="34">
                  <c:v>1.4E-2</c:v>
                </c:pt>
                <c:pt idx="35">
                  <c:v>1.4E-2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3-98A5-49AE-BDB4-56DB1953BEC3}"/>
            </c:ext>
          </c:extLst>
        </c:ser>
        <c:ser>
          <c:idx val="4"/>
          <c:order val="4"/>
          <c:spPr>
            <a:ln w="101600">
              <a:solidFill>
                <a:srgbClr val="92D050"/>
              </a:solidFill>
            </a:ln>
          </c:spPr>
          <c:marker>
            <c:symbol val="none"/>
          </c:marker>
          <c:cat>
            <c:numRef>
              <c:f>ДЕМО!$AH$8:$AH$43</c:f>
              <c:numCache>
                <c:formatCode>General</c:formatCode>
                <c:ptCount val="36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</c:numCache>
            </c:numRef>
          </c:cat>
          <c:val>
            <c:numRef>
              <c:f>ДЕМО!$AM$8:$AM$43</c:f>
              <c:numCache>
                <c:formatCode>0.0000</c:formatCode>
                <c:ptCount val="36"/>
                <c:pt idx="0">
                  <c:v>3.385781671159029E-3</c:v>
                </c:pt>
                <c:pt idx="1">
                  <c:v>2.3165475387727577E-3</c:v>
                </c:pt>
                <c:pt idx="2">
                  <c:v>2.4589615643964939E-3</c:v>
                </c:pt>
                <c:pt idx="3">
                  <c:v>2.0282027027027022E-3</c:v>
                </c:pt>
                <c:pt idx="4">
                  <c:v>8.7415426251691492E-4</c:v>
                </c:pt>
                <c:pt idx="5">
                  <c:v>1.4482033898305085E-3</c:v>
                </c:pt>
                <c:pt idx="6">
                  <c:v>4.9408065618591944E-4</c:v>
                </c:pt>
                <c:pt idx="7">
                  <c:v>5.3263752187226597E-4</c:v>
                </c:pt>
                <c:pt idx="8">
                  <c:v>2.4196459323551703E-4</c:v>
                </c:pt>
                <c:pt idx="9">
                  <c:v>2.7296809986130375E-4</c:v>
                </c:pt>
                <c:pt idx="10">
                  <c:v>7.4865505226480835E-4</c:v>
                </c:pt>
                <c:pt idx="11">
                  <c:v>9.2660364145658253E-4</c:v>
                </c:pt>
                <c:pt idx="12">
                  <c:v>1.6873628691983123E-3</c:v>
                </c:pt>
                <c:pt idx="13">
                  <c:v>1.704225352112676E-3</c:v>
                </c:pt>
                <c:pt idx="14">
                  <c:v>1.6999999999999999E-3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4-98A5-49AE-BDB4-56DB1953BEC3}"/>
            </c:ext>
          </c:extLst>
        </c:ser>
        <c:ser>
          <c:idx val="5"/>
          <c:order val="5"/>
          <c:spPr>
            <a:ln>
              <a:solidFill>
                <a:srgbClr val="92D050"/>
              </a:solidFill>
              <a:prstDash val="lgDash"/>
            </a:ln>
          </c:spPr>
          <c:marker>
            <c:symbol val="none"/>
          </c:marker>
          <c:cat>
            <c:numRef>
              <c:f>ДЕМО!$AH$8:$AH$43</c:f>
              <c:numCache>
                <c:formatCode>General</c:formatCode>
                <c:ptCount val="36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</c:numCache>
            </c:numRef>
          </c:cat>
          <c:val>
            <c:numRef>
              <c:f>ДЕМО!$AN$8:$AN$43</c:f>
              <c:numCache>
                <c:formatCode>0.0000</c:formatCode>
                <c:ptCount val="36"/>
                <c:pt idx="14">
                  <c:v>1.6999999999999999E-3</c:v>
                </c:pt>
                <c:pt idx="15">
                  <c:v>1.5999999999999999E-3</c:v>
                </c:pt>
                <c:pt idx="16">
                  <c:v>1.4999999999999998E-3</c:v>
                </c:pt>
                <c:pt idx="17">
                  <c:v>1.3999999999999998E-3</c:v>
                </c:pt>
                <c:pt idx="18">
                  <c:v>1.2999999999999997E-3</c:v>
                </c:pt>
                <c:pt idx="19">
                  <c:v>1.1999999999999997E-3</c:v>
                </c:pt>
                <c:pt idx="20">
                  <c:v>1.0999999999999996E-3</c:v>
                </c:pt>
                <c:pt idx="21">
                  <c:v>9.9999999999999959E-4</c:v>
                </c:pt>
                <c:pt idx="22">
                  <c:v>9.9999999999999959E-4</c:v>
                </c:pt>
                <c:pt idx="23">
                  <c:v>9.9999999999999959E-4</c:v>
                </c:pt>
                <c:pt idx="24">
                  <c:v>9.9999999999999959E-4</c:v>
                </c:pt>
                <c:pt idx="25">
                  <c:v>9.9999999999999959E-4</c:v>
                </c:pt>
                <c:pt idx="26">
                  <c:v>9.9999999999999959E-4</c:v>
                </c:pt>
                <c:pt idx="27">
                  <c:v>9.9999999999999959E-4</c:v>
                </c:pt>
                <c:pt idx="28">
                  <c:v>9.9999999999999959E-4</c:v>
                </c:pt>
                <c:pt idx="29">
                  <c:v>9.9999999999999959E-4</c:v>
                </c:pt>
                <c:pt idx="30">
                  <c:v>9.9999999999999959E-4</c:v>
                </c:pt>
                <c:pt idx="31">
                  <c:v>9.9999999999999959E-4</c:v>
                </c:pt>
                <c:pt idx="32">
                  <c:v>9.9999999999999959E-4</c:v>
                </c:pt>
                <c:pt idx="33">
                  <c:v>9.9999999999999959E-4</c:v>
                </c:pt>
                <c:pt idx="34">
                  <c:v>9.9999999999999959E-4</c:v>
                </c:pt>
                <c:pt idx="35">
                  <c:v>9.9999999999999959E-4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5-98A5-49AE-BDB4-56DB1953BE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002624"/>
        <c:axId val="117004160"/>
      </c:lineChart>
      <c:catAx>
        <c:axId val="117002624"/>
        <c:scaling>
          <c:orientation val="minMax"/>
        </c:scaling>
        <c:delete val="0"/>
        <c:axPos val="b"/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117004160"/>
        <c:crosses val="autoZero"/>
        <c:auto val="1"/>
        <c:lblAlgn val="ctr"/>
        <c:lblOffset val="100"/>
        <c:tickLblSkip val="2"/>
        <c:tickMarkSkip val="1"/>
        <c:noMultiLvlLbl val="0"/>
      </c:catAx>
      <c:valAx>
        <c:axId val="117004160"/>
        <c:scaling>
          <c:orientation val="minMax"/>
          <c:max val="2.0000000000000011E-2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117002624"/>
        <c:crosses val="autoZero"/>
        <c:crossBetween val="between"/>
        <c:majorUnit val="5.0000000000000114E-3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CCFFFF"/>
    </a:solidFill>
    <a:ln w="3175">
      <a:solidFill>
        <a:srgbClr val="000000"/>
      </a:solidFill>
      <a:prstDash val="solid"/>
    </a:ln>
  </c:spPr>
  <c:txPr>
    <a:bodyPr/>
    <a:lstStyle/>
    <a:p>
      <a:pPr>
        <a:defRPr sz="950" b="0" i="0" u="none" strike="noStrike" baseline="0">
          <a:solidFill>
            <a:srgbClr val="000000"/>
          </a:solidFill>
          <a:latin typeface="Arial Cyr"/>
          <a:ea typeface="Arial Cyr"/>
          <a:cs typeface="Arial Cyr"/>
        </a:defRPr>
      </a:pPr>
      <a:endParaRPr lang="ru-RU"/>
    </a:p>
  </c:txPr>
  <c:printSettings>
    <c:headerFooter alignWithMargins="0"/>
    <c:pageMargins b="1" l="0.75000000000001465" r="0.75000000000001465" t="1" header="0.5" footer="0.5"/>
    <c:pageSetup paperSize="9" orientation="landscape" verticalDpi="0"/>
  </c:printSettings>
  <c:userShapes r:id="rId1"/>
</c:chartSpace>
</file>

<file path=xl/charts/chart1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9736728753950534E-2"/>
          <c:y val="2.5147045880668052E-2"/>
          <c:w val="0.89756115159659999"/>
          <c:h val="0.9013501072566833"/>
        </c:manualLayout>
      </c:layout>
      <c:lineChart>
        <c:grouping val="standard"/>
        <c:varyColors val="0"/>
        <c:ser>
          <c:idx val="0"/>
          <c:order val="0"/>
          <c:spPr>
            <a:ln w="101600">
              <a:solidFill>
                <a:schemeClr val="accent6"/>
              </a:solidFill>
            </a:ln>
          </c:spPr>
          <c:marker>
            <c:symbol val="none"/>
          </c:marker>
          <c:cat>
            <c:numRef>
              <c:f>ДЕМО!$AS$8:$AS$43</c:f>
              <c:numCache>
                <c:formatCode>General</c:formatCode>
                <c:ptCount val="36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</c:numCache>
            </c:numRef>
          </c:cat>
          <c:val>
            <c:numRef>
              <c:f>ДЕМО!$AT$8:$AT$43</c:f>
              <c:numCache>
                <c:formatCode>0.0</c:formatCode>
                <c:ptCount val="36"/>
                <c:pt idx="0">
                  <c:v>148.30000000000001</c:v>
                </c:pt>
                <c:pt idx="1">
                  <c:v>148.30000000000001</c:v>
                </c:pt>
                <c:pt idx="2">
                  <c:v>148</c:v>
                </c:pt>
                <c:pt idx="3">
                  <c:v>147.80000000000001</c:v>
                </c:pt>
                <c:pt idx="4">
                  <c:v>147.5</c:v>
                </c:pt>
                <c:pt idx="5">
                  <c:v>146.30000000000001</c:v>
                </c:pt>
                <c:pt idx="6">
                  <c:v>146.304</c:v>
                </c:pt>
                <c:pt idx="7">
                  <c:v>145.16999999999999</c:v>
                </c:pt>
                <c:pt idx="8">
                  <c:v>144.19999999999999</c:v>
                </c:pt>
                <c:pt idx="9">
                  <c:v>143.5</c:v>
                </c:pt>
                <c:pt idx="10">
                  <c:v>142.80000000000001</c:v>
                </c:pt>
                <c:pt idx="11">
                  <c:v>142.19999999999999</c:v>
                </c:pt>
                <c:pt idx="12">
                  <c:v>142</c:v>
                </c:pt>
                <c:pt idx="13">
                  <c:v>141.9</c:v>
                </c:pt>
                <c:pt idx="14">
                  <c:v>141.9</c:v>
                </c:pt>
                <c:pt idx="15">
                  <c:v>142.86539999999999</c:v>
                </c:pt>
                <c:pt idx="16">
                  <c:v>143.0564</c:v>
                </c:pt>
                <c:pt idx="17">
                  <c:v>143.34710000000001</c:v>
                </c:pt>
                <c:pt idx="18">
                  <c:v>#N/A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B29D-48A3-B14D-A1BE725DABC9}"/>
            </c:ext>
          </c:extLst>
        </c:ser>
        <c:ser>
          <c:idx val="1"/>
          <c:order val="1"/>
          <c:spPr>
            <a:ln>
              <a:solidFill>
                <a:schemeClr val="tx1"/>
              </a:solidFill>
              <a:prstDash val="lgDash"/>
            </a:ln>
          </c:spPr>
          <c:marker>
            <c:symbol val="none"/>
          </c:marker>
          <c:cat>
            <c:numRef>
              <c:f>ДЕМО!$AS$8:$AS$43</c:f>
              <c:numCache>
                <c:formatCode>General</c:formatCode>
                <c:ptCount val="36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</c:numCache>
            </c:numRef>
          </c:cat>
          <c:val>
            <c:numRef>
              <c:f>ДЕМО!$AU$8:$AU$60</c:f>
              <c:numCache>
                <c:formatCode>0.00</c:formatCode>
                <c:ptCount val="53"/>
                <c:pt idx="0">
                  <c:v>148.30000000000001</c:v>
                </c:pt>
                <c:pt idx="1">
                  <c:v>147.83594400000001</c:v>
                </c:pt>
                <c:pt idx="2">
                  <c:v>147.87876399999999</c:v>
                </c:pt>
                <c:pt idx="3">
                  <c:v>147.564774</c:v>
                </c:pt>
                <c:pt idx="4">
                  <c:v>146.96960000000001</c:v>
                </c:pt>
                <c:pt idx="5">
                  <c:v>146.72511</c:v>
                </c:pt>
                <c:pt idx="6">
                  <c:v>145.39898400000001</c:v>
                </c:pt>
                <c:pt idx="7">
                  <c:v>145.41662700000001</c:v>
                </c:pt>
                <c:pt idx="8">
                  <c:v>144.28662599999998</c:v>
                </c:pt>
                <c:pt idx="9">
                  <c:v>143.41686199999998</c:v>
                </c:pt>
                <c:pt idx="10">
                  <c:v>142.847432</c:v>
                </c:pt>
                <c:pt idx="11">
                  <c:v>142.21591900000001</c:v>
                </c:pt>
                <c:pt idx="12">
                  <c:v>141.93964299999999</c:v>
                </c:pt>
                <c:pt idx="13">
                  <c:v>141.85000000000002</c:v>
                </c:pt>
                <c:pt idx="14">
                  <c:v>141.86183000000003</c:v>
                </c:pt>
                <c:pt idx="15">
                  <c:v>142.86539999999999</c:v>
                </c:pt>
                <c:pt idx="16">
                  <c:v>142.89479400511732</c:v>
                </c:pt>
                <c:pt idx="17">
                  <c:v>142.93978984136086</c:v>
                </c:pt>
                <c:pt idx="18">
                  <c:v>143.5</c:v>
                </c:pt>
                <c:pt idx="19">
                  <c:v>143.55988065387518</c:v>
                </c:pt>
                <c:pt idx="20">
                  <c:v>144.1157</c:v>
                </c:pt>
                <c:pt idx="21">
                  <c:v>144.61879999999999</c:v>
                </c:pt>
                <c:pt idx="22">
                  <c:v>145.1686</c:v>
                </c:pt>
                <c:pt idx="23">
                  <c:v>145.74820000000003</c:v>
                </c:pt>
                <c:pt idx="24">
                  <c:v>146.33860000000001</c:v>
                </c:pt>
                <c:pt idx="25">
                  <c:v>146.93929999999997</c:v>
                </c:pt>
                <c:pt idx="26">
                  <c:v>147.5489</c:v>
                </c:pt>
                <c:pt idx="27">
                  <c:v>148.161</c:v>
                </c:pt>
                <c:pt idx="28">
                  <c:v>148.75700000000001</c:v>
                </c:pt>
                <c:pt idx="29">
                  <c:v>149.33370000000002</c:v>
                </c:pt>
                <c:pt idx="30">
                  <c:v>149.8879</c:v>
                </c:pt>
                <c:pt idx="31">
                  <c:v>150.4239</c:v>
                </c:pt>
                <c:pt idx="32">
                  <c:v>150.94450000000001</c:v>
                </c:pt>
                <c:pt idx="33">
                  <c:v>151.45949999999999</c:v>
                </c:pt>
                <c:pt idx="34">
                  <c:v>151.96520000000001</c:v>
                </c:pt>
                <c:pt idx="35">
                  <c:v>152.4659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B29D-48A3-B14D-A1BE725DABC9}"/>
            </c:ext>
          </c:extLst>
        </c:ser>
        <c:ser>
          <c:idx val="2"/>
          <c:order val="2"/>
          <c:spPr>
            <a:ln w="101600">
              <a:solidFill>
                <a:srgbClr val="00B0F0"/>
              </a:solidFill>
            </a:ln>
          </c:spPr>
          <c:marker>
            <c:symbol val="none"/>
          </c:marker>
          <c:cat>
            <c:numRef>
              <c:f>ДЕМО!$AS$8:$AS$43</c:f>
              <c:numCache>
                <c:formatCode>General</c:formatCode>
                <c:ptCount val="36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</c:numCache>
            </c:numRef>
          </c:cat>
          <c:val>
            <c:numRef>
              <c:f>ДЕМО!$AV$8:$AV$43</c:f>
              <c:numCache>
                <c:formatCode>0.0</c:formatCode>
                <c:ptCount val="36"/>
                <c:pt idx="0">
                  <c:v>70.739999999999995</c:v>
                </c:pt>
                <c:pt idx="1">
                  <c:v>69.66</c:v>
                </c:pt>
                <c:pt idx="2">
                  <c:v>68.078999999999994</c:v>
                </c:pt>
                <c:pt idx="3">
                  <c:v>67.338999999999999</c:v>
                </c:pt>
                <c:pt idx="4">
                  <c:v>72.174999999999997</c:v>
                </c:pt>
                <c:pt idx="5">
                  <c:v>72.77</c:v>
                </c:pt>
                <c:pt idx="6">
                  <c:v>71.545000000000002</c:v>
                </c:pt>
                <c:pt idx="7">
                  <c:v>72.356999999999999</c:v>
                </c:pt>
                <c:pt idx="8">
                  <c:v>72.272999999999996</c:v>
                </c:pt>
                <c:pt idx="9">
                  <c:v>72.984999999999999</c:v>
                </c:pt>
                <c:pt idx="10">
                  <c:v>73.581000000000003</c:v>
                </c:pt>
                <c:pt idx="11">
                  <c:v>74.418999999999997</c:v>
                </c:pt>
                <c:pt idx="12">
                  <c:v>75.289000000000001</c:v>
                </c:pt>
                <c:pt idx="13">
                  <c:v>75.7</c:v>
                </c:pt>
                <c:pt idx="14">
                  <c:v>75.694000000000003</c:v>
                </c:pt>
                <c:pt idx="15">
                  <c:v>75.477999999999994</c:v>
                </c:pt>
                <c:pt idx="16">
                  <c:v>75.778999999999996</c:v>
                </c:pt>
                <c:pt idx="17">
                  <c:v>75.676000000000002</c:v>
                </c:pt>
                <c:pt idx="18" formatCode="0.0000">
                  <c:v>75.528999999999996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B29D-48A3-B14D-A1BE725DABC9}"/>
            </c:ext>
          </c:extLst>
        </c:ser>
        <c:ser>
          <c:idx val="3"/>
          <c:order val="3"/>
          <c:spPr>
            <a:ln>
              <a:prstDash val="lgDash"/>
            </a:ln>
          </c:spPr>
          <c:marker>
            <c:symbol val="none"/>
          </c:marker>
          <c:cat>
            <c:numRef>
              <c:f>ДЕМО!$AS$8:$AS$43</c:f>
              <c:numCache>
                <c:formatCode>General</c:formatCode>
                <c:ptCount val="36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</c:numCache>
            </c:numRef>
          </c:cat>
          <c:val>
            <c:numRef>
              <c:f>ДЕМО!$AW$8:$AW$43</c:f>
              <c:numCache>
                <c:formatCode>0.0000</c:formatCode>
                <c:ptCount val="36"/>
                <c:pt idx="15" formatCode="0.00">
                  <c:v>75.477999999999994</c:v>
                </c:pt>
                <c:pt idx="16" formatCode="0.00">
                  <c:v>75.778999999999996</c:v>
                </c:pt>
                <c:pt idx="17" formatCode="0.00">
                  <c:v>75.676000000000002</c:v>
                </c:pt>
                <c:pt idx="18" formatCode="0.00">
                  <c:v>76.916000000000011</c:v>
                </c:pt>
                <c:pt idx="19" formatCode="0.00">
                  <c:v>76.948096030477103</c:v>
                </c:pt>
                <c:pt idx="20" formatCode="0.00">
                  <c:v>0</c:v>
                </c:pt>
                <c:pt idx="21" formatCode="0.00">
                  <c:v>0</c:v>
                </c:pt>
                <c:pt idx="22" formatCode="0.00">
                  <c:v>0</c:v>
                </c:pt>
                <c:pt idx="23" formatCode="0.00">
                  <c:v>0</c:v>
                </c:pt>
                <c:pt idx="24" formatCode="0.00">
                  <c:v>0</c:v>
                </c:pt>
                <c:pt idx="25" formatCode="0.00">
                  <c:v>0</c:v>
                </c:pt>
                <c:pt idx="26" formatCode="0.00">
                  <c:v>0</c:v>
                </c:pt>
                <c:pt idx="27" formatCode="0.00">
                  <c:v>0</c:v>
                </c:pt>
                <c:pt idx="28" formatCode="0.00">
                  <c:v>0</c:v>
                </c:pt>
                <c:pt idx="29" formatCode="0.00">
                  <c:v>0</c:v>
                </c:pt>
                <c:pt idx="30" formatCode="0.00">
                  <c:v>0</c:v>
                </c:pt>
                <c:pt idx="31" formatCode="0.00">
                  <c:v>0</c:v>
                </c:pt>
                <c:pt idx="32" formatCode="0.00">
                  <c:v>0</c:v>
                </c:pt>
                <c:pt idx="33" formatCode="0.00">
                  <c:v>0</c:v>
                </c:pt>
                <c:pt idx="34" formatCode="0.00">
                  <c:v>0</c:v>
                </c:pt>
                <c:pt idx="35" formatCode="0.00">
                  <c:v>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3-B29D-48A3-B14D-A1BE725DABC9}"/>
            </c:ext>
          </c:extLst>
        </c:ser>
        <c:ser>
          <c:idx val="4"/>
          <c:order val="4"/>
          <c:spPr>
            <a:ln w="101600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cat>
            <c:numRef>
              <c:f>ДЕМО!$AS$8:$AS$43</c:f>
              <c:numCache>
                <c:formatCode>General</c:formatCode>
                <c:ptCount val="36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</c:numCache>
            </c:numRef>
          </c:cat>
          <c:val>
            <c:numRef>
              <c:f>ДЕМО!$AY$8:$AY$43</c:f>
              <c:numCache>
                <c:formatCode>0.00</c:formatCode>
                <c:ptCount val="36"/>
                <c:pt idx="0" formatCode="0.0">
                  <c:v>47.700606877950094</c:v>
                </c:pt>
                <c:pt idx="1">
                  <c:v>46.972353337828721</c:v>
                </c:pt>
                <c:pt idx="2">
                  <c:v>45.99932432432432</c:v>
                </c:pt>
                <c:pt idx="3">
                  <c:v>45.560893098782138</c:v>
                </c:pt>
                <c:pt idx="4">
                  <c:v>48.932203389830505</c:v>
                </c:pt>
                <c:pt idx="5">
                  <c:v>49.740259740259738</c:v>
                </c:pt>
                <c:pt idx="6">
                  <c:v>48.901602143482066</c:v>
                </c:pt>
                <c:pt idx="7">
                  <c:v>49.842942756767933</c:v>
                </c:pt>
                <c:pt idx="8">
                  <c:v>50.119972260748959</c:v>
                </c:pt>
                <c:pt idx="9">
                  <c:v>50.860627177700344</c:v>
                </c:pt>
                <c:pt idx="10">
                  <c:v>51.52731092436975</c:v>
                </c:pt>
                <c:pt idx="11">
                  <c:v>52.334036568213783</c:v>
                </c:pt>
                <c:pt idx="12">
                  <c:v>53.020422535211267</c:v>
                </c:pt>
                <c:pt idx="13">
                  <c:v>53.347427766032418</c:v>
                </c:pt>
                <c:pt idx="14">
                  <c:v>53.34319943622269</c:v>
                </c:pt>
                <c:pt idx="15">
                  <c:v>52.831546336621734</c:v>
                </c:pt>
                <c:pt idx="16">
                  <c:v>52.971415469702855</c:v>
                </c:pt>
                <c:pt idx="17">
                  <c:v>52.792138801552312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4-B29D-48A3-B14D-A1BE725DABC9}"/>
            </c:ext>
          </c:extLst>
        </c:ser>
        <c:ser>
          <c:idx val="5"/>
          <c:order val="5"/>
          <c:spPr>
            <a:ln>
              <a:solidFill>
                <a:schemeClr val="tx1"/>
              </a:solidFill>
              <a:prstDash val="lgDash"/>
            </a:ln>
          </c:spPr>
          <c:marker>
            <c:symbol val="none"/>
          </c:marker>
          <c:cat>
            <c:numRef>
              <c:f>ДЕМО!$AS$8:$AS$43</c:f>
              <c:numCache>
                <c:formatCode>General</c:formatCode>
                <c:ptCount val="36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</c:numCache>
            </c:numRef>
          </c:cat>
          <c:val>
            <c:numRef>
              <c:f>ДЕМО!$AZ$8:$AZ$43</c:f>
              <c:numCache>
                <c:formatCode>General</c:formatCode>
                <c:ptCount val="36"/>
                <c:pt idx="14" formatCode="0.00">
                  <c:v>53.34319943622269</c:v>
                </c:pt>
                <c:pt idx="15" formatCode="0.00">
                  <c:v>52.831546336621734</c:v>
                </c:pt>
                <c:pt idx="16" formatCode="0.00">
                  <c:v>52.971415469702855</c:v>
                </c:pt>
                <c:pt idx="17" formatCode="0.00">
                  <c:v>53</c:v>
                </c:pt>
                <c:pt idx="18" formatCode="0.00">
                  <c:v>53.6</c:v>
                </c:pt>
                <c:pt idx="19" formatCode="0.00">
                  <c:v>53.6</c:v>
                </c:pt>
                <c:pt idx="20" formatCode="0.00">
                  <c:v>53.6</c:v>
                </c:pt>
                <c:pt idx="21" formatCode="0.00">
                  <c:v>53.6</c:v>
                </c:pt>
                <c:pt idx="22" formatCode="0.00">
                  <c:v>53.6</c:v>
                </c:pt>
                <c:pt idx="23" formatCode="0.00">
                  <c:v>53.6</c:v>
                </c:pt>
                <c:pt idx="24" formatCode="0.00">
                  <c:v>53.6</c:v>
                </c:pt>
                <c:pt idx="25" formatCode="0.00">
                  <c:v>53.6</c:v>
                </c:pt>
                <c:pt idx="26" formatCode="0.00">
                  <c:v>53.6</c:v>
                </c:pt>
                <c:pt idx="27" formatCode="0.00">
                  <c:v>53.6</c:v>
                </c:pt>
                <c:pt idx="28" formatCode="0.00">
                  <c:v>53.6</c:v>
                </c:pt>
                <c:pt idx="29" formatCode="0.00">
                  <c:v>53.6</c:v>
                </c:pt>
                <c:pt idx="30" formatCode="0.00">
                  <c:v>53.6</c:v>
                </c:pt>
                <c:pt idx="31" formatCode="0.00">
                  <c:v>53.6</c:v>
                </c:pt>
                <c:pt idx="32" formatCode="0.00">
                  <c:v>53.6</c:v>
                </c:pt>
                <c:pt idx="33" formatCode="0.00">
                  <c:v>53.6</c:v>
                </c:pt>
                <c:pt idx="34" formatCode="0.00">
                  <c:v>53.6</c:v>
                </c:pt>
                <c:pt idx="35" formatCode="0.00">
                  <c:v>53.6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5-B29D-48A3-B14D-A1BE725DAB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0465664"/>
        <c:axId val="160467200"/>
      </c:lineChart>
      <c:catAx>
        <c:axId val="160465664"/>
        <c:scaling>
          <c:orientation val="minMax"/>
        </c:scaling>
        <c:delete val="0"/>
        <c:axPos val="b"/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160467200"/>
        <c:crosses val="autoZero"/>
        <c:auto val="1"/>
        <c:lblAlgn val="ctr"/>
        <c:lblOffset val="100"/>
        <c:tickLblSkip val="2"/>
        <c:tickMarkSkip val="1"/>
        <c:noMultiLvlLbl val="0"/>
      </c:catAx>
      <c:valAx>
        <c:axId val="160467200"/>
        <c:scaling>
          <c:orientation val="minMax"/>
          <c:max val="175"/>
          <c:min val="25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160465664"/>
        <c:crosses val="autoZero"/>
        <c:crossBetween val="between"/>
        <c:majorUnit val="25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chemeClr val="bg2">
        <a:lumMod val="90000"/>
      </a:schemeClr>
    </a:solidFill>
    <a:ln w="3175">
      <a:solidFill>
        <a:srgbClr val="000000"/>
      </a:solidFill>
      <a:prstDash val="solid"/>
    </a:ln>
  </c:spPr>
  <c:txPr>
    <a:bodyPr/>
    <a:lstStyle/>
    <a:p>
      <a:pPr>
        <a:defRPr sz="950" b="0" i="0" u="none" strike="noStrike" baseline="0">
          <a:solidFill>
            <a:srgbClr val="000000"/>
          </a:solidFill>
          <a:latin typeface="Arial Cyr"/>
          <a:ea typeface="Arial Cyr"/>
          <a:cs typeface="Arial Cyr"/>
        </a:defRPr>
      </a:pPr>
      <a:endParaRPr lang="ru-RU"/>
    </a:p>
  </c:txPr>
  <c:printSettings>
    <c:headerFooter alignWithMargins="0"/>
    <c:pageMargins b="1" l="0.75000000000001465" r="0.75000000000001465" t="1" header="0.5" footer="0.5"/>
    <c:pageSetup paperSize="9" orientation="landscape" verticalDpi="0"/>
  </c:printSettings>
  <c:userShapes r:id="rId1"/>
</c:chartSpace>
</file>

<file path=xl/charts/chart1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9513953363753836E-2"/>
          <c:y val="2.8581306280026652E-2"/>
          <c:w val="0.90146919515205426"/>
          <c:h val="0.9013501072566833"/>
        </c:manualLayout>
      </c:layout>
      <c:lineChart>
        <c:grouping val="standard"/>
        <c:varyColors val="0"/>
        <c:ser>
          <c:idx val="0"/>
          <c:order val="0"/>
          <c:spPr>
            <a:ln w="95250">
              <a:solidFill>
                <a:srgbClr val="FF0000"/>
              </a:solidFill>
            </a:ln>
          </c:spPr>
          <c:marker>
            <c:symbol val="none"/>
          </c:marker>
          <c:cat>
            <c:numRef>
              <c:f>ДЕМО!$G$62:$G$102</c:f>
              <c:numCache>
                <c:formatCode>General</c:formatCode>
                <c:ptCount val="41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  <c:pt idx="36">
                  <c:v>2031</c:v>
                </c:pt>
                <c:pt idx="37">
                  <c:v>2032</c:v>
                </c:pt>
                <c:pt idx="38">
                  <c:v>2033</c:v>
                </c:pt>
                <c:pt idx="39">
                  <c:v>2034</c:v>
                </c:pt>
                <c:pt idx="40">
                  <c:v>2035</c:v>
                </c:pt>
              </c:numCache>
            </c:numRef>
          </c:cat>
          <c:val>
            <c:numRef>
              <c:f>ДЕМО!$H$62:$H$102</c:f>
              <c:numCache>
                <c:formatCode>0.00</c:formatCode>
                <c:ptCount val="41"/>
                <c:pt idx="0">
                  <c:v>148.459937</c:v>
                </c:pt>
                <c:pt idx="1">
                  <c:v>148.29163800000001</c:v>
                </c:pt>
                <c:pt idx="2">
                  <c:v>148.02861300000001</c:v>
                </c:pt>
                <c:pt idx="3">
                  <c:v>147.802133</c:v>
                </c:pt>
                <c:pt idx="4">
                  <c:v>147.53942599999999</c:v>
                </c:pt>
                <c:pt idx="5">
                  <c:v>146.890128</c:v>
                </c:pt>
                <c:pt idx="6">
                  <c:v>146.30361099999999</c:v>
                </c:pt>
                <c:pt idx="7">
                  <c:v>145.166731</c:v>
                </c:pt>
                <c:pt idx="8">
                  <c:v>144.96365</c:v>
                </c:pt>
                <c:pt idx="9">
                  <c:v>144.168205</c:v>
                </c:pt>
                <c:pt idx="10">
                  <c:v>143.47421900000001</c:v>
                </c:pt>
                <c:pt idx="11">
                  <c:v>142.75355099999999</c:v>
                </c:pt>
                <c:pt idx="12">
                  <c:v>142.220968</c:v>
                </c:pt>
                <c:pt idx="13">
                  <c:v>142.008838</c:v>
                </c:pt>
                <c:pt idx="14">
                  <c:v>141.90397899999999</c:v>
                </c:pt>
                <c:pt idx="15">
                  <c:v>142.85653600000001</c:v>
                </c:pt>
                <c:pt idx="16">
                  <c:v>142.865433</c:v>
                </c:pt>
                <c:pt idx="17">
                  <c:v>143.05638300000001</c:v>
                </c:pt>
                <c:pt idx="18">
                  <c:v>143.347059</c:v>
                </c:pt>
                <c:pt idx="19">
                  <c:v>143.66693100000001</c:v>
                </c:pt>
                <c:pt idx="20">
                  <c:v>146.26728800000001</c:v>
                </c:pt>
                <c:pt idx="21">
                  <c:v>146.54471000000001</c:v>
                </c:pt>
                <c:pt idx="22">
                  <c:v>146.804372</c:v>
                </c:pt>
                <c:pt idx="23">
                  <c:v>146.88043200000001</c:v>
                </c:pt>
                <c:pt idx="24">
                  <c:v>146.74509800000001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73CD-4E1E-B2E5-C6CA4FC3DCE4}"/>
            </c:ext>
          </c:extLst>
        </c:ser>
        <c:ser>
          <c:idx val="1"/>
          <c:order val="1"/>
          <c:spPr>
            <a:ln w="34925">
              <a:prstDash val="lgDash"/>
            </a:ln>
          </c:spPr>
          <c:marker>
            <c:symbol val="none"/>
          </c:marker>
          <c:cat>
            <c:numRef>
              <c:f>ДЕМО!$G$62:$G$102</c:f>
              <c:numCache>
                <c:formatCode>General</c:formatCode>
                <c:ptCount val="41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  <c:pt idx="36">
                  <c:v>2031</c:v>
                </c:pt>
                <c:pt idx="37">
                  <c:v>2032</c:v>
                </c:pt>
                <c:pt idx="38">
                  <c:v>2033</c:v>
                </c:pt>
                <c:pt idx="39">
                  <c:v>2034</c:v>
                </c:pt>
                <c:pt idx="40">
                  <c:v>2035</c:v>
                </c:pt>
              </c:numCache>
            </c:numRef>
          </c:cat>
          <c:val>
            <c:numRef>
              <c:f>ДЕМО!$I$62:$I$102</c:f>
              <c:numCache>
                <c:formatCode>0.00</c:formatCode>
                <c:ptCount val="41"/>
                <c:pt idx="25">
                  <c:v>146.69999999999999</c:v>
                </c:pt>
                <c:pt idx="26">
                  <c:v>146.63999999999999</c:v>
                </c:pt>
                <c:pt idx="27">
                  <c:v>146.55999999999997</c:v>
                </c:pt>
                <c:pt idx="28">
                  <c:v>146.43999999999997</c:v>
                </c:pt>
                <c:pt idx="29">
                  <c:v>146.31999999999996</c:v>
                </c:pt>
                <c:pt idx="30">
                  <c:v>146.15999999999997</c:v>
                </c:pt>
                <c:pt idx="31">
                  <c:v>145.99999999999997</c:v>
                </c:pt>
                <c:pt idx="32">
                  <c:v>145.83999999999997</c:v>
                </c:pt>
                <c:pt idx="33">
                  <c:v>145.67999999999998</c:v>
                </c:pt>
                <c:pt idx="34">
                  <c:v>145.49999999999997</c:v>
                </c:pt>
                <c:pt idx="35">
                  <c:v>145.31999999999996</c:v>
                </c:pt>
                <c:pt idx="36">
                  <c:v>145.13999999999996</c:v>
                </c:pt>
                <c:pt idx="37">
                  <c:v>144.95999999999995</c:v>
                </c:pt>
                <c:pt idx="38">
                  <c:v>144.75999999999996</c:v>
                </c:pt>
                <c:pt idx="39">
                  <c:v>144.57999999999996</c:v>
                </c:pt>
                <c:pt idx="40">
                  <c:v>144.39999999999995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A9-4061-994D-A89233D781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0517504"/>
        <c:axId val="160519296"/>
      </c:lineChart>
      <c:catAx>
        <c:axId val="160517504"/>
        <c:scaling>
          <c:orientation val="minMax"/>
        </c:scaling>
        <c:delete val="0"/>
        <c:axPos val="b"/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160519296"/>
        <c:crosses val="autoZero"/>
        <c:auto val="1"/>
        <c:lblAlgn val="ctr"/>
        <c:lblOffset val="100"/>
        <c:tickLblSkip val="2"/>
        <c:tickMarkSkip val="1"/>
        <c:noMultiLvlLbl val="0"/>
      </c:catAx>
      <c:valAx>
        <c:axId val="160519296"/>
        <c:scaling>
          <c:orientation val="minMax"/>
          <c:max val="150"/>
          <c:min val="13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600" b="0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160517504"/>
        <c:crosses val="autoZero"/>
        <c:crossBetween val="between"/>
        <c:majorUnit val="5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chemeClr val="accent6">
        <a:lumMod val="40000"/>
        <a:lumOff val="60000"/>
      </a:schemeClr>
    </a:solidFill>
    <a:ln w="3175">
      <a:solidFill>
        <a:srgbClr val="000000"/>
      </a:solidFill>
      <a:prstDash val="solid"/>
    </a:ln>
  </c:spPr>
  <c:txPr>
    <a:bodyPr/>
    <a:lstStyle/>
    <a:p>
      <a:pPr>
        <a:defRPr sz="950" b="0" i="0" u="none" strike="noStrike" baseline="0">
          <a:solidFill>
            <a:srgbClr val="000000"/>
          </a:solidFill>
          <a:latin typeface="Arial Cyr"/>
          <a:ea typeface="Arial Cyr"/>
          <a:cs typeface="Arial Cyr"/>
        </a:defRPr>
      </a:pPr>
      <a:endParaRPr lang="ru-RU"/>
    </a:p>
  </c:txPr>
  <c:printSettings>
    <c:headerFooter alignWithMargins="0"/>
    <c:pageMargins b="1" l="0.75000000000001465" r="0.75000000000001465" t="1" header="0.5" footer="0.5"/>
    <c:pageSetup paperSize="9" orientation="landscape" verticalDpi="0"/>
  </c:printSettings>
  <c:userShapes r:id="rId1"/>
</c:chartSpace>
</file>

<file path=xl/charts/chart1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8384572240737823E-2"/>
          <c:y val="2.8662450096256769E-2"/>
          <c:w val="0.8999013274578247"/>
          <c:h val="0.88004337517760856"/>
        </c:manualLayout>
      </c:layout>
      <c:lineChart>
        <c:grouping val="standard"/>
        <c:varyColors val="0"/>
        <c:ser>
          <c:idx val="0"/>
          <c:order val="0"/>
          <c:spPr>
            <a:ln w="196850">
              <a:solidFill>
                <a:srgbClr val="FFC000"/>
              </a:solidFill>
            </a:ln>
          </c:spPr>
          <c:marker>
            <c:symbol val="circle"/>
            <c:size val="13"/>
            <c:spPr>
              <a:noFill/>
            </c:spPr>
          </c:marker>
          <c:cat>
            <c:numRef>
              <c:f>ПФ!$F$6:$F$41</c:f>
              <c:numCache>
                <c:formatCode>General</c:formatCode>
                <c:ptCount val="36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</c:numCache>
            </c:numRef>
          </c:cat>
          <c:val>
            <c:numRef>
              <c:f>ПФ!$D$6:$D$41</c:f>
              <c:numCache>
                <c:formatCode>General</c:formatCode>
                <c:ptCount val="36"/>
                <c:pt idx="2" formatCode="0.00">
                  <c:v>1.0474816317305975</c:v>
                </c:pt>
                <c:pt idx="3" formatCode="0.00">
                  <c:v>1.0599744654791778</c:v>
                </c:pt>
                <c:pt idx="4" formatCode="0.00">
                  <c:v>1.0096378626115232</c:v>
                </c:pt>
                <c:pt idx="5" formatCode="0.00">
                  <c:v>0.85150115067723064</c:v>
                </c:pt>
                <c:pt idx="6" formatCode="0.00">
                  <c:v>0.82582454441680753</c:v>
                </c:pt>
                <c:pt idx="7" formatCode="0.00">
                  <c:v>0.97814823352108604</c:v>
                </c:pt>
                <c:pt idx="8" formatCode="0.00">
                  <c:v>0.89290410783749619</c:v>
                </c:pt>
                <c:pt idx="9" formatCode="0.00">
                  <c:v>0.75299615886858462</c:v>
                </c:pt>
                <c:pt idx="10" formatCode="0.00">
                  <c:v>0.88681000539252464</c:v>
                </c:pt>
                <c:pt idx="11" formatCode="0.00">
                  <c:v>0.75292750456048074</c:v>
                </c:pt>
                <c:pt idx="12" formatCode="0.00">
                  <c:v>0.71505962237878584</c:v>
                </c:pt>
                <c:pt idx="13" formatCode="0.00">
                  <c:v>0.72140851927165162</c:v>
                </c:pt>
                <c:pt idx="14" formatCode="0.00">
                  <c:v>0.79342159734904627</c:v>
                </c:pt>
                <c:pt idx="15" formatCode="0.00">
                  <c:v>0.70676218256417445</c:v>
                </c:pt>
                <c:pt idx="16" formatCode="0.00">
                  <c:v>0.85128300817261504</c:v>
                </c:pt>
                <c:pt idx="17" formatCode="0.00">
                  <c:v>0.86639934395273566</c:v>
                </c:pt>
                <c:pt idx="18" formatCode="0.00">
                  <c:v>0.85613131247644969</c:v>
                </c:pt>
                <c:pt idx="19" formatCode="0.00">
                  <c:v>0.79587685556764609</c:v>
                </c:pt>
                <c:pt idx="20" formatCode="0.00">
                  <c:v>0.77387866763989965</c:v>
                </c:pt>
                <c:pt idx="21" formatCode="0.00">
                  <c:v>0.91459389402751656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16A7-4B23-8082-62D5ED3B0291}"/>
            </c:ext>
          </c:extLst>
        </c:ser>
        <c:ser>
          <c:idx val="1"/>
          <c:order val="1"/>
          <c:spPr>
            <a:ln>
              <a:solidFill>
                <a:srgbClr val="00B0F0"/>
              </a:solidFill>
            </a:ln>
          </c:spPr>
          <c:marker>
            <c:symbol val="none"/>
          </c:marker>
          <c:val>
            <c:numRef>
              <c:f>ПФ!$I$6:$I$41</c:f>
              <c:numCache>
                <c:formatCode>0.00</c:formatCode>
                <c:ptCount val="36"/>
                <c:pt idx="2">
                  <c:v>1.0474816317305975</c:v>
                </c:pt>
                <c:pt idx="3">
                  <c:v>1.0599744654791778</c:v>
                </c:pt>
                <c:pt idx="4">
                  <c:v>1.0096378626115232</c:v>
                </c:pt>
                <c:pt idx="5">
                  <c:v>0.85150115067723064</c:v>
                </c:pt>
                <c:pt idx="6">
                  <c:v>0.82582454441680753</c:v>
                </c:pt>
                <c:pt idx="7">
                  <c:v>0.97814823352108604</c:v>
                </c:pt>
                <c:pt idx="8">
                  <c:v>0.89290410783749619</c:v>
                </c:pt>
                <c:pt idx="9">
                  <c:v>0.75299615886858462</c:v>
                </c:pt>
                <c:pt idx="10">
                  <c:v>0.88681000539252464</c:v>
                </c:pt>
                <c:pt idx="11">
                  <c:v>0.75292750456048074</c:v>
                </c:pt>
                <c:pt idx="12">
                  <c:v>0.71505962237878584</c:v>
                </c:pt>
                <c:pt idx="13">
                  <c:v>0.72140851927165162</c:v>
                </c:pt>
                <c:pt idx="14">
                  <c:v>0.79342159734904627</c:v>
                </c:pt>
                <c:pt idx="15">
                  <c:v>0.70676218256417445</c:v>
                </c:pt>
                <c:pt idx="16">
                  <c:v>0.85128300817261504</c:v>
                </c:pt>
                <c:pt idx="17">
                  <c:v>0.86639934395273566</c:v>
                </c:pt>
                <c:pt idx="18">
                  <c:v>0.85613131247644969</c:v>
                </c:pt>
                <c:pt idx="19">
                  <c:v>0.79587685556764609</c:v>
                </c:pt>
                <c:pt idx="20">
                  <c:v>0.77387866763989965</c:v>
                </c:pt>
                <c:pt idx="21">
                  <c:v>0.91459389402751656</c:v>
                </c:pt>
                <c:pt idx="22" formatCode="General">
                  <c:v>0.83699999999999997</c:v>
                </c:pt>
                <c:pt idx="23" formatCode="General">
                  <c:v>0.83699999999999997</c:v>
                </c:pt>
                <c:pt idx="24" formatCode="General">
                  <c:v>0.83699999999999997</c:v>
                </c:pt>
                <c:pt idx="25" formatCode="General">
                  <c:v>0.83699999999999997</c:v>
                </c:pt>
                <c:pt idx="26" formatCode="General">
                  <c:v>0.83699999999999997</c:v>
                </c:pt>
                <c:pt idx="27" formatCode="General">
                  <c:v>0.83699999999999997</c:v>
                </c:pt>
                <c:pt idx="28" formatCode="General">
                  <c:v>0.83699999999999997</c:v>
                </c:pt>
                <c:pt idx="29" formatCode="General">
                  <c:v>0.83699999999999997</c:v>
                </c:pt>
                <c:pt idx="30" formatCode="General">
                  <c:v>0.83699999999999997</c:v>
                </c:pt>
                <c:pt idx="31" formatCode="General">
                  <c:v>0.83699999999999997</c:v>
                </c:pt>
                <c:pt idx="32" formatCode="General">
                  <c:v>0.83699999999999997</c:v>
                </c:pt>
                <c:pt idx="33" formatCode="General">
                  <c:v>0.83699999999999997</c:v>
                </c:pt>
                <c:pt idx="34" formatCode="General">
                  <c:v>0.83699999999999997</c:v>
                </c:pt>
                <c:pt idx="35" formatCode="General">
                  <c:v>0.83699999999999997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09C-45E3-BCD3-8161C93B9E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1105408"/>
        <c:axId val="161106944"/>
      </c:lineChart>
      <c:catAx>
        <c:axId val="161105408"/>
        <c:scaling>
          <c:orientation val="minMax"/>
        </c:scaling>
        <c:delete val="0"/>
        <c:axPos val="b"/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161106944"/>
        <c:crosses val="autoZero"/>
        <c:auto val="1"/>
        <c:lblAlgn val="ctr"/>
        <c:lblOffset val="100"/>
        <c:tickLblSkip val="2"/>
        <c:tickMarkSkip val="1"/>
        <c:noMultiLvlLbl val="0"/>
      </c:catAx>
      <c:valAx>
        <c:axId val="161106944"/>
        <c:scaling>
          <c:orientation val="minMax"/>
          <c:max val="2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161105408"/>
        <c:crosses val="autoZero"/>
        <c:crossBetween val="between"/>
        <c:majorUnit val="0.5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chemeClr val="bg1">
        <a:lumMod val="85000"/>
      </a:schemeClr>
    </a:solidFill>
    <a:ln w="3175">
      <a:solidFill>
        <a:srgbClr val="000000"/>
      </a:solidFill>
      <a:prstDash val="solid"/>
    </a:ln>
  </c:spPr>
  <c:txPr>
    <a:bodyPr/>
    <a:lstStyle/>
    <a:p>
      <a:pPr>
        <a:defRPr sz="975" b="0" i="0" u="none" strike="noStrike" baseline="0">
          <a:solidFill>
            <a:srgbClr val="000000"/>
          </a:solidFill>
          <a:latin typeface="Arial Cyr"/>
          <a:ea typeface="Arial Cyr"/>
          <a:cs typeface="Arial Cyr"/>
        </a:defRPr>
      </a:pPr>
      <a:endParaRPr lang="ru-RU"/>
    </a:p>
  </c:txPr>
  <c:printSettings>
    <c:headerFooter alignWithMargins="0"/>
    <c:pageMargins b="1" l="0.75000000000001465" r="0.75000000000001465" t="1" header="0.5" footer="0.5"/>
    <c:pageSetup/>
  </c:printSettings>
  <c:userShapes r:id="rId1"/>
</c:chartSpace>
</file>

<file path=xl/charts/chart1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7393491483641071E-2"/>
          <c:y val="2.8662450096256769E-2"/>
          <c:w val="0.90089240821493677"/>
          <c:h val="0.88110494740345069"/>
        </c:manualLayout>
      </c:layout>
      <c:lineChart>
        <c:grouping val="standard"/>
        <c:varyColors val="0"/>
        <c:ser>
          <c:idx val="0"/>
          <c:order val="0"/>
          <c:spPr>
            <a:ln w="38100">
              <a:solidFill>
                <a:srgbClr val="FF9900"/>
              </a:solidFill>
              <a:prstDash val="solid"/>
            </a:ln>
          </c:spPr>
          <c:marker>
            <c:symbol val="none"/>
          </c:marker>
          <c:cat>
            <c:numRef>
              <c:f>ПФ!$F$6:$F$41</c:f>
              <c:numCache>
                <c:formatCode>General</c:formatCode>
                <c:ptCount val="36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</c:numCache>
            </c:numRef>
          </c:cat>
          <c:val>
            <c:numRef>
              <c:f>ПФ!$G$6:$G$41</c:f>
              <c:numCache>
                <c:formatCode>0</c:formatCode>
                <c:ptCount val="36"/>
                <c:pt idx="0">
                  <c:v>230.40700000000001</c:v>
                </c:pt>
                <c:pt idx="1">
                  <c:v>334.30200000000002</c:v>
                </c:pt>
                <c:pt idx="2">
                  <c:v>406.47199999999998</c:v>
                </c:pt>
                <c:pt idx="3">
                  <c:v>428.56400000000002</c:v>
                </c:pt>
                <c:pt idx="4">
                  <c:v>597.30600000000004</c:v>
                </c:pt>
                <c:pt idx="5">
                  <c:v>843.37800000000004</c:v>
                </c:pt>
                <c:pt idx="6">
                  <c:v>1117.655</c:v>
                </c:pt>
                <c:pt idx="7">
                  <c:v>1615.0630000000001</c:v>
                </c:pt>
                <c:pt idx="8">
                  <c:v>1815.6579999999999</c:v>
                </c:pt>
                <c:pt idx="9">
                  <c:v>1972.1120000000001</c:v>
                </c:pt>
                <c:pt idx="10">
                  <c:v>2943.6860000000001</c:v>
                </c:pt>
                <c:pt idx="11">
                  <c:v>3252.4360000000001</c:v>
                </c:pt>
                <c:pt idx="12">
                  <c:v>4296.4110000000001</c:v>
                </c:pt>
                <c:pt idx="13">
                  <c:v>5744.8469999999998</c:v>
                </c:pt>
                <c:pt idx="14">
                  <c:v>6356.223</c:v>
                </c:pt>
                <c:pt idx="15">
                  <c:v>6275.9309999999996</c:v>
                </c:pt>
                <c:pt idx="16">
                  <c:v>8813.3140000000003</c:v>
                </c:pt>
                <c:pt idx="17">
                  <c:v>10338.4</c:v>
                </c:pt>
                <c:pt idx="18">
                  <c:v>11160.485000000001</c:v>
                </c:pt>
                <c:pt idx="19">
                  <c:v>10888</c:v>
                </c:pt>
                <c:pt idx="20">
                  <c:v>10721</c:v>
                </c:pt>
                <c:pt idx="21">
                  <c:v>13256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687E-4A2F-9F82-5E5BDA0ECF7F}"/>
            </c:ext>
          </c:extLst>
        </c:ser>
        <c:ser>
          <c:idx val="1"/>
          <c:order val="1"/>
          <c:spPr>
            <a:ln w="12700">
              <a:solidFill>
                <a:srgbClr val="FF9900"/>
              </a:solidFill>
              <a:prstDash val="solid"/>
            </a:ln>
          </c:spPr>
          <c:marker>
            <c:symbol val="none"/>
          </c:marker>
          <c:cat>
            <c:numRef>
              <c:f>ПФ!$F$6:$F$41</c:f>
              <c:numCache>
                <c:formatCode>General</c:formatCode>
                <c:ptCount val="36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</c:numCache>
            </c:numRef>
          </c:cat>
          <c:val>
            <c:numRef>
              <c:f>ПФ!$H$6:$H$41</c:f>
              <c:numCache>
                <c:formatCode>0</c:formatCode>
                <c:ptCount val="36"/>
                <c:pt idx="0">
                  <c:v>266.97399999999999</c:v>
                </c:pt>
                <c:pt idx="1">
                  <c:v>375.95800000000003</c:v>
                </c:pt>
                <c:pt idx="2">
                  <c:v>408.79700000000003</c:v>
                </c:pt>
                <c:pt idx="3">
                  <c:v>407.08600000000001</c:v>
                </c:pt>
                <c:pt idx="4">
                  <c:v>670.43899999999996</c:v>
                </c:pt>
                <c:pt idx="5">
                  <c:v>1165.2339999999999</c:v>
                </c:pt>
                <c:pt idx="6">
                  <c:v>1504.7</c:v>
                </c:pt>
                <c:pt idx="7">
                  <c:v>1762.4</c:v>
                </c:pt>
                <c:pt idx="8">
                  <c:v>2186.4</c:v>
                </c:pt>
                <c:pt idx="9">
                  <c:v>2865</c:v>
                </c:pt>
                <c:pt idx="10">
                  <c:v>3611.1</c:v>
                </c:pt>
                <c:pt idx="11">
                  <c:v>4730</c:v>
                </c:pt>
                <c:pt idx="12">
                  <c:v>6716.2219999999998</c:v>
                </c:pt>
                <c:pt idx="13">
                  <c:v>8781.616</c:v>
                </c:pt>
                <c:pt idx="14">
                  <c:v>7976.0129999999999</c:v>
                </c:pt>
                <c:pt idx="15">
                  <c:v>9152.1</c:v>
                </c:pt>
                <c:pt idx="16">
                  <c:v>11035.652</c:v>
                </c:pt>
                <c:pt idx="17">
                  <c:v>12586.090400000001</c:v>
                </c:pt>
                <c:pt idx="18">
                  <c:v>13450.2382</c:v>
                </c:pt>
                <c:pt idx="19">
                  <c:v>13902.6453</c:v>
                </c:pt>
                <c:pt idx="20">
                  <c:v>13897.2</c:v>
                </c:pt>
                <c:pt idx="21">
                  <c:v>14748.8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87E-4A2F-9F82-5E5BDA0ECF7F}"/>
            </c:ext>
          </c:extLst>
        </c:ser>
        <c:ser>
          <c:idx val="2"/>
          <c:order val="2"/>
          <c:spPr>
            <a:ln w="38100">
              <a:solidFill>
                <a:srgbClr val="000000"/>
              </a:solidFill>
              <a:prstDash val="solid"/>
            </a:ln>
          </c:spPr>
          <c:marker>
            <c:symbol val="triangle"/>
            <c:size val="2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cat>
            <c:numRef>
              <c:f>ПФ!$F$6:$F$41</c:f>
              <c:numCache>
                <c:formatCode>General</c:formatCode>
                <c:ptCount val="36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</c:numCache>
            </c:numRef>
          </c:cat>
          <c:val>
            <c:numRef>
              <c:f>ПФ!#REF!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687E-4A2F-9F82-5E5BDA0ECF7F}"/>
            </c:ext>
          </c:extLst>
        </c:ser>
        <c:ser>
          <c:idx val="3"/>
          <c:order val="3"/>
          <c:spPr>
            <a:ln w="12700">
              <a:solidFill>
                <a:srgbClr val="000000"/>
              </a:solidFill>
              <a:prstDash val="solid"/>
            </a:ln>
          </c:spPr>
          <c:marker>
            <c:symbol val="none"/>
          </c:marker>
          <c:cat>
            <c:numRef>
              <c:f>ПФ!$F$6:$F$41</c:f>
              <c:numCache>
                <c:formatCode>General</c:formatCode>
                <c:ptCount val="36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</c:numCache>
            </c:numRef>
          </c:cat>
          <c:val>
            <c:numRef>
              <c:f>ПФ!#REF!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3-687E-4A2F-9F82-5E5BDA0ECF7F}"/>
            </c:ext>
          </c:extLst>
        </c:ser>
        <c:ser>
          <c:idx val="4"/>
          <c:order val="4"/>
          <c:spPr>
            <a:ln w="38100">
              <a:solidFill>
                <a:srgbClr val="0000FF"/>
              </a:solidFill>
              <a:prstDash val="solid"/>
            </a:ln>
          </c:spPr>
          <c:marker>
            <c:symbol val="none"/>
          </c:marker>
          <c:cat>
            <c:numRef>
              <c:f>ПФ!$F$6:$F$41</c:f>
              <c:numCache>
                <c:formatCode>General</c:formatCode>
                <c:ptCount val="36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</c:numCache>
            </c:numRef>
          </c:cat>
          <c:val>
            <c:numRef>
              <c:f>ПФ!#REF!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87E-4A2F-9F82-5E5BDA0ECF7F}"/>
            </c:ext>
          </c:extLst>
        </c:ser>
        <c:ser>
          <c:idx val="5"/>
          <c:order val="5"/>
          <c:spPr>
            <a:ln w="12700">
              <a:solidFill>
                <a:srgbClr val="0000FF"/>
              </a:solidFill>
              <a:prstDash val="solid"/>
            </a:ln>
          </c:spPr>
          <c:marker>
            <c:symbol val="none"/>
          </c:marker>
          <c:cat>
            <c:numRef>
              <c:f>ПФ!$F$6:$F$41</c:f>
              <c:numCache>
                <c:formatCode>General</c:formatCode>
                <c:ptCount val="36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</c:numCache>
            </c:numRef>
          </c:cat>
          <c:val>
            <c:numRef>
              <c:f>ПФ!#REF!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87E-4A2F-9F82-5E5BDA0ECF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1302400"/>
        <c:axId val="161303936"/>
      </c:lineChart>
      <c:catAx>
        <c:axId val="161302400"/>
        <c:scaling>
          <c:orientation val="minMax"/>
        </c:scaling>
        <c:delete val="0"/>
        <c:axPos val="b"/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161303936"/>
        <c:crosses val="autoZero"/>
        <c:auto val="1"/>
        <c:lblAlgn val="ctr"/>
        <c:lblOffset val="100"/>
        <c:tickLblSkip val="2"/>
        <c:tickMarkSkip val="1"/>
        <c:noMultiLvlLbl val="0"/>
      </c:catAx>
      <c:valAx>
        <c:axId val="161303936"/>
        <c:scaling>
          <c:orientation val="minMax"/>
          <c:max val="30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161302400"/>
        <c:crosses val="autoZero"/>
        <c:crossBetween val="between"/>
        <c:majorUnit val="5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CCFFFF"/>
    </a:solidFill>
    <a:ln w="3175">
      <a:solidFill>
        <a:srgbClr val="000000"/>
      </a:solidFill>
      <a:prstDash val="solid"/>
    </a:ln>
  </c:spPr>
  <c:txPr>
    <a:bodyPr/>
    <a:lstStyle/>
    <a:p>
      <a:pPr>
        <a:defRPr sz="975" b="0" i="0" u="none" strike="noStrike" baseline="0">
          <a:solidFill>
            <a:srgbClr val="000000"/>
          </a:solidFill>
          <a:latin typeface="Arial Cyr"/>
          <a:ea typeface="Arial Cyr"/>
          <a:cs typeface="Arial Cyr"/>
        </a:defRPr>
      </a:pPr>
      <a:endParaRPr lang="ru-RU"/>
    </a:p>
  </c:txPr>
  <c:printSettings>
    <c:headerFooter alignWithMargins="0"/>
    <c:pageMargins b="1" l="0.75000000000001465" r="0.75000000000001465" t="1" header="0.5" footer="0.5"/>
    <c:pageSetup orientation="portrait"/>
  </c:printSettings>
  <c:userShapes r:id="rId1"/>
</c:chartSpace>
</file>

<file path=xl/charts/chart1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8384572240737823E-2"/>
          <c:y val="2.8662450096256769E-2"/>
          <c:w val="0.8999013274578247"/>
          <c:h val="0.88004337517760856"/>
        </c:manualLayout>
      </c:layout>
      <c:lineChart>
        <c:grouping val="standard"/>
        <c:varyColors val="0"/>
        <c:ser>
          <c:idx val="0"/>
          <c:order val="0"/>
          <c:spPr>
            <a:ln w="88900">
              <a:solidFill>
                <a:srgbClr val="FFC000"/>
              </a:solidFill>
            </a:ln>
          </c:spPr>
          <c:marker>
            <c:symbol val="none"/>
          </c:marker>
          <c:cat>
            <c:numRef>
              <c:f>ПФ!$R$174:$R$209</c:f>
              <c:numCache>
                <c:formatCode>General</c:formatCode>
                <c:ptCount val="36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</c:numCache>
            </c:numRef>
          </c:cat>
          <c:val>
            <c:numRef>
              <c:f>ПФ!$S$174:$S$209</c:f>
              <c:numCache>
                <c:formatCode>0.00</c:formatCode>
                <c:ptCount val="36"/>
                <c:pt idx="0">
                  <c:v>1</c:v>
                </c:pt>
                <c:pt idx="1">
                  <c:v>1.218</c:v>
                </c:pt>
                <c:pt idx="2">
                  <c:v>1.3519800000000002</c:v>
                </c:pt>
                <c:pt idx="3">
                  <c:v>2.4930511200000005</c:v>
                </c:pt>
                <c:pt idx="4">
                  <c:v>3.4030147788000007</c:v>
                </c:pt>
                <c:pt idx="5">
                  <c:v>4.0904237641176007</c:v>
                </c:pt>
                <c:pt idx="6">
                  <c:v>4.8512425842434741</c:v>
                </c:pt>
                <c:pt idx="7">
                  <c:v>5.5837802144642392</c:v>
                </c:pt>
                <c:pt idx="8">
                  <c:v>6.2538338401999489</c:v>
                </c:pt>
                <c:pt idx="9">
                  <c:v>6.9855323995033425</c:v>
                </c:pt>
                <c:pt idx="10">
                  <c:v>7.7469554310492068</c:v>
                </c:pt>
                <c:pt idx="11">
                  <c:v>8.4441814198436358</c:v>
                </c:pt>
                <c:pt idx="12">
                  <c:v>9.4465057543790749</c:v>
                </c:pt>
                <c:pt idx="13">
                  <c:v>10.701001718560617</c:v>
                </c:pt>
                <c:pt idx="14">
                  <c:v>11.642689869793951</c:v>
                </c:pt>
                <c:pt idx="15">
                  <c:v>12.664918040361862</c:v>
                </c:pt>
                <c:pt idx="16">
                  <c:v>13.437478040823935</c:v>
                </c:pt>
                <c:pt idx="17">
                  <c:v>14.321664095910151</c:v>
                </c:pt>
                <c:pt idx="18">
                  <c:v>15.245411430096356</c:v>
                </c:pt>
                <c:pt idx="19">
                  <c:v>17.318787384589459</c:v>
                </c:pt>
                <c:pt idx="20">
                  <c:v>19.552910957201501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FF3-4BB4-8A8A-2BB4BAE3A31F}"/>
            </c:ext>
          </c:extLst>
        </c:ser>
        <c:ser>
          <c:idx val="1"/>
          <c:order val="1"/>
          <c:spPr>
            <a:ln w="88900">
              <a:solidFill>
                <a:srgbClr val="00B0F0"/>
              </a:solidFill>
            </a:ln>
          </c:spPr>
          <c:marker>
            <c:symbol val="none"/>
          </c:marker>
          <c:cat>
            <c:numRef>
              <c:f>ПФ!$R$174:$R$209</c:f>
              <c:numCache>
                <c:formatCode>General</c:formatCode>
                <c:ptCount val="36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</c:numCache>
            </c:numRef>
          </c:cat>
          <c:val>
            <c:numRef>
              <c:f>ПФ!$U$174:$U$209</c:f>
              <c:numCache>
                <c:formatCode>0.00</c:formatCode>
                <c:ptCount val="36"/>
                <c:pt idx="0">
                  <c:v>1</c:v>
                </c:pt>
                <c:pt idx="1">
                  <c:v>1.458015926869807</c:v>
                </c:pt>
                <c:pt idx="2">
                  <c:v>1.6775696170093486</c:v>
                </c:pt>
                <c:pt idx="3">
                  <c:v>1.988574685283935</c:v>
                </c:pt>
                <c:pt idx="4">
                  <c:v>3.4280333525379545</c:v>
                </c:pt>
                <c:pt idx="5">
                  <c:v>4.7203345530217637</c:v>
                </c:pt>
                <c:pt idx="6">
                  <c:v>5.4982302967459242</c:v>
                </c:pt>
                <c:pt idx="7">
                  <c:v>6.3527295286418424</c:v>
                </c:pt>
                <c:pt idx="8">
                  <c:v>7.2278602743829534</c:v>
                </c:pt>
                <c:pt idx="9">
                  <c:v>8.6918699640274202</c:v>
                </c:pt>
                <c:pt idx="10">
                  <c:v>10.367609749128871</c:v>
                </c:pt>
                <c:pt idx="11">
                  <c:v>11.935242035159135</c:v>
                </c:pt>
                <c:pt idx="12">
                  <c:v>13.587224630705832</c:v>
                </c:pt>
                <c:pt idx="13">
                  <c:v>16.03475716499792</c:v>
                </c:pt>
                <c:pt idx="14">
                  <c:v>16.368494611949213</c:v>
                </c:pt>
                <c:pt idx="15">
                  <c:v>18.691365335566658</c:v>
                </c:pt>
                <c:pt idx="16">
                  <c:v>23.328518818067689</c:v>
                </c:pt>
                <c:pt idx="17">
                  <c:v>25.448132013167307</c:v>
                </c:pt>
                <c:pt idx="18" formatCode="General">
                  <c:v>26.82470761987901</c:v>
                </c:pt>
                <c:pt idx="19" formatCode="General">
                  <c:v>28.785172632075849</c:v>
                </c:pt>
                <c:pt idx="20" formatCode="General">
                  <c:v>30.966851255246702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FF3-4BB4-8A8A-2BB4BAE3A31F}"/>
            </c:ext>
          </c:extLst>
        </c:ser>
        <c:ser>
          <c:idx val="2"/>
          <c:order val="2"/>
          <c:spPr>
            <a:ln w="88900">
              <a:solidFill>
                <a:srgbClr val="FFC000"/>
              </a:solidFill>
              <a:prstDash val="lgDash"/>
            </a:ln>
          </c:spPr>
          <c:marker>
            <c:symbol val="none"/>
          </c:marker>
          <c:cat>
            <c:numRef>
              <c:f>ПФ!$R$174:$R$209</c:f>
              <c:numCache>
                <c:formatCode>General</c:formatCode>
                <c:ptCount val="36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</c:numCache>
            </c:numRef>
          </c:cat>
          <c:val>
            <c:numRef>
              <c:f>ПФ!$T$174:$T$209</c:f>
              <c:numCache>
                <c:formatCode>General</c:formatCode>
                <c:ptCount val="36"/>
                <c:pt idx="21" formatCode="0.00">
                  <c:v>0</c:v>
                </c:pt>
                <c:pt idx="22" formatCode="0.00">
                  <c:v>0</c:v>
                </c:pt>
                <c:pt idx="23" formatCode="0.00">
                  <c:v>0</c:v>
                </c:pt>
                <c:pt idx="24" formatCode="0.00">
                  <c:v>0</c:v>
                </c:pt>
                <c:pt idx="25" formatCode="0.00">
                  <c:v>0</c:v>
                </c:pt>
                <c:pt idx="26" formatCode="0.00">
                  <c:v>0</c:v>
                </c:pt>
                <c:pt idx="27" formatCode="0.00">
                  <c:v>0</c:v>
                </c:pt>
                <c:pt idx="28" formatCode="0.00">
                  <c:v>0</c:v>
                </c:pt>
                <c:pt idx="29" formatCode="0.00">
                  <c:v>0</c:v>
                </c:pt>
                <c:pt idx="30" formatCode="0.00">
                  <c:v>0</c:v>
                </c:pt>
                <c:pt idx="31" formatCode="0.00">
                  <c:v>0</c:v>
                </c:pt>
                <c:pt idx="32" formatCode="0.00">
                  <c:v>0</c:v>
                </c:pt>
                <c:pt idx="33" formatCode="0.00">
                  <c:v>0</c:v>
                </c:pt>
                <c:pt idx="34" formatCode="0.00">
                  <c:v>0</c:v>
                </c:pt>
                <c:pt idx="35" formatCode="0.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FF3-4BB4-8A8A-2BB4BAE3A31F}"/>
            </c:ext>
          </c:extLst>
        </c:ser>
        <c:ser>
          <c:idx val="3"/>
          <c:order val="3"/>
          <c:spPr>
            <a:ln w="50800">
              <a:solidFill>
                <a:srgbClr val="00B0F0"/>
              </a:solidFill>
              <a:prstDash val="dash"/>
            </a:ln>
          </c:spPr>
          <c:marker>
            <c:symbol val="none"/>
          </c:marker>
          <c:cat>
            <c:numRef>
              <c:f>ПФ!$R$174:$R$209</c:f>
              <c:numCache>
                <c:formatCode>General</c:formatCode>
                <c:ptCount val="36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</c:numCache>
            </c:numRef>
          </c:cat>
          <c:val>
            <c:numRef>
              <c:f>ПФ!$V$174:$V$209</c:f>
              <c:numCache>
                <c:formatCode>General</c:formatCode>
                <c:ptCount val="36"/>
                <c:pt idx="21" formatCode="0.00">
                  <c:v>0</c:v>
                </c:pt>
                <c:pt idx="22" formatCode="0.00">
                  <c:v>0</c:v>
                </c:pt>
                <c:pt idx="23" formatCode="0.00">
                  <c:v>0</c:v>
                </c:pt>
                <c:pt idx="24" formatCode="0.00">
                  <c:v>0</c:v>
                </c:pt>
                <c:pt idx="25" formatCode="0.00">
                  <c:v>0</c:v>
                </c:pt>
                <c:pt idx="26" formatCode="0.00">
                  <c:v>0</c:v>
                </c:pt>
                <c:pt idx="27" formatCode="0.00">
                  <c:v>0</c:v>
                </c:pt>
                <c:pt idx="28" formatCode="0.00">
                  <c:v>0</c:v>
                </c:pt>
                <c:pt idx="29" formatCode="0.00">
                  <c:v>0</c:v>
                </c:pt>
                <c:pt idx="30" formatCode="0.00">
                  <c:v>0</c:v>
                </c:pt>
                <c:pt idx="31" formatCode="0.00">
                  <c:v>0</c:v>
                </c:pt>
                <c:pt idx="32" formatCode="0.00">
                  <c:v>0</c:v>
                </c:pt>
                <c:pt idx="33" formatCode="0.00">
                  <c:v>0</c:v>
                </c:pt>
                <c:pt idx="34" formatCode="0.00">
                  <c:v>0</c:v>
                </c:pt>
                <c:pt idx="35" formatCode="0.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FF3-4BB4-8A8A-2BB4BAE3A31F}"/>
            </c:ext>
          </c:extLst>
        </c:ser>
        <c:ser>
          <c:idx val="4"/>
          <c:order val="4"/>
          <c:spPr>
            <a:ln w="38100">
              <a:solidFill>
                <a:schemeClr val="tx1"/>
              </a:solidFill>
            </a:ln>
          </c:spPr>
          <c:marker>
            <c:symbol val="none"/>
          </c:marker>
          <c:cat>
            <c:numRef>
              <c:f>ПФ!$R$174:$R$209</c:f>
              <c:numCache>
                <c:formatCode>General</c:formatCode>
                <c:ptCount val="36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</c:numCache>
            </c:numRef>
          </c:cat>
          <c:val>
            <c:numRef>
              <c:f>ПФ!$W$174:$W$209</c:f>
              <c:numCache>
                <c:formatCode>0.00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FF3-4BB4-8A8A-2BB4BAE3A31F}"/>
            </c:ext>
          </c:extLst>
        </c:ser>
        <c:ser>
          <c:idx val="5"/>
          <c:order val="5"/>
          <c:spPr>
            <a:ln w="38100">
              <a:solidFill>
                <a:srgbClr val="000000"/>
              </a:solidFill>
              <a:prstDash val="dash"/>
            </a:ln>
          </c:spPr>
          <c:marker>
            <c:symbol val="none"/>
          </c:marker>
          <c:cat>
            <c:numRef>
              <c:f>ПФ!$R$174:$R$209</c:f>
              <c:numCache>
                <c:formatCode>General</c:formatCode>
                <c:ptCount val="36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</c:numCache>
            </c:numRef>
          </c:cat>
          <c:val>
            <c:numRef>
              <c:f>ПФ!$X$174:$X$209</c:f>
              <c:numCache>
                <c:formatCode>General</c:formatCode>
                <c:ptCount val="36"/>
                <c:pt idx="21" formatCode="0.00">
                  <c:v>48</c:v>
                </c:pt>
                <c:pt idx="22" formatCode="0.00">
                  <c:v>45</c:v>
                </c:pt>
                <c:pt idx="23" formatCode="0.00">
                  <c:v>45</c:v>
                </c:pt>
                <c:pt idx="24" formatCode="0.00">
                  <c:v>0</c:v>
                </c:pt>
                <c:pt idx="25" formatCode="0.00">
                  <c:v>0</c:v>
                </c:pt>
                <c:pt idx="26" formatCode="0.00">
                  <c:v>0</c:v>
                </c:pt>
                <c:pt idx="27" formatCode="0.00">
                  <c:v>0</c:v>
                </c:pt>
                <c:pt idx="28" formatCode="0.00">
                  <c:v>0</c:v>
                </c:pt>
                <c:pt idx="29" formatCode="0.00">
                  <c:v>0</c:v>
                </c:pt>
                <c:pt idx="30" formatCode="0.00">
                  <c:v>0</c:v>
                </c:pt>
                <c:pt idx="31" formatCode="0.00">
                  <c:v>0</c:v>
                </c:pt>
                <c:pt idx="32" formatCode="0.00">
                  <c:v>0</c:v>
                </c:pt>
                <c:pt idx="33" formatCode="0.00">
                  <c:v>0</c:v>
                </c:pt>
                <c:pt idx="34" formatCode="0.00">
                  <c:v>0</c:v>
                </c:pt>
                <c:pt idx="35" formatCode="0.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FF3-4BB4-8A8A-2BB4BAE3A31F}"/>
            </c:ext>
          </c:extLst>
        </c:ser>
        <c:ser>
          <c:idx val="6"/>
          <c:order val="6"/>
          <c:spPr>
            <a:ln w="38100">
              <a:solidFill>
                <a:srgbClr val="FF0000"/>
              </a:solidFill>
            </a:ln>
          </c:spPr>
          <c:marker>
            <c:symbol val="none"/>
          </c:marker>
          <c:cat>
            <c:numRef>
              <c:f>ПФ!$R$174:$R$209</c:f>
              <c:numCache>
                <c:formatCode>General</c:formatCode>
                <c:ptCount val="36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</c:numCache>
            </c:numRef>
          </c:cat>
          <c:val>
            <c:numRef>
              <c:f>ПФ!$Q$174:$Q$209</c:f>
              <c:numCache>
                <c:formatCode>General</c:formatCode>
                <c:ptCount val="36"/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 formatCode="0.0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FF3-4BB4-8A8A-2BB4BAE3A3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1160192"/>
        <c:axId val="161178368"/>
      </c:lineChart>
      <c:catAx>
        <c:axId val="161160192"/>
        <c:scaling>
          <c:orientation val="minMax"/>
        </c:scaling>
        <c:delete val="0"/>
        <c:axPos val="b"/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161178368"/>
        <c:crosses val="autoZero"/>
        <c:auto val="1"/>
        <c:lblAlgn val="ctr"/>
        <c:lblOffset val="100"/>
        <c:tickLblSkip val="2"/>
        <c:tickMarkSkip val="1"/>
        <c:noMultiLvlLbl val="0"/>
      </c:catAx>
      <c:valAx>
        <c:axId val="161178368"/>
        <c:scaling>
          <c:orientation val="minMax"/>
          <c:max val="80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600" b="0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161160192"/>
        <c:crosses val="autoZero"/>
        <c:crossBetween val="between"/>
        <c:majorUnit val="20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CCFFFF"/>
    </a:solidFill>
    <a:ln w="3175">
      <a:solidFill>
        <a:srgbClr val="000000"/>
      </a:solidFill>
      <a:prstDash val="solid"/>
    </a:ln>
  </c:spPr>
  <c:txPr>
    <a:bodyPr/>
    <a:lstStyle/>
    <a:p>
      <a:pPr>
        <a:defRPr sz="975" b="0" i="0" u="none" strike="noStrike" baseline="0">
          <a:solidFill>
            <a:srgbClr val="000000"/>
          </a:solidFill>
          <a:latin typeface="Arial Cyr"/>
          <a:ea typeface="Arial Cyr"/>
          <a:cs typeface="Arial Cyr"/>
        </a:defRPr>
      </a:pPr>
      <a:endParaRPr lang="ru-RU"/>
    </a:p>
  </c:txPr>
  <c:printSettings>
    <c:headerFooter alignWithMargins="0"/>
    <c:pageMargins b="1" l="0.75000000000001465" r="0.75000000000001465" t="1" header="0.5" footer="0.5"/>
    <c:pageSetup/>
  </c:printSettings>
  <c:userShapes r:id="rId1"/>
</c:chartSpace>
</file>

<file path=xl/charts/chart1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4.2436364522039534E-2"/>
          <c:y val="2.9977725628297411E-2"/>
          <c:w val="0.93147820818312665"/>
          <c:h val="0.88929529925439665"/>
        </c:manualLayout>
      </c:layout>
      <c:lineChart>
        <c:grouping val="standard"/>
        <c:varyColors val="0"/>
        <c:ser>
          <c:idx val="0"/>
          <c:order val="0"/>
          <c:spPr>
            <a:ln w="101600">
              <a:solidFill>
                <a:srgbClr val="00B0F0"/>
              </a:solidFill>
            </a:ln>
          </c:spPr>
          <c:marker>
            <c:symbol val="none"/>
          </c:marker>
          <c:cat>
            <c:numRef>
              <c:f>ПФ!$DA$18:$DA$53</c:f>
              <c:numCache>
                <c:formatCode>General</c:formatCode>
                <c:ptCount val="36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</c:numCache>
            </c:numRef>
          </c:cat>
          <c:val>
            <c:numRef>
              <c:f>ПФ!$DB$18:$DB$53</c:f>
              <c:numCache>
                <c:formatCode>0.0</c:formatCode>
                <c:ptCount val="36"/>
                <c:pt idx="0" formatCode="General">
                  <c:v>17.100000000000001</c:v>
                </c:pt>
                <c:pt idx="1">
                  <c:v>20.5</c:v>
                </c:pt>
                <c:pt idx="2">
                  <c:v>19.100000000000001</c:v>
                </c:pt>
                <c:pt idx="3">
                  <c:v>12.7</c:v>
                </c:pt>
                <c:pt idx="4">
                  <c:v>17.7</c:v>
                </c:pt>
                <c:pt idx="5">
                  <c:v>28.3</c:v>
                </c:pt>
                <c:pt idx="6">
                  <c:v>24.4</c:v>
                </c:pt>
                <c:pt idx="7">
                  <c:v>25</c:v>
                </c:pt>
                <c:pt idx="8">
                  <c:v>28.9</c:v>
                </c:pt>
                <c:pt idx="9">
                  <c:v>38.299999999999997</c:v>
                </c:pt>
                <c:pt idx="10">
                  <c:v>54.4</c:v>
                </c:pt>
                <c:pt idx="11">
                  <c:v>65.400000000000006</c:v>
                </c:pt>
                <c:pt idx="12">
                  <c:v>72.7</c:v>
                </c:pt>
                <c:pt idx="13">
                  <c:v>97.7</c:v>
                </c:pt>
                <c:pt idx="14">
                  <c:v>61.9</c:v>
                </c:pt>
                <c:pt idx="15">
                  <c:v>79.599999999999994</c:v>
                </c:pt>
                <c:pt idx="16">
                  <c:v>111</c:v>
                </c:pt>
                <c:pt idx="17">
                  <c:v>111.4</c:v>
                </c:pt>
                <c:pt idx="18">
                  <c:v>108.8</c:v>
                </c:pt>
                <c:pt idx="19">
                  <c:v>98.9</c:v>
                </c:pt>
                <c:pt idx="20">
                  <c:v>52.4</c:v>
                </c:pt>
                <c:pt idx="21">
                  <c:v>44</c:v>
                </c:pt>
                <c:pt idx="22">
                  <c:v>54.53</c:v>
                </c:pt>
                <c:pt idx="23">
                  <c:v>72.930000000000007</c:v>
                </c:pt>
                <c:pt idx="24">
                  <c:v>63.33</c:v>
                </c:pt>
                <c:pt idx="25">
                  <c:v>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503-4A9A-9AB0-13387A032972}"/>
            </c:ext>
          </c:extLst>
        </c:ser>
        <c:ser>
          <c:idx val="1"/>
          <c:order val="1"/>
          <c:spPr>
            <a:ln w="34925">
              <a:solidFill>
                <a:srgbClr val="00B0F0"/>
              </a:solidFill>
              <a:prstDash val="lgDash"/>
            </a:ln>
          </c:spPr>
          <c:marker>
            <c:symbol val="none"/>
          </c:marker>
          <c:val>
            <c:numRef>
              <c:f>ПФ!$DC$18:$DC$53</c:f>
              <c:numCache>
                <c:formatCode>General</c:formatCode>
                <c:ptCount val="36"/>
                <c:pt idx="10" formatCode="0.0">
                  <c:v>54.4</c:v>
                </c:pt>
                <c:pt idx="11" formatCode="0.0">
                  <c:v>65.400000000000006</c:v>
                </c:pt>
                <c:pt idx="12" formatCode="0.0">
                  <c:v>75.300000000000011</c:v>
                </c:pt>
                <c:pt idx="13" formatCode="0.0">
                  <c:v>84.210000000000022</c:v>
                </c:pt>
                <c:pt idx="14" formatCode="0.0">
                  <c:v>92.229000000000028</c:v>
                </c:pt>
                <c:pt idx="15" formatCode="0.0">
                  <c:v>99.44610000000003</c:v>
                </c:pt>
                <c:pt idx="16" formatCode="0.0">
                  <c:v>105.94149000000003</c:v>
                </c:pt>
                <c:pt idx="17" formatCode="0.0">
                  <c:v>111.78734100000003</c:v>
                </c:pt>
                <c:pt idx="18" formatCode="0.0">
                  <c:v>117.04860690000002</c:v>
                </c:pt>
                <c:pt idx="19" formatCode="0.0">
                  <c:v>121.78374621000002</c:v>
                </c:pt>
                <c:pt idx="20" formatCode="0.0">
                  <c:v>126.04537158900001</c:v>
                </c:pt>
                <c:pt idx="21" formatCode="0.0">
                  <c:v>129.88083443010001</c:v>
                </c:pt>
                <c:pt idx="22" formatCode="0.0">
                  <c:v>133.33275098709001</c:v>
                </c:pt>
                <c:pt idx="23" formatCode="0.0">
                  <c:v>136.439475888381</c:v>
                </c:pt>
                <c:pt idx="24" formatCode="0.0">
                  <c:v>139.23552829954289</c:v>
                </c:pt>
                <c:pt idx="25" formatCode="0.0">
                  <c:v>141.75197546958859</c:v>
                </c:pt>
                <c:pt idx="26" formatCode="0.0">
                  <c:v>144.0167779226297</c:v>
                </c:pt>
                <c:pt idx="27" formatCode="0.0">
                  <c:v>146.0551001303667</c:v>
                </c:pt>
                <c:pt idx="28" formatCode="0.0">
                  <c:v>147.88959011732999</c:v>
                </c:pt>
                <c:pt idx="29" formatCode="0.0">
                  <c:v>149.54063110559696</c:v>
                </c:pt>
                <c:pt idx="30" formatCode="0.0">
                  <c:v>151.02656799503723</c:v>
                </c:pt>
                <c:pt idx="31" formatCode="0.0">
                  <c:v>152.36391119553346</c:v>
                </c:pt>
                <c:pt idx="32" formatCode="0.0">
                  <c:v>153.56752007598007</c:v>
                </c:pt>
                <c:pt idx="33" formatCode="0.0">
                  <c:v>154.65076806838201</c:v>
                </c:pt>
                <c:pt idx="34" formatCode="0.0">
                  <c:v>155.62569126154375</c:v>
                </c:pt>
                <c:pt idx="35" formatCode="0.0">
                  <c:v>156.50312213538933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503-4A9A-9AB0-13387A032972}"/>
            </c:ext>
          </c:extLst>
        </c:ser>
        <c:ser>
          <c:idx val="2"/>
          <c:order val="2"/>
          <c:spPr>
            <a:ln w="28575">
              <a:solidFill>
                <a:srgbClr val="00B0F0"/>
              </a:solidFill>
              <a:prstDash val="lgDash"/>
            </a:ln>
          </c:spPr>
          <c:marker>
            <c:symbol val="none"/>
          </c:marker>
          <c:val>
            <c:numRef>
              <c:f>ПФ!$DD$18:$DD$57</c:f>
              <c:numCache>
                <c:formatCode>General</c:formatCode>
                <c:ptCount val="40"/>
                <c:pt idx="25" formatCode="0.0">
                  <c:v>40</c:v>
                </c:pt>
                <c:pt idx="26" formatCode="0.0">
                  <c:v>44</c:v>
                </c:pt>
                <c:pt idx="27" formatCode="0.0">
                  <c:v>54.53</c:v>
                </c:pt>
                <c:pt idx="28" formatCode="0.0">
                  <c:v>62.954000000000001</c:v>
                </c:pt>
                <c:pt idx="29" formatCode="0.0">
                  <c:v>69.693200000000004</c:v>
                </c:pt>
                <c:pt idx="30" formatCode="0.0">
                  <c:v>75.08456000000001</c:v>
                </c:pt>
                <c:pt idx="31" formatCode="0.0">
                  <c:v>79.397648000000018</c:v>
                </c:pt>
                <c:pt idx="32" formatCode="0.0">
                  <c:v>82.848118400000018</c:v>
                </c:pt>
                <c:pt idx="33" formatCode="0.0">
                  <c:v>85.608494720000024</c:v>
                </c:pt>
                <c:pt idx="34" formatCode="0.0">
                  <c:v>87.816795776000035</c:v>
                </c:pt>
                <c:pt idx="35" formatCode="0.0">
                  <c:v>89.583436620800043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503-4A9A-9AB0-13387A032972}"/>
            </c:ext>
          </c:extLst>
        </c:ser>
        <c:ser>
          <c:idx val="3"/>
          <c:order val="3"/>
          <c:spPr>
            <a:ln>
              <a:solidFill>
                <a:srgbClr val="FF0000"/>
              </a:solidFill>
              <a:prstDash val="dash"/>
            </a:ln>
          </c:spPr>
          <c:marker>
            <c:symbol val="none"/>
          </c:marker>
          <c:val>
            <c:numRef>
              <c:f>ПФ!#REF!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503-4A9A-9AB0-13387A0329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1245056"/>
        <c:axId val="161246592"/>
      </c:lineChart>
      <c:catAx>
        <c:axId val="1612450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2700000"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61246592"/>
        <c:crosses val="autoZero"/>
        <c:auto val="1"/>
        <c:lblAlgn val="ctr"/>
        <c:lblOffset val="100"/>
        <c:tickLblSkip val="5"/>
        <c:tickMarkSkip val="5"/>
        <c:noMultiLvlLbl val="0"/>
      </c:catAx>
      <c:valAx>
        <c:axId val="161246592"/>
        <c:scaling>
          <c:orientation val="minMax"/>
          <c:max val="160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txPr>
          <a:bodyPr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61245056"/>
        <c:crosses val="autoZero"/>
        <c:crossBetween val="between"/>
        <c:majorUnit val="40"/>
      </c:valAx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1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4.2436364522039534E-2"/>
          <c:y val="2.2950948821086802E-2"/>
          <c:w val="0.91969184848590746"/>
          <c:h val="0.89902955340995105"/>
        </c:manualLayout>
      </c:layout>
      <c:lineChart>
        <c:grouping val="standard"/>
        <c:varyColors val="0"/>
        <c:ser>
          <c:idx val="0"/>
          <c:order val="0"/>
          <c:spPr>
            <a:ln w="82550">
              <a:solidFill>
                <a:srgbClr val="00B0F0"/>
              </a:solidFill>
            </a:ln>
          </c:spPr>
          <c:marker>
            <c:symbol val="circle"/>
            <c:size val="12"/>
            <c:spPr>
              <a:noFill/>
            </c:spPr>
          </c:marker>
          <c:cat>
            <c:numRef>
              <c:f>ПФ!$DX$18:$DX$53</c:f>
              <c:numCache>
                <c:formatCode>General</c:formatCode>
                <c:ptCount val="36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</c:numCache>
            </c:numRef>
          </c:cat>
          <c:val>
            <c:numRef>
              <c:f>ПФ!$DY$18:$DY$53</c:f>
              <c:numCache>
                <c:formatCode>0.00</c:formatCode>
                <c:ptCount val="36"/>
                <c:pt idx="0">
                  <c:v>4.6399999999999997</c:v>
                </c:pt>
                <c:pt idx="1">
                  <c:v>5.56</c:v>
                </c:pt>
                <c:pt idx="2">
                  <c:v>5.8</c:v>
                </c:pt>
                <c:pt idx="3">
                  <c:v>6</c:v>
                </c:pt>
                <c:pt idx="4">
                  <c:v>24.62</c:v>
                </c:pt>
                <c:pt idx="5">
                  <c:v>28.16</c:v>
                </c:pt>
                <c:pt idx="6">
                  <c:v>30.14</c:v>
                </c:pt>
                <c:pt idx="7">
                  <c:v>31.4</c:v>
                </c:pt>
                <c:pt idx="8">
                  <c:v>29.45</c:v>
                </c:pt>
                <c:pt idx="9">
                  <c:v>27.75</c:v>
                </c:pt>
                <c:pt idx="10">
                  <c:v>28.78</c:v>
                </c:pt>
                <c:pt idx="11">
                  <c:v>26.33</c:v>
                </c:pt>
                <c:pt idx="12">
                  <c:v>25.58</c:v>
                </c:pt>
                <c:pt idx="13">
                  <c:v>24.85</c:v>
                </c:pt>
                <c:pt idx="14">
                  <c:v>31.72</c:v>
                </c:pt>
                <c:pt idx="15">
                  <c:v>30.37</c:v>
                </c:pt>
                <c:pt idx="16">
                  <c:v>29.39</c:v>
                </c:pt>
                <c:pt idx="17">
                  <c:v>31.08</c:v>
                </c:pt>
                <c:pt idx="18">
                  <c:v>31.85</c:v>
                </c:pt>
                <c:pt idx="19">
                  <c:v>38.61</c:v>
                </c:pt>
                <c:pt idx="20">
                  <c:v>61.07</c:v>
                </c:pt>
                <c:pt idx="21">
                  <c:v>66.08</c:v>
                </c:pt>
                <c:pt idx="22">
                  <c:v>58.29</c:v>
                </c:pt>
                <c:pt idx="23">
                  <c:v>62.69</c:v>
                </c:pt>
                <c:pt idx="24">
                  <c:v>64.73</c:v>
                </c:pt>
                <c:pt idx="25">
                  <c:v>72.13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DD8-4FAE-8560-1AAD8867C85B}"/>
            </c:ext>
          </c:extLst>
        </c:ser>
        <c:ser>
          <c:idx val="1"/>
          <c:order val="1"/>
          <c:spPr>
            <a:ln w="34925">
              <a:solidFill>
                <a:srgbClr val="00B0F0"/>
              </a:solidFill>
              <a:prstDash val="lgDash"/>
            </a:ln>
          </c:spPr>
          <c:marker>
            <c:symbol val="none"/>
          </c:marker>
          <c:val>
            <c:numRef>
              <c:f>ПФ!$DZ$18:$DZ$53</c:f>
              <c:numCache>
                <c:formatCode>General</c:formatCode>
                <c:ptCount val="3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DD8-4FAE-8560-1AAD8867C85B}"/>
            </c:ext>
          </c:extLst>
        </c:ser>
        <c:ser>
          <c:idx val="2"/>
          <c:order val="2"/>
          <c:spPr>
            <a:ln w="209550">
              <a:solidFill>
                <a:srgbClr val="FFC000"/>
              </a:solidFill>
            </a:ln>
          </c:spPr>
          <c:marker>
            <c:symbol val="circle"/>
            <c:size val="14"/>
            <c:spPr>
              <a:noFill/>
            </c:spPr>
          </c:marker>
          <c:trendline>
            <c:spPr>
              <a:ln w="25400">
                <a:solidFill>
                  <a:srgbClr val="00B0F0"/>
                </a:solidFill>
                <a:prstDash val="lgDash"/>
              </a:ln>
            </c:spPr>
            <c:trendlineType val="poly"/>
            <c:order val="2"/>
            <c:dispRSqr val="1"/>
            <c:dispEq val="1"/>
            <c:trendlineLbl>
              <c:layout>
                <c:manualLayout>
                  <c:x val="2.5781403968420952E-2"/>
                  <c:y val="0.15115228834439881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sz="1600">
                      <a:latin typeface="Arial" pitchFamily="34" charset="0"/>
                      <a:cs typeface="Arial" pitchFamily="34" charset="0"/>
                    </a:defRPr>
                  </a:pPr>
                  <a:endParaRPr lang="ru-RU"/>
                </a:p>
              </c:txPr>
            </c:trendlineLbl>
          </c:trendline>
          <c:val>
            <c:numRef>
              <c:f>ПФ!$EA$18:$EA$53</c:f>
              <c:numCache>
                <c:formatCode>0.00</c:formatCode>
                <c:ptCount val="36"/>
                <c:pt idx="0">
                  <c:v>1.65</c:v>
                </c:pt>
                <c:pt idx="1">
                  <c:v>2.35</c:v>
                </c:pt>
                <c:pt idx="2">
                  <c:v>2.63</c:v>
                </c:pt>
                <c:pt idx="3">
                  <c:v>3.02</c:v>
                </c:pt>
                <c:pt idx="4">
                  <c:v>4.55</c:v>
                </c:pt>
                <c:pt idx="5">
                  <c:v>7.04</c:v>
                </c:pt>
                <c:pt idx="6">
                  <c:v>8.1</c:v>
                </c:pt>
                <c:pt idx="7">
                  <c:v>9.17</c:v>
                </c:pt>
                <c:pt idx="8">
                  <c:v>10.14</c:v>
                </c:pt>
                <c:pt idx="9">
                  <c:v>11.55</c:v>
                </c:pt>
                <c:pt idx="10">
                  <c:v>12.74</c:v>
                </c:pt>
                <c:pt idx="11">
                  <c:v>12.64</c:v>
                </c:pt>
                <c:pt idx="12">
                  <c:v>13.98</c:v>
                </c:pt>
                <c:pt idx="13">
                  <c:v>14.34</c:v>
                </c:pt>
                <c:pt idx="14">
                  <c:v>14.22</c:v>
                </c:pt>
                <c:pt idx="15">
                  <c:v>15.82</c:v>
                </c:pt>
                <c:pt idx="16">
                  <c:v>17.350000000000001</c:v>
                </c:pt>
                <c:pt idx="17">
                  <c:v>18.46</c:v>
                </c:pt>
                <c:pt idx="18">
                  <c:v>20.48</c:v>
                </c:pt>
                <c:pt idx="19">
                  <c:v>21.26</c:v>
                </c:pt>
                <c:pt idx="20">
                  <c:v>22.57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DD8-4FAE-8560-1AAD8867C8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1372032"/>
        <c:axId val="161373568"/>
      </c:lineChart>
      <c:dateAx>
        <c:axId val="1613720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4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61373568"/>
        <c:crosses val="autoZero"/>
        <c:auto val="0"/>
        <c:lblOffset val="90"/>
        <c:baseTimeUnit val="days"/>
        <c:minorUnit val="5"/>
      </c:dateAx>
      <c:valAx>
        <c:axId val="161373568"/>
        <c:scaling>
          <c:orientation val="minMax"/>
          <c:max val="80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txPr>
          <a:bodyPr/>
          <a:lstStyle/>
          <a:p>
            <a:pPr>
              <a:defRPr sz="14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61372032"/>
        <c:crosses val="autoZero"/>
        <c:crossBetween val="between"/>
        <c:majorUnit val="20"/>
      </c:valAx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1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marker>
            <c:symbol val="circle"/>
            <c:size val="7"/>
          </c:marker>
          <c:trendline>
            <c:spPr>
              <a:ln>
                <a:prstDash val="lgDash"/>
              </a:ln>
            </c:spPr>
            <c:trendlineType val="linear"/>
            <c:forward val="100000"/>
            <c:dispRSqr val="1"/>
            <c:dispEq val="1"/>
            <c:trendlineLbl>
              <c:layout>
                <c:manualLayout>
                  <c:x val="0.10534780153748458"/>
                  <c:y val="0.30507164883199483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sz="1400"/>
                  </a:pPr>
                  <a:endParaRPr lang="ru-RU"/>
                </a:p>
              </c:txPr>
            </c:trendlineLbl>
          </c:trendline>
          <c:xVal>
            <c:numRef>
              <c:f>ПФ!$AS$178:$AS$213</c:f>
              <c:numCache>
                <c:formatCode>0</c:formatCode>
                <c:ptCount val="36"/>
                <c:pt idx="0">
                  <c:v>1428.5209</c:v>
                </c:pt>
                <c:pt idx="1">
                  <c:v>2007.8252000000002</c:v>
                </c:pt>
                <c:pt idx="2">
                  <c:v>2342.5137</c:v>
                </c:pt>
                <c:pt idx="3">
                  <c:v>2629.6228999999998</c:v>
                </c:pt>
                <c:pt idx="4">
                  <c:v>4823.2329</c:v>
                </c:pt>
                <c:pt idx="5">
                  <c:v>7305.6466</c:v>
                </c:pt>
                <c:pt idx="6">
                  <c:v>8943.5825999999997</c:v>
                </c:pt>
                <c:pt idx="7">
                  <c:v>10819.270899999998</c:v>
                </c:pt>
                <c:pt idx="8">
                  <c:v>13208.250299999998</c:v>
                </c:pt>
                <c:pt idx="9">
                  <c:v>17027.166999999998</c:v>
                </c:pt>
                <c:pt idx="10">
                  <c:v>21609.765799999997</c:v>
                </c:pt>
                <c:pt idx="11">
                  <c:v>26917.203699999998</c:v>
                </c:pt>
                <c:pt idx="12">
                  <c:v>33247.513200000001</c:v>
                </c:pt>
                <c:pt idx="13">
                  <c:v>41276.849199999997</c:v>
                </c:pt>
                <c:pt idx="14">
                  <c:v>38807.270899999996</c:v>
                </c:pt>
                <c:pt idx="15">
                  <c:v>46308.53100000001</c:v>
                </c:pt>
                <c:pt idx="16">
                  <c:v>60282.540400000005</c:v>
                </c:pt>
                <c:pt idx="17">
                  <c:v>68163.883100000006</c:v>
                </c:pt>
                <c:pt idx="18">
                  <c:v>73133.89509999998</c:v>
                </c:pt>
              </c:numCache>
            </c:numRef>
          </c:xVal>
          <c:yVal>
            <c:numRef>
              <c:f>ПФ!$AU$178:$AU$213</c:f>
              <c:numCache>
                <c:formatCode>0.0</c:formatCode>
                <c:ptCount val="36"/>
                <c:pt idx="0">
                  <c:v>232.1</c:v>
                </c:pt>
                <c:pt idx="1">
                  <c:v>281.89999999999998</c:v>
                </c:pt>
                <c:pt idx="2">
                  <c:v>343.4</c:v>
                </c:pt>
                <c:pt idx="3">
                  <c:v>325.89999999999998</c:v>
                </c:pt>
                <c:pt idx="4">
                  <c:v>615.5</c:v>
                </c:pt>
                <c:pt idx="5">
                  <c:v>1132.0999999999999</c:v>
                </c:pt>
                <c:pt idx="6">
                  <c:v>1594</c:v>
                </c:pt>
                <c:pt idx="7">
                  <c:v>2204.6999999999998</c:v>
                </c:pt>
                <c:pt idx="8">
                  <c:v>2586.1999999999998</c:v>
                </c:pt>
                <c:pt idx="9">
                  <c:v>3428.9</c:v>
                </c:pt>
                <c:pt idx="10">
                  <c:v>5127.2</c:v>
                </c:pt>
                <c:pt idx="11">
                  <c:v>6278.9</c:v>
                </c:pt>
                <c:pt idx="12">
                  <c:v>7781.1</c:v>
                </c:pt>
                <c:pt idx="13">
                  <c:v>9275.9</c:v>
                </c:pt>
                <c:pt idx="14">
                  <c:v>7337.8</c:v>
                </c:pt>
                <c:pt idx="15">
                  <c:v>8305.4</c:v>
                </c:pt>
                <c:pt idx="16">
                  <c:v>11366</c:v>
                </c:pt>
                <c:pt idx="17">
                  <c:v>12853.7</c:v>
                </c:pt>
                <c:pt idx="18">
                  <c:v>13019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3C4-45B5-AD03-D4C80B968673}"/>
            </c:ext>
          </c:extLst>
        </c:ser>
        <c:ser>
          <c:idx val="1"/>
          <c:order val="1"/>
          <c:spPr>
            <a:ln w="28575">
              <a:noFill/>
            </a:ln>
          </c:spPr>
          <c:marker>
            <c:symbol val="diamond"/>
            <c:size val="12"/>
          </c:marker>
          <c:xVal>
            <c:numRef>
              <c:f>ПФ!$AW$178:$AW$213</c:f>
              <c:numCache>
                <c:formatCode>0.000</c:formatCode>
                <c:ptCount val="36"/>
                <c:pt idx="19" formatCode="General">
                  <c:v>73354.054054054053</c:v>
                </c:pt>
                <c:pt idx="20" formatCode="General">
                  <c:v>79587.43169398907</c:v>
                </c:pt>
                <c:pt idx="21" formatCode="General">
                  <c:v>86916.393442622953</c:v>
                </c:pt>
              </c:numCache>
            </c:numRef>
          </c:xVal>
          <c:yVal>
            <c:numRef>
              <c:f>ПФ!$AX$178:$AX$213</c:f>
              <c:numCache>
                <c:formatCode>General</c:formatCode>
                <c:ptCount val="36"/>
                <c:pt idx="19">
                  <c:v>13570.5</c:v>
                </c:pt>
                <c:pt idx="20">
                  <c:v>14564.5</c:v>
                </c:pt>
                <c:pt idx="21">
                  <c:v>15905.7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3C4-45B5-AD03-D4C80B9686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562624"/>
        <c:axId val="161564160"/>
      </c:scatterChart>
      <c:valAx>
        <c:axId val="161562624"/>
        <c:scaling>
          <c:orientation val="minMax"/>
          <c:max val="200000"/>
          <c:min val="0"/>
        </c:scaling>
        <c:delete val="0"/>
        <c:axPos val="b"/>
        <c:numFmt formatCode="0" sourceLinked="1"/>
        <c:majorTickMark val="out"/>
        <c:minorTickMark val="none"/>
        <c:tickLblPos val="nextTo"/>
        <c:txPr>
          <a:bodyPr/>
          <a:lstStyle/>
          <a:p>
            <a:pPr>
              <a:defRPr sz="1200"/>
            </a:pPr>
            <a:endParaRPr lang="ru-RU"/>
          </a:p>
        </c:txPr>
        <c:crossAx val="161564160"/>
        <c:crosses val="autoZero"/>
        <c:crossBetween val="midCat"/>
        <c:majorUnit val="50000"/>
      </c:valAx>
      <c:valAx>
        <c:axId val="161564160"/>
        <c:scaling>
          <c:orientation val="minMax"/>
          <c:max val="30000"/>
          <c:min val="0"/>
        </c:scaling>
        <c:delete val="0"/>
        <c:axPos val="l"/>
        <c:majorGridlines/>
        <c:numFmt formatCode="0.0" sourceLinked="1"/>
        <c:majorTickMark val="out"/>
        <c:minorTickMark val="none"/>
        <c:tickLblPos val="nextTo"/>
        <c:txPr>
          <a:bodyPr/>
          <a:lstStyle/>
          <a:p>
            <a:pPr>
              <a:defRPr sz="1200"/>
            </a:pPr>
            <a:endParaRPr lang="ru-RU"/>
          </a:p>
        </c:txPr>
        <c:crossAx val="161562624"/>
        <c:crosses val="autoZero"/>
        <c:crossBetween val="midCat"/>
        <c:majorUnit val="10000"/>
      </c:valAx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1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ru-RU" sz="2800" b="0"/>
              <a:t>РЕГРЕССИЯ БАЗИСНЫХ ДЕФЛЯТОРОВ ЭКСПОРТА И ИМПОРТА</a:t>
            </a:r>
            <a:endParaRPr lang="en-US" sz="2800" b="0">
              <a:latin typeface="Arial Rounded MT Bold" panose="020F0704030504030204" pitchFamily="34" charset="0"/>
            </a:endParaRPr>
          </a:p>
        </c:rich>
      </c:tx>
      <c:layout>
        <c:manualLayout>
          <c:xMode val="edge"/>
          <c:yMode val="edge"/>
          <c:x val="0.21133483413920934"/>
          <c:y val="9.8360655737704944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6.2702799610909132E-2"/>
          <c:y val="2.4920569139383727E-2"/>
          <c:w val="0.91567176590819765"/>
          <c:h val="0.93700498257390064"/>
        </c:manualLayout>
      </c:layout>
      <c:scatterChart>
        <c:scatterStyle val="lineMarker"/>
        <c:varyColors val="0"/>
        <c:ser>
          <c:idx val="1"/>
          <c:order val="0"/>
          <c:spPr>
            <a:ln w="28575">
              <a:noFill/>
            </a:ln>
          </c:spPr>
          <c:marker>
            <c:symbol val="square"/>
            <c:size val="12"/>
            <c:spPr>
              <a:ln w="12700">
                <a:solidFill>
                  <a:srgbClr val="FFC000"/>
                </a:solidFill>
              </a:ln>
            </c:spPr>
          </c:marker>
          <c:trendline>
            <c:spPr>
              <a:ln w="22225">
                <a:solidFill>
                  <a:srgbClr val="FF0000"/>
                </a:solidFill>
                <a:prstDash val="lgDash"/>
              </a:ln>
            </c:spPr>
            <c:trendlineType val="linear"/>
            <c:forward val="10"/>
            <c:dispRSqr val="1"/>
            <c:dispEq val="1"/>
            <c:trendlineLbl>
              <c:layout>
                <c:manualLayout>
                  <c:x val="3.5922045959628231E-2"/>
                  <c:y val="0.36458758228992716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sz="1600">
                      <a:latin typeface="Arial" panose="020B0604020202020204" pitchFamily="34" charset="0"/>
                      <a:cs typeface="Arial" panose="020B0604020202020204" pitchFamily="34" charset="0"/>
                    </a:defRPr>
                  </a:pPr>
                  <a:endParaRPr lang="ru-RU"/>
                </a:p>
              </c:txPr>
            </c:trendlineLbl>
          </c:trendline>
          <c:xVal>
            <c:numRef>
              <c:f>ПФ!$DY$59:$DY$80</c:f>
              <c:numCache>
                <c:formatCode>0.0</c:formatCode>
                <c:ptCount val="22"/>
                <c:pt idx="0">
                  <c:v>0.85500000000000009</c:v>
                </c:pt>
                <c:pt idx="1">
                  <c:v>2.1821000000000002</c:v>
                </c:pt>
                <c:pt idx="2">
                  <c:v>2.2393810000000003</c:v>
                </c:pt>
                <c:pt idx="3">
                  <c:v>3.0033985640000003</c:v>
                </c:pt>
                <c:pt idx="4">
                  <c:v>4.1178640398600006</c:v>
                </c:pt>
                <c:pt idx="5">
                  <c:v>5.3009025759117208</c:v>
                </c:pt>
                <c:pt idx="6">
                  <c:v>5.8286804550313001</c:v>
                </c:pt>
                <c:pt idx="7">
                  <c:v>6.554591203741027</c:v>
                </c:pt>
                <c:pt idx="8">
                  <c:v>7.3861421481899514</c:v>
                </c:pt>
                <c:pt idx="9">
                  <c:v>8.5512557795281747</c:v>
                </c:pt>
                <c:pt idx="10">
                  <c:v>10.079607659496746</c:v>
                </c:pt>
                <c:pt idx="11">
                  <c:v>11.291972348851456</c:v>
                </c:pt>
                <c:pt idx="12">
                  <c:v>12.609180466660121</c:v>
                </c:pt>
                <c:pt idx="13">
                  <c:v>15.050951632632586</c:v>
                </c:pt>
                <c:pt idx="14">
                  <c:v>14.155555376304253</c:v>
                </c:pt>
                <c:pt idx="15">
                  <c:v>16.011672138343766</c:v>
                </c:pt>
                <c:pt idx="16">
                  <c:v>18.315604138782739</c:v>
                </c:pt>
                <c:pt idx="17">
                  <c:v>19.175580891114642</c:v>
                </c:pt>
                <c:pt idx="18">
                  <c:v>19.923140858591537</c:v>
                </c:pt>
                <c:pt idx="19">
                  <c:v>21.397848015359987</c:v>
                </c:pt>
                <c:pt idx="20">
                  <c:v>21.195265409341427</c:v>
                </c:pt>
                <c:pt idx="21">
                  <c:v>21.776472214904928</c:v>
                </c:pt>
              </c:numCache>
            </c:numRef>
          </c:xVal>
          <c:yVal>
            <c:numRef>
              <c:f>ПФ!$EB$59:$EB$80</c:f>
              <c:numCache>
                <c:formatCode>0.00</c:formatCode>
                <c:ptCount val="22"/>
                <c:pt idx="0">
                  <c:v>1</c:v>
                </c:pt>
                <c:pt idx="1">
                  <c:v>1.2062700474653716</c:v>
                </c:pt>
                <c:pt idx="2">
                  <c:v>1.3416177583578945</c:v>
                </c:pt>
                <c:pt idx="3">
                  <c:v>1.8660673788361899</c:v>
                </c:pt>
                <c:pt idx="4">
                  <c:v>4.2606518536034752</c:v>
                </c:pt>
                <c:pt idx="5">
                  <c:v>6.0082118596068304</c:v>
                </c:pt>
                <c:pt idx="6">
                  <c:v>5.9105900050191611</c:v>
                </c:pt>
                <c:pt idx="7">
                  <c:v>6.1936348205467269</c:v>
                </c:pt>
                <c:pt idx="8">
                  <c:v>6.7152546240758211</c:v>
                </c:pt>
                <c:pt idx="9">
                  <c:v>7.5604196927091616</c:v>
                </c:pt>
                <c:pt idx="10">
                  <c:v>9.215042167890525</c:v>
                </c:pt>
                <c:pt idx="11">
                  <c:v>10.249953881504441</c:v>
                </c:pt>
                <c:pt idx="12">
                  <c:v>10.650833844352405</c:v>
                </c:pt>
                <c:pt idx="13">
                  <c:v>13.643325842032947</c:v>
                </c:pt>
                <c:pt idx="14">
                  <c:v>12.010355196687106</c:v>
                </c:pt>
                <c:pt idx="15">
                  <c:v>14.006747557636276</c:v>
                </c:pt>
                <c:pt idx="16">
                  <c:v>17.408124468926459</c:v>
                </c:pt>
                <c:pt idx="17">
                  <c:v>18.653542469425737</c:v>
                </c:pt>
                <c:pt idx="18">
                  <c:v>18.357364736075578</c:v>
                </c:pt>
                <c:pt idx="19" formatCode="General">
                  <c:v>20.747451690988555</c:v>
                </c:pt>
                <c:pt idx="20" formatCode="General">
                  <c:v>22.274520095355602</c:v>
                </c:pt>
                <c:pt idx="21" formatCode="General">
                  <c:v>20.030786917707065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835-4276-B507-6F9C63F76022}"/>
            </c:ext>
          </c:extLst>
        </c:ser>
        <c:ser>
          <c:idx val="0"/>
          <c:order val="1"/>
          <c:spPr>
            <a:ln w="28575">
              <a:noFill/>
            </a:ln>
          </c:spPr>
          <c:marker>
            <c:symbol val="diamond"/>
            <c:size val="12"/>
            <c:spPr>
              <a:ln>
                <a:solidFill>
                  <a:srgbClr val="00B0F0"/>
                </a:solidFill>
              </a:ln>
            </c:spPr>
          </c:marker>
          <c:trendline>
            <c:spPr>
              <a:ln w="22225">
                <a:solidFill>
                  <a:srgbClr val="00B0F0"/>
                </a:solidFill>
                <a:prstDash val="lgDash"/>
              </a:ln>
            </c:spPr>
            <c:trendlineType val="linear"/>
            <c:forward val="10"/>
            <c:dispRSqr val="1"/>
            <c:dispEq val="1"/>
            <c:trendlineLbl>
              <c:layout>
                <c:manualLayout>
                  <c:x val="-1.7805539580093864E-2"/>
                  <c:y val="0.28527016909772102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sz="1600">
                      <a:latin typeface="Arial" panose="020B0604020202020204" pitchFamily="34" charset="0"/>
                      <a:cs typeface="Arial" panose="020B0604020202020204" pitchFamily="34" charset="0"/>
                    </a:defRPr>
                  </a:pPr>
                  <a:endParaRPr lang="ru-RU"/>
                </a:p>
              </c:txPr>
            </c:trendlineLbl>
          </c:trendline>
          <c:xVal>
            <c:numRef>
              <c:f>ПФ!$DZ$59:$DZ$80</c:f>
              <c:numCache>
                <c:formatCode>0.00</c:formatCode>
                <c:ptCount val="22"/>
                <c:pt idx="0" formatCode="General">
                  <c:v>1.96</c:v>
                </c:pt>
                <c:pt idx="1">
                  <c:v>2.5206</c:v>
                </c:pt>
                <c:pt idx="2">
                  <c:v>2.6863860000000002</c:v>
                </c:pt>
                <c:pt idx="3">
                  <c:v>3.5451357840000002</c:v>
                </c:pt>
                <c:pt idx="4">
                  <c:v>9.7681103451600002</c:v>
                </c:pt>
                <c:pt idx="5">
                  <c:v>11.311296634882321</c:v>
                </c:pt>
                <c:pt idx="6">
                  <c:v>12.437869808970431</c:v>
                </c:pt>
                <c:pt idx="7">
                  <c:v>13.328646150124968</c:v>
                </c:pt>
                <c:pt idx="8">
                  <c:v>13.212683688139963</c:v>
                </c:pt>
                <c:pt idx="9">
                  <c:v>13.214872679652338</c:v>
                </c:pt>
                <c:pt idx="10">
                  <c:v>14.056868801734446</c:v>
                </c:pt>
                <c:pt idx="11">
                  <c:v>13.809926993890544</c:v>
                </c:pt>
                <c:pt idx="12">
                  <c:v>14.286554028065352</c:v>
                </c:pt>
                <c:pt idx="13">
                  <c:v>14.945701202992431</c:v>
                </c:pt>
                <c:pt idx="14">
                  <c:v>17.665882908855764</c:v>
                </c:pt>
                <c:pt idx="15">
                  <c:v>17.976442628253302</c:v>
                </c:pt>
                <c:pt idx="16">
                  <c:v>18.223234628576755</c:v>
                </c:pt>
                <c:pt idx="17">
                  <c:v>19.349164867137105</c:v>
                </c:pt>
                <c:pt idx="18">
                  <c:v>20.226788001067447</c:v>
                </c:pt>
                <c:pt idx="19">
                  <c:v>23.706151169212621</c:v>
                </c:pt>
                <c:pt idx="20">
                  <c:v>32.008037670041048</c:v>
                </c:pt>
                <c:pt idx="21">
                  <c:v>34.248769000456264</c:v>
                </c:pt>
              </c:numCache>
            </c:numRef>
          </c:xVal>
          <c:yVal>
            <c:numRef>
              <c:f>ПФ!$EC$59:$EC$80</c:f>
              <c:numCache>
                <c:formatCode>0.00</c:formatCode>
                <c:ptCount val="22"/>
                <c:pt idx="0">
                  <c:v>1</c:v>
                </c:pt>
                <c:pt idx="1">
                  <c:v>1.170751567490661</c:v>
                </c:pt>
                <c:pt idx="2">
                  <c:v>1.4027022303089887</c:v>
                </c:pt>
                <c:pt idx="3">
                  <c:v>2.0776657762662092</c:v>
                </c:pt>
                <c:pt idx="4">
                  <c:v>4.8943006185343938</c:v>
                </c:pt>
                <c:pt idx="5">
                  <c:v>5.1416113994451775</c:v>
                </c:pt>
                <c:pt idx="6">
                  <c:v>5.3433855590626722</c:v>
                </c:pt>
                <c:pt idx="7">
                  <c:v>5.6965406483895409</c:v>
                </c:pt>
                <c:pt idx="8">
                  <c:v>5.788123461724906</c:v>
                </c:pt>
                <c:pt idx="9">
                  <c:v>5.6171649663435321</c:v>
                </c:pt>
                <c:pt idx="10">
                  <c:v>5.9336563381172764</c:v>
                </c:pt>
                <c:pt idx="11">
                  <c:v>5.9494755268032087</c:v>
                </c:pt>
                <c:pt idx="12">
                  <c:v>5.9724865903412292</c:v>
                </c:pt>
                <c:pt idx="13">
                  <c:v>6.6180737006266304</c:v>
                </c:pt>
                <c:pt idx="14">
                  <c:v>8.3015732196072296</c:v>
                </c:pt>
                <c:pt idx="15">
                  <c:v>8.121605375451491</c:v>
                </c:pt>
                <c:pt idx="16">
                  <c:v>8.2828741918760365</c:v>
                </c:pt>
                <c:pt idx="17">
                  <c:v>8.6670199170643638</c:v>
                </c:pt>
                <c:pt idx="18">
                  <c:v>9.0619465420277994</c:v>
                </c:pt>
                <c:pt idx="19">
                  <c:v>10.713774916786434</c:v>
                </c:pt>
                <c:pt idx="20">
                  <c:v>15.005583237946571</c:v>
                </c:pt>
                <c:pt idx="21">
                  <c:v>16.052012422908835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A04-4049-A1F8-059C96C68F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599872"/>
        <c:axId val="161601792"/>
      </c:scatterChart>
      <c:valAx>
        <c:axId val="161599872"/>
        <c:scaling>
          <c:orientation val="minMax"/>
          <c:max val="6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sz="1800">
                    <a:latin typeface="Arial" panose="020B0604020202020204" pitchFamily="34" charset="0"/>
                    <a:cs typeface="Arial" panose="020B0604020202020204" pitchFamily="34" charset="0"/>
                  </a:rPr>
                  <a:t>F2 - </a:t>
                </a:r>
                <a:r>
                  <a:rPr lang="ru-RU" sz="1800">
                    <a:latin typeface="Arial" panose="020B0604020202020204" pitchFamily="34" charset="0"/>
                    <a:cs typeface="Arial" panose="020B0604020202020204" pitchFamily="34" charset="0"/>
                  </a:rPr>
                  <a:t>ФАКТОР ИМПОРТА = 0</a:t>
                </a:r>
                <a:r>
                  <a:rPr lang="en-US" sz="1800">
                    <a:latin typeface="Arial" panose="020B0604020202020204" pitchFamily="34" charset="0"/>
                    <a:cs typeface="Arial" panose="020B0604020202020204" pitchFamily="34" charset="0"/>
                  </a:rPr>
                  <a:t>,7*IPC+,3*WKU</a:t>
                </a:r>
                <a:r>
                  <a:rPr lang="ru-RU" sz="1800">
                    <a:latin typeface="Arial" panose="020B0604020202020204" pitchFamily="34" charset="0"/>
                    <a:cs typeface="Arial" panose="020B0604020202020204" pitchFamily="34" charset="0"/>
                  </a:rPr>
                  <a:t> </a:t>
                </a:r>
                <a:endParaRPr lang="ru-RU" sz="1800"/>
              </a:p>
            </c:rich>
          </c:tx>
          <c:layout>
            <c:manualLayout>
              <c:xMode val="edge"/>
              <c:yMode val="edge"/>
              <c:x val="0.40840435757343385"/>
              <c:y val="0.67579666967860696"/>
            </c:manualLayout>
          </c:layout>
          <c:overlay val="0"/>
        </c:title>
        <c:numFmt formatCode="0" sourceLinked="0"/>
        <c:majorTickMark val="out"/>
        <c:minorTickMark val="none"/>
        <c:tickLblPos val="nextTo"/>
        <c:txPr>
          <a:bodyPr/>
          <a:lstStyle/>
          <a:p>
            <a:pPr>
              <a:defRPr sz="1600">
                <a:latin typeface="Arial" panose="020B0604020202020204" pitchFamily="34" charset="0"/>
                <a:cs typeface="Arial" panose="020B0604020202020204" pitchFamily="34" charset="0"/>
              </a:defRPr>
            </a:pPr>
            <a:endParaRPr lang="ru-RU"/>
          </a:p>
        </c:txPr>
        <c:crossAx val="161601792"/>
        <c:crosses val="autoZero"/>
        <c:crossBetween val="midCat"/>
        <c:majorUnit val="20"/>
      </c:valAx>
      <c:valAx>
        <c:axId val="161601792"/>
        <c:scaling>
          <c:orientation val="minMax"/>
          <c:max val="30"/>
        </c:scaling>
        <c:delete val="0"/>
        <c:axPos val="l"/>
        <c:majorGridlines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 sz="1800" b="1">
                    <a:latin typeface="Arial" panose="020B0604020202020204" pitchFamily="34" charset="0"/>
                    <a:cs typeface="Arial" panose="020B0604020202020204" pitchFamily="34" charset="0"/>
                  </a:rPr>
                  <a:t>F1- </a:t>
                </a:r>
                <a:r>
                  <a:rPr lang="ru-RU" sz="1800" b="1">
                    <a:latin typeface="Arial" panose="020B0604020202020204" pitchFamily="34" charset="0"/>
                    <a:cs typeface="Arial" panose="020B0604020202020204" pitchFamily="34" charset="0"/>
                  </a:rPr>
                  <a:t>ФАКТОР</a:t>
                </a:r>
                <a:r>
                  <a:rPr lang="en-US" sz="1800" b="1">
                    <a:latin typeface="Arial" panose="020B0604020202020204" pitchFamily="34" charset="0"/>
                    <a:cs typeface="Arial" panose="020B0604020202020204" pitchFamily="34" charset="0"/>
                  </a:rPr>
                  <a:t> </a:t>
                </a:r>
                <a:r>
                  <a:rPr lang="ru-RU" sz="1800" b="1">
                    <a:latin typeface="Arial" panose="020B0604020202020204" pitchFamily="34" charset="0"/>
                    <a:cs typeface="Arial" panose="020B0604020202020204" pitchFamily="34" charset="0"/>
                  </a:rPr>
                  <a:t>ЭКСПОРТА = 0</a:t>
                </a:r>
                <a:r>
                  <a:rPr lang="en-US" sz="1800" b="1">
                    <a:latin typeface="Arial" panose="020B0604020202020204" pitchFamily="34" charset="0"/>
                    <a:cs typeface="Arial" panose="020B0604020202020204" pitchFamily="34" charset="0"/>
                  </a:rPr>
                  <a:t>,95*IPC+0,05*CNF</a:t>
                </a:r>
                <a:endParaRPr lang="ru-RU" sz="1800" b="1"/>
              </a:p>
            </c:rich>
          </c:tx>
          <c:layout>
            <c:manualLayout>
              <c:xMode val="edge"/>
              <c:yMode val="edge"/>
              <c:x val="0.12128816110375584"/>
              <c:y val="0.34588568289429839"/>
            </c:manualLayout>
          </c:layout>
          <c:overlay val="0"/>
        </c:title>
        <c:numFmt formatCode="0" sourceLinked="0"/>
        <c:majorTickMark val="out"/>
        <c:minorTickMark val="none"/>
        <c:tickLblPos val="nextTo"/>
        <c:txPr>
          <a:bodyPr/>
          <a:lstStyle/>
          <a:p>
            <a:pPr>
              <a:defRPr sz="1600">
                <a:latin typeface="Arial" panose="020B0604020202020204" pitchFamily="34" charset="0"/>
                <a:cs typeface="Arial" panose="020B0604020202020204" pitchFamily="34" charset="0"/>
              </a:defRPr>
            </a:pPr>
            <a:endParaRPr lang="ru-RU"/>
          </a:p>
        </c:txPr>
        <c:crossAx val="161599872"/>
        <c:crosses val="autoZero"/>
        <c:crossBetween val="midCat"/>
        <c:majorUnit val="10"/>
      </c:valAx>
      <c:spPr>
        <a:ln>
          <a:solidFill>
            <a:srgbClr val="FFC000"/>
          </a:solidFill>
        </a:ln>
      </c:spPr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1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2556143739308044E-2"/>
          <c:y val="1.817607708859921E-2"/>
          <c:w val="0.87177077439763562"/>
          <c:h val="0.88971849086169652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marker>
            <c:symbol val="circle"/>
            <c:size val="15"/>
            <c:spPr>
              <a:solidFill>
                <a:srgbClr val="FF0000"/>
              </a:solidFill>
            </c:spPr>
          </c:marker>
          <c:xVal>
            <c:numRef>
              <c:f>ПФ!$H$49:$H$60</c:f>
              <c:numCache>
                <c:formatCode>0</c:formatCode>
                <c:ptCount val="12"/>
                <c:pt idx="0">
                  <c:v>388.04689999999999</c:v>
                </c:pt>
                <c:pt idx="1">
                  <c:v>404.31540000000001</c:v>
                </c:pt>
                <c:pt idx="2">
                  <c:v>591.60419999999988</c:v>
                </c:pt>
                <c:pt idx="3">
                  <c:v>990.46019999999999</c:v>
                </c:pt>
                <c:pt idx="4">
                  <c:v>1353.3806999999999</c:v>
                </c:pt>
                <c:pt idx="5">
                  <c:v>1651.1434000000002</c:v>
                </c:pt>
                <c:pt idx="6">
                  <c:v>2033.43</c:v>
                </c:pt>
                <c:pt idx="7">
                  <c:v>2619.0199999999995</c:v>
                </c:pt>
                <c:pt idx="8">
                  <c:v>3319.41</c:v>
                </c:pt>
                <c:pt idx="9">
                  <c:v>4319.72</c:v>
                </c:pt>
                <c:pt idx="10">
                  <c:v>6008.4653999999991</c:v>
                </c:pt>
                <c:pt idx="11">
                  <c:v>7963.3755999999994</c:v>
                </c:pt>
              </c:numCache>
            </c:numRef>
          </c:xVal>
          <c:yVal>
            <c:numRef>
              <c:f>ПФ!$F$49:$F$60</c:f>
              <c:numCache>
                <c:formatCode>0</c:formatCode>
                <c:ptCount val="12"/>
                <c:pt idx="0">
                  <c:v>406.47199999999998</c:v>
                </c:pt>
                <c:pt idx="1">
                  <c:v>428.56400000000002</c:v>
                </c:pt>
                <c:pt idx="2">
                  <c:v>597.30600000000004</c:v>
                </c:pt>
                <c:pt idx="3">
                  <c:v>843.37800000000004</c:v>
                </c:pt>
                <c:pt idx="4">
                  <c:v>1117.655</c:v>
                </c:pt>
                <c:pt idx="5">
                  <c:v>1615.0630000000001</c:v>
                </c:pt>
                <c:pt idx="6">
                  <c:v>1815.6579999999999</c:v>
                </c:pt>
                <c:pt idx="7">
                  <c:v>1972.1120000000001</c:v>
                </c:pt>
                <c:pt idx="8">
                  <c:v>2943.6860000000001</c:v>
                </c:pt>
                <c:pt idx="9">
                  <c:v>3252.4360000000001</c:v>
                </c:pt>
                <c:pt idx="10">
                  <c:v>4296.4110000000001</c:v>
                </c:pt>
                <c:pt idx="11">
                  <c:v>5744.8469999999998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3C3-49A5-B43E-09B6FDEDC288}"/>
            </c:ext>
          </c:extLst>
        </c:ser>
        <c:ser>
          <c:idx val="1"/>
          <c:order val="1"/>
          <c:spPr>
            <a:ln w="28575">
              <a:noFill/>
            </a:ln>
          </c:spPr>
          <c:marker>
            <c:symbol val="square"/>
            <c:size val="16"/>
            <c:spPr>
              <a:solidFill>
                <a:srgbClr val="00B0F0"/>
              </a:solidFill>
              <a:ln>
                <a:solidFill>
                  <a:srgbClr val="00B0F0"/>
                </a:solidFill>
              </a:ln>
            </c:spPr>
          </c:marker>
          <c:trendline>
            <c:spPr>
              <a:ln w="25400">
                <a:solidFill>
                  <a:srgbClr val="00B0F0"/>
                </a:solidFill>
                <a:prstDash val="lgDash"/>
              </a:ln>
            </c:spPr>
            <c:trendlineType val="linear"/>
            <c:forward val="3000"/>
            <c:backward val="1000"/>
            <c:dispRSqr val="1"/>
            <c:dispEq val="1"/>
            <c:trendlineLbl>
              <c:layout>
                <c:manualLayout>
                  <c:x val="3.9257164408709612E-2"/>
                  <c:y val="0.36818000483652097"/>
                </c:manualLayout>
              </c:layout>
              <c:tx>
                <c:rich>
                  <a:bodyPr/>
                  <a:lstStyle/>
                  <a:p>
                    <a:pPr>
                      <a:defRPr sz="2000">
                        <a:latin typeface="Arial" panose="020B0604020202020204" pitchFamily="34" charset="0"/>
                        <a:cs typeface="Arial" panose="020B0604020202020204" pitchFamily="34" charset="0"/>
                      </a:defRPr>
                    </a:pPr>
                    <a:r>
                      <a:rPr lang="en-US" baseline="0"/>
                      <a:t>y = 0,8374x1 - 167,09</a:t>
                    </a:r>
                    <a:br>
                      <a:rPr lang="en-US" baseline="0"/>
                    </a:br>
                    <a:r>
                      <a:rPr lang="en-US" baseline="0"/>
                      <a:t>R² = 0,9811</a:t>
                    </a:r>
                    <a:endParaRPr lang="en-US"/>
                  </a:p>
                </c:rich>
              </c:tx>
              <c:numFmt formatCode="General" sourceLinked="0"/>
            </c:trendlineLbl>
          </c:trendline>
          <c:xVal>
            <c:numRef>
              <c:f>ПФ!$I$52:$I$68</c:f>
              <c:numCache>
                <c:formatCode>0</c:formatCode>
                <c:ptCount val="17"/>
                <c:pt idx="0">
                  <c:v>990.46019999999999</c:v>
                </c:pt>
                <c:pt idx="1">
                  <c:v>1353.3806999999999</c:v>
                </c:pt>
                <c:pt idx="2">
                  <c:v>1651.1434000000002</c:v>
                </c:pt>
                <c:pt idx="3">
                  <c:v>2033.43</c:v>
                </c:pt>
                <c:pt idx="4">
                  <c:v>2619.0199999999995</c:v>
                </c:pt>
                <c:pt idx="5">
                  <c:v>3319.41</c:v>
                </c:pt>
                <c:pt idx="6">
                  <c:v>4319.72</c:v>
                </c:pt>
                <c:pt idx="7">
                  <c:v>6008.4653999999991</c:v>
                </c:pt>
                <c:pt idx="8">
                  <c:v>7963.3755999999994</c:v>
                </c:pt>
                <c:pt idx="9">
                  <c:v>8011.1544999999996</c:v>
                </c:pt>
                <c:pt idx="10">
                  <c:v>8879.8341999999993</c:v>
                </c:pt>
                <c:pt idx="11">
                  <c:v>10352.977699999999</c:v>
                </c:pt>
                <c:pt idx="12">
                  <c:v>11932.60368</c:v>
                </c:pt>
                <c:pt idx="13">
                  <c:v>13035.95002</c:v>
                </c:pt>
                <c:pt idx="14">
                  <c:v>13680.508389999999</c:v>
                </c:pt>
                <c:pt idx="15">
                  <c:v>13853.59288</c:v>
                </c:pt>
                <c:pt idx="16">
                  <c:v>14493.864529999999</c:v>
                </c:pt>
              </c:numCache>
            </c:numRef>
          </c:xVal>
          <c:yVal>
            <c:numRef>
              <c:f>ПФ!$F$52:$F$68</c:f>
              <c:numCache>
                <c:formatCode>0</c:formatCode>
                <c:ptCount val="17"/>
                <c:pt idx="0">
                  <c:v>843.37800000000004</c:v>
                </c:pt>
                <c:pt idx="1">
                  <c:v>1117.655</c:v>
                </c:pt>
                <c:pt idx="2">
                  <c:v>1615.0630000000001</c:v>
                </c:pt>
                <c:pt idx="3">
                  <c:v>1815.6579999999999</c:v>
                </c:pt>
                <c:pt idx="4">
                  <c:v>1972.1120000000001</c:v>
                </c:pt>
                <c:pt idx="5">
                  <c:v>2943.6860000000001</c:v>
                </c:pt>
                <c:pt idx="6">
                  <c:v>3252.4360000000001</c:v>
                </c:pt>
                <c:pt idx="7">
                  <c:v>4296.4110000000001</c:v>
                </c:pt>
                <c:pt idx="8">
                  <c:v>5744.8469999999998</c:v>
                </c:pt>
                <c:pt idx="9">
                  <c:v>6356.223</c:v>
                </c:pt>
                <c:pt idx="10">
                  <c:v>6275.9309999999996</c:v>
                </c:pt>
                <c:pt idx="11">
                  <c:v>8813.3140000000003</c:v>
                </c:pt>
                <c:pt idx="12">
                  <c:v>10338.4</c:v>
                </c:pt>
                <c:pt idx="13">
                  <c:v>11160.485000000001</c:v>
                </c:pt>
                <c:pt idx="14">
                  <c:v>10888</c:v>
                </c:pt>
                <c:pt idx="15">
                  <c:v>10721</c:v>
                </c:pt>
                <c:pt idx="16">
                  <c:v>13256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3C3-49A5-B43E-09B6FDEDC2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658752"/>
        <c:axId val="161660928"/>
      </c:scatterChart>
      <c:valAx>
        <c:axId val="161658752"/>
        <c:scaling>
          <c:orientation val="minMax"/>
          <c:max val="20000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2400" b="0"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r>
                  <a:rPr lang="en-US" sz="2400" b="0">
                    <a:latin typeface="Arial" panose="020B0604020202020204" pitchFamily="34" charset="0"/>
                    <a:cs typeface="Arial" panose="020B0604020202020204" pitchFamily="34" charset="0"/>
                  </a:rPr>
                  <a:t>x1t= 0,7*INt+0,2*INt-</a:t>
                </a:r>
                <a:r>
                  <a:rPr lang="en-US" sz="1800" b="0">
                    <a:latin typeface="Arial" panose="020B0604020202020204" pitchFamily="34" charset="0"/>
                    <a:cs typeface="Arial" panose="020B0604020202020204" pitchFamily="34" charset="0"/>
                  </a:rPr>
                  <a:t>1</a:t>
                </a:r>
                <a:r>
                  <a:rPr lang="en-US" sz="2400" b="0">
                    <a:latin typeface="Arial" panose="020B0604020202020204" pitchFamily="34" charset="0"/>
                    <a:cs typeface="Arial" panose="020B0604020202020204" pitchFamily="34" charset="0"/>
                  </a:rPr>
                  <a:t>+0,1*INt-</a:t>
                </a:r>
                <a:r>
                  <a:rPr lang="en-US" sz="1800" b="0">
                    <a:latin typeface="Arial" panose="020B0604020202020204" pitchFamily="34" charset="0"/>
                    <a:cs typeface="Arial" panose="020B0604020202020204" pitchFamily="34" charset="0"/>
                  </a:rPr>
                  <a:t>2</a:t>
                </a:r>
                <a:endParaRPr lang="ru-RU" sz="2400" b="0"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layout>
            <c:manualLayout>
              <c:xMode val="edge"/>
              <c:yMode val="edge"/>
              <c:x val="0.4585957059137003"/>
              <c:y val="0.8514564756754317"/>
            </c:manualLayout>
          </c:layout>
          <c:overlay val="0"/>
        </c:title>
        <c:numFmt formatCode="0" sourceLinked="1"/>
        <c:majorTickMark val="out"/>
        <c:minorTickMark val="none"/>
        <c:tickLblPos val="nextTo"/>
        <c:txPr>
          <a:bodyPr/>
          <a:lstStyle/>
          <a:p>
            <a:pPr>
              <a:defRPr sz="1600">
                <a:latin typeface="Arial" panose="020B0604020202020204" pitchFamily="34" charset="0"/>
                <a:cs typeface="Arial" panose="020B0604020202020204" pitchFamily="34" charset="0"/>
              </a:defRPr>
            </a:pPr>
            <a:endParaRPr lang="ru-RU"/>
          </a:p>
        </c:txPr>
        <c:crossAx val="161660928"/>
        <c:crosses val="autoZero"/>
        <c:crossBetween val="midCat"/>
        <c:majorUnit val="5000"/>
      </c:valAx>
      <c:valAx>
        <c:axId val="161660928"/>
        <c:scaling>
          <c:orientation val="minMax"/>
          <c:max val="20000"/>
          <c:min val="0"/>
        </c:scaling>
        <c:delete val="0"/>
        <c:axPos val="l"/>
        <c:majorGridlines/>
        <c:title>
          <c:tx>
            <c:rich>
              <a:bodyPr rot="0" vert="horz"/>
              <a:lstStyle/>
              <a:p>
                <a:pPr>
                  <a:defRPr sz="2000" b="0"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r>
                  <a:rPr lang="en-US" sz="2000" b="0">
                    <a:latin typeface="Arial" panose="020B0604020202020204" pitchFamily="34" charset="0"/>
                    <a:cs typeface="Arial" panose="020B0604020202020204" pitchFamily="34" charset="0"/>
                  </a:rPr>
                  <a:t>WW</a:t>
                </a:r>
                <a:endParaRPr lang="ru-RU" sz="2000" b="0"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layout>
            <c:manualLayout>
              <c:xMode val="edge"/>
              <c:yMode val="edge"/>
              <c:x val="9.8901109598199768E-2"/>
              <c:y val="3.9957570053822986E-2"/>
            </c:manualLayout>
          </c:layout>
          <c:overlay val="0"/>
        </c:title>
        <c:numFmt formatCode="0" sourceLinked="1"/>
        <c:majorTickMark val="out"/>
        <c:minorTickMark val="none"/>
        <c:tickLblPos val="nextTo"/>
        <c:txPr>
          <a:bodyPr/>
          <a:lstStyle/>
          <a:p>
            <a:pPr>
              <a:defRPr sz="1600">
                <a:latin typeface="Arial" panose="020B0604020202020204" pitchFamily="34" charset="0"/>
                <a:cs typeface="Arial" panose="020B0604020202020204" pitchFamily="34" charset="0"/>
              </a:defRPr>
            </a:pPr>
            <a:endParaRPr lang="ru-RU"/>
          </a:p>
        </c:txPr>
        <c:crossAx val="161658752"/>
        <c:crosses val="autoZero"/>
        <c:crossBetween val="midCat"/>
        <c:majorUnit val="5000"/>
      </c:valAx>
      <c:spPr>
        <a:solidFill>
          <a:schemeClr val="bg1"/>
        </a:solidFill>
        <a:ln w="25400">
          <a:noFill/>
        </a:ln>
      </c:spPr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1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8384572240737823E-2"/>
          <c:y val="2.8662450096256769E-2"/>
          <c:w val="0.8999013274578247"/>
          <c:h val="0.88004337517760856"/>
        </c:manualLayout>
      </c:layout>
      <c:lineChart>
        <c:grouping val="standard"/>
        <c:varyColors val="0"/>
        <c:ser>
          <c:idx val="0"/>
          <c:order val="0"/>
          <c:spPr>
            <a:ln w="158750">
              <a:solidFill>
                <a:srgbClr val="00B0F0">
                  <a:alpha val="45000"/>
                </a:srgbClr>
              </a:solidFill>
            </a:ln>
          </c:spPr>
          <c:marker>
            <c:symbol val="circle"/>
            <c:size val="13"/>
            <c:spPr>
              <a:noFill/>
            </c:spPr>
          </c:marker>
          <c:cat>
            <c:numRef>
              <c:f>ПФ!$F$6:$F$41</c:f>
              <c:numCache>
                <c:formatCode>General</c:formatCode>
                <c:ptCount val="36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</c:numCache>
            </c:numRef>
          </c:cat>
          <c:val>
            <c:numRef>
              <c:f>ПФ!$AF$6:$AF$41</c:f>
              <c:numCache>
                <c:formatCode>0.00</c:formatCode>
                <c:ptCount val="36"/>
                <c:pt idx="2">
                  <c:v>0.19851177331319733</c:v>
                </c:pt>
                <c:pt idx="3">
                  <c:v>0.16827781021826602</c:v>
                </c:pt>
                <c:pt idx="4">
                  <c:v>0.18273041500509268</c:v>
                </c:pt>
                <c:pt idx="5">
                  <c:v>0.20712628179755374</c:v>
                </c:pt>
                <c:pt idx="6">
                  <c:v>0.19725668454818768</c:v>
                </c:pt>
                <c:pt idx="7">
                  <c:v>0.18447033685006781</c:v>
                </c:pt>
                <c:pt idx="8">
                  <c:v>0.18785727583679246</c:v>
                </c:pt>
                <c:pt idx="9">
                  <c:v>0.19569788734472088</c:v>
                </c:pt>
                <c:pt idx="10">
                  <c:v>0.19461933078149818</c:v>
                </c:pt>
                <c:pt idx="11">
                  <c:v>0.2025959263667016</c:v>
                </c:pt>
                <c:pt idx="12">
                  <c:v>0.23142730726743346</c:v>
                </c:pt>
                <c:pt idx="13">
                  <c:v>0.24396007599630332</c:v>
                </c:pt>
                <c:pt idx="14">
                  <c:v>0.20751308619786987</c:v>
                </c:pt>
                <c:pt idx="15">
                  <c:v>0.21258336397061969</c:v>
                </c:pt>
                <c:pt idx="16">
                  <c:v>0.21306287399022888</c:v>
                </c:pt>
                <c:pt idx="17">
                  <c:v>0.20489038258740133</c:v>
                </c:pt>
                <c:pt idx="18">
                  <c:v>0.19472604471863694</c:v>
                </c:pt>
                <c:pt idx="19">
                  <c:v>0.18511698028902518</c:v>
                </c:pt>
                <c:pt idx="20">
                  <c:v>0.17395161982176993</c:v>
                </c:pt>
                <c:pt idx="21">
                  <c:v>0.17611180367488666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0E8F-4E75-989C-51EA43D70877}"/>
            </c:ext>
          </c:extLst>
        </c:ser>
        <c:ser>
          <c:idx val="1"/>
          <c:order val="1"/>
          <c:val>
            <c:numRef>
              <c:f>ПФ!$AG$6:$AG$41</c:f>
              <c:numCache>
                <c:formatCode>0.00</c:formatCode>
                <c:ptCount val="36"/>
                <c:pt idx="13">
                  <c:v>0.24396007599630332</c:v>
                </c:pt>
                <c:pt idx="14">
                  <c:v>0.20751308619786987</c:v>
                </c:pt>
                <c:pt idx="15">
                  <c:v>0.21258336397061969</c:v>
                </c:pt>
                <c:pt idx="16">
                  <c:v>0.21306287399022888</c:v>
                </c:pt>
                <c:pt idx="17">
                  <c:v>0.20489038258740133</c:v>
                </c:pt>
                <c:pt idx="18">
                  <c:v>0.19472604471863694</c:v>
                </c:pt>
                <c:pt idx="19">
                  <c:v>0.18511698028902518</c:v>
                </c:pt>
                <c:pt idx="20">
                  <c:v>0.17395161982176993</c:v>
                </c:pt>
                <c:pt idx="21">
                  <c:v>0.17611180367488666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E8F-4E75-989C-51EA43D708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1689984"/>
        <c:axId val="161691520"/>
      </c:lineChart>
      <c:catAx>
        <c:axId val="161689984"/>
        <c:scaling>
          <c:orientation val="minMax"/>
        </c:scaling>
        <c:delete val="0"/>
        <c:axPos val="b"/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161691520"/>
        <c:crosses val="autoZero"/>
        <c:auto val="1"/>
        <c:lblAlgn val="ctr"/>
        <c:lblOffset val="100"/>
        <c:tickLblSkip val="2"/>
        <c:tickMarkSkip val="1"/>
        <c:noMultiLvlLbl val="0"/>
      </c:catAx>
      <c:valAx>
        <c:axId val="161691520"/>
        <c:scaling>
          <c:orientation val="minMax"/>
          <c:max val="0.30000000000000032"/>
          <c:min val="0.1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161689984"/>
        <c:crosses val="autoZero"/>
        <c:crossBetween val="between"/>
        <c:majorUnit val="5.0000000000000024E-2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chemeClr val="bg1">
        <a:lumMod val="85000"/>
      </a:schemeClr>
    </a:solidFill>
    <a:ln w="3175">
      <a:solidFill>
        <a:srgbClr val="000000"/>
      </a:solidFill>
      <a:prstDash val="solid"/>
    </a:ln>
  </c:spPr>
  <c:txPr>
    <a:bodyPr/>
    <a:lstStyle/>
    <a:p>
      <a:pPr>
        <a:defRPr sz="975" b="0" i="0" u="none" strike="noStrike" baseline="0">
          <a:solidFill>
            <a:srgbClr val="000000"/>
          </a:solidFill>
          <a:latin typeface="Arial Cyr"/>
          <a:ea typeface="Arial Cyr"/>
          <a:cs typeface="Arial Cyr"/>
        </a:defRPr>
      </a:pPr>
      <a:endParaRPr lang="ru-RU"/>
    </a:p>
  </c:txPr>
  <c:printSettings>
    <c:headerFooter alignWithMargins="0"/>
    <c:pageMargins b="1" l="0.75000000000001465" r="0.75000000000001465" t="1" header="0.5" footer="0.5"/>
    <c:pageSetup/>
  </c:printSettings>
  <c:userShapes r:id="rId1"/>
</c:chartSpace>
</file>

<file path=xl/charts/chart1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71846556551203E-2"/>
          <c:y val="1.817607708859921E-2"/>
          <c:w val="0.85768469819138704"/>
          <c:h val="0.88971849086169652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marker>
            <c:symbol val="square"/>
            <c:size val="21"/>
            <c:spPr>
              <a:solidFill>
                <a:srgbClr val="FFC000"/>
              </a:solidFill>
              <a:ln>
                <a:gradFill>
                  <a:gsLst>
                    <a:gs pos="0">
                      <a:schemeClr val="accent1">
                        <a:lumMod val="5000"/>
                        <a:lumOff val="95000"/>
                      </a:schemeClr>
                    </a:gs>
                    <a:gs pos="74000">
                      <a:schemeClr val="accent1">
                        <a:lumMod val="45000"/>
                        <a:lumOff val="55000"/>
                      </a:schemeClr>
                    </a:gs>
                    <a:gs pos="83000">
                      <a:schemeClr val="accent1">
                        <a:lumMod val="45000"/>
                        <a:lumOff val="55000"/>
                      </a:schemeClr>
                    </a:gs>
                    <a:gs pos="100000">
                      <a:schemeClr val="accent1">
                        <a:lumMod val="30000"/>
                        <a:lumOff val="70000"/>
                      </a:schemeClr>
                    </a:gs>
                  </a:gsLst>
                  <a:lin ang="5400000" scaled="1"/>
                </a:gradFill>
              </a:ln>
            </c:spPr>
          </c:marker>
          <c:trendline>
            <c:trendlineType val="linear"/>
            <c:forward val="10000"/>
            <c:backward val="20000"/>
            <c:dispRSqr val="1"/>
            <c:dispEq val="1"/>
            <c:trendlineLbl>
              <c:layout>
                <c:manualLayout>
                  <c:x val="-6.5808645970692428E-2"/>
                  <c:y val="0.33251486342146419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sz="2000">
                      <a:latin typeface="Arial" panose="020B0604020202020204" pitchFamily="34" charset="0"/>
                      <a:cs typeface="Arial" panose="020B0604020202020204" pitchFamily="34" charset="0"/>
                    </a:defRPr>
                  </a:pPr>
                  <a:endParaRPr lang="ru-RU"/>
                </a:p>
              </c:txPr>
            </c:trendlineLbl>
          </c:trendline>
          <c:xVal>
            <c:numRef>
              <c:f>ПФ!$AE$60:$AE$68</c:f>
              <c:numCache>
                <c:formatCode>0</c:formatCode>
                <c:ptCount val="9"/>
                <c:pt idx="0">
                  <c:v>35996.119299999998</c:v>
                </c:pt>
                <c:pt idx="1">
                  <c:v>38436.192849999999</c:v>
                </c:pt>
                <c:pt idx="2">
                  <c:v>43051.816610000002</c:v>
                </c:pt>
                <c:pt idx="3">
                  <c:v>51795.283680000008</c:v>
                </c:pt>
                <c:pt idx="4">
                  <c:v>61428.409870000003</c:v>
                </c:pt>
                <c:pt idx="5">
                  <c:v>69072.620559999996</c:v>
                </c:pt>
                <c:pt idx="6">
                  <c:v>75101.94515</c:v>
                </c:pt>
                <c:pt idx="7">
                  <c:v>79891.179019999996</c:v>
                </c:pt>
                <c:pt idx="8">
                  <c:v>83746.8</c:v>
                </c:pt>
              </c:numCache>
            </c:numRef>
          </c:xVal>
          <c:yVal>
            <c:numRef>
              <c:f>ПФ!$AD$60:$AD$68</c:f>
              <c:numCache>
                <c:formatCode>0</c:formatCode>
                <c:ptCount val="9"/>
                <c:pt idx="0">
                  <c:v>8781.616</c:v>
                </c:pt>
                <c:pt idx="1">
                  <c:v>7976.0129999999999</c:v>
                </c:pt>
                <c:pt idx="2">
                  <c:v>9152.1</c:v>
                </c:pt>
                <c:pt idx="3">
                  <c:v>11035.652</c:v>
                </c:pt>
                <c:pt idx="4">
                  <c:v>12586.090400000001</c:v>
                </c:pt>
                <c:pt idx="5">
                  <c:v>13450.2382</c:v>
                </c:pt>
                <c:pt idx="6">
                  <c:v>13902.6453</c:v>
                </c:pt>
                <c:pt idx="7">
                  <c:v>13897.2</c:v>
                </c:pt>
                <c:pt idx="8">
                  <c:v>14748.8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5A3-48EC-ADF2-4D2B7E60DCCA}"/>
            </c:ext>
          </c:extLst>
        </c:ser>
        <c:ser>
          <c:idx val="1"/>
          <c:order val="1"/>
          <c:spPr>
            <a:ln w="28575">
              <a:noFill/>
            </a:ln>
          </c:spPr>
          <c:xVal>
            <c:numRef>
              <c:f>ПФ!$AE$49:$AE$59</c:f>
              <c:numCache>
                <c:formatCode>0</c:formatCode>
                <c:ptCount val="11"/>
                <c:pt idx="0">
                  <c:v>2059.3085900000001</c:v>
                </c:pt>
                <c:pt idx="1">
                  <c:v>2419.1306</c:v>
                </c:pt>
                <c:pt idx="2">
                  <c:v>3669.0060599999997</c:v>
                </c:pt>
                <c:pt idx="3">
                  <c:v>5625.7177499999998</c:v>
                </c:pt>
                <c:pt idx="4">
                  <c:v>7628.1318599999995</c:v>
                </c:pt>
                <c:pt idx="5">
                  <c:v>9553.8395499999988</c:v>
                </c:pt>
                <c:pt idx="6">
                  <c:v>11638.622939999997</c:v>
                </c:pt>
                <c:pt idx="7">
                  <c:v>14639.912769999997</c:v>
                </c:pt>
                <c:pt idx="8">
                  <c:v>18554.683059999996</c:v>
                </c:pt>
                <c:pt idx="9">
                  <c:v>23346.96499</c:v>
                </c:pt>
                <c:pt idx="10">
                  <c:v>29020.870870000002</c:v>
                </c:pt>
              </c:numCache>
            </c:numRef>
          </c:xVal>
          <c:yVal>
            <c:numRef>
              <c:f>ПФ!$AD$49:$AD$59</c:f>
              <c:numCache>
                <c:formatCode>0</c:formatCode>
                <c:ptCount val="11"/>
                <c:pt idx="0">
                  <c:v>408.79700000000003</c:v>
                </c:pt>
                <c:pt idx="1">
                  <c:v>407.08600000000001</c:v>
                </c:pt>
                <c:pt idx="2">
                  <c:v>670.43899999999996</c:v>
                </c:pt>
                <c:pt idx="3">
                  <c:v>1165.2339999999999</c:v>
                </c:pt>
                <c:pt idx="4">
                  <c:v>1504.7</c:v>
                </c:pt>
                <c:pt idx="5">
                  <c:v>1762.4</c:v>
                </c:pt>
                <c:pt idx="6">
                  <c:v>2186.4</c:v>
                </c:pt>
                <c:pt idx="7">
                  <c:v>2865</c:v>
                </c:pt>
                <c:pt idx="8">
                  <c:v>3611.1</c:v>
                </c:pt>
                <c:pt idx="9">
                  <c:v>4730</c:v>
                </c:pt>
                <c:pt idx="10">
                  <c:v>6716.2219999999998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5A3-48EC-ADF2-4D2B7E60DC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769728"/>
        <c:axId val="161776000"/>
      </c:scatterChart>
      <c:valAx>
        <c:axId val="161769728"/>
        <c:scaling>
          <c:orientation val="minMax"/>
          <c:max val="100000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2400" b="0"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r>
                  <a:rPr lang="en-US" sz="2400" b="0">
                    <a:latin typeface="Arial" panose="020B0604020202020204" pitchFamily="34" charset="0"/>
                    <a:cs typeface="Arial" panose="020B0604020202020204" pitchFamily="34" charset="0"/>
                  </a:rPr>
                  <a:t>xt = 0,5*WWPt+0,3*WWPt-</a:t>
                </a:r>
                <a:r>
                  <a:rPr lang="en-US" sz="1800" b="0">
                    <a:latin typeface="Arial" panose="020B0604020202020204" pitchFamily="34" charset="0"/>
                    <a:cs typeface="Arial" panose="020B0604020202020204" pitchFamily="34" charset="0"/>
                  </a:rPr>
                  <a:t>1</a:t>
                </a:r>
                <a:r>
                  <a:rPr lang="en-US" sz="2400" b="0">
                    <a:latin typeface="Arial" panose="020B0604020202020204" pitchFamily="34" charset="0"/>
                    <a:cs typeface="Arial" panose="020B0604020202020204" pitchFamily="34" charset="0"/>
                  </a:rPr>
                  <a:t>+0,2*WWPt-</a:t>
                </a:r>
                <a:r>
                  <a:rPr lang="en-US" sz="1800" b="0">
                    <a:latin typeface="Arial" panose="020B0604020202020204" pitchFamily="34" charset="0"/>
                    <a:cs typeface="Arial" panose="020B0604020202020204" pitchFamily="34" charset="0"/>
                  </a:rPr>
                  <a:t>2</a:t>
                </a:r>
                <a:endParaRPr lang="ru-RU" sz="2400" b="0"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layout>
            <c:manualLayout>
              <c:xMode val="edge"/>
              <c:yMode val="edge"/>
              <c:x val="0.32388868155137357"/>
              <c:y val="0.85106349551081562"/>
            </c:manualLayout>
          </c:layout>
          <c:overlay val="0"/>
        </c:title>
        <c:numFmt formatCode="0" sourceLinked="1"/>
        <c:majorTickMark val="out"/>
        <c:minorTickMark val="none"/>
        <c:tickLblPos val="nextTo"/>
        <c:txPr>
          <a:bodyPr/>
          <a:lstStyle/>
          <a:p>
            <a:pPr>
              <a:defRPr sz="1600">
                <a:latin typeface="Arial" panose="020B0604020202020204" pitchFamily="34" charset="0"/>
                <a:cs typeface="Arial" panose="020B0604020202020204" pitchFamily="34" charset="0"/>
              </a:defRPr>
            </a:pPr>
            <a:endParaRPr lang="ru-RU"/>
          </a:p>
        </c:txPr>
        <c:crossAx val="161776000"/>
        <c:crosses val="autoZero"/>
        <c:crossBetween val="midCat"/>
        <c:majorUnit val="25000"/>
      </c:valAx>
      <c:valAx>
        <c:axId val="161776000"/>
        <c:scaling>
          <c:orientation val="minMax"/>
          <c:max val="20000"/>
          <c:min val="0"/>
        </c:scaling>
        <c:delete val="0"/>
        <c:axPos val="l"/>
        <c:majorGridlines/>
        <c:title>
          <c:tx>
            <c:rich>
              <a:bodyPr rot="0" vert="horz"/>
              <a:lstStyle/>
              <a:p>
                <a:pPr>
                  <a:defRPr sz="2000" b="0"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r>
                  <a:rPr lang="en-US" sz="2000" b="0">
                    <a:latin typeface="Arial" panose="020B0604020202020204" pitchFamily="34" charset="0"/>
                    <a:cs typeface="Arial" panose="020B0604020202020204" pitchFamily="34" charset="0"/>
                  </a:rPr>
                  <a:t>IN</a:t>
                </a:r>
                <a:endParaRPr lang="ru-RU" sz="2000" b="0"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layout>
            <c:manualLayout>
              <c:xMode val="edge"/>
              <c:yMode val="edge"/>
              <c:x val="0.13437395396080937"/>
              <c:y val="3.7349340061335209E-2"/>
            </c:manualLayout>
          </c:layout>
          <c:overlay val="0"/>
        </c:title>
        <c:numFmt formatCode="0" sourceLinked="1"/>
        <c:majorTickMark val="out"/>
        <c:minorTickMark val="none"/>
        <c:tickLblPos val="nextTo"/>
        <c:txPr>
          <a:bodyPr/>
          <a:lstStyle/>
          <a:p>
            <a:pPr>
              <a:defRPr sz="1600">
                <a:latin typeface="Arial" panose="020B0604020202020204" pitchFamily="34" charset="0"/>
                <a:cs typeface="Arial" panose="020B0604020202020204" pitchFamily="34" charset="0"/>
              </a:defRPr>
            </a:pPr>
            <a:endParaRPr lang="ru-RU"/>
          </a:p>
        </c:txPr>
        <c:crossAx val="161769728"/>
        <c:crosses val="autoZero"/>
        <c:crossBetween val="midCat"/>
        <c:majorUnit val="5000"/>
      </c:valAx>
      <c:spPr>
        <a:solidFill>
          <a:schemeClr val="bg1"/>
        </a:solidFill>
        <a:ln w="25400">
          <a:noFill/>
        </a:ln>
      </c:spPr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1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8384572240737823E-2"/>
          <c:y val="2.8662450096256769E-2"/>
          <c:w val="0.8999013274578247"/>
          <c:h val="0.88004337517760856"/>
        </c:manualLayout>
      </c:layout>
      <c:lineChart>
        <c:grouping val="standard"/>
        <c:varyColors val="0"/>
        <c:ser>
          <c:idx val="0"/>
          <c:order val="0"/>
          <c:spPr>
            <a:ln w="120650">
              <a:solidFill>
                <a:srgbClr val="FFC000"/>
              </a:solidFill>
            </a:ln>
          </c:spPr>
          <c:marker>
            <c:symbol val="circle"/>
            <c:size val="12"/>
            <c:spPr>
              <a:noFill/>
            </c:spPr>
          </c:marker>
          <c:cat>
            <c:numRef>
              <c:f>ПФ!$AY$6:$AY$41</c:f>
              <c:numCache>
                <c:formatCode>General</c:formatCode>
                <c:ptCount val="36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</c:numCache>
            </c:numRef>
          </c:cat>
          <c:val>
            <c:numRef>
              <c:f>ПФ!$BB$6:$BB$41</c:f>
              <c:numCache>
                <c:formatCode>0.00</c:formatCode>
                <c:ptCount val="36"/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0AD-43DB-93FA-B293F002D9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1811456"/>
        <c:axId val="161817728"/>
      </c:lineChart>
      <c:catAx>
        <c:axId val="161811456"/>
        <c:scaling>
          <c:orientation val="minMax"/>
        </c:scaling>
        <c:delete val="0"/>
        <c:axPos val="b"/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161817728"/>
        <c:crosses val="autoZero"/>
        <c:auto val="1"/>
        <c:lblAlgn val="ctr"/>
        <c:lblOffset val="100"/>
        <c:tickLblSkip val="2"/>
        <c:tickMarkSkip val="1"/>
        <c:noMultiLvlLbl val="0"/>
      </c:catAx>
      <c:valAx>
        <c:axId val="161817728"/>
        <c:scaling>
          <c:orientation val="minMax"/>
          <c:max val="0.4"/>
          <c:min val="0.1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161811456"/>
        <c:crosses val="autoZero"/>
        <c:crossBetween val="between"/>
        <c:majorUnit val="5.0000000000000024E-2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chemeClr val="bg1">
        <a:lumMod val="85000"/>
      </a:schemeClr>
    </a:solidFill>
    <a:ln w="3175">
      <a:solidFill>
        <a:srgbClr val="000000"/>
      </a:solidFill>
      <a:prstDash val="solid"/>
    </a:ln>
  </c:spPr>
  <c:txPr>
    <a:bodyPr/>
    <a:lstStyle/>
    <a:p>
      <a:pPr>
        <a:defRPr sz="975" b="0" i="0" u="none" strike="noStrike" baseline="0">
          <a:solidFill>
            <a:srgbClr val="000000"/>
          </a:solidFill>
          <a:latin typeface="Arial Cyr"/>
          <a:ea typeface="Arial Cyr"/>
          <a:cs typeface="Arial Cyr"/>
        </a:defRPr>
      </a:pPr>
      <a:endParaRPr lang="ru-RU"/>
    </a:p>
  </c:txPr>
  <c:printSettings>
    <c:headerFooter alignWithMargins="0"/>
    <c:pageMargins b="1" l="0.75000000000001465" r="0.75000000000001465" t="1" header="0.5" footer="0.5"/>
    <c:pageSetup/>
  </c:printSettings>
  <c:userShapes r:id="rId1"/>
</c:chartSpace>
</file>

<file path=xl/charts/chart1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0983513751095082E-2"/>
          <c:y val="1.817607708859921E-2"/>
          <c:w val="0.87470753843198612"/>
          <c:h val="0.91966429095740554"/>
        </c:manualLayout>
      </c:layout>
      <c:scatterChart>
        <c:scatterStyle val="lineMarker"/>
        <c:varyColors val="0"/>
        <c:ser>
          <c:idx val="0"/>
          <c:order val="0"/>
          <c:spPr>
            <a:ln w="92075">
              <a:solidFill>
                <a:srgbClr val="FFC000"/>
              </a:solidFill>
            </a:ln>
          </c:spPr>
          <c:marker>
            <c:symbol val="circle"/>
            <c:size val="17"/>
            <c:spPr>
              <a:noFill/>
            </c:spPr>
          </c:marker>
          <c:trendline>
            <c:spPr>
              <a:ln w="25400">
                <a:solidFill>
                  <a:srgbClr val="00B0F0"/>
                </a:solidFill>
                <a:prstDash val="lgDash"/>
              </a:ln>
            </c:spPr>
            <c:trendlineType val="linear"/>
            <c:forward val="15000"/>
            <c:dispRSqr val="1"/>
            <c:dispEq val="1"/>
            <c:trendlineLbl>
              <c:layout>
                <c:manualLayout>
                  <c:x val="-0.11202239634918768"/>
                  <c:y val="0.39522837672083705"/>
                </c:manualLayout>
              </c:layout>
              <c:tx>
                <c:rich>
                  <a:bodyPr/>
                  <a:lstStyle/>
                  <a:p>
                    <a:pPr>
                      <a:defRPr sz="1600">
                        <a:latin typeface="Arial" panose="020B0604020202020204" pitchFamily="34" charset="0"/>
                        <a:cs typeface="Arial" panose="020B0604020202020204" pitchFamily="34" charset="0"/>
                      </a:defRPr>
                    </a:pPr>
                    <a:r>
                      <a:rPr lang="ru-RU" sz="1600" baseline="0">
                        <a:latin typeface="Arial" panose="020B0604020202020204" pitchFamily="34" charset="0"/>
                        <a:cs typeface="Arial" panose="020B0604020202020204" pitchFamily="34" charset="0"/>
                      </a:rPr>
                      <a:t>ТРЕНД</a:t>
                    </a:r>
                    <a:endParaRPr lang="en-US" sz="1600" baseline="0">
                      <a:latin typeface="Arial" panose="020B0604020202020204" pitchFamily="34" charset="0"/>
                      <a:cs typeface="Arial" panose="020B0604020202020204" pitchFamily="34" charset="0"/>
                    </a:endParaRPr>
                  </a:p>
                  <a:p>
                    <a:pPr>
                      <a:defRPr sz="1600">
                        <a:latin typeface="Arial" panose="020B0604020202020204" pitchFamily="34" charset="0"/>
                        <a:cs typeface="Arial" panose="020B0604020202020204" pitchFamily="34" charset="0"/>
                      </a:defRPr>
                    </a:pPr>
                    <a:r>
                      <a:rPr lang="en-US" sz="1800" baseline="0">
                        <a:latin typeface="Arial" panose="020B0604020202020204" pitchFamily="34" charset="0"/>
                        <a:cs typeface="Arial" panose="020B0604020202020204" pitchFamily="34" charset="0"/>
                      </a:rPr>
                      <a:t>y = 0,2479x - 104,47</a:t>
                    </a:r>
                    <a:br>
                      <a:rPr lang="en-US" sz="1800" baseline="0">
                        <a:latin typeface="Arial" panose="020B0604020202020204" pitchFamily="34" charset="0"/>
                        <a:cs typeface="Arial" panose="020B0604020202020204" pitchFamily="34" charset="0"/>
                      </a:rPr>
                    </a:br>
                    <a:r>
                      <a:rPr lang="en-US" sz="1800" baseline="0">
                        <a:latin typeface="Arial" panose="020B0604020202020204" pitchFamily="34" charset="0"/>
                        <a:cs typeface="Arial" panose="020B0604020202020204" pitchFamily="34" charset="0"/>
                      </a:rPr>
                      <a:t>R² = 0,9906</a:t>
                    </a:r>
                    <a:endParaRPr lang="en-US" sz="1800">
                      <a:latin typeface="Arial" panose="020B0604020202020204" pitchFamily="34" charset="0"/>
                      <a:cs typeface="Arial" panose="020B0604020202020204" pitchFamily="34" charset="0"/>
                    </a:endParaRPr>
                  </a:p>
                </c:rich>
              </c:tx>
              <c:numFmt formatCode="General" sourceLinked="0"/>
            </c:trendlineLbl>
          </c:trendline>
          <c:xVal>
            <c:numRef>
              <c:f>ПФ!$BC$49:$BC$68</c:f>
              <c:numCache>
                <c:formatCode>0</c:formatCode>
                <c:ptCount val="20"/>
                <c:pt idx="0">
                  <c:v>2059.3085900000001</c:v>
                </c:pt>
                <c:pt idx="1">
                  <c:v>2419.1306</c:v>
                </c:pt>
                <c:pt idx="2">
                  <c:v>3669.0060599999997</c:v>
                </c:pt>
                <c:pt idx="3">
                  <c:v>5625.7177499999998</c:v>
                </c:pt>
                <c:pt idx="4">
                  <c:v>7628.1318599999995</c:v>
                </c:pt>
                <c:pt idx="5">
                  <c:v>9553.8395499999988</c:v>
                </c:pt>
                <c:pt idx="6">
                  <c:v>11638.622939999997</c:v>
                </c:pt>
                <c:pt idx="7">
                  <c:v>14639.912769999997</c:v>
                </c:pt>
                <c:pt idx="8">
                  <c:v>18554.683059999996</c:v>
                </c:pt>
                <c:pt idx="9">
                  <c:v>23346.96499</c:v>
                </c:pt>
                <c:pt idx="10">
                  <c:v>29020.870870000002</c:v>
                </c:pt>
                <c:pt idx="11">
                  <c:v>35996.119299999998</c:v>
                </c:pt>
                <c:pt idx="12">
                  <c:v>38436.192849999999</c:v>
                </c:pt>
                <c:pt idx="13">
                  <c:v>43051.816610000002</c:v>
                </c:pt>
                <c:pt idx="14">
                  <c:v>51795.283680000008</c:v>
                </c:pt>
                <c:pt idx="15">
                  <c:v>61428.409870000003</c:v>
                </c:pt>
                <c:pt idx="16">
                  <c:v>69072.620559999996</c:v>
                </c:pt>
                <c:pt idx="17">
                  <c:v>75101.94515</c:v>
                </c:pt>
                <c:pt idx="18">
                  <c:v>79891.179019999996</c:v>
                </c:pt>
                <c:pt idx="19">
                  <c:v>83746.8</c:v>
                </c:pt>
              </c:numCache>
            </c:numRef>
          </c:xVal>
          <c:yVal>
            <c:numRef>
              <c:f>ПФ!$BB$49:$BB$68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F44-481E-B379-E6E9FF0ED4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022144"/>
        <c:axId val="162024064"/>
      </c:scatterChart>
      <c:valAx>
        <c:axId val="162022144"/>
        <c:scaling>
          <c:orientation val="minMax"/>
          <c:max val="100000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2400" b="0"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r>
                  <a:rPr lang="en-US" sz="2400" b="0">
                    <a:latin typeface="Arial" panose="020B0604020202020204" pitchFamily="34" charset="0"/>
                    <a:cs typeface="Arial" panose="020B0604020202020204" pitchFamily="34" charset="0"/>
                  </a:rPr>
                  <a:t>xt = 0,5*WWPt+0,3*WWPt-</a:t>
                </a:r>
                <a:r>
                  <a:rPr lang="en-US" sz="1800" b="0">
                    <a:latin typeface="Arial" panose="020B0604020202020204" pitchFamily="34" charset="0"/>
                    <a:cs typeface="Arial" panose="020B0604020202020204" pitchFamily="34" charset="0"/>
                  </a:rPr>
                  <a:t>1</a:t>
                </a:r>
                <a:r>
                  <a:rPr lang="en-US" sz="2400" b="0">
                    <a:latin typeface="Arial" panose="020B0604020202020204" pitchFamily="34" charset="0"/>
                    <a:cs typeface="Arial" panose="020B0604020202020204" pitchFamily="34" charset="0"/>
                  </a:rPr>
                  <a:t>+0,2*WWPt-</a:t>
                </a:r>
                <a:r>
                  <a:rPr lang="en-US" sz="1800" b="0">
                    <a:latin typeface="Arial" panose="020B0604020202020204" pitchFamily="34" charset="0"/>
                    <a:cs typeface="Arial" panose="020B0604020202020204" pitchFamily="34" charset="0"/>
                  </a:rPr>
                  <a:t>2</a:t>
                </a:r>
                <a:endParaRPr lang="ru-RU" sz="2400" b="0"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layout>
            <c:manualLayout>
              <c:xMode val="edge"/>
              <c:yMode val="edge"/>
              <c:x val="0.34076225815272793"/>
              <c:y val="0.88231555788843452"/>
            </c:manualLayout>
          </c:layout>
          <c:overlay val="0"/>
        </c:title>
        <c:numFmt formatCode="0" sourceLinked="1"/>
        <c:majorTickMark val="out"/>
        <c:minorTickMark val="none"/>
        <c:tickLblPos val="nextTo"/>
        <c:txPr>
          <a:bodyPr/>
          <a:lstStyle/>
          <a:p>
            <a:pPr>
              <a:defRPr sz="1600">
                <a:latin typeface="Arial" panose="020B0604020202020204" pitchFamily="34" charset="0"/>
                <a:cs typeface="Arial" panose="020B0604020202020204" pitchFamily="34" charset="0"/>
              </a:defRPr>
            </a:pPr>
            <a:endParaRPr lang="ru-RU"/>
          </a:p>
        </c:txPr>
        <c:crossAx val="162024064"/>
        <c:crosses val="autoZero"/>
        <c:crossBetween val="midCat"/>
        <c:majorUnit val="25000"/>
      </c:valAx>
      <c:valAx>
        <c:axId val="162024064"/>
        <c:scaling>
          <c:orientation val="minMax"/>
          <c:max val="25000"/>
          <c:min val="0"/>
        </c:scaling>
        <c:delete val="0"/>
        <c:axPos val="l"/>
        <c:majorGridlines/>
        <c:title>
          <c:tx>
            <c:rich>
              <a:bodyPr rot="0" vert="horz"/>
              <a:lstStyle/>
              <a:p>
                <a:pPr>
                  <a:defRPr sz="2000" b="0"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r>
                  <a:rPr lang="en-US" sz="2000" b="0">
                    <a:latin typeface="Arial" panose="020B0604020202020204" pitchFamily="34" charset="0"/>
                    <a:cs typeface="Arial" panose="020B0604020202020204" pitchFamily="34" charset="0"/>
                  </a:rPr>
                  <a:t>YGM</a:t>
                </a:r>
                <a:endParaRPr lang="ru-RU" sz="2000" b="0"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layout>
            <c:manualLayout>
              <c:xMode val="edge"/>
              <c:yMode val="edge"/>
              <c:x val="0.10591864647148727"/>
              <c:y val="2.952465008386897E-2"/>
            </c:manualLayout>
          </c:layout>
          <c:overlay val="0"/>
        </c:title>
        <c:numFmt formatCode="0" sourceLinked="1"/>
        <c:majorTickMark val="out"/>
        <c:minorTickMark val="none"/>
        <c:tickLblPos val="nextTo"/>
        <c:txPr>
          <a:bodyPr/>
          <a:lstStyle/>
          <a:p>
            <a:pPr>
              <a:defRPr sz="1600">
                <a:latin typeface="Arial" panose="020B0604020202020204" pitchFamily="34" charset="0"/>
                <a:cs typeface="Arial" panose="020B0604020202020204" pitchFamily="34" charset="0"/>
              </a:defRPr>
            </a:pPr>
            <a:endParaRPr lang="ru-RU"/>
          </a:p>
        </c:txPr>
        <c:crossAx val="162022144"/>
        <c:crosses val="autoZero"/>
        <c:crossBetween val="midCat"/>
        <c:majorUnit val="5000"/>
      </c:valAx>
      <c:spPr>
        <a:solidFill>
          <a:schemeClr val="bg1"/>
        </a:solidFill>
        <a:ln w="25400">
          <a:noFill/>
        </a:ln>
      </c:spPr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1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5688011128322033E-2"/>
          <c:y val="1.2828885043388583E-2"/>
          <c:w val="0.89467940368170096"/>
          <c:h val="0.92848579199769943"/>
        </c:manualLayout>
      </c:layout>
      <c:scatterChart>
        <c:scatterStyle val="lineMarker"/>
        <c:varyColors val="0"/>
        <c:ser>
          <c:idx val="1"/>
          <c:order val="0"/>
          <c:spPr>
            <a:ln w="28575">
              <a:noFill/>
            </a:ln>
          </c:spPr>
          <c:marker>
            <c:symbol val="square"/>
            <c:size val="18"/>
            <c:spPr>
              <a:solidFill>
                <a:srgbClr val="FFC000"/>
              </a:solidFill>
              <a:ln>
                <a:solidFill>
                  <a:srgbClr val="FFC000"/>
                </a:solidFill>
              </a:ln>
            </c:spPr>
          </c:marker>
          <c:xVal>
            <c:numRef>
              <c:f>ПФ!$G$87:$G$108</c:f>
              <c:numCache>
                <c:formatCode>0.00</c:formatCode>
                <c:ptCount val="22"/>
                <c:pt idx="0">
                  <c:v>1</c:v>
                </c:pt>
                <c:pt idx="1">
                  <c:v>1.218</c:v>
                </c:pt>
                <c:pt idx="2">
                  <c:v>1.3519800000000002</c:v>
                </c:pt>
                <c:pt idx="3">
                  <c:v>2.4930511200000005</c:v>
                </c:pt>
                <c:pt idx="4">
                  <c:v>3.4030147788000007</c:v>
                </c:pt>
                <c:pt idx="5">
                  <c:v>4.0904237641176007</c:v>
                </c:pt>
                <c:pt idx="6">
                  <c:v>4.8512425842434741</c:v>
                </c:pt>
                <c:pt idx="7">
                  <c:v>5.5837802144642392</c:v>
                </c:pt>
                <c:pt idx="8">
                  <c:v>6.2538338401999489</c:v>
                </c:pt>
                <c:pt idx="9">
                  <c:v>6.9855323995033425</c:v>
                </c:pt>
                <c:pt idx="10">
                  <c:v>7.7469554310492068</c:v>
                </c:pt>
                <c:pt idx="11">
                  <c:v>8.4441814198436358</c:v>
                </c:pt>
                <c:pt idx="12">
                  <c:v>9.4465057543790749</c:v>
                </c:pt>
                <c:pt idx="13">
                  <c:v>10.701001718560617</c:v>
                </c:pt>
                <c:pt idx="14">
                  <c:v>11.642689869793951</c:v>
                </c:pt>
                <c:pt idx="15">
                  <c:v>12.664918040361862</c:v>
                </c:pt>
                <c:pt idx="16">
                  <c:v>13.437478040823935</c:v>
                </c:pt>
                <c:pt idx="17">
                  <c:v>14.321664095910151</c:v>
                </c:pt>
                <c:pt idx="18">
                  <c:v>15.245411430096356</c:v>
                </c:pt>
                <c:pt idx="19">
                  <c:v>17.318787384589459</c:v>
                </c:pt>
                <c:pt idx="20">
                  <c:v>19.552910957201501</c:v>
                </c:pt>
                <c:pt idx="21">
                  <c:v>20.608768148890384</c:v>
                </c:pt>
              </c:numCache>
            </c:numRef>
          </c:xVal>
          <c:yVal>
            <c:numRef>
              <c:f>ПФ!$F$87:$F$108</c:f>
              <c:numCache>
                <c:formatCode>0.00</c:formatCode>
                <c:ptCount val="22"/>
                <c:pt idx="0">
                  <c:v>1</c:v>
                </c:pt>
                <c:pt idx="1">
                  <c:v>1.6953967315458069</c:v>
                </c:pt>
                <c:pt idx="2">
                  <c:v>2.415292468742241</c:v>
                </c:pt>
                <c:pt idx="3">
                  <c:v>2.6727462335842294</c:v>
                </c:pt>
                <c:pt idx="4">
                  <c:v>3.4893420575027583</c:v>
                </c:pt>
                <c:pt idx="5">
                  <c:v>3.9448052793534916</c:v>
                </c:pt>
                <c:pt idx="6">
                  <c:v>4.3960246162225971</c:v>
                </c:pt>
                <c:pt idx="7">
                  <c:v>5.8843823618297426</c:v>
                </c:pt>
                <c:pt idx="8">
                  <c:v>5.9009164044902702</c:v>
                </c:pt>
                <c:pt idx="9">
                  <c:v>5.7361386042739939</c:v>
                </c:pt>
                <c:pt idx="10">
                  <c:v>7.7188495068870884</c:v>
                </c:pt>
                <c:pt idx="11">
                  <c:v>7.333907061981483</c:v>
                </c:pt>
                <c:pt idx="12">
                  <c:v>7.9418012798076241</c:v>
                </c:pt>
                <c:pt idx="13">
                  <c:v>9.313557709187231</c:v>
                </c:pt>
                <c:pt idx="14">
                  <c:v>10.66694831320229</c:v>
                </c:pt>
                <c:pt idx="15">
                  <c:v>11.27644871677545</c:v>
                </c:pt>
                <c:pt idx="16">
                  <c:v>12.282914423380722</c:v>
                </c:pt>
                <c:pt idx="17">
                  <c:v>13.249096044334456</c:v>
                </c:pt>
                <c:pt idx="18">
                  <c:v>14.15863931501705</c:v>
                </c:pt>
                <c:pt idx="19">
                  <c:v>14.240158664898729</c:v>
                </c:pt>
                <c:pt idx="20">
                  <c:v>14.837823597492827</c:v>
                </c:pt>
                <c:pt idx="21">
                  <c:v>15.707409284457475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9A6-4E15-85BE-97C03E252A43}"/>
            </c:ext>
          </c:extLst>
        </c:ser>
        <c:ser>
          <c:idx val="0"/>
          <c:order val="1"/>
          <c:spPr>
            <a:ln w="28575">
              <a:noFill/>
            </a:ln>
          </c:spPr>
          <c:trendline>
            <c:spPr>
              <a:ln w="25400">
                <a:solidFill>
                  <a:srgbClr val="00B0F0"/>
                </a:solidFill>
                <a:prstDash val="lgDash"/>
              </a:ln>
            </c:spPr>
            <c:trendlineType val="linear"/>
            <c:forward val="10"/>
            <c:dispRSqr val="1"/>
            <c:dispEq val="1"/>
            <c:trendlineLbl>
              <c:layout>
                <c:manualLayout>
                  <c:x val="-0.21466873049545318"/>
                  <c:y val="0.19918633977103894"/>
                </c:manualLayout>
              </c:layout>
              <c:tx>
                <c:rich>
                  <a:bodyPr/>
                  <a:lstStyle/>
                  <a:p>
                    <a:pPr>
                      <a:defRPr sz="1800">
                        <a:latin typeface="Arial" panose="020B0604020202020204" pitchFamily="34" charset="0"/>
                        <a:cs typeface="Arial" panose="020B0604020202020204" pitchFamily="34" charset="0"/>
                      </a:defRPr>
                    </a:pPr>
                    <a:r>
                      <a:rPr lang="en-US" sz="1800" baseline="0">
                        <a:solidFill>
                          <a:sysClr val="windowText" lastClr="000000"/>
                        </a:solidFill>
                        <a:latin typeface="Arial" panose="020B0604020202020204" pitchFamily="34" charset="0"/>
                        <a:cs typeface="Arial" panose="020B0604020202020204" pitchFamily="34" charset="0"/>
                      </a:rPr>
                      <a:t>y = 0,866x + 0,477</a:t>
                    </a:r>
                    <a:br>
                      <a:rPr lang="en-US" sz="1800" baseline="0">
                        <a:solidFill>
                          <a:sysClr val="windowText" lastClr="000000"/>
                        </a:solidFill>
                        <a:latin typeface="Arial" panose="020B0604020202020204" pitchFamily="34" charset="0"/>
                        <a:cs typeface="Arial" panose="020B0604020202020204" pitchFamily="34" charset="0"/>
                      </a:rPr>
                    </a:br>
                    <a:r>
                      <a:rPr lang="en-US" sz="1800" baseline="0">
                        <a:solidFill>
                          <a:sysClr val="windowText" lastClr="000000"/>
                        </a:solidFill>
                        <a:latin typeface="Arial" panose="020B0604020202020204" pitchFamily="34" charset="0"/>
                        <a:cs typeface="Arial" panose="020B0604020202020204" pitchFamily="34" charset="0"/>
                      </a:rPr>
                      <a:t>R² = 0,9884</a:t>
                    </a:r>
                    <a:endParaRPr lang="en-US" sz="1800">
                      <a:solidFill>
                        <a:sysClr val="windowText" lastClr="000000"/>
                      </a:solidFill>
                      <a:latin typeface="Arial" panose="020B0604020202020204" pitchFamily="34" charset="0"/>
                      <a:cs typeface="Arial" panose="020B0604020202020204" pitchFamily="34" charset="0"/>
                    </a:endParaRPr>
                  </a:p>
                </c:rich>
              </c:tx>
              <c:numFmt formatCode="General" sourceLinked="0"/>
              <c:spPr>
                <a:ln>
                  <a:solidFill>
                    <a:srgbClr val="00B0F0"/>
                  </a:solidFill>
                </a:ln>
              </c:spPr>
            </c:trendlineLbl>
          </c:trendline>
          <c:xVal>
            <c:numRef>
              <c:f>ПФ!$H$87:$H$105</c:f>
              <c:numCache>
                <c:formatCode>0.00</c:formatCode>
                <c:ptCount val="19"/>
                <c:pt idx="0">
                  <c:v>1</c:v>
                </c:pt>
                <c:pt idx="1">
                  <c:v>1.218</c:v>
                </c:pt>
                <c:pt idx="2">
                  <c:v>1.3519800000000002</c:v>
                </c:pt>
                <c:pt idx="3">
                  <c:v>2.4930511200000005</c:v>
                </c:pt>
                <c:pt idx="4">
                  <c:v>3.4030147788000007</c:v>
                </c:pt>
                <c:pt idx="5">
                  <c:v>4.0904237641176007</c:v>
                </c:pt>
                <c:pt idx="6">
                  <c:v>4.8512425842434741</c:v>
                </c:pt>
                <c:pt idx="7">
                  <c:v>5.5837802144642392</c:v>
                </c:pt>
                <c:pt idx="8">
                  <c:v>6.2538338401999489</c:v>
                </c:pt>
                <c:pt idx="9">
                  <c:v>6.9855323995033425</c:v>
                </c:pt>
                <c:pt idx="10">
                  <c:v>7.7469554310492068</c:v>
                </c:pt>
                <c:pt idx="11">
                  <c:v>8.4441814198436358</c:v>
                </c:pt>
                <c:pt idx="12">
                  <c:v>9.4465057543790749</c:v>
                </c:pt>
                <c:pt idx="13">
                  <c:v>10.701001718560617</c:v>
                </c:pt>
                <c:pt idx="14">
                  <c:v>11.642689869793951</c:v>
                </c:pt>
                <c:pt idx="15">
                  <c:v>12.664918040361862</c:v>
                </c:pt>
                <c:pt idx="16">
                  <c:v>13.437478040823935</c:v>
                </c:pt>
                <c:pt idx="17">
                  <c:v>14.321664095910151</c:v>
                </c:pt>
                <c:pt idx="18">
                  <c:v>15.245411430096356</c:v>
                </c:pt>
              </c:numCache>
            </c:numRef>
          </c:xVal>
          <c:yVal>
            <c:numRef>
              <c:f>ПФ!$F$87:$F$105</c:f>
              <c:numCache>
                <c:formatCode>0.00</c:formatCode>
                <c:ptCount val="19"/>
                <c:pt idx="0">
                  <c:v>1</c:v>
                </c:pt>
                <c:pt idx="1">
                  <c:v>1.6953967315458069</c:v>
                </c:pt>
                <c:pt idx="2">
                  <c:v>2.415292468742241</c:v>
                </c:pt>
                <c:pt idx="3">
                  <c:v>2.6727462335842294</c:v>
                </c:pt>
                <c:pt idx="4">
                  <c:v>3.4893420575027583</c:v>
                </c:pt>
                <c:pt idx="5">
                  <c:v>3.9448052793534916</c:v>
                </c:pt>
                <c:pt idx="6">
                  <c:v>4.3960246162225971</c:v>
                </c:pt>
                <c:pt idx="7">
                  <c:v>5.8843823618297426</c:v>
                </c:pt>
                <c:pt idx="8">
                  <c:v>5.9009164044902702</c:v>
                </c:pt>
                <c:pt idx="9">
                  <c:v>5.7361386042739939</c:v>
                </c:pt>
                <c:pt idx="10">
                  <c:v>7.7188495068870884</c:v>
                </c:pt>
                <c:pt idx="11">
                  <c:v>7.333907061981483</c:v>
                </c:pt>
                <c:pt idx="12">
                  <c:v>7.9418012798076241</c:v>
                </c:pt>
                <c:pt idx="13">
                  <c:v>9.313557709187231</c:v>
                </c:pt>
                <c:pt idx="14">
                  <c:v>10.66694831320229</c:v>
                </c:pt>
                <c:pt idx="15">
                  <c:v>11.27644871677545</c:v>
                </c:pt>
                <c:pt idx="16">
                  <c:v>12.282914423380722</c:v>
                </c:pt>
                <c:pt idx="17">
                  <c:v>13.249096044334456</c:v>
                </c:pt>
                <c:pt idx="18">
                  <c:v>14.15863931501705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1B1-4A3B-A6C5-DAD1D55650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066816"/>
        <c:axId val="162068736"/>
      </c:scatterChart>
      <c:valAx>
        <c:axId val="162066816"/>
        <c:scaling>
          <c:orientation val="minMax"/>
          <c:max val="30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2400" b="0"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r>
                  <a:rPr lang="en-US" sz="2000" b="0">
                    <a:latin typeface="Arial" panose="020B0604020202020204" pitchFamily="34" charset="0"/>
                    <a:cs typeface="Arial" panose="020B0604020202020204" pitchFamily="34" charset="0"/>
                  </a:rPr>
                  <a:t>IPC</a:t>
                </a:r>
                <a:endParaRPr lang="ru-RU" sz="2000" b="0"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layout>
            <c:manualLayout>
              <c:xMode val="edge"/>
              <c:yMode val="edge"/>
              <c:x val="0.83909025256233893"/>
              <c:y val="0.84209886445453752"/>
            </c:manualLayout>
          </c:layout>
          <c:overlay val="0"/>
        </c:title>
        <c:numFmt formatCode="0.0" sourceLinked="0"/>
        <c:majorTickMark val="out"/>
        <c:minorTickMark val="none"/>
        <c:tickLblPos val="nextTo"/>
        <c:txPr>
          <a:bodyPr/>
          <a:lstStyle/>
          <a:p>
            <a:pPr>
              <a:defRPr sz="1600">
                <a:latin typeface="Arial" panose="020B0604020202020204" pitchFamily="34" charset="0"/>
                <a:cs typeface="Arial" panose="020B0604020202020204" pitchFamily="34" charset="0"/>
              </a:defRPr>
            </a:pPr>
            <a:endParaRPr lang="ru-RU"/>
          </a:p>
        </c:txPr>
        <c:crossAx val="162068736"/>
        <c:crosses val="autoZero"/>
        <c:crossBetween val="midCat"/>
        <c:majorUnit val="5"/>
      </c:valAx>
      <c:valAx>
        <c:axId val="162068736"/>
        <c:scaling>
          <c:orientation val="minMax"/>
          <c:max val="25"/>
          <c:min val="0"/>
        </c:scaling>
        <c:delete val="0"/>
        <c:axPos val="l"/>
        <c:majorGridlines/>
        <c:title>
          <c:tx>
            <c:rich>
              <a:bodyPr rot="0" vert="horz"/>
              <a:lstStyle/>
              <a:p>
                <a:pPr>
                  <a:defRPr sz="2000" b="0"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r>
                  <a:rPr lang="en-US" sz="2000" b="0">
                    <a:latin typeface="Arial" panose="020B0604020202020204" pitchFamily="34" charset="0"/>
                    <a:cs typeface="Arial" panose="020B0604020202020204" pitchFamily="34" charset="0"/>
                  </a:rPr>
                  <a:t>Dww</a:t>
                </a:r>
                <a:endParaRPr lang="ru-RU" sz="2000" b="0"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layout>
            <c:manualLayout>
              <c:xMode val="edge"/>
              <c:yMode val="edge"/>
              <c:x val="9.8901109598199768E-2"/>
              <c:y val="3.9957570053822986E-2"/>
            </c:manualLayout>
          </c:layout>
          <c:overlay val="0"/>
        </c:title>
        <c:numFmt formatCode="0.0" sourceLinked="0"/>
        <c:majorTickMark val="out"/>
        <c:minorTickMark val="none"/>
        <c:tickLblPos val="nextTo"/>
        <c:txPr>
          <a:bodyPr/>
          <a:lstStyle/>
          <a:p>
            <a:pPr>
              <a:defRPr sz="1600">
                <a:latin typeface="Arial" panose="020B0604020202020204" pitchFamily="34" charset="0"/>
                <a:cs typeface="Arial" panose="020B0604020202020204" pitchFamily="34" charset="0"/>
              </a:defRPr>
            </a:pPr>
            <a:endParaRPr lang="ru-RU"/>
          </a:p>
        </c:txPr>
        <c:crossAx val="162066816"/>
        <c:crosses val="autoZero"/>
        <c:crossBetween val="midCat"/>
        <c:majorUnit val="5"/>
      </c:valAx>
      <c:spPr>
        <a:solidFill>
          <a:schemeClr val="bg1"/>
        </a:solidFill>
        <a:ln w="25400">
          <a:noFill/>
        </a:ln>
      </c:spPr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1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4.5248365483876646E-2"/>
          <c:y val="1.0014447494762461E-2"/>
          <c:w val="0.8999013274578247"/>
          <c:h val="0.88004337517760856"/>
        </c:manualLayout>
      </c:layout>
      <c:lineChart>
        <c:grouping val="standard"/>
        <c:varyColors val="0"/>
        <c:ser>
          <c:idx val="0"/>
          <c:order val="0"/>
          <c:spPr>
            <a:ln w="88900">
              <a:solidFill>
                <a:schemeClr val="accent1">
                  <a:shade val="95000"/>
                  <a:satMod val="105000"/>
                  <a:alpha val="78000"/>
                </a:schemeClr>
              </a:solidFill>
            </a:ln>
          </c:spPr>
          <c:marker>
            <c:symbol val="none"/>
          </c:marker>
          <c:cat>
            <c:numRef>
              <c:f>ПФ!$AB$87:$AB$122</c:f>
              <c:numCache>
                <c:formatCode>General</c:formatCode>
                <c:ptCount val="36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</c:numCache>
            </c:numRef>
          </c:cat>
          <c:val>
            <c:numRef>
              <c:f>ПФ!$AC$87:$AC$122</c:f>
              <c:numCache>
                <c:formatCode>0.00</c:formatCode>
                <c:ptCount val="36"/>
                <c:pt idx="0" formatCode="0">
                  <c:v>1</c:v>
                </c:pt>
                <c:pt idx="1">
                  <c:v>1.6953967315458069</c:v>
                </c:pt>
                <c:pt idx="2">
                  <c:v>2.415292468742241</c:v>
                </c:pt>
                <c:pt idx="3">
                  <c:v>2.6727462335842294</c:v>
                </c:pt>
                <c:pt idx="4">
                  <c:v>3.4893420575027583</c:v>
                </c:pt>
                <c:pt idx="5">
                  <c:v>3.9448052793534916</c:v>
                </c:pt>
                <c:pt idx="6">
                  <c:v>4.3960246162225971</c:v>
                </c:pt>
                <c:pt idx="7">
                  <c:v>5.8843823618297426</c:v>
                </c:pt>
                <c:pt idx="8">
                  <c:v>5.9009164044902702</c:v>
                </c:pt>
                <c:pt idx="9">
                  <c:v>5.7361386042739939</c:v>
                </c:pt>
                <c:pt idx="10">
                  <c:v>7.7188495068870884</c:v>
                </c:pt>
                <c:pt idx="11">
                  <c:v>7.333907061981483</c:v>
                </c:pt>
                <c:pt idx="12">
                  <c:v>7.9418012798076241</c:v>
                </c:pt>
                <c:pt idx="13">
                  <c:v>9.313557709187231</c:v>
                </c:pt>
                <c:pt idx="14">
                  <c:v>10.66694831320229</c:v>
                </c:pt>
                <c:pt idx="15">
                  <c:v>11.27644871677545</c:v>
                </c:pt>
                <c:pt idx="16">
                  <c:v>12.282914423380722</c:v>
                </c:pt>
                <c:pt idx="17">
                  <c:v>13.249096044334456</c:v>
                </c:pt>
                <c:pt idx="18">
                  <c:v>14.15863931501705</c:v>
                </c:pt>
                <c:pt idx="19">
                  <c:v>14.240158664898729</c:v>
                </c:pt>
                <c:pt idx="20">
                  <c:v>14.837823597492827</c:v>
                </c:pt>
                <c:pt idx="21">
                  <c:v>15.707409284457475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505-4B72-9936-C9CB0C01E5C7}"/>
            </c:ext>
          </c:extLst>
        </c:ser>
        <c:ser>
          <c:idx val="1"/>
          <c:order val="1"/>
          <c:cat>
            <c:numRef>
              <c:f>ПФ!$AB$87:$AB$122</c:f>
              <c:numCache>
                <c:formatCode>General</c:formatCode>
                <c:ptCount val="36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</c:numCache>
            </c:numRef>
          </c:cat>
          <c:val>
            <c:numRef>
              <c:f>ПФ!$AD$87:$AD$122</c:f>
              <c:numCache>
                <c:formatCode>0.00</c:formatCode>
                <c:ptCount val="36"/>
                <c:pt idx="20">
                  <c:v>14.837823597492827</c:v>
                </c:pt>
                <c:pt idx="21">
                  <c:v>15.707409284457475</c:v>
                </c:pt>
                <c:pt idx="22">
                  <c:v>16.533515687073891</c:v>
                </c:pt>
                <c:pt idx="23">
                  <c:v>17.318316769559488</c:v>
                </c:pt>
                <c:pt idx="24">
                  <c:v>18.063877797920803</c:v>
                </c:pt>
                <c:pt idx="25">
                  <c:v>18.772160774864052</c:v>
                </c:pt>
                <c:pt idx="26">
                  <c:v>19.445029602960137</c:v>
                </c:pt>
                <c:pt idx="27">
                  <c:v>20.084254989651416</c:v>
                </c:pt>
                <c:pt idx="28">
                  <c:v>20.691519107008133</c:v>
                </c:pt>
                <c:pt idx="29">
                  <c:v>21.268420018497014</c:v>
                </c:pt>
                <c:pt idx="30">
                  <c:v>21.816475884411453</c:v>
                </c:pt>
                <c:pt idx="31">
                  <c:v>22.337128957030171</c:v>
                </c:pt>
                <c:pt idx="32">
                  <c:v>22.831749376017953</c:v>
                </c:pt>
                <c:pt idx="33">
                  <c:v>23.301638774056347</c:v>
                </c:pt>
                <c:pt idx="34">
                  <c:v>23.748033702192821</c:v>
                </c:pt>
                <c:pt idx="35">
                  <c:v>24.172108883922473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505-4B72-9936-C9CB0C01E5C7}"/>
            </c:ext>
          </c:extLst>
        </c:ser>
        <c:ser>
          <c:idx val="2"/>
          <c:order val="2"/>
          <c:spPr>
            <a:ln w="60325">
              <a:solidFill>
                <a:srgbClr val="FFC000"/>
              </a:solidFill>
            </a:ln>
          </c:spPr>
          <c:marker>
            <c:symbol val="none"/>
          </c:marker>
          <c:cat>
            <c:numRef>
              <c:f>ПФ!$AB$87:$AB$122</c:f>
              <c:numCache>
                <c:formatCode>General</c:formatCode>
                <c:ptCount val="36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</c:numCache>
            </c:numRef>
          </c:cat>
          <c:val>
            <c:numRef>
              <c:f>ПФ!$AE$87:$AE$122</c:f>
              <c:numCache>
                <c:formatCode>0.00</c:formatCode>
                <c:ptCount val="36"/>
                <c:pt idx="0" formatCode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505-4B72-9936-C9CB0C01E5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1917184"/>
        <c:axId val="161935360"/>
      </c:lineChart>
      <c:catAx>
        <c:axId val="161917184"/>
        <c:scaling>
          <c:orientation val="minMax"/>
        </c:scaling>
        <c:delete val="0"/>
        <c:axPos val="b"/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161935360"/>
        <c:crosses val="autoZero"/>
        <c:auto val="1"/>
        <c:lblAlgn val="ctr"/>
        <c:lblOffset val="100"/>
        <c:tickLblSkip val="2"/>
        <c:tickMarkSkip val="1"/>
        <c:noMultiLvlLbl val="0"/>
      </c:catAx>
      <c:valAx>
        <c:axId val="161935360"/>
        <c:scaling>
          <c:orientation val="minMax"/>
          <c:max val="30"/>
          <c:min val="1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161917184"/>
        <c:crosses val="autoZero"/>
        <c:crossBetween val="between"/>
        <c:majorUnit val="5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chemeClr val="bg1">
        <a:lumMod val="85000"/>
      </a:schemeClr>
    </a:solidFill>
    <a:ln w="3175">
      <a:solidFill>
        <a:srgbClr val="000000"/>
      </a:solidFill>
      <a:prstDash val="solid"/>
    </a:ln>
  </c:spPr>
  <c:txPr>
    <a:bodyPr/>
    <a:lstStyle/>
    <a:p>
      <a:pPr>
        <a:defRPr sz="975" b="0" i="0" u="none" strike="noStrike" baseline="0">
          <a:solidFill>
            <a:srgbClr val="000000"/>
          </a:solidFill>
          <a:latin typeface="Arial Cyr"/>
          <a:ea typeface="Arial Cyr"/>
          <a:cs typeface="Arial Cyr"/>
        </a:defRPr>
      </a:pPr>
      <a:endParaRPr lang="ru-RU"/>
    </a:p>
  </c:txPr>
  <c:printSettings>
    <c:headerFooter alignWithMargins="0"/>
    <c:pageMargins b="1" l="0.75000000000001465" r="0.75000000000001465" t="1" header="0.5" footer="0.5"/>
    <c:pageSetup/>
  </c:printSettings>
  <c:userShapes r:id="rId1"/>
</c:chartSpace>
</file>

<file path=xl/charts/chart1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4.5248365483876646E-2"/>
          <c:y val="1.0014447494762461E-2"/>
          <c:w val="0.8999013274578247"/>
          <c:h val="0.88004337517760856"/>
        </c:manualLayout>
      </c:layout>
      <c:lineChart>
        <c:grouping val="standard"/>
        <c:varyColors val="0"/>
        <c:ser>
          <c:idx val="0"/>
          <c:order val="0"/>
          <c:spPr>
            <a:ln w="82550"/>
          </c:spPr>
          <c:marker>
            <c:symbol val="none"/>
          </c:marker>
          <c:cat>
            <c:numRef>
              <c:f>ПФ!$AW$87:$AW$122</c:f>
              <c:numCache>
                <c:formatCode>General</c:formatCode>
                <c:ptCount val="36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</c:numCache>
            </c:numRef>
          </c:cat>
          <c:val>
            <c:numRef>
              <c:f>ПФ!$AX$87:$AX$122</c:f>
              <c:numCache>
                <c:formatCode>0.00</c:formatCode>
                <c:ptCount val="36"/>
                <c:pt idx="0" formatCode="0">
                  <c:v>1</c:v>
                </c:pt>
                <c:pt idx="1">
                  <c:v>2.4661634872716665</c:v>
                </c:pt>
                <c:pt idx="2">
                  <c:v>2.5165818894824628</c:v>
                </c:pt>
                <c:pt idx="3">
                  <c:v>2.6836249787031963</c:v>
                </c:pt>
                <c:pt idx="4">
                  <c:v>2.701164323022275</c:v>
                </c:pt>
                <c:pt idx="5">
                  <c:v>3.2947518370474893</c:v>
                </c:pt>
                <c:pt idx="6">
                  <c:v>3.7846782806927575</c:v>
                </c:pt>
                <c:pt idx="7">
                  <c:v>4.5228031897927927</c:v>
                </c:pt>
                <c:pt idx="8">
                  <c:v>5.542638112686384</c:v>
                </c:pt>
                <c:pt idx="9">
                  <c:v>6.2728522161048463</c:v>
                </c:pt>
                <c:pt idx="10">
                  <c:v>7.3244397581202456</c:v>
                </c:pt>
                <c:pt idx="11">
                  <c:v>8.1861967165379976</c:v>
                </c:pt>
                <c:pt idx="12">
                  <c:v>10.097240670067599</c:v>
                </c:pt>
                <c:pt idx="13">
                  <c:v>12.014838376677151</c:v>
                </c:pt>
                <c:pt idx="14">
                  <c:v>12.870829474853368</c:v>
                </c:pt>
                <c:pt idx="15">
                  <c:v>14.148307151553455</c:v>
                </c:pt>
                <c:pt idx="16">
                  <c:v>15.766970202222982</c:v>
                </c:pt>
                <c:pt idx="17">
                  <c:v>16.974068796381736</c:v>
                </c:pt>
                <c:pt idx="18">
                  <c:v>17.953158422730532</c:v>
                </c:pt>
                <c:pt idx="19">
                  <c:v>19.115802786548628</c:v>
                </c:pt>
                <c:pt idx="20">
                  <c:v>20.193444864834213</c:v>
                </c:pt>
                <c:pt idx="21">
                  <c:v>22.177890468882978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A8F-40E8-AA95-6089820516DA}"/>
            </c:ext>
          </c:extLst>
        </c:ser>
        <c:ser>
          <c:idx val="1"/>
          <c:order val="1"/>
          <c:marker>
            <c:symbol val="square"/>
            <c:size val="7"/>
          </c:marker>
          <c:cat>
            <c:numRef>
              <c:f>ПФ!$AW$87:$AW$122</c:f>
              <c:numCache>
                <c:formatCode>General</c:formatCode>
                <c:ptCount val="36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</c:numCache>
            </c:numRef>
          </c:cat>
          <c:val>
            <c:numRef>
              <c:f>ПФ!$AY$87:$AY$122</c:f>
              <c:numCache>
                <c:formatCode>0.00</c:formatCode>
                <c:ptCount val="36"/>
                <c:pt idx="20">
                  <c:v>20.193444864834213</c:v>
                </c:pt>
                <c:pt idx="21">
                  <c:v>22.177890468882978</c:v>
                </c:pt>
                <c:pt idx="22">
                  <c:v>24.063113792729304</c:v>
                </c:pt>
                <c:pt idx="23">
                  <c:v>25.854075950383312</c:v>
                </c:pt>
                <c:pt idx="24">
                  <c:v>27.55549000015462</c:v>
                </c:pt>
                <c:pt idx="25">
                  <c:v>29.171833347437364</c:v>
                </c:pt>
                <c:pt idx="26">
                  <c:v>30.707359527355969</c:v>
                </c:pt>
                <c:pt idx="27">
                  <c:v>32.166109398278643</c:v>
                </c:pt>
                <c:pt idx="28">
                  <c:v>33.551921775655181</c:v>
                </c:pt>
                <c:pt idx="29">
                  <c:v>34.868443534162893</c:v>
                </c:pt>
                <c:pt idx="30">
                  <c:v>36.119139204745217</c:v>
                </c:pt>
                <c:pt idx="31">
                  <c:v>37.307300091798425</c:v>
                </c:pt>
                <c:pt idx="32">
                  <c:v>38.436052934498974</c:v>
                </c:pt>
                <c:pt idx="33">
                  <c:v>39.508368135064494</c:v>
                </c:pt>
                <c:pt idx="34">
                  <c:v>40.527067575601734</c:v>
                </c:pt>
                <c:pt idx="35">
                  <c:v>41.494832044112115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A8F-40E8-AA95-6089820516DA}"/>
            </c:ext>
          </c:extLst>
        </c:ser>
        <c:ser>
          <c:idx val="2"/>
          <c:order val="2"/>
          <c:spPr>
            <a:ln w="73025">
              <a:solidFill>
                <a:srgbClr val="FFC000"/>
              </a:solidFill>
            </a:ln>
          </c:spPr>
          <c:marker>
            <c:symbol val="none"/>
          </c:marker>
          <c:cat>
            <c:numRef>
              <c:f>ПФ!$AW$87:$AW$122</c:f>
              <c:numCache>
                <c:formatCode>General</c:formatCode>
                <c:ptCount val="36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</c:numCache>
            </c:numRef>
          </c:cat>
          <c:val>
            <c:numRef>
              <c:f>ПФ!$AZ$87:$AZ$122</c:f>
              <c:numCache>
                <c:formatCode>0.00</c:formatCode>
                <c:ptCount val="36"/>
                <c:pt idx="0" formatCode="0">
                  <c:v>1</c:v>
                </c:pt>
                <c:pt idx="1">
                  <c:v>1.218</c:v>
                </c:pt>
                <c:pt idx="2">
                  <c:v>1.3519800000000002</c:v>
                </c:pt>
                <c:pt idx="3">
                  <c:v>2.4930511200000005</c:v>
                </c:pt>
                <c:pt idx="4">
                  <c:v>3.4030147788000007</c:v>
                </c:pt>
                <c:pt idx="5">
                  <c:v>4.0904237641176007</c:v>
                </c:pt>
                <c:pt idx="6">
                  <c:v>4.8512425842434741</c:v>
                </c:pt>
                <c:pt idx="7">
                  <c:v>5.5837802144642392</c:v>
                </c:pt>
                <c:pt idx="8">
                  <c:v>6.2538338401999489</c:v>
                </c:pt>
                <c:pt idx="9">
                  <c:v>6.9855323995033425</c:v>
                </c:pt>
                <c:pt idx="10">
                  <c:v>7.7469554310492068</c:v>
                </c:pt>
                <c:pt idx="11">
                  <c:v>8.4441814198436358</c:v>
                </c:pt>
                <c:pt idx="12">
                  <c:v>9.4465057543790749</c:v>
                </c:pt>
                <c:pt idx="13">
                  <c:v>10.701001718560617</c:v>
                </c:pt>
                <c:pt idx="14">
                  <c:v>11.642689869793951</c:v>
                </c:pt>
                <c:pt idx="15">
                  <c:v>12.664918040361862</c:v>
                </c:pt>
                <c:pt idx="16">
                  <c:v>13.437478040823935</c:v>
                </c:pt>
                <c:pt idx="17">
                  <c:v>14.324351591518315</c:v>
                </c:pt>
                <c:pt idx="18">
                  <c:v>15.255434444967005</c:v>
                </c:pt>
                <c:pt idx="19">
                  <c:v>16.994553971693247</c:v>
                </c:pt>
                <c:pt idx="20">
                  <c:v>19.186851434041674</c:v>
                </c:pt>
                <c:pt idx="21">
                  <c:v>20.222941411479926</c:v>
                </c:pt>
                <c:pt idx="22">
                  <c:v>20.728514946766921</c:v>
                </c:pt>
                <c:pt idx="23">
                  <c:v>21.184542275595796</c:v>
                </c:pt>
                <c:pt idx="24">
                  <c:v>21.608233121107713</c:v>
                </c:pt>
                <c:pt idx="25">
                  <c:v>22.040397783529865</c:v>
                </c:pt>
                <c:pt idx="26">
                  <c:v>22.481205739200462</c:v>
                </c:pt>
                <c:pt idx="27">
                  <c:v>22.93082985398447</c:v>
                </c:pt>
                <c:pt idx="28">
                  <c:v>23.38944645106416</c:v>
                </c:pt>
                <c:pt idx="29">
                  <c:v>23.857235380085445</c:v>
                </c:pt>
                <c:pt idx="30">
                  <c:v>24.334380087687155</c:v>
                </c:pt>
                <c:pt idx="31">
                  <c:v>24.821067689440898</c:v>
                </c:pt>
                <c:pt idx="32">
                  <c:v>25.317489043229717</c:v>
                </c:pt>
                <c:pt idx="33">
                  <c:v>25.823838824094313</c:v>
                </c:pt>
                <c:pt idx="34">
                  <c:v>26.340315600576201</c:v>
                </c:pt>
                <c:pt idx="35">
                  <c:v>26.867121912587724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A8F-40E8-AA95-6089820516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0625024"/>
        <c:axId val="160626560"/>
      </c:lineChart>
      <c:catAx>
        <c:axId val="160625024"/>
        <c:scaling>
          <c:orientation val="minMax"/>
        </c:scaling>
        <c:delete val="0"/>
        <c:axPos val="b"/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160626560"/>
        <c:crosses val="autoZero"/>
        <c:auto val="1"/>
        <c:lblAlgn val="ctr"/>
        <c:lblOffset val="100"/>
        <c:tickLblSkip val="2"/>
        <c:tickMarkSkip val="1"/>
        <c:noMultiLvlLbl val="0"/>
      </c:catAx>
      <c:valAx>
        <c:axId val="160626560"/>
        <c:scaling>
          <c:orientation val="minMax"/>
          <c:max val="35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160625024"/>
        <c:crosses val="autoZero"/>
        <c:crossBetween val="between"/>
        <c:majorUnit val="10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chemeClr val="bg1">
        <a:lumMod val="85000"/>
      </a:schemeClr>
    </a:solidFill>
    <a:ln w="3175">
      <a:solidFill>
        <a:srgbClr val="000000"/>
      </a:solidFill>
      <a:prstDash val="solid"/>
    </a:ln>
  </c:spPr>
  <c:txPr>
    <a:bodyPr/>
    <a:lstStyle/>
    <a:p>
      <a:pPr>
        <a:defRPr sz="975" b="0" i="0" u="none" strike="noStrike" baseline="0">
          <a:solidFill>
            <a:srgbClr val="000000"/>
          </a:solidFill>
          <a:latin typeface="Arial Cyr"/>
          <a:ea typeface="Arial Cyr"/>
          <a:cs typeface="Arial Cyr"/>
        </a:defRPr>
      </a:pPr>
      <a:endParaRPr lang="ru-RU"/>
    </a:p>
  </c:txPr>
  <c:printSettings>
    <c:headerFooter alignWithMargins="0"/>
    <c:pageMargins b="1" l="0.75000000000001465" r="0.75000000000001465" t="1" header="0.5" footer="0.5"/>
    <c:pageSetup/>
  </c:printSettings>
  <c:userShapes r:id="rId1"/>
</c:chartSpace>
</file>

<file path=xl/charts/chart1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71846556551203E-2"/>
          <c:y val="1.817607708859921E-2"/>
          <c:w val="0.85768469819138704"/>
          <c:h val="0.88971849086169652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ПФ!$BX$49:$BX$68</c:f>
              <c:numCache>
                <c:formatCode>0</c:formatCode>
                <c:ptCount val="20"/>
                <c:pt idx="0">
                  <c:v>2059.3085900000001</c:v>
                </c:pt>
                <c:pt idx="1">
                  <c:v>2419.1306</c:v>
                </c:pt>
                <c:pt idx="2">
                  <c:v>3669.0060599999997</c:v>
                </c:pt>
                <c:pt idx="3">
                  <c:v>5625.7177499999998</c:v>
                </c:pt>
                <c:pt idx="4">
                  <c:v>7628.1318599999995</c:v>
                </c:pt>
                <c:pt idx="5">
                  <c:v>9553.8395499999988</c:v>
                </c:pt>
                <c:pt idx="6">
                  <c:v>11638.622939999997</c:v>
                </c:pt>
                <c:pt idx="7">
                  <c:v>14639.912769999997</c:v>
                </c:pt>
                <c:pt idx="8">
                  <c:v>18554.683059999996</c:v>
                </c:pt>
                <c:pt idx="9">
                  <c:v>23346.96499</c:v>
                </c:pt>
                <c:pt idx="10">
                  <c:v>29020.870870000002</c:v>
                </c:pt>
                <c:pt idx="11">
                  <c:v>35996.119299999998</c:v>
                </c:pt>
                <c:pt idx="12">
                  <c:v>38436.192849999999</c:v>
                </c:pt>
                <c:pt idx="13">
                  <c:v>43051.816610000002</c:v>
                </c:pt>
                <c:pt idx="14">
                  <c:v>51795.283680000008</c:v>
                </c:pt>
                <c:pt idx="15">
                  <c:v>61428.409870000003</c:v>
                </c:pt>
                <c:pt idx="16">
                  <c:v>69072.620559999996</c:v>
                </c:pt>
                <c:pt idx="17">
                  <c:v>75172.774399999995</c:v>
                </c:pt>
                <c:pt idx="18">
                  <c:v>80002.985769999999</c:v>
                </c:pt>
                <c:pt idx="19">
                  <c:v>83831.541670000006</c:v>
                </c:pt>
              </c:numCache>
            </c:numRef>
          </c:xVal>
          <c:yVal>
            <c:numRef>
              <c:f>ПФ!$BW$49:$BW$68</c:f>
              <c:numCache>
                <c:formatCode>0</c:formatCode>
                <c:ptCount val="20"/>
                <c:pt idx="0">
                  <c:v>493.57350000000002</c:v>
                </c:pt>
                <c:pt idx="1">
                  <c:v>492.62060000000002</c:v>
                </c:pt>
                <c:pt idx="2">
                  <c:v>703.20910000000003</c:v>
                </c:pt>
                <c:pt idx="3">
                  <c:v>1102.4971</c:v>
                </c:pt>
                <c:pt idx="4">
                  <c:v>1469.9576</c:v>
                </c:pt>
                <c:pt idx="5">
                  <c:v>1942.4418000000001</c:v>
                </c:pt>
                <c:pt idx="6">
                  <c:v>2366.3687</c:v>
                </c:pt>
                <c:pt idx="7">
                  <c:v>2889.8145</c:v>
                </c:pt>
                <c:pt idx="8">
                  <c:v>3645.9185000000002</c:v>
                </c:pt>
                <c:pt idx="9">
                  <c:v>4680.4097000000002</c:v>
                </c:pt>
                <c:pt idx="10">
                  <c:v>5750.9641000000001</c:v>
                </c:pt>
                <c:pt idx="11">
                  <c:v>7359.8441999999995</c:v>
                </c:pt>
                <c:pt idx="12">
                  <c:v>8066.7</c:v>
                </c:pt>
                <c:pt idx="13">
                  <c:v>8671.3230000000003</c:v>
                </c:pt>
                <c:pt idx="14">
                  <c:v>10527.4218</c:v>
                </c:pt>
                <c:pt idx="15">
                  <c:v>12155.9717</c:v>
                </c:pt>
                <c:pt idx="16">
                  <c:v>13551.946099999999</c:v>
                </c:pt>
                <c:pt idx="17">
                  <c:v>14173.19</c:v>
                </c:pt>
                <c:pt idx="18">
                  <c:v>14684.12</c:v>
                </c:pt>
                <c:pt idx="19">
                  <c:v>15728.49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C16-4E10-81D4-A231EC793AF6}"/>
            </c:ext>
          </c:extLst>
        </c:ser>
        <c:ser>
          <c:idx val="1"/>
          <c:order val="1"/>
          <c:spPr>
            <a:ln w="28575">
              <a:noFill/>
            </a:ln>
          </c:spPr>
          <c:marker>
            <c:symbol val="square"/>
            <c:size val="19"/>
            <c:spPr>
              <a:solidFill>
                <a:srgbClr val="FFC000"/>
              </a:solidFill>
            </c:spPr>
          </c:marker>
          <c:trendline>
            <c:spPr>
              <a:ln w="25400">
                <a:prstDash val="lgDash"/>
              </a:ln>
            </c:spPr>
            <c:trendlineType val="linear"/>
            <c:forward val="30000"/>
            <c:dispRSqr val="1"/>
            <c:dispEq val="1"/>
            <c:trendlineLbl>
              <c:layout>
                <c:manualLayout>
                  <c:x val="-0.40875097059770432"/>
                  <c:y val="0.26931783374959273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sz="2000">
                      <a:latin typeface="Arial" panose="020B0604020202020204" pitchFamily="34" charset="0"/>
                      <a:cs typeface="Arial" panose="020B0604020202020204" pitchFamily="34" charset="0"/>
                    </a:defRPr>
                  </a:pPr>
                  <a:endParaRPr lang="ru-RU"/>
                </a:p>
              </c:txPr>
            </c:trendlineLbl>
          </c:trendline>
          <c:xVal>
            <c:numRef>
              <c:f>ПФ!$BT$49:$BT$64</c:f>
              <c:numCache>
                <c:formatCode>0</c:formatCode>
                <c:ptCount val="16"/>
                <c:pt idx="0">
                  <c:v>2059.3085900000001</c:v>
                </c:pt>
                <c:pt idx="1">
                  <c:v>2419.1306</c:v>
                </c:pt>
                <c:pt idx="2">
                  <c:v>3669.0060599999997</c:v>
                </c:pt>
                <c:pt idx="3">
                  <c:v>5625.7177499999998</c:v>
                </c:pt>
                <c:pt idx="4">
                  <c:v>7628.1318599999995</c:v>
                </c:pt>
                <c:pt idx="5">
                  <c:v>9553.8395499999988</c:v>
                </c:pt>
                <c:pt idx="6">
                  <c:v>11638.622939999997</c:v>
                </c:pt>
                <c:pt idx="7">
                  <c:v>14639.912769999997</c:v>
                </c:pt>
                <c:pt idx="8">
                  <c:v>18554.683059999996</c:v>
                </c:pt>
                <c:pt idx="9">
                  <c:v>23346.96499</c:v>
                </c:pt>
                <c:pt idx="10">
                  <c:v>29020.870870000002</c:v>
                </c:pt>
                <c:pt idx="11">
                  <c:v>35996.119299999998</c:v>
                </c:pt>
                <c:pt idx="12">
                  <c:v>38436.192849999999</c:v>
                </c:pt>
                <c:pt idx="13">
                  <c:v>43051.816610000002</c:v>
                </c:pt>
                <c:pt idx="14">
                  <c:v>51795.283680000008</c:v>
                </c:pt>
                <c:pt idx="15">
                  <c:v>61428.409870000003</c:v>
                </c:pt>
              </c:numCache>
            </c:numRef>
          </c:xVal>
          <c:yVal>
            <c:numRef>
              <c:f>ПФ!$BW$49:$BW$64</c:f>
              <c:numCache>
                <c:formatCode>0</c:formatCode>
                <c:ptCount val="16"/>
                <c:pt idx="0">
                  <c:v>493.57350000000002</c:v>
                </c:pt>
                <c:pt idx="1">
                  <c:v>492.62060000000002</c:v>
                </c:pt>
                <c:pt idx="2">
                  <c:v>703.20910000000003</c:v>
                </c:pt>
                <c:pt idx="3">
                  <c:v>1102.4971</c:v>
                </c:pt>
                <c:pt idx="4">
                  <c:v>1469.9576</c:v>
                </c:pt>
                <c:pt idx="5">
                  <c:v>1942.4418000000001</c:v>
                </c:pt>
                <c:pt idx="6">
                  <c:v>2366.3687</c:v>
                </c:pt>
                <c:pt idx="7">
                  <c:v>2889.8145</c:v>
                </c:pt>
                <c:pt idx="8">
                  <c:v>3645.9185000000002</c:v>
                </c:pt>
                <c:pt idx="9">
                  <c:v>4680.4097000000002</c:v>
                </c:pt>
                <c:pt idx="10">
                  <c:v>5750.9641000000001</c:v>
                </c:pt>
                <c:pt idx="11">
                  <c:v>7359.8441999999995</c:v>
                </c:pt>
                <c:pt idx="12">
                  <c:v>8066.7</c:v>
                </c:pt>
                <c:pt idx="13">
                  <c:v>8671.3230000000003</c:v>
                </c:pt>
                <c:pt idx="14">
                  <c:v>10527.4218</c:v>
                </c:pt>
                <c:pt idx="15">
                  <c:v>12155.9717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C16-4E10-81D4-A231EC793AF6}"/>
            </c:ext>
          </c:extLst>
        </c:ser>
        <c:ser>
          <c:idx val="2"/>
          <c:order val="2"/>
          <c:spPr>
            <a:ln w="28575">
              <a:solidFill>
                <a:schemeClr val="tx1">
                  <a:shade val="95000"/>
                  <a:satMod val="105000"/>
                </a:schemeClr>
              </a:solidFill>
            </a:ln>
          </c:spPr>
          <c:marker>
            <c:symbol val="triangle"/>
            <c:size val="10"/>
            <c:spPr>
              <a:solidFill>
                <a:srgbClr val="00B0F0"/>
              </a:solidFill>
            </c:spPr>
          </c:marker>
          <c:xVal>
            <c:numRef>
              <c:f>ПФ!$BX$65:$BX$68</c:f>
              <c:numCache>
                <c:formatCode>0</c:formatCode>
                <c:ptCount val="4"/>
                <c:pt idx="0">
                  <c:v>69072.620559999996</c:v>
                </c:pt>
                <c:pt idx="1">
                  <c:v>75172.774399999995</c:v>
                </c:pt>
                <c:pt idx="2">
                  <c:v>80002.985769999999</c:v>
                </c:pt>
                <c:pt idx="3">
                  <c:v>83831.541670000006</c:v>
                </c:pt>
              </c:numCache>
            </c:numRef>
          </c:xVal>
          <c:yVal>
            <c:numRef>
              <c:f>ПФ!$BY$65:$BY$68</c:f>
              <c:numCache>
                <c:formatCode>0</c:formatCode>
                <c:ptCount val="4"/>
                <c:pt idx="0">
                  <c:v>13551.946099999999</c:v>
                </c:pt>
                <c:pt idx="1">
                  <c:v>14173.19</c:v>
                </c:pt>
                <c:pt idx="2">
                  <c:v>14684.12</c:v>
                </c:pt>
                <c:pt idx="3">
                  <c:v>15728.49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C16-4E10-81D4-A231EC793A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995776"/>
        <c:axId val="162002432"/>
      </c:scatterChart>
      <c:valAx>
        <c:axId val="161995776"/>
        <c:scaling>
          <c:orientation val="minMax"/>
          <c:max val="100000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2400" b="0"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r>
                  <a:rPr lang="en-US" sz="2400" b="0">
                    <a:latin typeface="Arial" panose="020B0604020202020204" pitchFamily="34" charset="0"/>
                    <a:cs typeface="Arial" panose="020B0604020202020204" pitchFamily="34" charset="0"/>
                  </a:rPr>
                  <a:t>xt = 0,5*WWPt+0,3*WWPt-</a:t>
                </a:r>
                <a:r>
                  <a:rPr lang="en-US" sz="1800" b="0">
                    <a:latin typeface="Arial" panose="020B0604020202020204" pitchFamily="34" charset="0"/>
                    <a:cs typeface="Arial" panose="020B0604020202020204" pitchFamily="34" charset="0"/>
                  </a:rPr>
                  <a:t>1</a:t>
                </a:r>
                <a:r>
                  <a:rPr lang="en-US" sz="2400" b="0">
                    <a:latin typeface="Arial" panose="020B0604020202020204" pitchFamily="34" charset="0"/>
                    <a:cs typeface="Arial" panose="020B0604020202020204" pitchFamily="34" charset="0"/>
                  </a:rPr>
                  <a:t>+0,2*WWPt-</a:t>
                </a:r>
                <a:r>
                  <a:rPr lang="en-US" sz="1800" b="0">
                    <a:latin typeface="Arial" panose="020B0604020202020204" pitchFamily="34" charset="0"/>
                    <a:cs typeface="Arial" panose="020B0604020202020204" pitchFamily="34" charset="0"/>
                  </a:rPr>
                  <a:t>2</a:t>
                </a:r>
                <a:endParaRPr lang="ru-RU" sz="2400" b="0"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layout>
            <c:manualLayout>
              <c:xMode val="edge"/>
              <c:yMode val="edge"/>
              <c:x val="0.28520669688499661"/>
              <c:y val="0.85367172550331583"/>
            </c:manualLayout>
          </c:layout>
          <c:overlay val="0"/>
        </c:title>
        <c:numFmt formatCode="0" sourceLinked="1"/>
        <c:majorTickMark val="out"/>
        <c:minorTickMark val="none"/>
        <c:tickLblPos val="nextTo"/>
        <c:txPr>
          <a:bodyPr/>
          <a:lstStyle/>
          <a:p>
            <a:pPr>
              <a:defRPr sz="1600">
                <a:latin typeface="Arial" panose="020B0604020202020204" pitchFamily="34" charset="0"/>
                <a:cs typeface="Arial" panose="020B0604020202020204" pitchFamily="34" charset="0"/>
              </a:defRPr>
            </a:pPr>
            <a:endParaRPr lang="ru-RU"/>
          </a:p>
        </c:txPr>
        <c:crossAx val="162002432"/>
        <c:crosses val="autoZero"/>
        <c:crossBetween val="midCat"/>
        <c:majorUnit val="25000"/>
      </c:valAx>
      <c:valAx>
        <c:axId val="162002432"/>
        <c:scaling>
          <c:orientation val="minMax"/>
          <c:max val="20000"/>
          <c:min val="0"/>
        </c:scaling>
        <c:delete val="0"/>
        <c:axPos val="l"/>
        <c:majorGridlines/>
        <c:title>
          <c:tx>
            <c:rich>
              <a:bodyPr rot="0" vert="horz"/>
              <a:lstStyle/>
              <a:p>
                <a:pPr>
                  <a:defRPr sz="2400" b="0"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r>
                  <a:rPr lang="en-US" sz="2400" b="0">
                    <a:latin typeface="Arial" panose="020B0604020202020204" pitchFamily="34" charset="0"/>
                    <a:cs typeface="Arial" panose="020B0604020202020204" pitchFamily="34" charset="0"/>
                  </a:rPr>
                  <a:t>YG</a:t>
                </a:r>
                <a:endParaRPr lang="ru-RU" sz="2400" b="0"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layout>
            <c:manualLayout>
              <c:xMode val="edge"/>
              <c:yMode val="edge"/>
              <c:x val="0.14188522667609593"/>
              <c:y val="4.1992601668158901E-2"/>
            </c:manualLayout>
          </c:layout>
          <c:overlay val="0"/>
        </c:title>
        <c:numFmt formatCode="0" sourceLinked="1"/>
        <c:majorTickMark val="out"/>
        <c:minorTickMark val="none"/>
        <c:tickLblPos val="nextTo"/>
        <c:txPr>
          <a:bodyPr/>
          <a:lstStyle/>
          <a:p>
            <a:pPr>
              <a:defRPr sz="1600">
                <a:latin typeface="Arial" panose="020B0604020202020204" pitchFamily="34" charset="0"/>
                <a:cs typeface="Arial" panose="020B0604020202020204" pitchFamily="34" charset="0"/>
              </a:defRPr>
            </a:pPr>
            <a:endParaRPr lang="ru-RU"/>
          </a:p>
        </c:txPr>
        <c:crossAx val="161995776"/>
        <c:crosses val="autoZero"/>
        <c:crossBetween val="midCat"/>
        <c:majorUnit val="5000"/>
      </c:valAx>
      <c:spPr>
        <a:solidFill>
          <a:schemeClr val="bg1"/>
        </a:solidFill>
        <a:ln w="25400">
          <a:noFill/>
        </a:ln>
      </c:spPr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1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5.6888272268526684E-2"/>
          <c:y val="2.4573325685282851E-2"/>
          <c:w val="0.91930384817570776"/>
          <c:h val="0.89159096834749951"/>
        </c:manualLayout>
      </c:layout>
      <c:lineChart>
        <c:grouping val="standard"/>
        <c:varyColors val="0"/>
        <c:ser>
          <c:idx val="0"/>
          <c:order val="0"/>
          <c:spPr>
            <a:ln w="101600">
              <a:solidFill>
                <a:schemeClr val="accent6"/>
              </a:solidFill>
            </a:ln>
          </c:spPr>
          <c:marker>
            <c:symbol val="none"/>
          </c:marker>
          <c:cat>
            <c:numRef>
              <c:f>'ДОХОДЫ НС'!$AD$5:$AD$40</c:f>
              <c:numCache>
                <c:formatCode>General</c:formatCode>
                <c:ptCount val="36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</c:numCache>
            </c:numRef>
          </c:cat>
          <c:val>
            <c:numRef>
              <c:f>'ДОХОДЫ НС'!$AE$5:$AE$40</c:f>
              <c:numCache>
                <c:formatCode>0.000</c:formatCode>
                <c:ptCount val="36"/>
                <c:pt idx="0">
                  <c:v>0.24458015167192756</c:v>
                </c:pt>
                <c:pt idx="1">
                  <c:v>0.26390378728192782</c:v>
                </c:pt>
                <c:pt idx="2">
                  <c:v>0.2748882770104617</c:v>
                </c:pt>
                <c:pt idx="3">
                  <c:v>0.27014591073472544</c:v>
                </c:pt>
                <c:pt idx="4">
                  <c:v>0.16917775593934054</c:v>
                </c:pt>
                <c:pt idx="5">
                  <c:v>0.19664547860075432</c:v>
                </c:pt>
                <c:pt idx="6">
                  <c:v>0.18172846925747252</c:v>
                </c:pt>
                <c:pt idx="7">
                  <c:v>0.20806667151453984</c:v>
                </c:pt>
                <c:pt idx="8">
                  <c:v>0.21956988388304299</c:v>
                </c:pt>
                <c:pt idx="9">
                  <c:v>0.20362889412419991</c:v>
                </c:pt>
                <c:pt idx="10">
                  <c:v>0.19973857695478286</c:v>
                </c:pt>
                <c:pt idx="11">
                  <c:v>0.20107749480509063</c:v>
                </c:pt>
                <c:pt idx="12">
                  <c:v>0.18715506526272721</c:v>
                </c:pt>
                <c:pt idx="13">
                  <c:v>0.1907508130412558</c:v>
                </c:pt>
                <c:pt idx="14">
                  <c:v>0.23350703954320939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9C1D-47F5-BF81-97F165E8DF11}"/>
            </c:ext>
          </c:extLst>
        </c:ser>
        <c:ser>
          <c:idx val="1"/>
          <c:order val="1"/>
          <c:spPr>
            <a:ln>
              <a:solidFill>
                <a:schemeClr val="tx1"/>
              </a:solidFill>
              <a:prstDash val="lgDash"/>
            </a:ln>
          </c:spPr>
          <c:marker>
            <c:symbol val="none"/>
          </c:marker>
          <c:cat>
            <c:numRef>
              <c:f>'ДОХОДЫ НС'!$AD$5:$AD$40</c:f>
              <c:numCache>
                <c:formatCode>General</c:formatCode>
                <c:ptCount val="36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</c:numCache>
            </c:numRef>
          </c:cat>
          <c:val>
            <c:numRef>
              <c:f>'ДОХОДЫ НС'!$AF$5:$AF$40</c:f>
              <c:numCache>
                <c:formatCode>0.000</c:formatCode>
                <c:ptCount val="36"/>
                <c:pt idx="13">
                  <c:v>0.1907508130412558</c:v>
                </c:pt>
                <c:pt idx="14">
                  <c:v>0.23350703954320939</c:v>
                </c:pt>
                <c:pt idx="15">
                  <c:v>0.23</c:v>
                </c:pt>
                <c:pt idx="16">
                  <c:v>0.215</c:v>
                </c:pt>
                <c:pt idx="17">
                  <c:v>0.215</c:v>
                </c:pt>
                <c:pt idx="18">
                  <c:v>0.215</c:v>
                </c:pt>
                <c:pt idx="19">
                  <c:v>0.215</c:v>
                </c:pt>
                <c:pt idx="20">
                  <c:v>0.215</c:v>
                </c:pt>
                <c:pt idx="21">
                  <c:v>0.215</c:v>
                </c:pt>
                <c:pt idx="22">
                  <c:v>0.215</c:v>
                </c:pt>
                <c:pt idx="23">
                  <c:v>0.215</c:v>
                </c:pt>
                <c:pt idx="24">
                  <c:v>0.215</c:v>
                </c:pt>
                <c:pt idx="25">
                  <c:v>0.215</c:v>
                </c:pt>
                <c:pt idx="26">
                  <c:v>0.215</c:v>
                </c:pt>
                <c:pt idx="27">
                  <c:v>0.215</c:v>
                </c:pt>
                <c:pt idx="28">
                  <c:v>0.215</c:v>
                </c:pt>
                <c:pt idx="29">
                  <c:v>0.215</c:v>
                </c:pt>
                <c:pt idx="30">
                  <c:v>0.215</c:v>
                </c:pt>
                <c:pt idx="31">
                  <c:v>0.215</c:v>
                </c:pt>
                <c:pt idx="32">
                  <c:v>0.215</c:v>
                </c:pt>
                <c:pt idx="33">
                  <c:v>0.215</c:v>
                </c:pt>
                <c:pt idx="34">
                  <c:v>0.215</c:v>
                </c:pt>
                <c:pt idx="35">
                  <c:v>0.215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9C1D-47F5-BF81-97F165E8DF11}"/>
            </c:ext>
          </c:extLst>
        </c:ser>
        <c:ser>
          <c:idx val="2"/>
          <c:order val="2"/>
          <c:spPr>
            <a:ln w="101600">
              <a:solidFill>
                <a:schemeClr val="bg2">
                  <a:lumMod val="75000"/>
                </a:schemeClr>
              </a:solidFill>
            </a:ln>
          </c:spPr>
          <c:marker>
            <c:symbol val="none"/>
          </c:marker>
          <c:cat>
            <c:numRef>
              <c:f>'ДОХОДЫ НС'!$AD$5:$AD$40</c:f>
              <c:numCache>
                <c:formatCode>General</c:formatCode>
                <c:ptCount val="36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</c:numCache>
            </c:numRef>
          </c:cat>
          <c:val>
            <c:numRef>
              <c:f>'ДОХОДЫ НС'!$AG$5:$AG$40</c:f>
              <c:numCache>
                <c:formatCode>0.000</c:formatCode>
                <c:ptCount val="36"/>
                <c:pt idx="0">
                  <c:v>0.24548014811767122</c:v>
                </c:pt>
                <c:pt idx="1">
                  <c:v>0.29108932128083342</c:v>
                </c:pt>
                <c:pt idx="2">
                  <c:v>0.29201572364502681</c:v>
                </c:pt>
                <c:pt idx="3">
                  <c:v>0.28260776629853934</c:v>
                </c:pt>
                <c:pt idx="4">
                  <c:v>0.30283076311605722</c:v>
                </c:pt>
                <c:pt idx="5">
                  <c:v>0.28048477118514364</c:v>
                </c:pt>
                <c:pt idx="6">
                  <c:v>0.33459601554104323</c:v>
                </c:pt>
                <c:pt idx="7">
                  <c:v>0.30339596178008937</c:v>
                </c:pt>
                <c:pt idx="8">
                  <c:v>0.31652008877903609</c:v>
                </c:pt>
                <c:pt idx="9">
                  <c:v>0.30086866393986761</c:v>
                </c:pt>
                <c:pt idx="10">
                  <c:v>0.25731064715714158</c:v>
                </c:pt>
                <c:pt idx="11">
                  <c:v>0.24773283026076987</c:v>
                </c:pt>
                <c:pt idx="12">
                  <c:v>0.21726212185740609</c:v>
                </c:pt>
                <c:pt idx="13">
                  <c:v>0.2381545517985264</c:v>
                </c:pt>
                <c:pt idx="14">
                  <c:v>0.26644114952985676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9C1D-47F5-BF81-97F165E8DF11}"/>
            </c:ext>
          </c:extLst>
        </c:ser>
        <c:ser>
          <c:idx val="3"/>
          <c:order val="3"/>
          <c:spPr>
            <a:ln>
              <a:solidFill>
                <a:schemeClr val="tx1"/>
              </a:solidFill>
              <a:prstDash val="lgDash"/>
            </a:ln>
          </c:spPr>
          <c:marker>
            <c:symbol val="none"/>
          </c:marker>
          <c:cat>
            <c:numRef>
              <c:f>'ДОХОДЫ НС'!$AD$5:$AD$40</c:f>
              <c:numCache>
                <c:formatCode>General</c:formatCode>
                <c:ptCount val="36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</c:numCache>
            </c:numRef>
          </c:cat>
          <c:val>
            <c:numRef>
              <c:f>'ДОХОДЫ НС'!$AH$5:$AH$40</c:f>
              <c:numCache>
                <c:formatCode>0.000</c:formatCode>
                <c:ptCount val="36"/>
                <c:pt idx="13">
                  <c:v>0.2381545517985264</c:v>
                </c:pt>
                <c:pt idx="14">
                  <c:v>0.26644114952985676</c:v>
                </c:pt>
                <c:pt idx="15">
                  <c:v>0.28341310816865495</c:v>
                </c:pt>
                <c:pt idx="16">
                  <c:v>0.29359628335193388</c:v>
                </c:pt>
                <c:pt idx="17">
                  <c:v>0.29970618846190122</c:v>
                </c:pt>
                <c:pt idx="18">
                  <c:v>0.30337213152788162</c:v>
                </c:pt>
                <c:pt idx="19">
                  <c:v>0.30557169736746986</c:v>
                </c:pt>
                <c:pt idx="20">
                  <c:v>0.30689143687122283</c:v>
                </c:pt>
                <c:pt idx="21">
                  <c:v>0.3076832805734746</c:v>
                </c:pt>
                <c:pt idx="22">
                  <c:v>0.30815838679482566</c:v>
                </c:pt>
                <c:pt idx="23">
                  <c:v>0.30844345052763628</c:v>
                </c:pt>
                <c:pt idx="24">
                  <c:v>0.30861448876732267</c:v>
                </c:pt>
                <c:pt idx="25">
                  <c:v>0.30871711171113453</c:v>
                </c:pt>
                <c:pt idx="26">
                  <c:v>0.30877868547742165</c:v>
                </c:pt>
                <c:pt idx="27">
                  <c:v>0.30881562973719395</c:v>
                </c:pt>
                <c:pt idx="28">
                  <c:v>0.30883779629305735</c:v>
                </c:pt>
                <c:pt idx="29">
                  <c:v>0.30885109622657542</c:v>
                </c:pt>
                <c:pt idx="30">
                  <c:v>0.30885907618668623</c:v>
                </c:pt>
                <c:pt idx="31">
                  <c:v>0.30886386416275274</c:v>
                </c:pt>
                <c:pt idx="32">
                  <c:v>0.30886673694839267</c:v>
                </c:pt>
                <c:pt idx="33">
                  <c:v>0.30886846061977663</c:v>
                </c:pt>
                <c:pt idx="34">
                  <c:v>0.308869494822607</c:v>
                </c:pt>
                <c:pt idx="35">
                  <c:v>0.30887011534430525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3-9C1D-47F5-BF81-97F165E8DF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2413184"/>
        <c:axId val="162427264"/>
      </c:lineChart>
      <c:catAx>
        <c:axId val="16241318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+mn-lt"/>
                <a:ea typeface="Arial Cyr"/>
                <a:cs typeface="Arial Cyr"/>
              </a:defRPr>
            </a:pPr>
            <a:endParaRPr lang="ru-RU"/>
          </a:p>
        </c:txPr>
        <c:crossAx val="162427264"/>
        <c:crosses val="autoZero"/>
        <c:auto val="1"/>
        <c:lblAlgn val="ctr"/>
        <c:lblOffset val="100"/>
        <c:tickLblSkip val="2"/>
        <c:tickMarkSkip val="1"/>
        <c:noMultiLvlLbl val="0"/>
      </c:catAx>
      <c:valAx>
        <c:axId val="162427264"/>
        <c:scaling>
          <c:orientation val="minMax"/>
          <c:max val="0.4"/>
          <c:min val="0.1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162413184"/>
        <c:crosses val="autoZero"/>
        <c:crossBetween val="between"/>
        <c:majorUnit val="0.1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CCFFFF"/>
    </a:solidFill>
    <a:ln w="3175">
      <a:solidFill>
        <a:srgbClr val="000000"/>
      </a:solidFill>
      <a:prstDash val="solid"/>
    </a:ln>
  </c:spPr>
  <c:txPr>
    <a:bodyPr/>
    <a:lstStyle/>
    <a:p>
      <a:pPr>
        <a:defRPr sz="950" b="0" i="0" u="none" strike="noStrike" baseline="0">
          <a:solidFill>
            <a:srgbClr val="000000"/>
          </a:solidFill>
          <a:latin typeface="Arial Cyr"/>
          <a:ea typeface="Arial Cyr"/>
          <a:cs typeface="Arial Cyr"/>
        </a:defRPr>
      </a:pPr>
      <a:endParaRPr lang="ru-RU"/>
    </a:p>
  </c:txPr>
  <c:printSettings>
    <c:headerFooter alignWithMargins="0"/>
    <c:pageMargins b="1" l="0.75000000000001465" r="0.75000000000001465" t="1" header="0.5" footer="0.5"/>
    <c:pageSetup paperSize="9" orientation="landscape" verticalDpi="0"/>
  </c:printSettings>
  <c:userShapes r:id="rId1"/>
</c:chartSpace>
</file>

<file path=xl/charts/chart1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5.6888272268526684E-2"/>
          <c:y val="2.4573325685282851E-2"/>
          <c:w val="0.91930384817570776"/>
          <c:h val="0.89159096834749951"/>
        </c:manualLayout>
      </c:layout>
      <c:lineChart>
        <c:grouping val="standard"/>
        <c:varyColors val="0"/>
        <c:ser>
          <c:idx val="0"/>
          <c:order val="0"/>
          <c:spPr>
            <a:ln w="101600">
              <a:solidFill>
                <a:schemeClr val="accent6"/>
              </a:solidFill>
            </a:ln>
          </c:spPr>
          <c:marker>
            <c:symbol val="none"/>
          </c:marker>
          <c:cat>
            <c:numRef>
              <c:f>'ДОХОДЫ НС'!$AX$5:$AX$40</c:f>
              <c:numCache>
                <c:formatCode>General</c:formatCode>
                <c:ptCount val="36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</c:numCache>
            </c:numRef>
          </c:cat>
          <c:val>
            <c:numRef>
              <c:f>'ДОХОДЫ НС'!$AY$5:$AY$40</c:f>
              <c:numCache>
                <c:formatCode>0.000</c:formatCode>
                <c:ptCount val="36"/>
                <c:pt idx="0">
                  <c:v>1.2E-2</c:v>
                </c:pt>
                <c:pt idx="1">
                  <c:v>1.1000000000000001E-2</c:v>
                </c:pt>
                <c:pt idx="2">
                  <c:v>9.0000000000000011E-3</c:v>
                </c:pt>
                <c:pt idx="3">
                  <c:v>9.0000000000000011E-3</c:v>
                </c:pt>
                <c:pt idx="4">
                  <c:v>9.0000000000000011E-3</c:v>
                </c:pt>
                <c:pt idx="5">
                  <c:v>1.2E-2</c:v>
                </c:pt>
                <c:pt idx="6">
                  <c:v>1.9E-2</c:v>
                </c:pt>
                <c:pt idx="7">
                  <c:v>1.9E-2</c:v>
                </c:pt>
                <c:pt idx="8">
                  <c:v>2.2000000000000002E-2</c:v>
                </c:pt>
                <c:pt idx="9">
                  <c:v>2.2000000000000002E-2</c:v>
                </c:pt>
                <c:pt idx="10">
                  <c:v>0.02</c:v>
                </c:pt>
                <c:pt idx="11">
                  <c:v>1.9E-2</c:v>
                </c:pt>
                <c:pt idx="12">
                  <c:v>0.02</c:v>
                </c:pt>
                <c:pt idx="13">
                  <c:v>0.02</c:v>
                </c:pt>
                <c:pt idx="14">
                  <c:v>0.02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3701-4700-9C4D-C112CF8E5655}"/>
            </c:ext>
          </c:extLst>
        </c:ser>
        <c:ser>
          <c:idx val="1"/>
          <c:order val="1"/>
          <c:spPr>
            <a:ln>
              <a:solidFill>
                <a:schemeClr val="tx1"/>
              </a:solidFill>
              <a:prstDash val="lgDash"/>
            </a:ln>
          </c:spPr>
          <c:marker>
            <c:symbol val="none"/>
          </c:marker>
          <c:cat>
            <c:numRef>
              <c:f>'ДОХОДЫ НС'!$AX$5:$AX$40</c:f>
              <c:numCache>
                <c:formatCode>General</c:formatCode>
                <c:ptCount val="36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</c:numCache>
            </c:numRef>
          </c:cat>
          <c:val>
            <c:numRef>
              <c:f>'ДОХОДЫ НС'!$AZ$5:$AZ$40</c:f>
              <c:numCache>
                <c:formatCode>0.000</c:formatCode>
                <c:ptCount val="36"/>
                <c:pt idx="14">
                  <c:v>0.02</c:v>
                </c:pt>
                <c:pt idx="15">
                  <c:v>0.02</c:v>
                </c:pt>
                <c:pt idx="16">
                  <c:v>0.02</c:v>
                </c:pt>
                <c:pt idx="17">
                  <c:v>0.02</c:v>
                </c:pt>
                <c:pt idx="18">
                  <c:v>0.02</c:v>
                </c:pt>
                <c:pt idx="19">
                  <c:v>0.02</c:v>
                </c:pt>
                <c:pt idx="20">
                  <c:v>0.02</c:v>
                </c:pt>
                <c:pt idx="21">
                  <c:v>0.02</c:v>
                </c:pt>
                <c:pt idx="22">
                  <c:v>0.02</c:v>
                </c:pt>
                <c:pt idx="23">
                  <c:v>0.02</c:v>
                </c:pt>
                <c:pt idx="24">
                  <c:v>0.02</c:v>
                </c:pt>
                <c:pt idx="25">
                  <c:v>0.02</c:v>
                </c:pt>
                <c:pt idx="26">
                  <c:v>0.02</c:v>
                </c:pt>
                <c:pt idx="27">
                  <c:v>0.02</c:v>
                </c:pt>
                <c:pt idx="28">
                  <c:v>0.02</c:v>
                </c:pt>
                <c:pt idx="29">
                  <c:v>0.02</c:v>
                </c:pt>
                <c:pt idx="30">
                  <c:v>0.02</c:v>
                </c:pt>
                <c:pt idx="31">
                  <c:v>0.02</c:v>
                </c:pt>
                <c:pt idx="32">
                  <c:v>0.02</c:v>
                </c:pt>
                <c:pt idx="33">
                  <c:v>0.02</c:v>
                </c:pt>
                <c:pt idx="34">
                  <c:v>0.02</c:v>
                </c:pt>
                <c:pt idx="35">
                  <c:v>0.02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701-4700-9C4D-C112CF8E5655}"/>
            </c:ext>
          </c:extLst>
        </c:ser>
        <c:ser>
          <c:idx val="2"/>
          <c:order val="2"/>
          <c:spPr>
            <a:ln w="101600">
              <a:solidFill>
                <a:schemeClr val="accent4">
                  <a:lumMod val="60000"/>
                  <a:lumOff val="40000"/>
                </a:schemeClr>
              </a:solidFill>
            </a:ln>
          </c:spPr>
          <c:marker>
            <c:symbol val="none"/>
          </c:marker>
          <c:cat>
            <c:numRef>
              <c:f>'ДОХОДЫ НС'!$AX$5:$AX$40</c:f>
              <c:numCache>
                <c:formatCode>General</c:formatCode>
                <c:ptCount val="36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</c:numCache>
            </c:numRef>
          </c:cat>
          <c:val>
            <c:numRef>
              <c:f>'ДОХОДЫ НС'!$BA$5:$BA$40</c:f>
              <c:numCache>
                <c:formatCode>0.000</c:formatCode>
                <c:ptCount val="36"/>
                <c:pt idx="0">
                  <c:v>1.1158782510365622E-2</c:v>
                </c:pt>
                <c:pt idx="1">
                  <c:v>5.6059731442894322E-3</c:v>
                </c:pt>
                <c:pt idx="2">
                  <c:v>7.1061920153373355E-3</c:v>
                </c:pt>
                <c:pt idx="3">
                  <c:v>6.9150702232177313E-3</c:v>
                </c:pt>
                <c:pt idx="4">
                  <c:v>1.4493114659556394E-2</c:v>
                </c:pt>
                <c:pt idx="5">
                  <c:v>1.5512207970682547E-2</c:v>
                </c:pt>
                <c:pt idx="6">
                  <c:v>1.4997489307572569E-2</c:v>
                </c:pt>
                <c:pt idx="7">
                  <c:v>1.4539396668167495E-2</c:v>
                </c:pt>
                <c:pt idx="8">
                  <c:v>2.28901945656152E-2</c:v>
                </c:pt>
                <c:pt idx="9">
                  <c:v>2.6123556231003042E-2</c:v>
                </c:pt>
                <c:pt idx="10">
                  <c:v>3.4302718465320292E-2</c:v>
                </c:pt>
                <c:pt idx="11">
                  <c:v>3.6408642001305565E-2</c:v>
                </c:pt>
                <c:pt idx="12">
                  <c:v>3.1407386862280805E-2</c:v>
                </c:pt>
                <c:pt idx="13">
                  <c:v>2.1023385764369285E-2</c:v>
                </c:pt>
                <c:pt idx="14">
                  <c:v>2.2664279583887188E-2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3701-4700-9C4D-C112CF8E5655}"/>
            </c:ext>
          </c:extLst>
        </c:ser>
        <c:ser>
          <c:idx val="3"/>
          <c:order val="3"/>
          <c:spPr>
            <a:ln>
              <a:solidFill>
                <a:schemeClr val="tx1"/>
              </a:solidFill>
              <a:prstDash val="lgDash"/>
            </a:ln>
          </c:spPr>
          <c:marker>
            <c:symbol val="none"/>
          </c:marker>
          <c:cat>
            <c:numRef>
              <c:f>'ДОХОДЫ НС'!$AX$5:$AX$40</c:f>
              <c:numCache>
                <c:formatCode>General</c:formatCode>
                <c:ptCount val="36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</c:numCache>
            </c:numRef>
          </c:cat>
          <c:val>
            <c:numRef>
              <c:f>'ДОХОДЫ НС'!$BB$5:$BB$40</c:f>
              <c:numCache>
                <c:formatCode>0.000</c:formatCode>
                <c:ptCount val="36"/>
                <c:pt idx="13">
                  <c:v>2.1023385764369285E-2</c:v>
                </c:pt>
                <c:pt idx="14">
                  <c:v>2.2664279583887188E-2</c:v>
                </c:pt>
                <c:pt idx="15">
                  <c:v>0.03</c:v>
                </c:pt>
                <c:pt idx="16">
                  <c:v>3.5501790312084607E-2</c:v>
                </c:pt>
                <c:pt idx="17">
                  <c:v>3.962813304614806E-2</c:v>
                </c:pt>
                <c:pt idx="18">
                  <c:v>4.2722890096695651E-2</c:v>
                </c:pt>
                <c:pt idx="19">
                  <c:v>4.5043957884606342E-2</c:v>
                </c:pt>
                <c:pt idx="20">
                  <c:v>4.678475872553936E-2</c:v>
                </c:pt>
                <c:pt idx="21">
                  <c:v>4.8090359356239121E-2</c:v>
                </c:pt>
                <c:pt idx="22">
                  <c:v>4.9069559829263941E-2</c:v>
                </c:pt>
                <c:pt idx="23">
                  <c:v>4.9803960184032554E-2</c:v>
                </c:pt>
                <c:pt idx="24">
                  <c:v>5.0354760450109018E-2</c:v>
                </c:pt>
                <c:pt idx="25">
                  <c:v>5.0767860649666367E-2</c:v>
                </c:pt>
                <c:pt idx="26">
                  <c:v>5.1077685799334381E-2</c:v>
                </c:pt>
                <c:pt idx="27">
                  <c:v>5.1310054661585391E-2</c:v>
                </c:pt>
                <c:pt idx="28">
                  <c:v>5.1484331308273651E-2</c:v>
                </c:pt>
                <c:pt idx="29">
                  <c:v>5.1615038793289846E-2</c:v>
                </c:pt>
                <c:pt idx="30">
                  <c:v>5.171306940705199E-2</c:v>
                </c:pt>
                <c:pt idx="31">
                  <c:v>5.1786592367373596E-2</c:v>
                </c:pt>
                <c:pt idx="32">
                  <c:v>5.1841734587614804E-2</c:v>
                </c:pt>
                <c:pt idx="33">
                  <c:v>5.1883091252795707E-2</c:v>
                </c:pt>
                <c:pt idx="34">
                  <c:v>5.1914108751681384E-2</c:v>
                </c:pt>
                <c:pt idx="35">
                  <c:v>5.1937371875845642E-2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3-3701-4700-9C4D-C112CF8E56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2489856"/>
        <c:axId val="162491392"/>
      </c:lineChart>
      <c:catAx>
        <c:axId val="16248985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+mn-lt"/>
                <a:ea typeface="Arial Cyr"/>
                <a:cs typeface="Arial Cyr"/>
              </a:defRPr>
            </a:pPr>
            <a:endParaRPr lang="ru-RU"/>
          </a:p>
        </c:txPr>
        <c:crossAx val="162491392"/>
        <c:crosses val="autoZero"/>
        <c:auto val="1"/>
        <c:lblAlgn val="ctr"/>
        <c:lblOffset val="100"/>
        <c:tickLblSkip val="2"/>
        <c:tickMarkSkip val="1"/>
        <c:noMultiLvlLbl val="0"/>
      </c:catAx>
      <c:valAx>
        <c:axId val="162491392"/>
        <c:scaling>
          <c:orientation val="minMax"/>
          <c:max val="6.0000000000000032E-2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162489856"/>
        <c:crosses val="autoZero"/>
        <c:crossBetween val="between"/>
        <c:majorUnit val="2.0000000000000011E-2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CCFFFF"/>
    </a:solidFill>
    <a:ln w="3175">
      <a:solidFill>
        <a:srgbClr val="000000"/>
      </a:solidFill>
      <a:prstDash val="solid"/>
    </a:ln>
  </c:spPr>
  <c:txPr>
    <a:bodyPr/>
    <a:lstStyle/>
    <a:p>
      <a:pPr>
        <a:defRPr sz="950" b="0" i="0" u="none" strike="noStrike" baseline="0">
          <a:solidFill>
            <a:srgbClr val="000000"/>
          </a:solidFill>
          <a:latin typeface="Arial Cyr"/>
          <a:ea typeface="Arial Cyr"/>
          <a:cs typeface="Arial Cyr"/>
        </a:defRPr>
      </a:pPr>
      <a:endParaRPr lang="ru-RU"/>
    </a:p>
  </c:txPr>
  <c:printSettings>
    <c:headerFooter alignWithMargins="0"/>
    <c:pageMargins b="1" l="0.75000000000001465" r="0.75000000000001465" t="1" header="0.5" footer="0.5"/>
    <c:pageSetup paperSize="9" orientation="landscape" verticalDpi="0"/>
  </c:printSettings>
  <c:userShapes r:id="rId1"/>
</c:chartSpace>
</file>

<file path=xl/charts/chart1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2228916694403386E-2"/>
          <c:y val="1.0616053386258661E-2"/>
          <c:w val="0.90749999999999997"/>
          <c:h val="0.88737677387306957"/>
        </c:manualLayout>
      </c:layout>
      <c:lineChart>
        <c:grouping val="standard"/>
        <c:varyColors val="0"/>
        <c:ser>
          <c:idx val="0"/>
          <c:order val="0"/>
          <c:spPr>
            <a:ln w="114300">
              <a:solidFill>
                <a:srgbClr val="00B0F0"/>
              </a:solidFill>
            </a:ln>
          </c:spPr>
          <c:marker>
            <c:symbol val="none"/>
          </c:marker>
          <c:trendline>
            <c:spPr>
              <a:ln w="50800">
                <a:solidFill>
                  <a:srgbClr val="FF0000"/>
                </a:solidFill>
                <a:prstDash val="lgDash"/>
              </a:ln>
            </c:spPr>
            <c:trendlineType val="linear"/>
            <c:forward val="5"/>
            <c:dispRSqr val="1"/>
            <c:dispEq val="1"/>
            <c:trendlineLbl>
              <c:layout>
                <c:manualLayout>
                  <c:x val="-7.0226043238563324E-2"/>
                  <c:y val="4.2885751079539874E-2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sz="1600">
                      <a:latin typeface="Arial" pitchFamily="34" charset="0"/>
                      <a:cs typeface="Arial" pitchFamily="34" charset="0"/>
                    </a:defRPr>
                  </a:pPr>
                  <a:endParaRPr lang="ru-RU"/>
                </a:p>
              </c:txPr>
            </c:trendlineLbl>
          </c:trendline>
          <c:cat>
            <c:numRef>
              <c:f>'ДОХОДЫ НС'!$J$61:$J$96</c:f>
              <c:numCache>
                <c:formatCode>General</c:formatCode>
                <c:ptCount val="36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</c:numCache>
            </c:numRef>
          </c:cat>
          <c:val>
            <c:numRef>
              <c:f>'ДОХОДЫ НС'!$K$61:$K$96</c:f>
              <c:numCache>
                <c:formatCode>0.000</c:formatCode>
                <c:ptCount val="36"/>
                <c:pt idx="0">
                  <c:v>0.18412751259012031</c:v>
                </c:pt>
                <c:pt idx="1">
                  <c:v>0.16657824595487689</c:v>
                </c:pt>
                <c:pt idx="2">
                  <c:v>0.19359545261144043</c:v>
                </c:pt>
                <c:pt idx="3">
                  <c:v>0.19506713300983194</c:v>
                </c:pt>
                <c:pt idx="4">
                  <c:v>0.2020416637977403</c:v>
                </c:pt>
                <c:pt idx="5">
                  <c:v>0.14326863278604252</c:v>
                </c:pt>
                <c:pt idx="6">
                  <c:v>0.16519107231144711</c:v>
                </c:pt>
                <c:pt idx="7">
                  <c:v>0.16321802239003</c:v>
                </c:pt>
                <c:pt idx="8">
                  <c:v>0.20207922619394944</c:v>
                </c:pt>
                <c:pt idx="9">
                  <c:v>0.18389806125704877</c:v>
                </c:pt>
                <c:pt idx="10">
                  <c:v>0.20264786951092276</c:v>
                </c:pt>
                <c:pt idx="11">
                  <c:v>0.19705594455935252</c:v>
                </c:pt>
                <c:pt idx="12">
                  <c:v>0.17400970608532609</c:v>
                </c:pt>
                <c:pt idx="13">
                  <c:v>0.13771012347521919</c:v>
                </c:pt>
                <c:pt idx="14">
                  <c:v>0.21351385469365744</c:v>
                </c:pt>
                <c:pt idx="15">
                  <c:v>0.20520344296820808</c:v>
                </c:pt>
                <c:pt idx="16">
                  <c:v>0.15364356808028609</c:v>
                </c:pt>
                <c:pt idx="17">
                  <c:v>0.14234574174369477</c:v>
                </c:pt>
                <c:pt idx="18">
                  <c:v>0.14846355147847173</c:v>
                </c:pt>
                <c:pt idx="19">
                  <c:v>0.13269422449340992</c:v>
                </c:pt>
                <c:pt idx="20">
                  <c:v>0.18991154595999712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75A1-43CB-B8AD-A4E8A8602F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2548352"/>
        <c:axId val="162558336"/>
      </c:lineChart>
      <c:catAx>
        <c:axId val="1625483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162558336"/>
        <c:crosses val="autoZero"/>
        <c:auto val="1"/>
        <c:lblAlgn val="ctr"/>
        <c:lblOffset val="100"/>
        <c:tickLblSkip val="2"/>
        <c:tickMarkSkip val="1"/>
        <c:noMultiLvlLbl val="0"/>
      </c:catAx>
      <c:valAx>
        <c:axId val="162558336"/>
        <c:scaling>
          <c:orientation val="minMax"/>
          <c:max val="0.4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25" b="0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162548352"/>
        <c:crosses val="autoZero"/>
        <c:crossBetween val="between"/>
        <c:majorUnit val="0.1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chemeClr val="bg1">
        <a:lumMod val="85000"/>
      </a:schemeClr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 Cyr"/>
          <a:ea typeface="Arial Cyr"/>
          <a:cs typeface="Arial Cyr"/>
        </a:defRPr>
      </a:pPr>
      <a:endParaRPr lang="ru-RU"/>
    </a:p>
  </c:txPr>
  <c:printSettings>
    <c:headerFooter alignWithMargins="0"/>
    <c:pageMargins b="1" l="0.75000000000001465" r="0.75000000000001465" t="1" header="0.5" footer="0.5"/>
    <c:pageSetup paperSize="9" orientation="landscape" horizontalDpi="200" verticalDpi="200"/>
  </c:printSettings>
  <c:userShapes r:id="rId1"/>
</c:chartSpace>
</file>

<file path=xl/charts/chart1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5.6888272268526684E-2"/>
          <c:y val="2.4573325685282851E-2"/>
          <c:w val="0.91930384817570776"/>
          <c:h val="0.89159096834749951"/>
        </c:manualLayout>
      </c:layout>
      <c:lineChart>
        <c:grouping val="standard"/>
        <c:varyColors val="0"/>
        <c:ser>
          <c:idx val="0"/>
          <c:order val="0"/>
          <c:spPr>
            <a:ln w="38100">
              <a:solidFill>
                <a:srgbClr val="FF0000"/>
              </a:solidFill>
              <a:prstDash val="solid"/>
            </a:ln>
          </c:spPr>
          <c:marker>
            <c:symbol val="diamond"/>
            <c:size val="9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numRef>
              <c:f>'ДОХОДЫ НС'!$BR$5:$BR$40</c:f>
              <c:numCache>
                <c:formatCode>General</c:formatCode>
                <c:ptCount val="36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</c:numCache>
            </c:numRef>
          </c:cat>
          <c:val>
            <c:numRef>
              <c:f>'ДОХОДЫ НС'!$BU$5:$BU$40</c:f>
              <c:numCache>
                <c:formatCode>0.000</c:formatCode>
                <c:ptCount val="36"/>
                <c:pt idx="0">
                  <c:v>1.4059919428280365</c:v>
                </c:pt>
                <c:pt idx="1">
                  <c:v>1.3270554642885082</c:v>
                </c:pt>
                <c:pt idx="2">
                  <c:v>1.3770055698728074</c:v>
                </c:pt>
                <c:pt idx="3">
                  <c:v>1.4061234459208565</c:v>
                </c:pt>
                <c:pt idx="4">
                  <c:v>1.5039775424776298</c:v>
                </c:pt>
                <c:pt idx="5">
                  <c:v>1.3563459449889863</c:v>
                </c:pt>
                <c:pt idx="6">
                  <c:v>1.3838998025153311</c:v>
                </c:pt>
                <c:pt idx="7">
                  <c:v>1.3486406981105998</c:v>
                </c:pt>
                <c:pt idx="8">
                  <c:v>1.4283336920014758</c:v>
                </c:pt>
                <c:pt idx="9">
                  <c:v>1.3991393539635313</c:v>
                </c:pt>
                <c:pt idx="10">
                  <c:v>1.4639039465447832</c:v>
                </c:pt>
                <c:pt idx="11">
                  <c:v>1.4425360454634004</c:v>
                </c:pt>
                <c:pt idx="12">
                  <c:v>1.3726232778203942</c:v>
                </c:pt>
                <c:pt idx="13">
                  <c:v>1.2906088827265776</c:v>
                </c:pt>
                <c:pt idx="14">
                  <c:v>1.405940050784823</c:v>
                </c:pt>
                <c:pt idx="15">
                  <c:v>1.4132380804526772</c:v>
                </c:pt>
                <c:pt idx="16">
                  <c:v>1.3510114275328524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483-4A59-8B09-93720D1D7F79}"/>
            </c:ext>
          </c:extLst>
        </c:ser>
        <c:ser>
          <c:idx val="1"/>
          <c:order val="1"/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cat>
            <c:numRef>
              <c:f>'ДОХОДЫ НС'!$BR$5:$BR$40</c:f>
              <c:numCache>
                <c:formatCode>General</c:formatCode>
                <c:ptCount val="36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</c:numCache>
            </c:numRef>
          </c:cat>
          <c:val>
            <c:numRef>
              <c:f>'ДОХОДЫ НС'!$BV$5:$BV$40</c:f>
              <c:numCache>
                <c:formatCode>0.000</c:formatCode>
                <c:ptCount val="36"/>
                <c:pt idx="15">
                  <c:v>1.4132380804526772</c:v>
                </c:pt>
                <c:pt idx="16">
                  <c:v>1.3510114275328524</c:v>
                </c:pt>
                <c:pt idx="17">
                  <c:v>1.3323434316569049</c:v>
                </c:pt>
                <c:pt idx="18">
                  <c:v>1.3267430328941208</c:v>
                </c:pt>
                <c:pt idx="19">
                  <c:v>1.3250629132652856</c:v>
                </c:pt>
                <c:pt idx="20">
                  <c:v>1.324558877376635</c:v>
                </c:pt>
                <c:pt idx="21">
                  <c:v>1.3244076666100399</c:v>
                </c:pt>
                <c:pt idx="22">
                  <c:v>1.3243623033800613</c:v>
                </c:pt>
                <c:pt idx="23">
                  <c:v>1.3243486944110678</c:v>
                </c:pt>
                <c:pt idx="24">
                  <c:v>1.3243446117203699</c:v>
                </c:pt>
                <c:pt idx="25">
                  <c:v>1.3243433869131604</c:v>
                </c:pt>
                <c:pt idx="26">
                  <c:v>1.3243430194709975</c:v>
                </c:pt>
                <c:pt idx="27">
                  <c:v>1.3243429092383487</c:v>
                </c:pt>
                <c:pt idx="28">
                  <c:v>1.3243428761685541</c:v>
                </c:pt>
                <c:pt idx="29">
                  <c:v>1.3243428662476155</c:v>
                </c:pt>
                <c:pt idx="30">
                  <c:v>1.3243428632713341</c:v>
                </c:pt>
                <c:pt idx="31">
                  <c:v>1.3243428623784497</c:v>
                </c:pt>
                <c:pt idx="32">
                  <c:v>1.3243428621105844</c:v>
                </c:pt>
                <c:pt idx="33">
                  <c:v>1.3243428620302249</c:v>
                </c:pt>
                <c:pt idx="34">
                  <c:v>1.3243428620061171</c:v>
                </c:pt>
                <c:pt idx="35">
                  <c:v>1.3243428619988846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483-4A59-8B09-93720D1D7F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595200"/>
        <c:axId val="162597120"/>
      </c:lineChart>
      <c:catAx>
        <c:axId val="16259520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+mn-lt"/>
                <a:ea typeface="Arial Cyr"/>
                <a:cs typeface="Arial Cyr"/>
              </a:defRPr>
            </a:pPr>
            <a:endParaRPr lang="ru-RU"/>
          </a:p>
        </c:txPr>
        <c:crossAx val="162597120"/>
        <c:crosses val="autoZero"/>
        <c:auto val="1"/>
        <c:lblAlgn val="ctr"/>
        <c:lblOffset val="100"/>
        <c:tickLblSkip val="2"/>
        <c:tickMarkSkip val="1"/>
        <c:noMultiLvlLbl val="0"/>
      </c:catAx>
      <c:valAx>
        <c:axId val="162597120"/>
        <c:scaling>
          <c:orientation val="minMax"/>
          <c:max val="1.6"/>
          <c:min val="1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162595200"/>
        <c:crosses val="autoZero"/>
        <c:crossBetween val="between"/>
        <c:majorUnit val="0.2"/>
        <c:minorUnit val="0.2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CCFFFF"/>
    </a:solidFill>
    <a:ln w="12700">
      <a:solidFill>
        <a:srgbClr val="000000"/>
      </a:solidFill>
      <a:prstDash val="solid"/>
    </a:ln>
  </c:spPr>
  <c:txPr>
    <a:bodyPr/>
    <a:lstStyle/>
    <a:p>
      <a:pPr>
        <a:defRPr sz="950" b="0" i="0" u="none" strike="noStrike" baseline="0">
          <a:solidFill>
            <a:srgbClr val="000000"/>
          </a:solidFill>
          <a:latin typeface="Arial Cyr"/>
          <a:ea typeface="Arial Cyr"/>
          <a:cs typeface="Arial Cyr"/>
        </a:defRPr>
      </a:pPr>
      <a:endParaRPr lang="ru-RU"/>
    </a:p>
  </c:txPr>
  <c:printSettings>
    <c:headerFooter alignWithMargins="0"/>
    <c:pageMargins b="1" l="0.75000000000001465" r="0.75000000000001465" t="1" header="0.5" footer="0.5"/>
    <c:pageSetup paperSize="9" orientation="landscape"/>
  </c:printSettings>
  <c:userShapes r:id="rId1"/>
</c:chartSpace>
</file>

<file path=xl/charts/chart1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6741163011326284E-2"/>
          <c:y val="1.6507210504435189E-2"/>
          <c:w val="0.91673666144443477"/>
          <c:h val="0.94557003076989365"/>
        </c:manualLayout>
      </c:layout>
      <c:scatterChart>
        <c:scatterStyle val="smoothMarker"/>
        <c:varyColors val="0"/>
        <c:ser>
          <c:idx val="0"/>
          <c:order val="0"/>
          <c:spPr>
            <a:ln w="114300">
              <a:solidFill>
                <a:srgbClr val="FFC000"/>
              </a:solidFill>
            </a:ln>
          </c:spPr>
          <c:marker>
            <c:symbol val="circle"/>
            <c:size val="13"/>
            <c:spPr>
              <a:noFill/>
            </c:spPr>
          </c:marker>
          <c:trendline>
            <c:spPr>
              <a:ln>
                <a:prstDash val="lgDash"/>
              </a:ln>
            </c:spPr>
            <c:trendlineType val="linear"/>
            <c:forward val="20"/>
            <c:dispRSqr val="1"/>
            <c:dispEq val="1"/>
            <c:trendlineLbl>
              <c:layout>
                <c:manualLayout>
                  <c:x val="2.9720441153555373E-2"/>
                  <c:y val="0.40673864385486508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sz="1600">
                      <a:latin typeface="Arial" pitchFamily="34" charset="0"/>
                      <a:cs typeface="Arial" pitchFamily="34" charset="0"/>
                    </a:defRPr>
                  </a:pPr>
                  <a:endParaRPr lang="ru-RU"/>
                </a:p>
              </c:txPr>
            </c:trendlineLbl>
          </c:trendline>
          <c:xVal>
            <c:numRef>
              <c:f>'ДОХОДЫ НС'!$BB$61:$BB$96</c:f>
              <c:numCache>
                <c:formatCode>0.00</c:formatCode>
                <c:ptCount val="36"/>
                <c:pt idx="0">
                  <c:v>1</c:v>
                </c:pt>
                <c:pt idx="1">
                  <c:v>1.458015926869807</c:v>
                </c:pt>
                <c:pt idx="2">
                  <c:v>1.6775696170093486</c:v>
                </c:pt>
                <c:pt idx="3">
                  <c:v>1.988574685283935</c:v>
                </c:pt>
                <c:pt idx="4">
                  <c:v>3.4280333525379545</c:v>
                </c:pt>
                <c:pt idx="5">
                  <c:v>4.7203345530217637</c:v>
                </c:pt>
                <c:pt idx="6">
                  <c:v>5.4982302967459242</c:v>
                </c:pt>
                <c:pt idx="7">
                  <c:v>6.3527295286418424</c:v>
                </c:pt>
                <c:pt idx="8">
                  <c:v>7.2278602743829534</c:v>
                </c:pt>
                <c:pt idx="9">
                  <c:v>8.6918699640274202</c:v>
                </c:pt>
                <c:pt idx="10">
                  <c:v>10.367609749128871</c:v>
                </c:pt>
                <c:pt idx="11">
                  <c:v>11.935242035159135</c:v>
                </c:pt>
                <c:pt idx="12">
                  <c:v>13.587224630705832</c:v>
                </c:pt>
                <c:pt idx="13">
                  <c:v>16.03475716499792</c:v>
                </c:pt>
                <c:pt idx="14">
                  <c:v>16.368494611949213</c:v>
                </c:pt>
                <c:pt idx="15">
                  <c:v>18.691365335566658</c:v>
                </c:pt>
                <c:pt idx="16">
                  <c:v>23.328518818067689</c:v>
                </c:pt>
                <c:pt idx="17">
                  <c:v>25.448132013167307</c:v>
                </c:pt>
                <c:pt idx="18">
                  <c:v>26.82470761987901</c:v>
                </c:pt>
                <c:pt idx="19">
                  <c:v>28.785172632075849</c:v>
                </c:pt>
                <c:pt idx="20">
                  <c:v>30.966851255246702</c:v>
                </c:pt>
              </c:numCache>
            </c:numRef>
          </c:xVal>
          <c:yVal>
            <c:numRef>
              <c:f>'ДОХОДЫ НС'!$AZ$61:$AZ$96</c:f>
              <c:numCache>
                <c:formatCode>0.00</c:formatCode>
                <c:ptCount val="36"/>
                <c:pt idx="0">
                  <c:v>1</c:v>
                </c:pt>
                <c:pt idx="1">
                  <c:v>1.218</c:v>
                </c:pt>
                <c:pt idx="2">
                  <c:v>1.3519800000000002</c:v>
                </c:pt>
                <c:pt idx="3">
                  <c:v>2.4930511200000005</c:v>
                </c:pt>
                <c:pt idx="4">
                  <c:v>3.4030147788000007</c:v>
                </c:pt>
                <c:pt idx="5">
                  <c:v>4.0904237641176007</c:v>
                </c:pt>
                <c:pt idx="6">
                  <c:v>4.8512425842434741</c:v>
                </c:pt>
                <c:pt idx="7">
                  <c:v>5.5837802144642392</c:v>
                </c:pt>
                <c:pt idx="8">
                  <c:v>6.2538338401999489</c:v>
                </c:pt>
                <c:pt idx="9">
                  <c:v>6.9855323995033425</c:v>
                </c:pt>
                <c:pt idx="10">
                  <c:v>7.7469554310492068</c:v>
                </c:pt>
                <c:pt idx="11">
                  <c:v>8.4441814198436358</c:v>
                </c:pt>
                <c:pt idx="12">
                  <c:v>9.4465057543790749</c:v>
                </c:pt>
                <c:pt idx="13">
                  <c:v>10.701001718560617</c:v>
                </c:pt>
                <c:pt idx="14">
                  <c:v>11.642689869793951</c:v>
                </c:pt>
                <c:pt idx="15">
                  <c:v>12.664918040361862</c:v>
                </c:pt>
                <c:pt idx="16">
                  <c:v>13.437478040823935</c:v>
                </c:pt>
                <c:pt idx="17">
                  <c:v>14.321664095910151</c:v>
                </c:pt>
                <c:pt idx="18">
                  <c:v>15.245411430096356</c:v>
                </c:pt>
                <c:pt idx="19">
                  <c:v>17.318787384589459</c:v>
                </c:pt>
                <c:pt idx="20" formatCode="0.000">
                  <c:v>19.552910957201501</c:v>
                </c:pt>
                <c:pt idx="21" formatCode="0.000">
                  <c:v>0</c:v>
                </c:pt>
                <c:pt idx="22" formatCode="0.000">
                  <c:v>0</c:v>
                </c:pt>
                <c:pt idx="23" formatCode="0.000">
                  <c:v>0</c:v>
                </c:pt>
                <c:pt idx="24" formatCode="0.000">
                  <c:v>0</c:v>
                </c:pt>
                <c:pt idx="25" formatCode="0.000">
                  <c:v>0</c:v>
                </c:pt>
                <c:pt idx="26" formatCode="0.000">
                  <c:v>0</c:v>
                </c:pt>
                <c:pt idx="27" formatCode="0.000">
                  <c:v>0</c:v>
                </c:pt>
                <c:pt idx="28" formatCode="0.000">
                  <c:v>0</c:v>
                </c:pt>
                <c:pt idx="29" formatCode="0.000">
                  <c:v>0</c:v>
                </c:pt>
                <c:pt idx="30" formatCode="0.000">
                  <c:v>0</c:v>
                </c:pt>
                <c:pt idx="31" formatCode="0.000">
                  <c:v>0</c:v>
                </c:pt>
                <c:pt idx="32" formatCode="0.000">
                  <c:v>0</c:v>
                </c:pt>
                <c:pt idx="33" formatCode="0.000">
                  <c:v>0</c:v>
                </c:pt>
                <c:pt idx="34" formatCode="0.000">
                  <c:v>0</c:v>
                </c:pt>
                <c:pt idx="35" formatCode="0.0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7BC-4757-98DE-58DBF1F06E50}"/>
            </c:ext>
          </c:extLst>
        </c:ser>
        <c:ser>
          <c:idx val="1"/>
          <c:order val="1"/>
          <c:xVal>
            <c:numRef>
              <c:f>'ДОХОДЫ НС'!$BC$61:$BC$96</c:f>
              <c:numCache>
                <c:formatCode>0.00</c:formatCode>
                <c:ptCount val="36"/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xVal>
          <c:yVal>
            <c:numRef>
              <c:f>'ДОХОДЫ НС'!$BA$61:$BA$96</c:f>
              <c:numCache>
                <c:formatCode>0.000</c:formatCode>
                <c:ptCount val="36"/>
                <c:pt idx="20" formatCode="0.00">
                  <c:v>19.552910957201501</c:v>
                </c:pt>
                <c:pt idx="21" formatCode="0.00">
                  <c:v>20.606812857794662</c:v>
                </c:pt>
                <c:pt idx="22" formatCode="0.00">
                  <c:v>21.124043860525305</c:v>
                </c:pt>
                <c:pt idx="23" formatCode="0.00">
                  <c:v>22.02392812898368</c:v>
                </c:pt>
                <c:pt idx="24" formatCode="0.00">
                  <c:v>22.693455544104783</c:v>
                </c:pt>
                <c:pt idx="25" formatCode="0.00">
                  <c:v>23.807704211320324</c:v>
                </c:pt>
                <c:pt idx="26" formatCode="0.00">
                  <c:v>24.998089421886341</c:v>
                </c:pt>
                <c:pt idx="27" formatCode="0.00">
                  <c:v>26.247993892980659</c:v>
                </c:pt>
                <c:pt idx="28" formatCode="0.00">
                  <c:v>27.560393587629694</c:v>
                </c:pt>
                <c:pt idx="29" formatCode="0.00">
                  <c:v>28.938413267011178</c:v>
                </c:pt>
                <c:pt idx="30" formatCode="0.00">
                  <c:v>30.385333930361739</c:v>
                </c:pt>
                <c:pt idx="31" formatCode="0.00">
                  <c:v>31.904600626879827</c:v>
                </c:pt>
                <c:pt idx="32" formatCode="0.00">
                  <c:v>33.499830658223821</c:v>
                </c:pt>
                <c:pt idx="33" formatCode="0.00">
                  <c:v>35.174822191135014</c:v>
                </c:pt>
                <c:pt idx="34" formatCode="0.00">
                  <c:v>36.933563300691766</c:v>
                </c:pt>
                <c:pt idx="35" formatCode="0.00">
                  <c:v>38.780241465726355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7BC-4757-98DE-58DBF1F06E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658944"/>
        <c:axId val="162668928"/>
      </c:scatterChart>
      <c:valAx>
        <c:axId val="162658944"/>
        <c:scaling>
          <c:orientation val="minMax"/>
          <c:max val="60"/>
          <c:min val="0"/>
        </c:scaling>
        <c:delete val="0"/>
        <c:axPos val="b"/>
        <c:numFmt formatCode="0" sourceLinked="0"/>
        <c:majorTickMark val="out"/>
        <c:minorTickMark val="none"/>
        <c:tickLblPos val="nextTo"/>
        <c:txPr>
          <a:bodyPr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62668928"/>
        <c:crosses val="autoZero"/>
        <c:crossBetween val="midCat"/>
        <c:majorUnit val="10"/>
      </c:valAx>
      <c:valAx>
        <c:axId val="162668928"/>
        <c:scaling>
          <c:orientation val="minMax"/>
          <c:max val="40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txPr>
          <a:bodyPr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62658944"/>
        <c:crosses val="autoZero"/>
        <c:crossBetween val="midCat"/>
        <c:majorUnit val="10"/>
      </c:valAx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1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ru-RU" sz="2400" b="0">
                <a:latin typeface="Arial" panose="020B0604020202020204" pitchFamily="34" charset="0"/>
                <a:cs typeface="Arial" panose="020B0604020202020204" pitchFamily="34" charset="0"/>
              </a:rPr>
              <a:t>РЕГРЕССИЯ</a:t>
            </a:r>
            <a:r>
              <a:rPr lang="ru-RU" sz="2400" b="0" baseline="0">
                <a:latin typeface="Arial" panose="020B0604020202020204" pitchFamily="34" charset="0"/>
                <a:cs typeface="Arial" panose="020B0604020202020204" pitchFamily="34" charset="0"/>
              </a:rPr>
              <a:t> РАСХОДОВ НА КП ДХ </a:t>
            </a:r>
            <a:endParaRPr lang="ru-RU"/>
          </a:p>
        </c:rich>
      </c:tx>
      <c:layout>
        <c:manualLayout>
          <c:xMode val="edge"/>
          <c:yMode val="edge"/>
          <c:x val="0.20947084690209974"/>
          <c:y val="0.14927698465370071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7.9921552222079362E-2"/>
          <c:y val="3.0589916873056851E-2"/>
          <c:w val="0.8855207911558185"/>
          <c:h val="0.92727731399008773"/>
        </c:manualLayout>
      </c:layout>
      <c:scatterChart>
        <c:scatterStyle val="smoothMarker"/>
        <c:varyColors val="0"/>
        <c:ser>
          <c:idx val="0"/>
          <c:order val="0"/>
          <c:spPr>
            <a:ln w="88900">
              <a:solidFill>
                <a:srgbClr val="00B0F0"/>
              </a:solidFill>
            </a:ln>
          </c:spPr>
          <c:marker>
            <c:symbol val="circle"/>
            <c:size val="17"/>
            <c:spPr>
              <a:noFill/>
            </c:spPr>
          </c:marker>
          <c:trendline>
            <c:spPr>
              <a:ln>
                <a:prstDash val="lgDash"/>
              </a:ln>
            </c:spPr>
            <c:trendlineType val="linear"/>
            <c:forward val="200000"/>
            <c:dispRSqr val="1"/>
            <c:dispEq val="1"/>
            <c:trendlineLbl>
              <c:layout>
                <c:manualLayout>
                  <c:x val="-0.19675438630157491"/>
                  <c:y val="0.62566550622719053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sz="1600">
                      <a:latin typeface="Arial" pitchFamily="34" charset="0"/>
                      <a:cs typeface="Arial" pitchFamily="34" charset="0"/>
                    </a:defRPr>
                  </a:pPr>
                  <a:endParaRPr lang="ru-RU"/>
                </a:p>
              </c:txPr>
            </c:trendlineLbl>
          </c:trendline>
          <c:xVal>
            <c:numRef>
              <c:f>'ДОХОДЫ НС'!$BV$61:$BV$82</c:f>
              <c:numCache>
                <c:formatCode>0</c:formatCode>
                <c:ptCount val="22"/>
                <c:pt idx="0">
                  <c:v>910.9</c:v>
                </c:pt>
                <c:pt idx="1">
                  <c:v>1357.1</c:v>
                </c:pt>
                <c:pt idx="2">
                  <c:v>1656.4</c:v>
                </c:pt>
                <c:pt idx="3">
                  <c:v>1776</c:v>
                </c:pt>
                <c:pt idx="4">
                  <c:v>2908.1</c:v>
                </c:pt>
                <c:pt idx="5">
                  <c:v>3983.9</c:v>
                </c:pt>
                <c:pt idx="6">
                  <c:v>5325.8</c:v>
                </c:pt>
                <c:pt idx="7">
                  <c:v>6831</c:v>
                </c:pt>
                <c:pt idx="8">
                  <c:v>8900.5</c:v>
                </c:pt>
                <c:pt idx="9">
                  <c:v>10976.3</c:v>
                </c:pt>
                <c:pt idx="10">
                  <c:v>13819</c:v>
                </c:pt>
                <c:pt idx="11">
                  <c:v>17290.099999999999</c:v>
                </c:pt>
                <c:pt idx="12">
                  <c:v>21311.5</c:v>
                </c:pt>
                <c:pt idx="13">
                  <c:v>25244</c:v>
                </c:pt>
                <c:pt idx="14">
                  <c:v>28697.5</c:v>
                </c:pt>
                <c:pt idx="15">
                  <c:v>32498.3</c:v>
                </c:pt>
                <c:pt idx="16">
                  <c:v>35648.699999999997</c:v>
                </c:pt>
                <c:pt idx="17">
                  <c:v>39904</c:v>
                </c:pt>
                <c:pt idx="18">
                  <c:v>44650</c:v>
                </c:pt>
                <c:pt idx="19">
                  <c:v>47921</c:v>
                </c:pt>
                <c:pt idx="20">
                  <c:v>53526</c:v>
                </c:pt>
                <c:pt idx="21">
                  <c:v>54102</c:v>
                </c:pt>
              </c:numCache>
            </c:numRef>
          </c:xVal>
          <c:yVal>
            <c:numRef>
              <c:f>'ДОХОДЫ НС'!$BX$61:$BX$82</c:f>
              <c:numCache>
                <c:formatCode>0</c:formatCode>
                <c:ptCount val="22"/>
                <c:pt idx="0">
                  <c:v>719.79349999999999</c:v>
                </c:pt>
                <c:pt idx="1">
                  <c:v>1007.827</c:v>
                </c:pt>
                <c:pt idx="2">
                  <c:v>1235.2137</c:v>
                </c:pt>
                <c:pt idx="3">
                  <c:v>1462.2840000000001</c:v>
                </c:pt>
                <c:pt idx="4">
                  <c:v>2526.1678999999999</c:v>
                </c:pt>
                <c:pt idx="5">
                  <c:v>3295.2372999999998</c:v>
                </c:pt>
                <c:pt idx="6">
                  <c:v>4318.1211000000003</c:v>
                </c:pt>
                <c:pt idx="7">
                  <c:v>5409.1576999999997</c:v>
                </c:pt>
                <c:pt idx="8">
                  <c:v>6537.4014999999999</c:v>
                </c:pt>
                <c:pt idx="9">
                  <c:v>8438.4840999999997</c:v>
                </c:pt>
                <c:pt idx="10">
                  <c:v>10652.8578</c:v>
                </c:pt>
                <c:pt idx="11">
                  <c:v>12974.743399999999</c:v>
                </c:pt>
                <c:pt idx="12">
                  <c:v>16031.739799999999</c:v>
                </c:pt>
                <c:pt idx="13">
                  <c:v>19966.954699999998</c:v>
                </c:pt>
                <c:pt idx="14">
                  <c:v>20986.036</c:v>
                </c:pt>
                <c:pt idx="15">
                  <c:v>23617.623</c:v>
                </c:pt>
                <c:pt idx="16">
                  <c:v>29939.463500000002</c:v>
                </c:pt>
                <c:pt idx="17">
                  <c:v>34492.361700000001</c:v>
                </c:pt>
                <c:pt idx="18">
                  <c:v>38465.140799999994</c:v>
                </c:pt>
                <c:pt idx="19">
                  <c:v>41954.83</c:v>
                </c:pt>
                <c:pt idx="20">
                  <c:v>43242.32</c:v>
                </c:pt>
                <c:pt idx="21">
                  <c:v>45317.05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C86-46E8-BF1D-D445589135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702080"/>
        <c:axId val="162703616"/>
      </c:scatterChart>
      <c:valAx>
        <c:axId val="162702080"/>
        <c:scaling>
          <c:orientation val="minMax"/>
          <c:max val="75000"/>
          <c:min val="0"/>
        </c:scaling>
        <c:delete val="0"/>
        <c:axPos val="b"/>
        <c:numFmt formatCode="0" sourceLinked="0"/>
        <c:majorTickMark val="out"/>
        <c:minorTickMark val="none"/>
        <c:tickLblPos val="nextTo"/>
        <c:txPr>
          <a:bodyPr/>
          <a:lstStyle/>
          <a:p>
            <a:pPr>
              <a:defRPr sz="14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62703616"/>
        <c:crosses val="autoZero"/>
        <c:crossBetween val="midCat"/>
        <c:majorUnit val="25000"/>
      </c:valAx>
      <c:valAx>
        <c:axId val="162703616"/>
        <c:scaling>
          <c:orientation val="minMax"/>
          <c:max val="75000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txPr>
          <a:bodyPr/>
          <a:lstStyle/>
          <a:p>
            <a:pPr>
              <a:defRPr sz="14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62702080"/>
        <c:crosses val="autoZero"/>
        <c:crossBetween val="midCat"/>
        <c:majorUnit val="25000"/>
      </c:valAx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1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14300">
              <a:solidFill>
                <a:srgbClr val="00B0F0">
                  <a:alpha val="76000"/>
                </a:srgbClr>
              </a:solidFill>
            </a:ln>
          </c:spPr>
          <c:marker>
            <c:symbol val="circle"/>
            <c:size val="15"/>
            <c:spPr>
              <a:noFill/>
            </c:spPr>
          </c:marker>
          <c:trendline>
            <c:spPr>
              <a:ln w="34925">
                <a:prstDash val="lgDash"/>
              </a:ln>
            </c:spPr>
            <c:trendlineType val="linear"/>
            <c:forward val="5"/>
            <c:dispRSqr val="1"/>
            <c:dispEq val="1"/>
            <c:trendlineLbl>
              <c:layout>
                <c:manualLayout>
                  <c:x val="-0.50393875108318065"/>
                  <c:y val="0.2168217173204596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sz="1600">
                      <a:latin typeface="Arial" pitchFamily="34" charset="0"/>
                      <a:cs typeface="Arial" pitchFamily="34" charset="0"/>
                    </a:defRPr>
                  </a:pPr>
                  <a:endParaRPr lang="ru-RU"/>
                </a:p>
              </c:txPr>
            </c:trendlineLbl>
          </c:trendline>
          <c:xVal>
            <c:numRef>
              <c:f>'ДОХОДЫ НС'!$AD$61:$AD$81</c:f>
              <c:numCache>
                <c:formatCode>0.000</c:formatCode>
                <c:ptCount val="21"/>
                <c:pt idx="0">
                  <c:v>1</c:v>
                </c:pt>
                <c:pt idx="1">
                  <c:v>1.218</c:v>
                </c:pt>
                <c:pt idx="2">
                  <c:v>1.3519800000000002</c:v>
                </c:pt>
                <c:pt idx="3">
                  <c:v>2.4930511200000005</c:v>
                </c:pt>
                <c:pt idx="4">
                  <c:v>3.4030147788000007</c:v>
                </c:pt>
                <c:pt idx="5">
                  <c:v>4.0904237641176007</c:v>
                </c:pt>
                <c:pt idx="6">
                  <c:v>4.8512425842434741</c:v>
                </c:pt>
                <c:pt idx="7">
                  <c:v>5.5837802144642392</c:v>
                </c:pt>
                <c:pt idx="8">
                  <c:v>6.2538338401999489</c:v>
                </c:pt>
                <c:pt idx="9">
                  <c:v>6.9855323995033425</c:v>
                </c:pt>
                <c:pt idx="10">
                  <c:v>7.7469554310492068</c:v>
                </c:pt>
                <c:pt idx="11">
                  <c:v>8.4441814198436358</c:v>
                </c:pt>
                <c:pt idx="12">
                  <c:v>9.4465057543790749</c:v>
                </c:pt>
                <c:pt idx="13">
                  <c:v>10.701001718560617</c:v>
                </c:pt>
                <c:pt idx="14">
                  <c:v>11.642689869793951</c:v>
                </c:pt>
                <c:pt idx="15">
                  <c:v>12.664918040361862</c:v>
                </c:pt>
                <c:pt idx="16">
                  <c:v>13.437478040823935</c:v>
                </c:pt>
                <c:pt idx="17">
                  <c:v>14.321664095910151</c:v>
                </c:pt>
                <c:pt idx="18">
                  <c:v>15.245411430096356</c:v>
                </c:pt>
                <c:pt idx="19">
                  <c:v>17.318787384589459</c:v>
                </c:pt>
                <c:pt idx="20">
                  <c:v>19.552910957201501</c:v>
                </c:pt>
              </c:numCache>
            </c:numRef>
          </c:xVal>
          <c:yVal>
            <c:numRef>
              <c:f>'ДОХОДЫ НС'!$AF$61:$AF$81</c:f>
              <c:numCache>
                <c:formatCode>0.000</c:formatCode>
                <c:ptCount val="21"/>
                <c:pt idx="0">
                  <c:v>1</c:v>
                </c:pt>
                <c:pt idx="1">
                  <c:v>1.4723042021668387</c:v>
                </c:pt>
                <c:pt idx="2">
                  <c:v>1.718558670886825</c:v>
                </c:pt>
                <c:pt idx="3">
                  <c:v>2.1060897046594418</c:v>
                </c:pt>
                <c:pt idx="4">
                  <c:v>3.7278422973468679</c:v>
                </c:pt>
                <c:pt idx="5">
                  <c:v>4.5918326760987345</c:v>
                </c:pt>
                <c:pt idx="6">
                  <c:v>5.5611795404054956</c:v>
                </c:pt>
                <c:pt idx="7">
                  <c:v>6.4682386989177063</c:v>
                </c:pt>
                <c:pt idx="8">
                  <c:v>7.2584827706254744</c:v>
                </c:pt>
                <c:pt idx="9">
                  <c:v>8.3282279936178867</c:v>
                </c:pt>
                <c:pt idx="10">
                  <c:v>9.3704714639566831</c:v>
                </c:pt>
                <c:pt idx="11">
                  <c:v>10.171880121895711</c:v>
                </c:pt>
                <c:pt idx="12">
                  <c:v>10.996054426330467</c:v>
                </c:pt>
                <c:pt idx="13">
                  <c:v>12.382630991276981</c:v>
                </c:pt>
                <c:pt idx="14">
                  <c:v>13.714036448863869</c:v>
                </c:pt>
                <c:pt idx="15">
                  <c:v>14.629133800462956</c:v>
                </c:pt>
                <c:pt idx="16">
                  <c:v>17.36421630879255</c:v>
                </c:pt>
                <c:pt idx="17">
                  <c:v>18.540125110660799</c:v>
                </c:pt>
                <c:pt idx="18">
                  <c:v>19.653563919076568</c:v>
                </c:pt>
                <c:pt idx="19">
                  <c:v>21.016276952701091</c:v>
                </c:pt>
                <c:pt idx="20">
                  <c:v>23.908625308988828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F48-4348-8511-17BCC59350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740480"/>
        <c:axId val="162758656"/>
      </c:scatterChart>
      <c:valAx>
        <c:axId val="162740480"/>
        <c:scaling>
          <c:orientation val="minMax"/>
          <c:max val="25"/>
          <c:min val="0"/>
        </c:scaling>
        <c:delete val="0"/>
        <c:axPos val="b"/>
        <c:numFmt formatCode="0" sourceLinked="0"/>
        <c:majorTickMark val="out"/>
        <c:minorTickMark val="none"/>
        <c:tickLblPos val="nextTo"/>
        <c:txPr>
          <a:bodyPr/>
          <a:lstStyle/>
          <a:p>
            <a:pPr>
              <a:defRPr sz="18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62758656"/>
        <c:crosses val="autoZero"/>
        <c:crossBetween val="midCat"/>
      </c:valAx>
      <c:valAx>
        <c:axId val="162758656"/>
        <c:scaling>
          <c:orientation val="minMax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txPr>
          <a:bodyPr/>
          <a:lstStyle/>
          <a:p>
            <a:pPr>
              <a:defRPr sz="14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62740480"/>
        <c:crosses val="autoZero"/>
        <c:crossBetween val="midCat"/>
      </c:valAx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1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1964111643283025E-2"/>
          <c:y val="2.3328986014812387E-2"/>
          <c:w val="0.86355565304160065"/>
          <c:h val="0.94557003076989365"/>
        </c:manualLayout>
      </c:layout>
      <c:scatterChart>
        <c:scatterStyle val="smoothMarker"/>
        <c:varyColors val="0"/>
        <c:ser>
          <c:idx val="0"/>
          <c:order val="0"/>
          <c:spPr>
            <a:ln w="114300">
              <a:solidFill>
                <a:srgbClr val="FFC000"/>
              </a:solidFill>
            </a:ln>
          </c:spPr>
          <c:marker>
            <c:symbol val="circle"/>
            <c:size val="21"/>
            <c:spPr>
              <a:noFill/>
              <a:ln>
                <a:solidFill>
                  <a:schemeClr val="tx1"/>
                </a:solidFill>
              </a:ln>
            </c:spPr>
          </c:marker>
          <c:trendline>
            <c:spPr>
              <a:ln w="28575">
                <a:solidFill>
                  <a:srgbClr val="FF0000"/>
                </a:solidFill>
                <a:prstDash val="lgDash"/>
              </a:ln>
            </c:spPr>
            <c:trendlineType val="linear"/>
            <c:forward val="1000000"/>
            <c:dispRSqr val="1"/>
            <c:dispEq val="1"/>
            <c:trendlineLbl>
              <c:layout>
                <c:manualLayout>
                  <c:x val="-8.8303729813163687E-2"/>
                  <c:y val="0.47329664969995588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sz="1200">
                      <a:latin typeface="Arial" pitchFamily="34" charset="0"/>
                      <a:cs typeface="Arial" pitchFamily="34" charset="0"/>
                    </a:defRPr>
                  </a:pPr>
                  <a:endParaRPr lang="ru-RU"/>
                </a:p>
              </c:txPr>
            </c:trendlineLbl>
          </c:trendline>
          <c:xVal>
            <c:numRef>
              <c:f>'ДОХОДЫ НС'!$CR$61:$CR$81</c:f>
              <c:numCache>
                <c:formatCode>0</c:formatCode>
                <c:ptCount val="21"/>
                <c:pt idx="0">
                  <c:v>1428.5209000000002</c:v>
                </c:pt>
                <c:pt idx="1">
                  <c:v>2007.8252000000007</c:v>
                </c:pt>
                <c:pt idx="2">
                  <c:v>2342.5136999999995</c:v>
                </c:pt>
                <c:pt idx="3">
                  <c:v>2629.6228999999998</c:v>
                </c:pt>
                <c:pt idx="4">
                  <c:v>4823.2329000000009</c:v>
                </c:pt>
                <c:pt idx="5">
                  <c:v>7305.6466</c:v>
                </c:pt>
                <c:pt idx="6">
                  <c:v>8943.5826000000015</c:v>
                </c:pt>
                <c:pt idx="7">
                  <c:v>10819.212299999999</c:v>
                </c:pt>
                <c:pt idx="8">
                  <c:v>13208.2338</c:v>
                </c:pt>
                <c:pt idx="9">
                  <c:v>17027.190900000001</c:v>
                </c:pt>
                <c:pt idx="10">
                  <c:v>21609.765500000001</c:v>
                </c:pt>
                <c:pt idx="11">
                  <c:v>26917.201400000002</c:v>
                </c:pt>
                <c:pt idx="12">
                  <c:v>33247.513200000001</c:v>
                </c:pt>
                <c:pt idx="13">
                  <c:v>41276.849199999997</c:v>
                </c:pt>
                <c:pt idx="14">
                  <c:v>38807.218999999997</c:v>
                </c:pt>
                <c:pt idx="15">
                  <c:v>46308.540999999997</c:v>
                </c:pt>
                <c:pt idx="16">
                  <c:v>60282.540399999998</c:v>
                </c:pt>
                <c:pt idx="17">
                  <c:v>68163.883099999992</c:v>
                </c:pt>
                <c:pt idx="18">
                  <c:v>73133.895099999994</c:v>
                </c:pt>
                <c:pt idx="19">
                  <c:v>79058.48</c:v>
                </c:pt>
                <c:pt idx="20">
                  <c:v>83094.3</c:v>
                </c:pt>
              </c:numCache>
            </c:numRef>
          </c:xVal>
          <c:yVal>
            <c:numRef>
              <c:f>'ДОХОДЫ НС'!$CP$61:$CP$81</c:f>
              <c:numCache>
                <c:formatCode>0</c:formatCode>
                <c:ptCount val="21"/>
                <c:pt idx="0">
                  <c:v>647.87</c:v>
                </c:pt>
                <c:pt idx="1">
                  <c:v>1022.64</c:v>
                </c:pt>
                <c:pt idx="2">
                  <c:v>1202.9000000000001</c:v>
                </c:pt>
                <c:pt idx="3">
                  <c:v>1263.047</c:v>
                </c:pt>
                <c:pt idx="4">
                  <c:v>1933.606</c:v>
                </c:pt>
                <c:pt idx="5">
                  <c:v>2937.23</c:v>
                </c:pt>
                <c:pt idx="6">
                  <c:v>3848.4</c:v>
                </c:pt>
                <c:pt idx="7">
                  <c:v>5065.1000000000004</c:v>
                </c:pt>
                <c:pt idx="8">
                  <c:v>6231.3869999999997</c:v>
                </c:pt>
                <c:pt idx="9">
                  <c:v>7845.0370000000003</c:v>
                </c:pt>
                <c:pt idx="10">
                  <c:v>9439.8269999999993</c:v>
                </c:pt>
                <c:pt idx="11">
                  <c:v>11985.905000000001</c:v>
                </c:pt>
                <c:pt idx="12">
                  <c:v>15526.11</c:v>
                </c:pt>
                <c:pt idx="13">
                  <c:v>19559.759999999998</c:v>
                </c:pt>
                <c:pt idx="14">
                  <c:v>20411.61</c:v>
                </c:pt>
                <c:pt idx="15">
                  <c:v>22995.63</c:v>
                </c:pt>
                <c:pt idx="16">
                  <c:v>26386.6754</c:v>
                </c:pt>
                <c:pt idx="17">
                  <c:v>30201.161499999998</c:v>
                </c:pt>
                <c:pt idx="18">
                  <c:v>33792.282200000001</c:v>
                </c:pt>
                <c:pt idx="19">
                  <c:v>37430.46</c:v>
                </c:pt>
                <c:pt idx="20">
                  <c:v>36547.4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342-42E2-B651-F407A06DD0EF}"/>
            </c:ext>
          </c:extLst>
        </c:ser>
        <c:ser>
          <c:idx val="1"/>
          <c:order val="1"/>
          <c:trendline>
            <c:spPr>
              <a:ln w="28575">
                <a:prstDash val="lgDash"/>
              </a:ln>
            </c:spPr>
            <c:trendlineType val="linear"/>
            <c:forward val="1000000"/>
            <c:dispRSqr val="1"/>
            <c:dispEq val="1"/>
            <c:trendlineLbl>
              <c:layout>
                <c:manualLayout>
                  <c:x val="-0.14379490206671044"/>
                  <c:y val="0.47602536198413403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sz="1600">
                      <a:latin typeface="Arial" pitchFamily="34" charset="0"/>
                      <a:cs typeface="Arial" pitchFamily="34" charset="0"/>
                    </a:defRPr>
                  </a:pPr>
                  <a:endParaRPr lang="ru-RU"/>
                </a:p>
              </c:txPr>
            </c:trendlineLbl>
          </c:trendline>
          <c:xVal>
            <c:numRef>
              <c:f>'ДОХОДЫ НС'!$CS$76:$CS$80</c:f>
              <c:numCache>
                <c:formatCode>0.000</c:formatCode>
                <c:ptCount val="5"/>
              </c:numCache>
            </c:numRef>
          </c:xVal>
          <c:yVal>
            <c:numRef>
              <c:f>'ДОХОДЫ НС'!$CQ$76:$CQ$80</c:f>
              <c:numCache>
                <c:formatCode>0.000</c:formatCode>
                <c:ptCount val="5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E342-42E2-B651-F407A06DD0EF}"/>
            </c:ext>
          </c:extLst>
        </c:ser>
        <c:ser>
          <c:idx val="2"/>
          <c:order val="2"/>
          <c:spPr>
            <a:ln w="47625">
              <a:solidFill>
                <a:schemeClr val="tx1"/>
              </a:solidFill>
            </a:ln>
          </c:spPr>
          <c:xVal>
            <c:numRef>
              <c:f>'ДОХОДЫ НС'!$CS$81:$CS$96</c:f>
              <c:numCache>
                <c:formatCode>0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xVal>
          <c:yVal>
            <c:numRef>
              <c:f>'ДОХОДЫ НС'!$CQ$81:$CQ$96</c:f>
              <c:numCache>
                <c:formatCode>0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E342-42E2-B651-F407A06DD0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805632"/>
        <c:axId val="162807168"/>
      </c:scatterChart>
      <c:valAx>
        <c:axId val="162805632"/>
        <c:scaling>
          <c:orientation val="minMax"/>
          <c:max val="200000"/>
          <c:min val="0"/>
        </c:scaling>
        <c:delete val="0"/>
        <c:axPos val="b"/>
        <c:numFmt formatCode="0.0" sourceLinked="0"/>
        <c:majorTickMark val="out"/>
        <c:minorTickMark val="none"/>
        <c:tickLblPos val="nextTo"/>
        <c:txPr>
          <a:bodyPr/>
          <a:lstStyle/>
          <a:p>
            <a:pPr>
              <a:defRPr sz="12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62807168"/>
        <c:crosses val="autoZero"/>
        <c:crossBetween val="midCat"/>
        <c:majorUnit val="100000"/>
      </c:valAx>
      <c:valAx>
        <c:axId val="162807168"/>
        <c:scaling>
          <c:orientation val="minMax"/>
          <c:max val="60000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txPr>
          <a:bodyPr/>
          <a:lstStyle/>
          <a:p>
            <a:pPr>
              <a:defRPr sz="14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62805632"/>
        <c:crosses val="autoZero"/>
        <c:crossBetween val="midCat"/>
        <c:majorUnit val="30000"/>
      </c:valAx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1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8167670217694013E-2"/>
          <c:y val="2.7715652881393812E-2"/>
          <c:w val="0.90472356730810621"/>
          <c:h val="0.91507591323415083"/>
        </c:manualLayout>
      </c:layout>
      <c:scatterChart>
        <c:scatterStyle val="smoothMarker"/>
        <c:varyColors val="0"/>
        <c:ser>
          <c:idx val="0"/>
          <c:order val="0"/>
          <c:spPr>
            <a:ln w="127000">
              <a:solidFill>
                <a:srgbClr val="00B0F0">
                  <a:alpha val="52000"/>
                </a:srgbClr>
              </a:solidFill>
            </a:ln>
          </c:spPr>
          <c:marker>
            <c:symbol val="circle"/>
            <c:size val="18"/>
            <c:spPr>
              <a:noFill/>
              <a:ln>
                <a:solidFill>
                  <a:schemeClr val="tx1"/>
                </a:solidFill>
              </a:ln>
            </c:spPr>
          </c:marker>
          <c:xVal>
            <c:numRef>
              <c:f>'ДОХОДЫ НС'!$CS$103:$CS$124</c:f>
              <c:numCache>
                <c:formatCode>General</c:formatCode>
                <c:ptCount val="22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</c:numCache>
            </c:numRef>
          </c:xVal>
          <c:yVal>
            <c:numRef>
              <c:f>'ДОХОДЫ НС'!$CT$103:$CT$124</c:f>
              <c:numCache>
                <c:formatCode>0.000</c:formatCode>
                <c:ptCount val="22"/>
                <c:pt idx="0">
                  <c:v>0.45352504118070658</c:v>
                </c:pt>
                <c:pt idx="1">
                  <c:v>0.50932720637234752</c:v>
                </c:pt>
                <c:pt idx="2">
                  <c:v>0.51350820274818465</c:v>
                </c:pt>
                <c:pt idx="3">
                  <c:v>0.48031487708750942</c:v>
                </c:pt>
                <c:pt idx="4">
                  <c:v>0.40089418033286345</c:v>
                </c:pt>
                <c:pt idx="5">
                  <c:v>0.40204928609604523</c:v>
                </c:pt>
                <c:pt idx="6">
                  <c:v>0.43029736204370722</c:v>
                </c:pt>
                <c:pt idx="7">
                  <c:v>0.46815539113638438</c:v>
                </c:pt>
                <c:pt idx="8">
                  <c:v>0.4717798995677725</c:v>
                </c:pt>
                <c:pt idx="9">
                  <c:v>0.46073648070756584</c:v>
                </c:pt>
                <c:pt idx="10">
                  <c:v>0.43683152734584474</c:v>
                </c:pt>
                <c:pt idx="11">
                  <c:v>0.44528789593400453</c:v>
                </c:pt>
                <c:pt idx="12">
                  <c:v>0.46698560300142988</c:v>
                </c:pt>
                <c:pt idx="13">
                  <c:v>0.47386756448454886</c:v>
                </c:pt>
                <c:pt idx="14">
                  <c:v>0.52597385816171893</c:v>
                </c:pt>
                <c:pt idx="15">
                  <c:v>0.49657437848762676</c:v>
                </c:pt>
                <c:pt idx="16">
                  <c:v>0.43771671241645282</c:v>
                </c:pt>
                <c:pt idx="17">
                  <c:v>0.44306691647383561</c:v>
                </c:pt>
                <c:pt idx="18">
                  <c:v>0.46206047351633556</c:v>
                </c:pt>
                <c:pt idx="19">
                  <c:v>0.47206234355164539</c:v>
                </c:pt>
                <c:pt idx="20">
                  <c:v>0.45765053331543393</c:v>
                </c:pt>
                <c:pt idx="21">
                  <c:v>0.47393722978198793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BC8-474C-8B78-CCCAAFD6D680}"/>
            </c:ext>
          </c:extLst>
        </c:ser>
        <c:ser>
          <c:idx val="1"/>
          <c:order val="1"/>
          <c:spPr>
            <a:ln>
              <a:solidFill>
                <a:sysClr val="windowText" lastClr="000000"/>
              </a:solidFill>
            </a:ln>
          </c:spPr>
          <c:marker>
            <c:spPr>
              <a:ln>
                <a:solidFill>
                  <a:sysClr val="windowText" lastClr="000000"/>
                </a:solidFill>
              </a:ln>
            </c:spPr>
          </c:marker>
          <c:xVal>
            <c:numRef>
              <c:f>'ДОХОДЫ НС'!$CS$103:$CS$138</c:f>
              <c:numCache>
                <c:formatCode>General</c:formatCode>
                <c:ptCount val="36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</c:numCache>
            </c:numRef>
          </c:xVal>
          <c:yVal>
            <c:numRef>
              <c:f>'ДОХОДЫ НС'!$CU$103:$CU$138</c:f>
              <c:numCache>
                <c:formatCode>0.000</c:formatCode>
                <c:ptCount val="36"/>
                <c:pt idx="0">
                  <c:v>0.45352504118070658</c:v>
                </c:pt>
                <c:pt idx="1">
                  <c:v>0.50932720637234752</c:v>
                </c:pt>
                <c:pt idx="2">
                  <c:v>0.51350820274818476</c:v>
                </c:pt>
                <c:pt idx="3">
                  <c:v>0.48031487708750936</c:v>
                </c:pt>
                <c:pt idx="4">
                  <c:v>0.40089418033286356</c:v>
                </c:pt>
                <c:pt idx="5">
                  <c:v>0.40204928609604523</c:v>
                </c:pt>
                <c:pt idx="6">
                  <c:v>0.43029736204370722</c:v>
                </c:pt>
                <c:pt idx="7">
                  <c:v>0.46815539113638444</c:v>
                </c:pt>
                <c:pt idx="8">
                  <c:v>0.4717798995677725</c:v>
                </c:pt>
                <c:pt idx="9">
                  <c:v>0.46073648070756584</c:v>
                </c:pt>
                <c:pt idx="10">
                  <c:v>0.43683152734584474</c:v>
                </c:pt>
                <c:pt idx="11">
                  <c:v>0.44528789593400459</c:v>
                </c:pt>
                <c:pt idx="12">
                  <c:v>0.46698560300142988</c:v>
                </c:pt>
                <c:pt idx="13">
                  <c:v>0.47386756448454898</c:v>
                </c:pt>
                <c:pt idx="14">
                  <c:v>0.52597385816171893</c:v>
                </c:pt>
                <c:pt idx="15">
                  <c:v>0.49657437848762676</c:v>
                </c:pt>
                <c:pt idx="16">
                  <c:v>0.43771671241645282</c:v>
                </c:pt>
                <c:pt idx="17">
                  <c:v>0.44306691647383561</c:v>
                </c:pt>
                <c:pt idx="18">
                  <c:v>0.46206047351633545</c:v>
                </c:pt>
                <c:pt idx="19">
                  <c:v>0.4720623435516455</c:v>
                </c:pt>
                <c:pt idx="20">
                  <c:v>0.45765053331543382</c:v>
                </c:pt>
                <c:pt idx="21">
                  <c:v>0.47393722978198799</c:v>
                </c:pt>
                <c:pt idx="22">
                  <c:v>0.46447718007044975</c:v>
                </c:pt>
                <c:pt idx="23">
                  <c:v>0.45746679902044296</c:v>
                </c:pt>
                <c:pt idx="24">
                  <c:v>0.4515429658125385</c:v>
                </c:pt>
                <c:pt idx="25">
                  <c:v>0.44640571628978615</c:v>
                </c:pt>
                <c:pt idx="26">
                  <c:v>0.44227857975470125</c:v>
                </c:pt>
                <c:pt idx="27">
                  <c:v>0.43898575569248771</c:v>
                </c:pt>
                <c:pt idx="28">
                  <c:v>0.43642517109221907</c:v>
                </c:pt>
                <c:pt idx="29">
                  <c:v>0.43452262986210832</c:v>
                </c:pt>
                <c:pt idx="30">
                  <c:v>0.43302272061784747</c:v>
                </c:pt>
                <c:pt idx="31">
                  <c:v>0.43212101853298102</c:v>
                </c:pt>
                <c:pt idx="32">
                  <c:v>0.431332798333388</c:v>
                </c:pt>
                <c:pt idx="33">
                  <c:v>0.43072890171652023</c:v>
                </c:pt>
                <c:pt idx="34">
                  <c:v>0.43025228113786962</c:v>
                </c:pt>
                <c:pt idx="35">
                  <c:v>0.42975949031518268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B86-4659-981A-B43FA5C05B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851456"/>
        <c:axId val="162923264"/>
      </c:scatterChart>
      <c:valAx>
        <c:axId val="162851456"/>
        <c:scaling>
          <c:orientation val="minMax"/>
          <c:max val="2030"/>
          <c:min val="1995"/>
        </c:scaling>
        <c:delete val="0"/>
        <c:axPos val="b"/>
        <c:numFmt formatCode="#,##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62923264"/>
        <c:crosses val="autoZero"/>
        <c:crossBetween val="midCat"/>
        <c:majorUnit val="5"/>
      </c:valAx>
      <c:valAx>
        <c:axId val="162923264"/>
        <c:scaling>
          <c:orientation val="minMax"/>
          <c:max val="0.60000000000000064"/>
          <c:min val="0.30000000000000032"/>
        </c:scaling>
        <c:delete val="0"/>
        <c:axPos val="l"/>
        <c:majorGridlines/>
        <c:numFmt formatCode="0.00" sourceLinked="0"/>
        <c:majorTickMark val="out"/>
        <c:minorTickMark val="none"/>
        <c:tickLblPos val="nextTo"/>
        <c:txPr>
          <a:bodyPr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62851456"/>
        <c:crosses val="autoZero"/>
        <c:crossBetween val="midCat"/>
        <c:majorUnit val="0.1"/>
      </c:valAx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1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1706922670132223E-2"/>
          <c:y val="2.7771987704546093E-2"/>
          <c:w val="0.91319219395440077"/>
          <c:h val="0.92562289977412815"/>
        </c:manualLayout>
      </c:layout>
      <c:scatterChart>
        <c:scatterStyle val="smoothMarker"/>
        <c:varyColors val="0"/>
        <c:ser>
          <c:idx val="0"/>
          <c:order val="0"/>
          <c:spPr>
            <a:ln w="111125">
              <a:solidFill>
                <a:srgbClr val="00B0F0">
                  <a:alpha val="51000"/>
                </a:srgbClr>
              </a:solidFill>
            </a:ln>
          </c:spPr>
          <c:marker>
            <c:symbol val="circle"/>
            <c:size val="15"/>
            <c:spPr>
              <a:noFill/>
            </c:spPr>
          </c:marker>
          <c:xVal>
            <c:numRef>
              <c:f>'ДОХОДЫ НС'!$BV$103:$BV$138</c:f>
              <c:numCache>
                <c:formatCode>General</c:formatCode>
                <c:ptCount val="36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</c:numCache>
            </c:numRef>
          </c:xVal>
          <c:yVal>
            <c:numRef>
              <c:f>'ДОХОДЫ НС'!$BW$103:$BW$138</c:f>
              <c:numCache>
                <c:formatCode>0.000</c:formatCode>
                <c:ptCount val="36"/>
                <c:pt idx="0">
                  <c:v>1</c:v>
                </c:pt>
                <c:pt idx="1">
                  <c:v>1.3191577216179184</c:v>
                </c:pt>
                <c:pt idx="2">
                  <c:v>1.465619370714605</c:v>
                </c:pt>
                <c:pt idx="3">
                  <c:v>0.85716727254299341</c:v>
                </c:pt>
                <c:pt idx="4">
                  <c:v>0.8905613871995075</c:v>
                </c:pt>
                <c:pt idx="5">
                  <c:v>1.0910735084339893</c:v>
                </c:pt>
                <c:pt idx="6">
                  <c:v>1.2043645968535897</c:v>
                </c:pt>
                <c:pt idx="7">
                  <c:v>1.3454454046567674</c:v>
                </c:pt>
                <c:pt idx="8">
                  <c:v>1.4850279596592788</c:v>
                </c:pt>
                <c:pt idx="9">
                  <c:v>1.6493886216432383</c:v>
                </c:pt>
                <c:pt idx="10">
                  <c:v>1.7629074929087367</c:v>
                </c:pt>
                <c:pt idx="11">
                  <c:v>2.0289294415498413</c:v>
                </c:pt>
                <c:pt idx="12">
                  <c:v>2.2961879581752398</c:v>
                </c:pt>
                <c:pt idx="13">
                  <c:v>2.5452330528232636</c:v>
                </c:pt>
                <c:pt idx="14">
                  <c:v>2.4972789335593348</c:v>
                </c:pt>
                <c:pt idx="15">
                  <c:v>2.5669743863224377</c:v>
                </c:pt>
                <c:pt idx="16">
                  <c:v>2.7400070660747096</c:v>
                </c:pt>
                <c:pt idx="17">
                  <c:v>2.9136140751903352</c:v>
                </c:pt>
                <c:pt idx="18">
                  <c:v>3.0676926627762775</c:v>
                </c:pt>
                <c:pt idx="19">
                  <c:v>3.0404294602847233</c:v>
                </c:pt>
                <c:pt idx="20">
                  <c:v>2.7139935535586104</c:v>
                </c:pt>
                <c:pt idx="21">
                  <c:v>2.7539998517348616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7C1-420A-A1B0-F4A7F426B847}"/>
            </c:ext>
          </c:extLst>
        </c:ser>
        <c:ser>
          <c:idx val="1"/>
          <c:order val="1"/>
          <c:xVal>
            <c:numRef>
              <c:f>'ДОХОДЫ НС'!$BV$103:$BV$138</c:f>
              <c:numCache>
                <c:formatCode>General</c:formatCode>
                <c:ptCount val="36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</c:numCache>
            </c:numRef>
          </c:xVal>
          <c:yVal>
            <c:numRef>
              <c:f>'ДОХОДЫ НС'!$BX$103:$BX$138</c:f>
              <c:numCache>
                <c:formatCode>0.000</c:formatCode>
                <c:ptCount val="36"/>
                <c:pt idx="20">
                  <c:v>2.7139935535586104</c:v>
                </c:pt>
                <c:pt idx="21">
                  <c:v>2.7539998517348616</c:v>
                </c:pt>
                <c:pt idx="22">
                  <c:v>2.7780036306406122</c:v>
                </c:pt>
                <c:pt idx="23">
                  <c:v>2.7924058979840627</c:v>
                </c:pt>
                <c:pt idx="24">
                  <c:v>2.8010472583901329</c:v>
                </c:pt>
                <c:pt idx="25">
                  <c:v>2.8062320746337752</c:v>
                </c:pt>
                <c:pt idx="26">
                  <c:v>2.8093429643799608</c:v>
                </c:pt>
                <c:pt idx="27">
                  <c:v>2.8112094982276723</c:v>
                </c:pt>
                <c:pt idx="28">
                  <c:v>2.812329418536299</c:v>
                </c:pt>
                <c:pt idx="29">
                  <c:v>2.8130013707214752</c:v>
                </c:pt>
                <c:pt idx="30">
                  <c:v>2.8134045420325808</c:v>
                </c:pt>
                <c:pt idx="31">
                  <c:v>2.8136464448192444</c:v>
                </c:pt>
                <c:pt idx="32">
                  <c:v>2.8137915864912424</c:v>
                </c:pt>
                <c:pt idx="33">
                  <c:v>2.8138786714944413</c:v>
                </c:pt>
                <c:pt idx="34">
                  <c:v>2.8139309224963607</c:v>
                </c:pt>
                <c:pt idx="35">
                  <c:v>2.8139622730975122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7C1-420A-A1B0-F4A7F426B8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975744"/>
        <c:axId val="162977280"/>
      </c:scatterChart>
      <c:valAx>
        <c:axId val="162975744"/>
        <c:scaling>
          <c:orientation val="minMax"/>
          <c:max val="2030"/>
          <c:min val="1995"/>
        </c:scaling>
        <c:delete val="0"/>
        <c:axPos val="b"/>
        <c:numFmt formatCode="#,##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62977280"/>
        <c:crosses val="autoZero"/>
        <c:crossBetween val="midCat"/>
        <c:majorUnit val="5"/>
      </c:valAx>
      <c:valAx>
        <c:axId val="162977280"/>
        <c:scaling>
          <c:orientation val="minMax"/>
          <c:max val="4"/>
          <c:min val="0"/>
        </c:scaling>
        <c:delete val="0"/>
        <c:axPos val="l"/>
        <c:majorGridlines/>
        <c:numFmt formatCode="0.0" sourceLinked="0"/>
        <c:majorTickMark val="out"/>
        <c:minorTickMark val="none"/>
        <c:tickLblPos val="nextTo"/>
        <c:txPr>
          <a:bodyPr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62975744"/>
        <c:crosses val="autoZero"/>
        <c:crossBetween val="midCat"/>
        <c:majorUnit val="1"/>
      </c:valAx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1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1706922670132223E-2"/>
          <c:y val="1.6507202271060405E-2"/>
          <c:w val="0.91568652239397164"/>
          <c:h val="0.93688772025093958"/>
        </c:manualLayout>
      </c:layout>
      <c:scatterChart>
        <c:scatterStyle val="smoothMarker"/>
        <c:varyColors val="0"/>
        <c:ser>
          <c:idx val="0"/>
          <c:order val="0"/>
          <c:spPr>
            <a:ln w="88900">
              <a:solidFill>
                <a:srgbClr val="FFC000"/>
              </a:solidFill>
            </a:ln>
          </c:spPr>
          <c:marker>
            <c:symbol val="circle"/>
            <c:size val="10"/>
            <c:spPr>
              <a:noFill/>
            </c:spPr>
          </c:marker>
          <c:xVal>
            <c:numRef>
              <c:f>'ДОХОДЫ НС'!$BV$103:$BV$138</c:f>
              <c:numCache>
                <c:formatCode>General</c:formatCode>
                <c:ptCount val="36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</c:numCache>
            </c:numRef>
          </c:xVal>
          <c:yVal>
            <c:numRef>
              <c:f>'ДОХОДЫ НС'!$BW$103:$BW$138</c:f>
              <c:numCache>
                <c:formatCode>0.000</c:formatCode>
                <c:ptCount val="36"/>
                <c:pt idx="0">
                  <c:v>1</c:v>
                </c:pt>
                <c:pt idx="1">
                  <c:v>1.3191577216179184</c:v>
                </c:pt>
                <c:pt idx="2">
                  <c:v>1.465619370714605</c:v>
                </c:pt>
                <c:pt idx="3">
                  <c:v>0.85716727254299341</c:v>
                </c:pt>
                <c:pt idx="4">
                  <c:v>0.8905613871995075</c:v>
                </c:pt>
                <c:pt idx="5">
                  <c:v>1.0910735084339893</c:v>
                </c:pt>
                <c:pt idx="6">
                  <c:v>1.2043645968535897</c:v>
                </c:pt>
                <c:pt idx="7">
                  <c:v>1.3454454046567674</c:v>
                </c:pt>
                <c:pt idx="8">
                  <c:v>1.4850279596592788</c:v>
                </c:pt>
                <c:pt idx="9">
                  <c:v>1.6493886216432383</c:v>
                </c:pt>
                <c:pt idx="10">
                  <c:v>1.7629074929087367</c:v>
                </c:pt>
                <c:pt idx="11">
                  <c:v>2.0289294415498413</c:v>
                </c:pt>
                <c:pt idx="12">
                  <c:v>2.2961879581752398</c:v>
                </c:pt>
                <c:pt idx="13">
                  <c:v>2.5452330528232636</c:v>
                </c:pt>
                <c:pt idx="14">
                  <c:v>2.4972789335593348</c:v>
                </c:pt>
                <c:pt idx="15">
                  <c:v>2.5669743863224377</c:v>
                </c:pt>
                <c:pt idx="16">
                  <c:v>2.7400070660747096</c:v>
                </c:pt>
                <c:pt idx="17">
                  <c:v>2.9136140751903352</c:v>
                </c:pt>
                <c:pt idx="18">
                  <c:v>3.0676926627762775</c:v>
                </c:pt>
                <c:pt idx="19">
                  <c:v>3.0404294602847233</c:v>
                </c:pt>
                <c:pt idx="20">
                  <c:v>2.7139935535586104</c:v>
                </c:pt>
                <c:pt idx="21">
                  <c:v>2.7539998517348616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124-4AFB-BDB2-3FC89A85412F}"/>
            </c:ext>
          </c:extLst>
        </c:ser>
        <c:ser>
          <c:idx val="1"/>
          <c:order val="1"/>
          <c:xVal>
            <c:numRef>
              <c:f>'ДОХОДЫ НС'!$BV$103:$BV$138</c:f>
              <c:numCache>
                <c:formatCode>General</c:formatCode>
                <c:ptCount val="36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</c:numCache>
            </c:numRef>
          </c:xVal>
          <c:yVal>
            <c:numRef>
              <c:f>'ДОХОДЫ НС'!$BX$103:$BX$138</c:f>
              <c:numCache>
                <c:formatCode>0.000</c:formatCode>
                <c:ptCount val="36"/>
                <c:pt idx="20">
                  <c:v>2.7139935535586104</c:v>
                </c:pt>
                <c:pt idx="21">
                  <c:v>2.7539998517348616</c:v>
                </c:pt>
                <c:pt idx="22">
                  <c:v>2.7780036306406122</c:v>
                </c:pt>
                <c:pt idx="23">
                  <c:v>2.7924058979840627</c:v>
                </c:pt>
                <c:pt idx="24">
                  <c:v>2.8010472583901329</c:v>
                </c:pt>
                <c:pt idx="25">
                  <c:v>2.8062320746337752</c:v>
                </c:pt>
                <c:pt idx="26">
                  <c:v>2.8093429643799608</c:v>
                </c:pt>
                <c:pt idx="27">
                  <c:v>2.8112094982276723</c:v>
                </c:pt>
                <c:pt idx="28">
                  <c:v>2.812329418536299</c:v>
                </c:pt>
                <c:pt idx="29">
                  <c:v>2.8130013707214752</c:v>
                </c:pt>
                <c:pt idx="30">
                  <c:v>2.8134045420325808</c:v>
                </c:pt>
                <c:pt idx="31">
                  <c:v>2.8136464448192444</c:v>
                </c:pt>
                <c:pt idx="32">
                  <c:v>2.8137915864912424</c:v>
                </c:pt>
                <c:pt idx="33">
                  <c:v>2.8138786714944413</c:v>
                </c:pt>
                <c:pt idx="34">
                  <c:v>2.8139309224963607</c:v>
                </c:pt>
                <c:pt idx="35">
                  <c:v>2.8139622730975122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124-4AFB-BDB2-3FC89A8541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058816"/>
        <c:axId val="163060352"/>
      </c:scatterChart>
      <c:valAx>
        <c:axId val="163058816"/>
        <c:scaling>
          <c:orientation val="minMax"/>
          <c:max val="2030"/>
          <c:min val="1995"/>
        </c:scaling>
        <c:delete val="0"/>
        <c:axPos val="b"/>
        <c:numFmt formatCode="#,##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8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63060352"/>
        <c:crosses val="autoZero"/>
        <c:crossBetween val="midCat"/>
        <c:majorUnit val="5"/>
      </c:valAx>
      <c:valAx>
        <c:axId val="163060352"/>
        <c:scaling>
          <c:orientation val="minMax"/>
          <c:max val="4"/>
          <c:min val="0"/>
        </c:scaling>
        <c:delete val="0"/>
        <c:axPos val="l"/>
        <c:majorGridlines/>
        <c:numFmt formatCode="0.0" sourceLinked="0"/>
        <c:majorTickMark val="out"/>
        <c:minorTickMark val="none"/>
        <c:tickLblPos val="nextTo"/>
        <c:txPr>
          <a:bodyPr/>
          <a:lstStyle/>
          <a:p>
            <a:pPr>
              <a:defRPr sz="14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63058816"/>
        <c:crosses val="autoZero"/>
        <c:crossBetween val="midCat"/>
        <c:majorUnit val="1"/>
      </c:valAx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1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3603706352401562E-2"/>
          <c:y val="2.0801327694030546E-2"/>
          <c:w val="0.90855288297725545"/>
          <c:h val="0.93282266589605956"/>
        </c:manualLayout>
      </c:layout>
      <c:scatterChart>
        <c:scatterStyle val="smoothMarker"/>
        <c:varyColors val="0"/>
        <c:ser>
          <c:idx val="0"/>
          <c:order val="0"/>
          <c:spPr>
            <a:ln w="133350">
              <a:solidFill>
                <a:srgbClr val="00B0F0">
                  <a:alpha val="68000"/>
                </a:srgbClr>
              </a:solidFill>
            </a:ln>
          </c:spPr>
          <c:marker>
            <c:symbol val="none"/>
          </c:marker>
          <c:trendline>
            <c:spPr>
              <a:ln w="28575">
                <a:prstDash val="lgDashDotDot"/>
              </a:ln>
            </c:spPr>
            <c:trendlineType val="poly"/>
            <c:order val="2"/>
            <c:forward val="5"/>
            <c:dispRSqr val="1"/>
            <c:dispEq val="1"/>
            <c:trendlineLbl>
              <c:layout>
                <c:manualLayout>
                  <c:x val="-0.26779895332406223"/>
                  <c:y val="0.41744404971749832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sz="1600">
                      <a:latin typeface="Arial" panose="020B0604020202020204" pitchFamily="34" charset="0"/>
                      <a:cs typeface="Arial" panose="020B0604020202020204" pitchFamily="34" charset="0"/>
                    </a:defRPr>
                  </a:pPr>
                  <a:endParaRPr lang="ru-RU"/>
                </a:p>
              </c:txPr>
            </c:trendlineLbl>
          </c:trendline>
          <c:xVal>
            <c:numRef>
              <c:f>ОТЧЁТ!#REF!</c:f>
              <c:numCache>
                <c:formatCode>General</c:formatCode>
                <c:ptCount val="3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</c:numCache>
            </c:numRef>
          </c:xVal>
          <c:yVal>
            <c:numRef>
              <c:f>ОТЧЁТ!#REF!</c:f>
              <c:numCache>
                <c:formatCode>0.00</c:formatCode>
                <c:ptCount val="25"/>
                <c:pt idx="0">
                  <c:v>0.22080000000000002</c:v>
                </c:pt>
                <c:pt idx="1">
                  <c:v>0.28230000000000038</c:v>
                </c:pt>
                <c:pt idx="2">
                  <c:v>0.35740000000000038</c:v>
                </c:pt>
                <c:pt idx="3">
                  <c:v>0.39690000000000675</c:v>
                </c:pt>
                <c:pt idx="4">
                  <c:v>0.62510000000000165</c:v>
                </c:pt>
                <c:pt idx="5">
                  <c:v>0.71460000000001012</c:v>
                </c:pt>
                <c:pt idx="6">
                  <c:v>1.1505999999999998</c:v>
                </c:pt>
                <c:pt idx="7">
                  <c:v>1.6094000000000002</c:v>
                </c:pt>
                <c:pt idx="8">
                  <c:v>2.1305000000000001</c:v>
                </c:pt>
                <c:pt idx="9">
                  <c:v>3.2051999999999996</c:v>
                </c:pt>
                <c:pt idx="10">
                  <c:v>4.3538999999999985</c:v>
                </c:pt>
                <c:pt idx="11">
                  <c:v>6.0321000000000007</c:v>
                </c:pt>
                <c:pt idx="12">
                  <c:v>8.9707000000000008</c:v>
                </c:pt>
                <c:pt idx="13">
                  <c:v>12.869000000000026</c:v>
                </c:pt>
                <c:pt idx="14">
                  <c:v>12.975900000000006</c:v>
                </c:pt>
                <c:pt idx="15">
                  <c:v>15.2676</c:v>
                </c:pt>
                <c:pt idx="16">
                  <c:v>20.011900000000235</c:v>
                </c:pt>
                <c:pt idx="17">
                  <c:v>24.204799999999889</c:v>
                </c:pt>
                <c:pt idx="18">
                  <c:v>27.1646</c:v>
                </c:pt>
                <c:pt idx="19">
                  <c:v>31.1556</c:v>
                </c:pt>
                <c:pt idx="20">
                  <c:v>31.6157</c:v>
                </c:pt>
                <c:pt idx="21">
                  <c:v>35.179700000000011</c:v>
                </c:pt>
                <c:pt idx="22">
                  <c:v>38.417999999999999</c:v>
                </c:pt>
                <c:pt idx="23">
                  <c:v>42.4422</c:v>
                </c:pt>
                <c:pt idx="24">
                  <c:v>47.109300000000012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580-4E6A-8693-32CF6E3C5126}"/>
            </c:ext>
          </c:extLst>
        </c:ser>
        <c:ser>
          <c:idx val="1"/>
          <c:order val="1"/>
          <c:marker>
            <c:symbol val="none"/>
          </c:marker>
          <c:xVal>
            <c:numRef>
              <c:f>ОТЧЁТ!#REF!</c:f>
              <c:numCache>
                <c:formatCode>General</c:formatCode>
                <c:ptCount val="34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</c:numCache>
            </c:numRef>
          </c:xVal>
          <c:yVal>
            <c:numRef>
              <c:f>ОТЧЁТ!#REF!</c:f>
              <c:numCache>
                <c:formatCode>0.00</c:formatCode>
                <c:ptCount val="34"/>
                <c:pt idx="1">
                  <c:v>-7.9199999999999993E-2</c:v>
                </c:pt>
                <c:pt idx="2">
                  <c:v>-0.23230000000000001</c:v>
                </c:pt>
                <c:pt idx="3">
                  <c:v>-0.18160000000000001</c:v>
                </c:pt>
                <c:pt idx="4">
                  <c:v>7.2900000000000714E-2</c:v>
                </c:pt>
                <c:pt idx="5">
                  <c:v>0.53120000000000012</c:v>
                </c:pt>
                <c:pt idx="6">
                  <c:v>1.1933000000000007</c:v>
                </c:pt>
                <c:pt idx="7">
                  <c:v>2.0591999999999997</c:v>
                </c:pt>
                <c:pt idx="8">
                  <c:v>3.1288999999999998</c:v>
                </c:pt>
                <c:pt idx="9">
                  <c:v>4.4024000000000019</c:v>
                </c:pt>
                <c:pt idx="10">
                  <c:v>5.8797000000000024</c:v>
                </c:pt>
                <c:pt idx="11">
                  <c:v>7.5607999999999995</c:v>
                </c:pt>
                <c:pt idx="12">
                  <c:v>9.4457000000000004</c:v>
                </c:pt>
                <c:pt idx="13">
                  <c:v>11.534400000000002</c:v>
                </c:pt>
                <c:pt idx="14">
                  <c:v>13.826900000000002</c:v>
                </c:pt>
                <c:pt idx="15">
                  <c:v>16.3232</c:v>
                </c:pt>
                <c:pt idx="16">
                  <c:v>19.023300000000003</c:v>
                </c:pt>
                <c:pt idx="17">
                  <c:v>21.927199999999889</c:v>
                </c:pt>
                <c:pt idx="18">
                  <c:v>25.034900000000135</c:v>
                </c:pt>
                <c:pt idx="19">
                  <c:v>28.346400000000006</c:v>
                </c:pt>
                <c:pt idx="20">
                  <c:v>31.861699999999889</c:v>
                </c:pt>
                <c:pt idx="21">
                  <c:v>35.580800000000004</c:v>
                </c:pt>
                <c:pt idx="22">
                  <c:v>39.503700000000002</c:v>
                </c:pt>
                <c:pt idx="23">
                  <c:v>43.630400000000002</c:v>
                </c:pt>
                <c:pt idx="24">
                  <c:v>47.960900000000009</c:v>
                </c:pt>
                <c:pt idx="25">
                  <c:v>52.495200000000011</c:v>
                </c:pt>
                <c:pt idx="26">
                  <c:v>57.233300000000163</c:v>
                </c:pt>
                <c:pt idx="27">
                  <c:v>62.175200000000011</c:v>
                </c:pt>
                <c:pt idx="28">
                  <c:v>67.32089999999998</c:v>
                </c:pt>
                <c:pt idx="29">
                  <c:v>72.670399999999958</c:v>
                </c:pt>
                <c:pt idx="30">
                  <c:v>78.223700000000008</c:v>
                </c:pt>
                <c:pt idx="31">
                  <c:v>83.980800000000016</c:v>
                </c:pt>
                <c:pt idx="32">
                  <c:v>89.941700000000026</c:v>
                </c:pt>
                <c:pt idx="33">
                  <c:v>96.106400000000008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580-4E6A-8693-32CF6E3C51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077120"/>
        <c:axId val="163115776"/>
      </c:scatterChart>
      <c:valAx>
        <c:axId val="163077120"/>
        <c:scaling>
          <c:orientation val="minMax"/>
          <c:max val="36"/>
          <c:min val="1"/>
        </c:scaling>
        <c:delete val="0"/>
        <c:axPos val="b"/>
        <c:numFmt formatCode="#,##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4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63115776"/>
        <c:crosses val="autoZero"/>
        <c:crossBetween val="midCat"/>
        <c:majorUnit val="5"/>
      </c:valAx>
      <c:valAx>
        <c:axId val="163115776"/>
        <c:scaling>
          <c:orientation val="minMax"/>
          <c:max val="80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txPr>
          <a:bodyPr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63077120"/>
        <c:crosses val="autoZero"/>
        <c:crossBetween val="midCat"/>
        <c:majorUnit val="20"/>
        <c:minorUnit val="10"/>
      </c:valAx>
      <c:spPr>
        <a:solidFill>
          <a:sysClr val="window" lastClr="FFFFFF"/>
        </a:solidFill>
      </c:spPr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landscape"/>
  </c:printSettings>
  <c:userShapes r:id="rId1"/>
</c:chartSpace>
</file>

<file path=xl/charts/chart1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2152117337724834E-2"/>
          <c:y val="3.1843683921521052E-2"/>
          <c:w val="0.90867400468222093"/>
          <c:h val="0.92792928856002665"/>
        </c:manualLayout>
      </c:layout>
      <c:scatterChart>
        <c:scatterStyle val="smoothMarker"/>
        <c:varyColors val="0"/>
        <c:ser>
          <c:idx val="0"/>
          <c:order val="0"/>
          <c:spPr>
            <a:ln w="76200">
              <a:solidFill>
                <a:srgbClr val="00B0F0"/>
              </a:solidFill>
            </a:ln>
          </c:spPr>
          <c:marker>
            <c:symbol val="circle"/>
            <c:size val="13"/>
            <c:spPr>
              <a:noFill/>
            </c:spPr>
          </c:marker>
          <c:xVal>
            <c:numRef>
              <c:f>ПФ2!$AF$38:$AF$59</c:f>
              <c:numCache>
                <c:formatCode>0.00</c:formatCode>
                <c:ptCount val="22"/>
                <c:pt idx="0">
                  <c:v>82.842244945749741</c:v>
                </c:pt>
                <c:pt idx="1">
                  <c:v>84.234267734553782</c:v>
                </c:pt>
                <c:pt idx="2">
                  <c:v>87.960734143049933</c:v>
                </c:pt>
                <c:pt idx="3">
                  <c:v>90.073972831048835</c:v>
                </c:pt>
                <c:pt idx="4">
                  <c:v>83.60832021541259</c:v>
                </c:pt>
                <c:pt idx="5">
                  <c:v>81.459212480525593</c:v>
                </c:pt>
                <c:pt idx="6">
                  <c:v>82.125453598771088</c:v>
                </c:pt>
                <c:pt idx="7">
                  <c:v>81.035396178458996</c:v>
                </c:pt>
                <c:pt idx="8">
                  <c:v>82.484829045057609</c:v>
                </c:pt>
                <c:pt idx="9">
                  <c:v>82.584596491397647</c:v>
                </c:pt>
                <c:pt idx="10">
                  <c:v>82.897660015178488</c:v>
                </c:pt>
                <c:pt idx="11">
                  <c:v>83.868591772093538</c:v>
                </c:pt>
                <c:pt idx="12">
                  <c:v>84.512377132072061</c:v>
                </c:pt>
                <c:pt idx="13">
                  <c:v>87.267507050457894</c:v>
                </c:pt>
                <c:pt idx="14">
                  <c:v>92.126998369154009</c:v>
                </c:pt>
                <c:pt idx="15">
                  <c:v>94.180205088588238</c:v>
                </c:pt>
                <c:pt idx="16">
                  <c:v>96.671652013207932</c:v>
                </c:pt>
                <c:pt idx="17">
                  <c:v>99.857807392108484</c:v>
                </c:pt>
                <c:pt idx="18">
                  <c:v>104.1761508077991</c:v>
                </c:pt>
                <c:pt idx="19">
                  <c:v>107.80780271745721</c:v>
                </c:pt>
                <c:pt idx="20">
                  <c:v>110.05071046098531</c:v>
                </c:pt>
                <c:pt idx="21">
                  <c:v>113.24360123344417</c:v>
                </c:pt>
              </c:numCache>
            </c:numRef>
          </c:xVal>
          <c:yVal>
            <c:numRef>
              <c:f>ПФ2!$AE$38:$AE$59</c:f>
              <c:numCache>
                <c:formatCode>0.00</c:formatCode>
                <c:ptCount val="22"/>
                <c:pt idx="0">
                  <c:v>22.301473733510264</c:v>
                </c:pt>
                <c:pt idx="1">
                  <c:v>21.883647145944572</c:v>
                </c:pt>
                <c:pt idx="2">
                  <c:v>23.264748432488631</c:v>
                </c:pt>
                <c:pt idx="3">
                  <c:v>22.628910997930777</c:v>
                </c:pt>
                <c:pt idx="4">
                  <c:v>22.304255968314099</c:v>
                </c:pt>
                <c:pt idx="5">
                  <c:v>23.785105002190093</c:v>
                </c:pt>
                <c:pt idx="6">
                  <c:v>24.977800752416609</c:v>
                </c:pt>
                <c:pt idx="7">
                  <c:v>25.549151597899893</c:v>
                </c:pt>
                <c:pt idx="8">
                  <c:v>27.546477966188984</c:v>
                </c:pt>
                <c:pt idx="9">
                  <c:v>29.099942356965194</c:v>
                </c:pt>
                <c:pt idx="10">
                  <c:v>30.500207447846275</c:v>
                </c:pt>
                <c:pt idx="11">
                  <c:v>32.605223124147997</c:v>
                </c:pt>
                <c:pt idx="12">
                  <c:v>34.576355601632038</c:v>
                </c:pt>
                <c:pt idx="13">
                  <c:v>36.254961869156645</c:v>
                </c:pt>
                <c:pt idx="14">
                  <c:v>34.157158680963363</c:v>
                </c:pt>
                <c:pt idx="15">
                  <c:v>35.426929528449264</c:v>
                </c:pt>
                <c:pt idx="16">
                  <c:v>36.469011429199981</c:v>
                </c:pt>
                <c:pt idx="17">
                  <c:v>37.438341507582962</c:v>
                </c:pt>
                <c:pt idx="18">
                  <c:v>38.188926146237897</c:v>
                </c:pt>
                <c:pt idx="19">
                  <c:v>38.39162476730791</c:v>
                </c:pt>
                <c:pt idx="20">
                  <c:v>36.901117314569483</c:v>
                </c:pt>
                <c:pt idx="21">
                  <c:v>36.782838185705778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C0C-4F65-965C-BF9B95B9A461}"/>
            </c:ext>
          </c:extLst>
        </c:ser>
        <c:ser>
          <c:idx val="1"/>
          <c:order val="1"/>
          <c:spPr>
            <a:ln>
              <a:solidFill>
                <a:srgbClr val="00B0F0"/>
              </a:solidFill>
              <a:prstDash val="lgDash"/>
            </a:ln>
          </c:spPr>
          <c:marker>
            <c:symbol val="none"/>
          </c:marker>
          <c:xVal>
            <c:numRef>
              <c:f>ПФ2!$AT$34:$AT$41</c:f>
              <c:numCache>
                <c:formatCode>General</c:formatCode>
                <c:ptCount val="8"/>
                <c:pt idx="0">
                  <c:v>80</c:v>
                </c:pt>
                <c:pt idx="1">
                  <c:v>82</c:v>
                </c:pt>
                <c:pt idx="2">
                  <c:v>84</c:v>
                </c:pt>
                <c:pt idx="3">
                  <c:v>86</c:v>
                </c:pt>
                <c:pt idx="4">
                  <c:v>88</c:v>
                </c:pt>
                <c:pt idx="5">
                  <c:v>90</c:v>
                </c:pt>
                <c:pt idx="6">
                  <c:v>92</c:v>
                </c:pt>
                <c:pt idx="7">
                  <c:v>94</c:v>
                </c:pt>
              </c:numCache>
            </c:numRef>
          </c:xVal>
          <c:yVal>
            <c:numRef>
              <c:f>ПФ2!$AU$34:$AU$41</c:f>
              <c:numCache>
                <c:formatCode>0.00</c:formatCode>
                <c:ptCount val="8"/>
                <c:pt idx="0">
                  <c:v>21.597405256653161</c:v>
                </c:pt>
                <c:pt idx="1">
                  <c:v>27.350005256653162</c:v>
                </c:pt>
                <c:pt idx="2">
                  <c:v>33.102605256653163</c:v>
                </c:pt>
                <c:pt idx="3">
                  <c:v>38.855205256653164</c:v>
                </c:pt>
                <c:pt idx="4">
                  <c:v>44.607805256653165</c:v>
                </c:pt>
                <c:pt idx="5">
                  <c:v>50.360405256653166</c:v>
                </c:pt>
                <c:pt idx="6">
                  <c:v>56.113005256653139</c:v>
                </c:pt>
                <c:pt idx="7">
                  <c:v>61.865605256653168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C0C-4F65-965C-BF9B95B9A461}"/>
            </c:ext>
          </c:extLst>
        </c:ser>
        <c:ser>
          <c:idx val="2"/>
          <c:order val="2"/>
          <c:spPr>
            <a:ln>
              <a:solidFill>
                <a:srgbClr val="FF0000"/>
              </a:solidFill>
              <a:prstDash val="lgDash"/>
            </a:ln>
          </c:spPr>
          <c:marker>
            <c:symbol val="none"/>
          </c:marker>
          <c:xVal>
            <c:numRef>
              <c:f>ПФ2!$AT$43:$AT$60</c:f>
              <c:numCache>
                <c:formatCode>General</c:formatCode>
                <c:ptCount val="18"/>
                <c:pt idx="0">
                  <c:v>90</c:v>
                </c:pt>
                <c:pt idx="1">
                  <c:v>92</c:v>
                </c:pt>
                <c:pt idx="2">
                  <c:v>94</c:v>
                </c:pt>
                <c:pt idx="3">
                  <c:v>96</c:v>
                </c:pt>
                <c:pt idx="4">
                  <c:v>98</c:v>
                </c:pt>
                <c:pt idx="5">
                  <c:v>100</c:v>
                </c:pt>
                <c:pt idx="6">
                  <c:v>102</c:v>
                </c:pt>
                <c:pt idx="7">
                  <c:v>104</c:v>
                </c:pt>
                <c:pt idx="8">
                  <c:v>106</c:v>
                </c:pt>
                <c:pt idx="9">
                  <c:v>108</c:v>
                </c:pt>
                <c:pt idx="10">
                  <c:v>110</c:v>
                </c:pt>
                <c:pt idx="11">
                  <c:v>112</c:v>
                </c:pt>
                <c:pt idx="12">
                  <c:v>114</c:v>
                </c:pt>
                <c:pt idx="13">
                  <c:v>116</c:v>
                </c:pt>
                <c:pt idx="14">
                  <c:v>118</c:v>
                </c:pt>
                <c:pt idx="15">
                  <c:v>120</c:v>
                </c:pt>
                <c:pt idx="16">
                  <c:v>122</c:v>
                </c:pt>
                <c:pt idx="17">
                  <c:v>124</c:v>
                </c:pt>
              </c:numCache>
            </c:numRef>
          </c:xVal>
          <c:yVal>
            <c:numRef>
              <c:f>ПФ2!$AU$43:$AU$60</c:f>
              <c:numCache>
                <c:formatCode>0.00</c:formatCode>
                <c:ptCount val="18"/>
                <c:pt idx="0">
                  <c:v>32</c:v>
                </c:pt>
                <c:pt idx="1">
                  <c:v>34</c:v>
                </c:pt>
                <c:pt idx="2">
                  <c:v>35.36</c:v>
                </c:pt>
                <c:pt idx="3">
                  <c:v>36.298400000000001</c:v>
                </c:pt>
                <c:pt idx="4">
                  <c:v>36.945896000000005</c:v>
                </c:pt>
                <c:pt idx="5">
                  <c:v>37.392668240000006</c:v>
                </c:pt>
                <c:pt idx="6">
                  <c:v>37.750086032000006</c:v>
                </c:pt>
                <c:pt idx="7">
                  <c:v>38.036020265600008</c:v>
                </c:pt>
                <c:pt idx="8">
                  <c:v>38.26476765248001</c:v>
                </c:pt>
                <c:pt idx="9">
                  <c:v>38.447765561984014</c:v>
                </c:pt>
                <c:pt idx="10">
                  <c:v>38.594163889587215</c:v>
                </c:pt>
                <c:pt idx="11">
                  <c:v>38.711282551669775</c:v>
                </c:pt>
                <c:pt idx="12">
                  <c:v>38.804977481335825</c:v>
                </c:pt>
                <c:pt idx="13">
                  <c:v>38.879933425068664</c:v>
                </c:pt>
                <c:pt idx="14">
                  <c:v>38.939898180054932</c:v>
                </c:pt>
                <c:pt idx="15">
                  <c:v>38.987869984043947</c:v>
                </c:pt>
                <c:pt idx="16">
                  <c:v>39.026247427235155</c:v>
                </c:pt>
                <c:pt idx="17">
                  <c:v>39.056949381788122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C0C-4F65-965C-BF9B95B9A4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472512"/>
        <c:axId val="163474048"/>
      </c:scatterChart>
      <c:valAx>
        <c:axId val="163472512"/>
        <c:scaling>
          <c:orientation val="minMax"/>
          <c:max val="130"/>
          <c:min val="75"/>
        </c:scaling>
        <c:delete val="0"/>
        <c:axPos val="b"/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 panose="020B0604020202020204" pitchFamily="34" charset="0"/>
                <a:ea typeface="Calibri"/>
                <a:cs typeface="Arial" panose="020B0604020202020204" pitchFamily="34" charset="0"/>
              </a:defRPr>
            </a:pPr>
            <a:endParaRPr lang="ru-RU"/>
          </a:p>
        </c:txPr>
        <c:crossAx val="163474048"/>
        <c:crosses val="autoZero"/>
        <c:crossBetween val="midCat"/>
        <c:majorUnit val="5"/>
      </c:valAx>
      <c:valAx>
        <c:axId val="163474048"/>
        <c:scaling>
          <c:orientation val="minMax"/>
          <c:max val="45"/>
          <c:min val="2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txPr>
          <a:bodyPr/>
          <a:lstStyle/>
          <a:p>
            <a:pPr>
              <a:defRPr sz="1200">
                <a:latin typeface="Arial" panose="020B0604020202020204" pitchFamily="34" charset="0"/>
                <a:cs typeface="Arial" panose="020B0604020202020204" pitchFamily="34" charset="0"/>
              </a:defRPr>
            </a:pPr>
            <a:endParaRPr lang="ru-RU"/>
          </a:p>
        </c:txPr>
        <c:crossAx val="163472512"/>
        <c:crosses val="autoZero"/>
        <c:crossBetween val="midCat"/>
        <c:majorUnit val="5"/>
      </c:valAx>
    </c:plotArea>
    <c:plotVisOnly val="1"/>
    <c:dispBlanksAs val="gap"/>
    <c:showDLblsOverMax val="0"/>
  </c:chart>
  <c:spPr>
    <a:solidFill>
      <a:schemeClr val="bg2"/>
    </a:solidFill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1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ru-RU" sz="1800">
                <a:latin typeface="Arial" panose="020B0604020202020204" pitchFamily="34" charset="0"/>
                <a:cs typeface="Arial" panose="020B0604020202020204" pitchFamily="34" charset="0"/>
              </a:rPr>
              <a:t>Трудовая</a:t>
            </a:r>
            <a:r>
              <a:rPr lang="ru-RU" sz="1800" baseline="0">
                <a:latin typeface="Arial" panose="020B0604020202020204" pitchFamily="34" charset="0"/>
                <a:cs typeface="Arial" panose="020B0604020202020204" pitchFamily="34" charset="0"/>
              </a:rPr>
              <a:t> характеристика экономики России</a:t>
            </a:r>
            <a:endParaRPr lang="ru-RU" sz="1800"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layout>
        <c:manualLayout>
          <c:xMode val="edge"/>
          <c:yMode val="edge"/>
          <c:x val="0.15097837869867861"/>
          <c:y val="0.1210165389269883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4.7619114723003925E-2"/>
          <c:y val="1.3129102844638961E-2"/>
          <c:w val="0.89754816235480162"/>
          <c:h val="0.94529540481400465"/>
        </c:manualLayout>
      </c:layout>
      <c:scatterChart>
        <c:scatterStyle val="smoothMarker"/>
        <c:varyColors val="0"/>
        <c:ser>
          <c:idx val="0"/>
          <c:order val="0"/>
          <c:spPr>
            <a:ln w="63500">
              <a:solidFill>
                <a:srgbClr val="FF0000">
                  <a:alpha val="49000"/>
                </a:srgbClr>
              </a:solidFill>
            </a:ln>
          </c:spPr>
          <c:marker>
            <c:symbol val="circle"/>
            <c:size val="5"/>
          </c:marker>
          <c:xVal>
            <c:numRef>
              <c:f>ПФ2!$Z$69:$Z$90</c:f>
              <c:numCache>
                <c:formatCode>0</c:formatCode>
                <c:ptCount val="22"/>
                <c:pt idx="0">
                  <c:v>1428.5209</c:v>
                </c:pt>
                <c:pt idx="1">
                  <c:v>1377.0941476</c:v>
                </c:pt>
                <c:pt idx="2">
                  <c:v>1396.3734656664001</c:v>
                </c:pt>
                <c:pt idx="3">
                  <c:v>1322.3656719860808</c:v>
                </c:pt>
                <c:pt idx="4">
                  <c:v>1406.9970749931899</c:v>
                </c:pt>
                <c:pt idx="5">
                  <c:v>1547.6967824925091</c:v>
                </c:pt>
                <c:pt idx="6">
                  <c:v>1626.629318399627</c:v>
                </c:pt>
                <c:pt idx="7">
                  <c:v>1703.0808963644092</c:v>
                </c:pt>
                <c:pt idx="8">
                  <c:v>1827.405801799011</c:v>
                </c:pt>
                <c:pt idx="9">
                  <c:v>1958.97901952854</c:v>
                </c:pt>
                <c:pt idx="10">
                  <c:v>2084.3536767783667</c:v>
                </c:pt>
                <c:pt idx="11">
                  <c:v>2255.270678274193</c:v>
                </c:pt>
                <c:pt idx="12">
                  <c:v>2446.9686859274993</c:v>
                </c:pt>
                <c:pt idx="13">
                  <c:v>2574.2110575957295</c:v>
                </c:pt>
                <c:pt idx="14">
                  <c:v>2370.848384045667</c:v>
                </c:pt>
                <c:pt idx="15">
                  <c:v>2477.5365613277218</c:v>
                </c:pt>
                <c:pt idx="16">
                  <c:v>2584.0706334648135</c:v>
                </c:pt>
                <c:pt idx="17">
                  <c:v>2678.541712402734</c:v>
                </c:pt>
                <c:pt idx="18">
                  <c:v>2726.3631774238834</c:v>
                </c:pt>
                <c:pt idx="19">
                  <c:v>2746.5001169353304</c:v>
                </c:pt>
                <c:pt idx="20">
                  <c:v>2683.3306142458177</c:v>
                </c:pt>
                <c:pt idx="21">
                  <c:v>2688.6972754743092</c:v>
                </c:pt>
              </c:numCache>
            </c:numRef>
          </c:xVal>
          <c:yVal>
            <c:numRef>
              <c:f>ПФ2!$AB$69:$AB$90</c:f>
              <c:numCache>
                <c:formatCode>0.00</c:formatCode>
                <c:ptCount val="22"/>
                <c:pt idx="0">
                  <c:v>64.055000000000007</c:v>
                </c:pt>
                <c:pt idx="1">
                  <c:v>62.927999999999997</c:v>
                </c:pt>
                <c:pt idx="2">
                  <c:v>60.021000000000001</c:v>
                </c:pt>
                <c:pt idx="3">
                  <c:v>58.436999999999998</c:v>
                </c:pt>
                <c:pt idx="4">
                  <c:v>63.082000000000001</c:v>
                </c:pt>
                <c:pt idx="5">
                  <c:v>65.069999999999993</c:v>
                </c:pt>
                <c:pt idx="6">
                  <c:v>65.123000000000005</c:v>
                </c:pt>
                <c:pt idx="7">
                  <c:v>66.659000000000006</c:v>
                </c:pt>
                <c:pt idx="8">
                  <c:v>66.338999999999999</c:v>
                </c:pt>
                <c:pt idx="9">
                  <c:v>67.319000000000003</c:v>
                </c:pt>
                <c:pt idx="10">
                  <c:v>68.338999999999999</c:v>
                </c:pt>
                <c:pt idx="11">
                  <c:v>69.168999999999997</c:v>
                </c:pt>
                <c:pt idx="12">
                  <c:v>70.77</c:v>
                </c:pt>
                <c:pt idx="13">
                  <c:v>71.003</c:v>
                </c:pt>
                <c:pt idx="14">
                  <c:v>69.41</c:v>
                </c:pt>
                <c:pt idx="15">
                  <c:v>69.933708461473046</c:v>
                </c:pt>
                <c:pt idx="16">
                  <c:v>70.85661311334043</c:v>
                </c:pt>
                <c:pt idx="17">
                  <c:v>71.545415863579535</c:v>
                </c:pt>
                <c:pt idx="18">
                  <c:v>71.391459581339006</c:v>
                </c:pt>
                <c:pt idx="19">
                  <c:v>71.539043569577998</c:v>
                </c:pt>
                <c:pt idx="20">
                  <c:v>72.323622532452006</c:v>
                </c:pt>
                <c:pt idx="21">
                  <c:v>72.393000000000001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182-4305-B009-041A214075E4}"/>
            </c:ext>
          </c:extLst>
        </c:ser>
        <c:ser>
          <c:idx val="3"/>
          <c:order val="1"/>
          <c:spPr>
            <a:ln w="76200">
              <a:solidFill>
                <a:srgbClr val="92D050">
                  <a:alpha val="71000"/>
                </a:srgbClr>
              </a:solidFill>
            </a:ln>
          </c:spPr>
          <c:marker>
            <c:symbol val="none"/>
          </c:marker>
          <c:xVal>
            <c:numRef>
              <c:f>ПФ2!$AH$98:$AH$108</c:f>
              <c:numCache>
                <c:formatCode>0</c:formatCode>
                <c:ptCount val="11"/>
                <c:pt idx="0">
                  <c:v>1827.405801799011</c:v>
                </c:pt>
                <c:pt idx="1">
                  <c:v>1958.97901952854</c:v>
                </c:pt>
                <c:pt idx="2">
                  <c:v>2084.3536767783667</c:v>
                </c:pt>
                <c:pt idx="3">
                  <c:v>2255.270678274193</c:v>
                </c:pt>
                <c:pt idx="4">
                  <c:v>2446.9686859274993</c:v>
                </c:pt>
                <c:pt idx="5">
                  <c:v>2574.2110575957295</c:v>
                </c:pt>
                <c:pt idx="6">
                  <c:v>3000</c:v>
                </c:pt>
                <c:pt idx="7">
                  <c:v>3100</c:v>
                </c:pt>
                <c:pt idx="8">
                  <c:v>3200</c:v>
                </c:pt>
                <c:pt idx="9">
                  <c:v>3300</c:v>
                </c:pt>
                <c:pt idx="10">
                  <c:v>3500</c:v>
                </c:pt>
              </c:numCache>
            </c:numRef>
          </c:xVal>
          <c:yVal>
            <c:numRef>
              <c:f>ПФ2!$AI$98:$AI$108</c:f>
              <c:numCache>
                <c:formatCode>0.0</c:formatCode>
                <c:ptCount val="11"/>
                <c:pt idx="0">
                  <c:v>72.27</c:v>
                </c:pt>
                <c:pt idx="1">
                  <c:v>73</c:v>
                </c:pt>
                <c:pt idx="2">
                  <c:v>73.581000000000003</c:v>
                </c:pt>
                <c:pt idx="3">
                  <c:v>74.418999999999997</c:v>
                </c:pt>
                <c:pt idx="4">
                  <c:v>75.289000000000001</c:v>
                </c:pt>
                <c:pt idx="5">
                  <c:v>75.7</c:v>
                </c:pt>
                <c:pt idx="6">
                  <c:v>77.2</c:v>
                </c:pt>
                <c:pt idx="7">
                  <c:v>77.2</c:v>
                </c:pt>
                <c:pt idx="8">
                  <c:v>77.2</c:v>
                </c:pt>
                <c:pt idx="9">
                  <c:v>77.2</c:v>
                </c:pt>
                <c:pt idx="10">
                  <c:v>77.2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182-4305-B009-041A214075E4}"/>
            </c:ext>
          </c:extLst>
        </c:ser>
        <c:ser>
          <c:idx val="2"/>
          <c:order val="2"/>
          <c:xVal>
            <c:numRef>
              <c:f>ПФ2!$AB$74:$AB$88</c:f>
              <c:numCache>
                <c:formatCode>0.00</c:formatCode>
                <c:ptCount val="15"/>
                <c:pt idx="0">
                  <c:v>65.069999999999993</c:v>
                </c:pt>
                <c:pt idx="1">
                  <c:v>65.123000000000005</c:v>
                </c:pt>
                <c:pt idx="2">
                  <c:v>66.659000000000006</c:v>
                </c:pt>
                <c:pt idx="3">
                  <c:v>66.338999999999999</c:v>
                </c:pt>
                <c:pt idx="4">
                  <c:v>67.319000000000003</c:v>
                </c:pt>
                <c:pt idx="5">
                  <c:v>68.338999999999999</c:v>
                </c:pt>
                <c:pt idx="6">
                  <c:v>69.168999999999997</c:v>
                </c:pt>
                <c:pt idx="7">
                  <c:v>70.77</c:v>
                </c:pt>
                <c:pt idx="8">
                  <c:v>71.003</c:v>
                </c:pt>
                <c:pt idx="9">
                  <c:v>69.41</c:v>
                </c:pt>
                <c:pt idx="10">
                  <c:v>69.933708461473046</c:v>
                </c:pt>
                <c:pt idx="11">
                  <c:v>70.85661311334043</c:v>
                </c:pt>
                <c:pt idx="12">
                  <c:v>71.545415863579535</c:v>
                </c:pt>
                <c:pt idx="13">
                  <c:v>71.391459581339006</c:v>
                </c:pt>
                <c:pt idx="14">
                  <c:v>71.539043569577998</c:v>
                </c:pt>
              </c:numCache>
            </c:numRef>
          </c:xVal>
          <c:yVal>
            <c:numRef>
              <c:f>ПФ2!$X$74:$X$88</c:f>
              <c:numCache>
                <c:formatCode>General</c:formatCode>
                <c:ptCount val="15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4182-4305-B009-041A214075E4}"/>
            </c:ext>
          </c:extLst>
        </c:ser>
        <c:ser>
          <c:idx val="4"/>
          <c:order val="3"/>
          <c:spPr>
            <a:ln w="34925">
              <a:prstDash val="dash"/>
            </a:ln>
          </c:spPr>
          <c:marker>
            <c:symbol val="none"/>
          </c:marker>
          <c:xVal>
            <c:numRef>
              <c:f>ПФ2!$AA$100:$AA$106</c:f>
              <c:numCache>
                <c:formatCode>General</c:formatCode>
                <c:ptCount val="7"/>
                <c:pt idx="0">
                  <c:v>1200</c:v>
                </c:pt>
                <c:pt idx="1">
                  <c:v>1500</c:v>
                </c:pt>
                <c:pt idx="2">
                  <c:v>2000</c:v>
                </c:pt>
                <c:pt idx="3">
                  <c:v>2500</c:v>
                </c:pt>
                <c:pt idx="4">
                  <c:v>2669</c:v>
                </c:pt>
                <c:pt idx="5">
                  <c:v>3000</c:v>
                </c:pt>
                <c:pt idx="6">
                  <c:v>3300</c:v>
                </c:pt>
              </c:numCache>
            </c:numRef>
          </c:xVal>
          <c:yVal>
            <c:numRef>
              <c:f>ПФ2!$Z$100:$Z$106</c:f>
              <c:numCache>
                <c:formatCode>0.00</c:formatCode>
                <c:ptCount val="7"/>
                <c:pt idx="0">
                  <c:v>64.272000000000006</c:v>
                </c:pt>
                <c:pt idx="1">
                  <c:v>65.921999999999997</c:v>
                </c:pt>
                <c:pt idx="2">
                  <c:v>68.671999999999997</c:v>
                </c:pt>
                <c:pt idx="3">
                  <c:v>71.421999999999997</c:v>
                </c:pt>
                <c:pt idx="4">
                  <c:v>72.351500000000001</c:v>
                </c:pt>
                <c:pt idx="5">
                  <c:v>74.171999999999997</c:v>
                </c:pt>
                <c:pt idx="6">
                  <c:v>75.822000000000003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4182-4305-B009-041A214075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350016"/>
        <c:axId val="163351552"/>
      </c:scatterChart>
      <c:valAx>
        <c:axId val="163350016"/>
        <c:scaling>
          <c:orientation val="minMax"/>
          <c:max val="3500"/>
          <c:min val="1000"/>
        </c:scaling>
        <c:delete val="0"/>
        <c:axPos val="b"/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ru-RU"/>
          </a:p>
        </c:txPr>
        <c:crossAx val="163351552"/>
        <c:crosses val="autoZero"/>
        <c:crossBetween val="midCat"/>
        <c:majorUnit val="500"/>
      </c:valAx>
      <c:valAx>
        <c:axId val="163351552"/>
        <c:scaling>
          <c:orientation val="minMax"/>
          <c:max val="85"/>
          <c:min val="55"/>
        </c:scaling>
        <c:delete val="0"/>
        <c:axPos val="l"/>
        <c:majorGridlines/>
        <c:numFmt formatCode="0.0" sourceLinked="0"/>
        <c:majorTickMark val="out"/>
        <c:minorTickMark val="none"/>
        <c:tickLblPos val="nextTo"/>
        <c:txPr>
          <a:bodyPr/>
          <a:lstStyle/>
          <a:p>
            <a:pPr>
              <a:defRPr sz="1200"/>
            </a:pPr>
            <a:endParaRPr lang="ru-RU"/>
          </a:p>
        </c:txPr>
        <c:crossAx val="163350016"/>
        <c:crosses val="autoZero"/>
        <c:crossBetween val="midCat"/>
        <c:majorUnit val="5"/>
      </c:valAx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1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6196004955989934E-2"/>
          <c:y val="3.9358600583090382E-2"/>
          <c:w val="0.89913607929580508"/>
          <c:h val="0.90379008746362965"/>
        </c:manualLayout>
      </c:layout>
      <c:scatterChart>
        <c:scatterStyle val="smoothMarker"/>
        <c:varyColors val="0"/>
        <c:ser>
          <c:idx val="0"/>
          <c:order val="0"/>
          <c:spPr>
            <a:ln w="73025">
              <a:solidFill>
                <a:srgbClr val="FFC000"/>
              </a:solidFill>
            </a:ln>
          </c:spPr>
          <c:marker>
            <c:symbol val="none"/>
          </c:marker>
          <c:trendline>
            <c:spPr>
              <a:ln>
                <a:prstDash val="lgDash"/>
              </a:ln>
            </c:spPr>
            <c:trendlineType val="linear"/>
            <c:forward val="1000"/>
            <c:dispRSqr val="1"/>
            <c:dispEq val="1"/>
            <c:trendlineLbl>
              <c:layout>
                <c:manualLayout>
                  <c:x val="-0.31904273504273972"/>
                  <c:y val="0.40899750567757542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sz="1600">
                      <a:latin typeface="Arial" panose="020B0604020202020204" pitchFamily="34" charset="0"/>
                      <a:cs typeface="Arial" panose="020B0604020202020204" pitchFamily="34" charset="0"/>
                    </a:defRPr>
                  </a:pPr>
                  <a:endParaRPr lang="ru-RU"/>
                </a:p>
              </c:txPr>
            </c:trendlineLbl>
          </c:trendline>
          <c:xVal>
            <c:numRef>
              <c:f>ПФ2!$Z$74:$Z$88</c:f>
              <c:numCache>
                <c:formatCode>0</c:formatCode>
                <c:ptCount val="15"/>
                <c:pt idx="0">
                  <c:v>1547.6967824925091</c:v>
                </c:pt>
                <c:pt idx="1">
                  <c:v>1626.629318399627</c:v>
                </c:pt>
                <c:pt idx="2">
                  <c:v>1703.0808963644092</c:v>
                </c:pt>
                <c:pt idx="3">
                  <c:v>1827.405801799011</c:v>
                </c:pt>
                <c:pt idx="4">
                  <c:v>1958.97901952854</c:v>
                </c:pt>
                <c:pt idx="5">
                  <c:v>2084.3536767783667</c:v>
                </c:pt>
                <c:pt idx="6">
                  <c:v>2255.270678274193</c:v>
                </c:pt>
                <c:pt idx="7">
                  <c:v>2446.9686859274993</c:v>
                </c:pt>
                <c:pt idx="8">
                  <c:v>2574.2110575957295</c:v>
                </c:pt>
                <c:pt idx="9">
                  <c:v>2370.848384045667</c:v>
                </c:pt>
                <c:pt idx="10">
                  <c:v>2477.5365613277218</c:v>
                </c:pt>
                <c:pt idx="11">
                  <c:v>2584.0706334648135</c:v>
                </c:pt>
                <c:pt idx="12">
                  <c:v>2678.541712402734</c:v>
                </c:pt>
                <c:pt idx="13">
                  <c:v>2726.3631774238834</c:v>
                </c:pt>
                <c:pt idx="14">
                  <c:v>2746.5001169353304</c:v>
                </c:pt>
              </c:numCache>
            </c:numRef>
          </c:xVal>
          <c:yVal>
            <c:numRef>
              <c:f>ПФ2!$AB$74:$AB$88</c:f>
              <c:numCache>
                <c:formatCode>0.00</c:formatCode>
                <c:ptCount val="15"/>
                <c:pt idx="0">
                  <c:v>65.069999999999993</c:v>
                </c:pt>
                <c:pt idx="1">
                  <c:v>65.123000000000005</c:v>
                </c:pt>
                <c:pt idx="2">
                  <c:v>66.659000000000006</c:v>
                </c:pt>
                <c:pt idx="3">
                  <c:v>66.338999999999999</c:v>
                </c:pt>
                <c:pt idx="4">
                  <c:v>67.319000000000003</c:v>
                </c:pt>
                <c:pt idx="5">
                  <c:v>68.338999999999999</c:v>
                </c:pt>
                <c:pt idx="6">
                  <c:v>69.168999999999997</c:v>
                </c:pt>
                <c:pt idx="7">
                  <c:v>70.77</c:v>
                </c:pt>
                <c:pt idx="8">
                  <c:v>71.003</c:v>
                </c:pt>
                <c:pt idx="9">
                  <c:v>69.41</c:v>
                </c:pt>
                <c:pt idx="10">
                  <c:v>69.933708461473046</c:v>
                </c:pt>
                <c:pt idx="11">
                  <c:v>70.85661311334043</c:v>
                </c:pt>
                <c:pt idx="12">
                  <c:v>71.545415863579535</c:v>
                </c:pt>
                <c:pt idx="13">
                  <c:v>71.391459581339006</c:v>
                </c:pt>
                <c:pt idx="14">
                  <c:v>71.539043569577998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98A-432F-8FA8-E93BA1FE8D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375360"/>
        <c:axId val="163368960"/>
      </c:scatterChart>
      <c:valAx>
        <c:axId val="163375360"/>
        <c:scaling>
          <c:orientation val="minMax"/>
          <c:max val="3500"/>
          <c:min val="1500"/>
        </c:scaling>
        <c:delete val="0"/>
        <c:axPos val="b"/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ru-RU"/>
          </a:p>
        </c:txPr>
        <c:crossAx val="163368960"/>
        <c:crosses val="autoZero"/>
        <c:crossBetween val="midCat"/>
        <c:majorUnit val="500"/>
      </c:valAx>
      <c:valAx>
        <c:axId val="163368960"/>
        <c:scaling>
          <c:orientation val="minMax"/>
          <c:max val="75"/>
          <c:min val="6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txPr>
          <a:bodyPr/>
          <a:lstStyle/>
          <a:p>
            <a:pPr>
              <a:defRPr sz="1200"/>
            </a:pPr>
            <a:endParaRPr lang="ru-RU"/>
          </a:p>
        </c:txPr>
        <c:crossAx val="163375360"/>
        <c:crosses val="autoZero"/>
        <c:crossBetween val="midCat"/>
        <c:majorUnit val="5"/>
      </c:valAx>
    </c:plotArea>
    <c:plotVisOnly val="1"/>
    <c:dispBlanksAs val="gap"/>
    <c:showDLblsOverMax val="0"/>
  </c:chart>
  <c:spPr>
    <a:solidFill>
      <a:schemeClr val="bg2"/>
    </a:solidFill>
    <a:ln w="34925"/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1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57228400283012E-2"/>
          <c:y val="2.2440392706878611E-2"/>
          <c:w val="0.88810259722924356"/>
          <c:h val="0.9228611500701267"/>
        </c:manualLayout>
      </c:layout>
      <c:scatterChart>
        <c:scatterStyle val="smoothMarker"/>
        <c:varyColors val="0"/>
        <c:ser>
          <c:idx val="0"/>
          <c:order val="0"/>
          <c:marker>
            <c:symbol val="none"/>
          </c:marker>
          <c:xVal>
            <c:numRef>
              <c:f>ПФ2!$P$169:$P$188</c:f>
              <c:numCache>
                <c:formatCode>0</c:formatCode>
                <c:ptCount val="20"/>
                <c:pt idx="0">
                  <c:v>1428.5209</c:v>
                </c:pt>
                <c:pt idx="1">
                  <c:v>1377.0941476</c:v>
                </c:pt>
                <c:pt idx="2">
                  <c:v>1396.3734656664001</c:v>
                </c:pt>
                <c:pt idx="3">
                  <c:v>1322.3656719860808</c:v>
                </c:pt>
                <c:pt idx="4">
                  <c:v>1406.9970749931899</c:v>
                </c:pt>
                <c:pt idx="5">
                  <c:v>1547.6967824925091</c:v>
                </c:pt>
                <c:pt idx="6">
                  <c:v>1626.629318399627</c:v>
                </c:pt>
                <c:pt idx="7">
                  <c:v>1703.0808963644092</c:v>
                </c:pt>
                <c:pt idx="8">
                  <c:v>1827.405801799011</c:v>
                </c:pt>
                <c:pt idx="9">
                  <c:v>1958.97901952854</c:v>
                </c:pt>
                <c:pt idx="10">
                  <c:v>2084.3536767783667</c:v>
                </c:pt>
                <c:pt idx="11">
                  <c:v>2255.270678274193</c:v>
                </c:pt>
                <c:pt idx="12">
                  <c:v>2446.9686859274993</c:v>
                </c:pt>
                <c:pt idx="13">
                  <c:v>2574.2110575957295</c:v>
                </c:pt>
                <c:pt idx="14">
                  <c:v>2370.848384045667</c:v>
                </c:pt>
                <c:pt idx="15">
                  <c:v>2477.5365613277218</c:v>
                </c:pt>
                <c:pt idx="16">
                  <c:v>2584.0706334648135</c:v>
                </c:pt>
                <c:pt idx="17">
                  <c:v>2678.541712402734</c:v>
                </c:pt>
                <c:pt idx="18">
                  <c:v>2726.3631774238834</c:v>
                </c:pt>
                <c:pt idx="19">
                  <c:v>2746.5001169353304</c:v>
                </c:pt>
              </c:numCache>
            </c:numRef>
          </c:xVal>
          <c:yVal>
            <c:numRef>
              <c:f>ПФ2!$N$169:$N$188</c:f>
              <c:numCache>
                <c:formatCode>0.0</c:formatCode>
                <c:ptCount val="20"/>
                <c:pt idx="0">
                  <c:v>266.97399999999999</c:v>
                </c:pt>
                <c:pt idx="1">
                  <c:v>218.65170599999999</c:v>
                </c:pt>
                <c:pt idx="2">
                  <c:v>207.71912069999999</c:v>
                </c:pt>
                <c:pt idx="3">
                  <c:v>182.79282621599998</c:v>
                </c:pt>
                <c:pt idx="4">
                  <c:v>191.9324675268</c:v>
                </c:pt>
                <c:pt idx="5">
                  <c:v>225.32871687646318</c:v>
                </c:pt>
                <c:pt idx="6">
                  <c:v>247.86158856410952</c:v>
                </c:pt>
                <c:pt idx="7">
                  <c:v>254.80171304390458</c:v>
                </c:pt>
                <c:pt idx="8">
                  <c:v>286.65192717439265</c:v>
                </c:pt>
                <c:pt idx="9">
                  <c:v>325.92324119728443</c:v>
                </c:pt>
                <c:pt idx="10">
                  <c:v>359.16741179940749</c:v>
                </c:pt>
                <c:pt idx="11">
                  <c:v>419.14836956990854</c:v>
                </c:pt>
                <c:pt idx="12">
                  <c:v>514.2950494622778</c:v>
                </c:pt>
                <c:pt idx="13">
                  <c:v>563.15307916119423</c:v>
                </c:pt>
                <c:pt idx="14">
                  <c:v>487.12741347443301</c:v>
                </c:pt>
                <c:pt idx="15">
                  <c:v>517.81644052332229</c:v>
                </c:pt>
                <c:pt idx="16">
                  <c:v>573.74061609984119</c:v>
                </c:pt>
                <c:pt idx="17">
                  <c:v>612.75497799463039</c:v>
                </c:pt>
                <c:pt idx="18">
                  <c:v>617.65701781858741</c:v>
                </c:pt>
                <c:pt idx="19">
                  <c:v>608.39216255130862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C6B-407A-805D-9326707230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555968"/>
        <c:axId val="163557760"/>
      </c:scatterChart>
      <c:valAx>
        <c:axId val="163555968"/>
        <c:scaling>
          <c:orientation val="minMax"/>
          <c:max val="3500"/>
          <c:min val="1000"/>
        </c:scaling>
        <c:delete val="0"/>
        <c:axPos val="b"/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ru-RU"/>
          </a:p>
        </c:txPr>
        <c:crossAx val="163557760"/>
        <c:crosses val="autoZero"/>
        <c:crossBetween val="midCat"/>
        <c:majorUnit val="500"/>
      </c:valAx>
      <c:valAx>
        <c:axId val="163557760"/>
        <c:scaling>
          <c:orientation val="minMax"/>
          <c:max val="900"/>
          <c:min val="10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txPr>
          <a:bodyPr/>
          <a:lstStyle/>
          <a:p>
            <a:pPr>
              <a:defRPr sz="1200"/>
            </a:pPr>
            <a:endParaRPr lang="ru-RU"/>
          </a:p>
        </c:txPr>
        <c:crossAx val="163555968"/>
        <c:crosses val="autoZero"/>
        <c:crossBetween val="midCat"/>
        <c:majorUnit val="200"/>
      </c:valAx>
    </c:plotArea>
    <c:plotVisOnly val="1"/>
    <c:dispBlanksAs val="gap"/>
    <c:showDLblsOverMax val="0"/>
  </c:chart>
  <c:spPr>
    <a:solidFill>
      <a:srgbClr val="EEECE1">
        <a:lumMod val="75000"/>
      </a:srgbClr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1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1190817790530845"/>
          <c:y val="2.2191400832177532E-2"/>
          <c:w val="0.8407460545194847"/>
          <c:h val="0.86546463245493765"/>
        </c:manualLayout>
      </c:layout>
      <c:scatterChart>
        <c:scatterStyle val="smoothMarker"/>
        <c:varyColors val="0"/>
        <c:ser>
          <c:idx val="0"/>
          <c:order val="0"/>
          <c:spPr>
            <a:ln w="38100">
              <a:solidFill>
                <a:srgbClr val="666699"/>
              </a:solidFill>
              <a:prstDash val="solid"/>
            </a:ln>
          </c:spPr>
          <c:marker>
            <c:symbol val="diamond"/>
            <c:size val="9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trendline>
            <c:spPr>
              <a:ln w="25400">
                <a:solidFill>
                  <a:srgbClr val="FF6600"/>
                </a:solidFill>
                <a:prstDash val="lgDash"/>
              </a:ln>
            </c:spPr>
            <c:trendlineType val="linear"/>
            <c:forward val="207.5"/>
            <c:backward val="235.5"/>
            <c:dispRSqr val="1"/>
            <c:dispEq val="1"/>
            <c:trendlineLbl>
              <c:layout>
                <c:manualLayout>
                  <c:x val="-0.21578159198728294"/>
                  <c:y val="4.6091208348896198E-2"/>
                </c:manualLayout>
              </c:layout>
              <c:numFmt formatCode="General" sourceLinked="0"/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800" b="0" i="0" u="none" strike="noStrike" baseline="0">
                      <a:solidFill>
                        <a:srgbClr val="000000"/>
                      </a:solidFill>
                      <a:latin typeface="Calibri"/>
                      <a:ea typeface="Calibri"/>
                      <a:cs typeface="Calibri"/>
                    </a:defRPr>
                  </a:pPr>
                  <a:endParaRPr lang="ru-RU"/>
                </a:p>
              </c:txPr>
            </c:trendlineLbl>
          </c:trendline>
          <c:xVal>
            <c:numRef>
              <c:f>ПФ2!$AT$168:$AT$174</c:f>
              <c:numCache>
                <c:formatCode>0</c:formatCode>
                <c:ptCount val="7"/>
                <c:pt idx="0">
                  <c:v>2255.270678274193</c:v>
                </c:pt>
                <c:pt idx="1">
                  <c:v>2446.9686859274993</c:v>
                </c:pt>
                <c:pt idx="2">
                  <c:v>2574.2110575957295</c:v>
                </c:pt>
                <c:pt idx="3">
                  <c:v>2370.848384045667</c:v>
                </c:pt>
                <c:pt idx="4">
                  <c:v>2477.5365613277218</c:v>
                </c:pt>
                <c:pt idx="5">
                  <c:v>2584.0706334648135</c:v>
                </c:pt>
                <c:pt idx="6">
                  <c:v>2678.541712402734</c:v>
                </c:pt>
              </c:numCache>
            </c:numRef>
          </c:xVal>
          <c:yVal>
            <c:numRef>
              <c:f>ПФ2!$AS$168:$AS$174</c:f>
              <c:numCache>
                <c:formatCode>0.00</c:formatCode>
                <c:ptCount val="7"/>
                <c:pt idx="0">
                  <c:v>419.14836956990854</c:v>
                </c:pt>
                <c:pt idx="1">
                  <c:v>514.2950494622778</c:v>
                </c:pt>
                <c:pt idx="2">
                  <c:v>563.15307916119423</c:v>
                </c:pt>
                <c:pt idx="3">
                  <c:v>487.12741347443301</c:v>
                </c:pt>
                <c:pt idx="4">
                  <c:v>517.81644052332229</c:v>
                </c:pt>
                <c:pt idx="5">
                  <c:v>573.74061609984119</c:v>
                </c:pt>
                <c:pt idx="6">
                  <c:v>612.75497799463039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D2B-4E08-A318-92E21A782F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811328"/>
        <c:axId val="163813248"/>
      </c:scatterChart>
      <c:valAx>
        <c:axId val="163811328"/>
        <c:scaling>
          <c:orientation val="minMax"/>
          <c:max val="3500"/>
          <c:min val="1000"/>
        </c:scaling>
        <c:delete val="0"/>
        <c:axPos val="b"/>
        <c:title>
          <c:tx>
            <c:rich>
              <a:bodyPr/>
              <a:lstStyle/>
              <a:p>
                <a:pPr>
                  <a:defRPr sz="18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WWPS</a:t>
                </a:r>
              </a:p>
            </c:rich>
          </c:tx>
          <c:layout>
            <c:manualLayout>
              <c:xMode val="edge"/>
              <c:yMode val="edge"/>
              <c:x val="0.47919685792507088"/>
              <c:y val="0.93481334250694359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ru-RU"/>
          </a:p>
        </c:txPr>
        <c:crossAx val="163813248"/>
        <c:crosses val="autoZero"/>
        <c:crossBetween val="midCat"/>
        <c:majorUnit val="500"/>
      </c:valAx>
      <c:valAx>
        <c:axId val="163813248"/>
        <c:scaling>
          <c:orientation val="minMax"/>
          <c:max val="900"/>
          <c:min val="10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 sz="18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INS</a:t>
                </a:r>
              </a:p>
            </c:rich>
          </c:tx>
          <c:layout>
            <c:manualLayout>
              <c:xMode val="edge"/>
              <c:yMode val="edge"/>
              <c:x val="1.2912482065997141E-2"/>
              <c:y val="0.3314843411564494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txPr>
          <a:bodyPr/>
          <a:lstStyle/>
          <a:p>
            <a:pPr>
              <a:defRPr sz="1200"/>
            </a:pPr>
            <a:endParaRPr lang="ru-RU"/>
          </a:p>
        </c:txPr>
        <c:crossAx val="163811328"/>
        <c:crosses val="autoZero"/>
        <c:crossBetween val="midCat"/>
        <c:majorUnit val="200"/>
      </c:valAx>
    </c:plotArea>
    <c:plotVisOnly val="1"/>
    <c:dispBlanksAs val="gap"/>
    <c:showDLblsOverMax val="0"/>
  </c:chart>
  <c:spPr>
    <a:solidFill>
      <a:srgbClr val="92D050"/>
    </a:solidFill>
  </c:sp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1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5845860176568807E-2"/>
          <c:y val="1.8717809147923883E-2"/>
          <c:w val="0.91105343057416865"/>
          <c:h val="0.93655994080189997"/>
        </c:manualLayout>
      </c:layout>
      <c:lineChart>
        <c:grouping val="standard"/>
        <c:varyColors val="0"/>
        <c:ser>
          <c:idx val="0"/>
          <c:order val="0"/>
          <c:spPr>
            <a:ln w="114300">
              <a:solidFill>
                <a:srgbClr val="00B0F0">
                  <a:alpha val="54000"/>
                </a:srgbClr>
              </a:solidFill>
            </a:ln>
          </c:spPr>
          <c:marker>
            <c:symbol val="none"/>
          </c:marker>
          <c:cat>
            <c:numRef>
              <c:f>ПФ2!$BA$26:$BA$61</c:f>
              <c:numCache>
                <c:formatCode>General</c:formatCode>
                <c:ptCount val="36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</c:numCache>
            </c:numRef>
          </c:cat>
          <c:val>
            <c:numRef>
              <c:f>ПФ2!$BB$26:$BB$61</c:f>
              <c:numCache>
                <c:formatCode>0.00</c:formatCode>
                <c:ptCount val="36"/>
                <c:pt idx="0">
                  <c:v>22.301473733510264</c:v>
                </c:pt>
                <c:pt idx="1">
                  <c:v>21.883647145944572</c:v>
                </c:pt>
                <c:pt idx="2">
                  <c:v>23.264748432488631</c:v>
                </c:pt>
                <c:pt idx="3">
                  <c:v>22.628910997930777</c:v>
                </c:pt>
                <c:pt idx="4">
                  <c:v>22.304255968314099</c:v>
                </c:pt>
                <c:pt idx="5">
                  <c:v>23.785105002190093</c:v>
                </c:pt>
                <c:pt idx="6">
                  <c:v>24.977800752416609</c:v>
                </c:pt>
                <c:pt idx="7">
                  <c:v>25.549151597899893</c:v>
                </c:pt>
                <c:pt idx="8">
                  <c:v>27.546477966188984</c:v>
                </c:pt>
                <c:pt idx="9">
                  <c:v>29.099942356965194</c:v>
                </c:pt>
                <c:pt idx="10">
                  <c:v>30.500207447846275</c:v>
                </c:pt>
                <c:pt idx="11">
                  <c:v>32.605223124147997</c:v>
                </c:pt>
                <c:pt idx="12">
                  <c:v>34.576355601632038</c:v>
                </c:pt>
                <c:pt idx="13">
                  <c:v>36.254961869156645</c:v>
                </c:pt>
                <c:pt idx="14">
                  <c:v>34.157158680963363</c:v>
                </c:pt>
                <c:pt idx="15">
                  <c:v>35.426929528449264</c:v>
                </c:pt>
                <c:pt idx="16">
                  <c:v>36.469011429199981</c:v>
                </c:pt>
                <c:pt idx="17">
                  <c:v>37.438341507582962</c:v>
                </c:pt>
                <c:pt idx="18">
                  <c:v>38.188926146237897</c:v>
                </c:pt>
                <c:pt idx="19">
                  <c:v>38.39162476730791</c:v>
                </c:pt>
                <c:pt idx="20">
                  <c:v>37.101717534154105</c:v>
                </c:pt>
                <c:pt idx="21">
                  <c:v>37.140293612287223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6E99-4E58-8AEE-5724434F5B0A}"/>
            </c:ext>
          </c:extLst>
        </c:ser>
        <c:ser>
          <c:idx val="1"/>
          <c:order val="1"/>
          <c:spPr>
            <a:ln w="25400">
              <a:solidFill>
                <a:schemeClr val="tx1">
                  <a:alpha val="98000"/>
                </a:schemeClr>
              </a:solidFill>
              <a:prstDash val="lgDash"/>
            </a:ln>
          </c:spPr>
          <c:marker>
            <c:symbol val="none"/>
          </c:marker>
          <c:cat>
            <c:numRef>
              <c:f>ПФ2!$BA$26:$BA$61</c:f>
              <c:numCache>
                <c:formatCode>General</c:formatCode>
                <c:ptCount val="36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</c:numCache>
            </c:numRef>
          </c:cat>
          <c:val>
            <c:numRef>
              <c:f>ПФ2!#REF!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E99-4E58-8AEE-5724434F5B0A}"/>
            </c:ext>
          </c:extLst>
        </c:ser>
        <c:ser>
          <c:idx val="2"/>
          <c:order val="2"/>
          <c:spPr>
            <a:ln w="38100">
              <a:solidFill>
                <a:srgbClr val="FF0000"/>
              </a:solidFill>
              <a:prstDash val="solid"/>
            </a:ln>
          </c:spPr>
          <c:marker>
            <c:symbol val="none"/>
          </c:marker>
          <c:cat>
            <c:numRef>
              <c:f>ПФ2!$BA$26:$BA$61</c:f>
              <c:numCache>
                <c:formatCode>General</c:formatCode>
                <c:ptCount val="36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</c:numCache>
            </c:numRef>
          </c:cat>
          <c:val>
            <c:numRef>
              <c:f>ПФ2!$BC$26:$BC$61</c:f>
              <c:numCache>
                <c:formatCode>General</c:formatCode>
                <c:ptCount val="36"/>
                <c:pt idx="20" formatCode="0.00">
                  <c:v>37.101717534154105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E99-4E58-8AEE-5724434F5B0A}"/>
            </c:ext>
          </c:extLst>
        </c:ser>
        <c:ser>
          <c:idx val="3"/>
          <c:order val="3"/>
          <c:spPr>
            <a:ln>
              <a:solidFill>
                <a:schemeClr val="tx1"/>
              </a:solidFill>
              <a:prstDash val="lgDash"/>
            </a:ln>
          </c:spPr>
          <c:marker>
            <c:symbol val="none"/>
          </c:marker>
          <c:val>
            <c:numRef>
              <c:f>ПФ2!$AY$26:$AY$61</c:f>
              <c:numCache>
                <c:formatCode>General</c:formatCode>
                <c:ptCount val="36"/>
                <c:pt idx="7" formatCode="0.00">
                  <c:v>25.549151597899893</c:v>
                </c:pt>
                <c:pt idx="8" formatCode="0.00">
                  <c:v>27.349151597899894</c:v>
                </c:pt>
                <c:pt idx="9" formatCode="0.00">
                  <c:v>29.149151597899895</c:v>
                </c:pt>
                <c:pt idx="10" formatCode="0.00">
                  <c:v>30.949151597899895</c:v>
                </c:pt>
                <c:pt idx="11" formatCode="0.00">
                  <c:v>32.749151597899896</c:v>
                </c:pt>
                <c:pt idx="12" formatCode="0.00">
                  <c:v>34.549151597899893</c:v>
                </c:pt>
                <c:pt idx="13" formatCode="0.00">
                  <c:v>36.34915159789989</c:v>
                </c:pt>
                <c:pt idx="14" formatCode="0.00">
                  <c:v>38.149151597899888</c:v>
                </c:pt>
                <c:pt idx="15" formatCode="0.00">
                  <c:v>39.949151597899885</c:v>
                </c:pt>
                <c:pt idx="16" formatCode="0.00">
                  <c:v>41.749151597899882</c:v>
                </c:pt>
                <c:pt idx="17" formatCode="0.00">
                  <c:v>43.549151597899879</c:v>
                </c:pt>
                <c:pt idx="18" formatCode="0.00">
                  <c:v>45.349151597899876</c:v>
                </c:pt>
                <c:pt idx="19" formatCode="0.00">
                  <c:v>47.149151597899873</c:v>
                </c:pt>
                <c:pt idx="20" formatCode="0.00">
                  <c:v>48.949151597899871</c:v>
                </c:pt>
                <c:pt idx="21" formatCode="0.00">
                  <c:v>50.749151597899868</c:v>
                </c:pt>
                <c:pt idx="22" formatCode="0.00">
                  <c:v>52.549151597899865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E99-4E58-8AEE-5724434F5B0A}"/>
            </c:ext>
          </c:extLst>
        </c:ser>
        <c:ser>
          <c:idx val="4"/>
          <c:order val="4"/>
          <c:spPr>
            <a:ln>
              <a:solidFill>
                <a:schemeClr val="tx1"/>
              </a:solidFill>
              <a:prstDash val="dash"/>
            </a:ln>
          </c:spPr>
          <c:marker>
            <c:symbol val="none"/>
          </c:marker>
          <c:val>
            <c:numRef>
              <c:f>ПФ2!$AZ$26:$AZ$61</c:f>
              <c:numCache>
                <c:formatCode>General</c:formatCode>
                <c:ptCount val="36"/>
                <c:pt idx="17" formatCode="0.00">
                  <c:v>37.438341507582962</c:v>
                </c:pt>
                <c:pt idx="18" formatCode="0.00">
                  <c:v>38.188926146237897</c:v>
                </c:pt>
                <c:pt idx="19" formatCode="0.00">
                  <c:v>38.39162476730791</c:v>
                </c:pt>
                <c:pt idx="20" formatCode="0.00">
                  <c:v>38.736212423126929</c:v>
                </c:pt>
                <c:pt idx="21" formatCode="0.00">
                  <c:v>39.080800078945948</c:v>
                </c:pt>
                <c:pt idx="22" formatCode="0.00">
                  <c:v>39.425387734764968</c:v>
                </c:pt>
                <c:pt idx="23" formatCode="0.00">
                  <c:v>39.769975390583987</c:v>
                </c:pt>
                <c:pt idx="24" formatCode="0.00">
                  <c:v>40.114563046403006</c:v>
                </c:pt>
                <c:pt idx="25" formatCode="0.00">
                  <c:v>40.459150702222026</c:v>
                </c:pt>
                <c:pt idx="26" formatCode="0.00">
                  <c:v>40.803738358041045</c:v>
                </c:pt>
                <c:pt idx="27" formatCode="0.00">
                  <c:v>41.148326013860064</c:v>
                </c:pt>
                <c:pt idx="28" formatCode="0.00">
                  <c:v>41.492913669679083</c:v>
                </c:pt>
                <c:pt idx="29" formatCode="0.00">
                  <c:v>41.837501325498103</c:v>
                </c:pt>
                <c:pt idx="30" formatCode="0.00">
                  <c:v>42.182088981317122</c:v>
                </c:pt>
                <c:pt idx="31" formatCode="0.00">
                  <c:v>42.526676637136141</c:v>
                </c:pt>
                <c:pt idx="32" formatCode="0.00">
                  <c:v>42.871264292955161</c:v>
                </c:pt>
                <c:pt idx="33" formatCode="0.00">
                  <c:v>43.21585194877418</c:v>
                </c:pt>
                <c:pt idx="34" formatCode="0.00">
                  <c:v>43.560439604593199</c:v>
                </c:pt>
                <c:pt idx="35" formatCode="0.00">
                  <c:v>43.905027260412218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E99-4E58-8AEE-5724434F5B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3582336"/>
        <c:axId val="163583872"/>
      </c:lineChart>
      <c:catAx>
        <c:axId val="163582336"/>
        <c:scaling>
          <c:orientation val="minMax"/>
        </c:scaling>
        <c:delete val="0"/>
        <c:axPos val="b"/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163583872"/>
        <c:crosses val="autoZero"/>
        <c:auto val="1"/>
        <c:lblAlgn val="ctr"/>
        <c:lblOffset val="100"/>
        <c:tickLblSkip val="3"/>
        <c:tickMarkSkip val="1"/>
        <c:noMultiLvlLbl val="0"/>
      </c:catAx>
      <c:valAx>
        <c:axId val="163583872"/>
        <c:scaling>
          <c:orientation val="minMax"/>
          <c:max val="60"/>
          <c:min val="2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163582336"/>
        <c:crosses val="autoZero"/>
        <c:crossBetween val="between"/>
        <c:majorUnit val="10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chemeClr val="bg2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 Cyr"/>
          <a:ea typeface="Arial Cyr"/>
          <a:cs typeface="Arial Cyr"/>
        </a:defRPr>
      </a:pPr>
      <a:endParaRPr lang="ru-RU"/>
    </a:p>
  </c:txPr>
  <c:printSettings>
    <c:headerFooter alignWithMargins="0"/>
    <c:pageMargins b="1" l="0.75000000000001465" r="0.75000000000001465" t="1" header="0.5" footer="0.5"/>
    <c:pageSetup paperSize="9" orientation="landscape" verticalDpi="0"/>
  </c:printSettings>
  <c:userShapes r:id="rId1"/>
</c:chartSpace>
</file>

<file path=xl/charts/chart1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327835682467231E-2"/>
          <c:y val="9.8767396672490657E-3"/>
          <c:w val="0.91191923112961304"/>
          <c:h val="0.9302617104459"/>
        </c:manualLayout>
      </c:layout>
      <c:scatterChart>
        <c:scatterStyle val="smoothMarker"/>
        <c:varyColors val="0"/>
        <c:ser>
          <c:idx val="0"/>
          <c:order val="0"/>
          <c:spPr>
            <a:ln w="63500">
              <a:solidFill>
                <a:schemeClr val="accent6">
                  <a:lumMod val="75000"/>
                </a:schemeClr>
              </a:solidFill>
            </a:ln>
          </c:spPr>
          <c:marker>
            <c:symbol val="circle"/>
            <c:size val="10"/>
            <c:spPr>
              <a:noFill/>
            </c:spPr>
          </c:marker>
          <c:trendline>
            <c:spPr>
              <a:ln>
                <a:prstDash val="lgDash"/>
              </a:ln>
            </c:spPr>
            <c:trendlineType val="linear"/>
            <c:forward val="10000"/>
            <c:dispRSqr val="1"/>
            <c:dispEq val="1"/>
            <c:trendlineLbl>
              <c:layout>
                <c:manualLayout>
                  <c:x val="0.16984100525666221"/>
                  <c:y val="0.123335278460762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sz="1400">
                      <a:latin typeface="Arial" pitchFamily="34" charset="0"/>
                      <a:cs typeface="Arial" pitchFamily="34" charset="0"/>
                    </a:defRPr>
                  </a:pPr>
                  <a:endParaRPr lang="ru-RU"/>
                </a:p>
              </c:txPr>
            </c:trendlineLbl>
          </c:trendline>
          <c:xVal>
            <c:numRef>
              <c:f>ПФ2!$DJ$68:$DJ$89</c:f>
              <c:numCache>
                <c:formatCode>0</c:formatCode>
                <c:ptCount val="22"/>
                <c:pt idx="0">
                  <c:v>1428.5209</c:v>
                </c:pt>
                <c:pt idx="1">
                  <c:v>2007.8252000000002</c:v>
                </c:pt>
                <c:pt idx="2">
                  <c:v>2342.5137</c:v>
                </c:pt>
                <c:pt idx="3">
                  <c:v>2629.6228999999998</c:v>
                </c:pt>
                <c:pt idx="4">
                  <c:v>4823.2329</c:v>
                </c:pt>
                <c:pt idx="5">
                  <c:v>7305.6466</c:v>
                </c:pt>
                <c:pt idx="6">
                  <c:v>8943.5825999999997</c:v>
                </c:pt>
                <c:pt idx="7">
                  <c:v>10819.270899999998</c:v>
                </c:pt>
                <c:pt idx="8">
                  <c:v>13208.250299999998</c:v>
                </c:pt>
                <c:pt idx="9">
                  <c:v>17027.166999999998</c:v>
                </c:pt>
                <c:pt idx="10">
                  <c:v>21609.765799999997</c:v>
                </c:pt>
                <c:pt idx="11">
                  <c:v>26917.203699999998</c:v>
                </c:pt>
                <c:pt idx="12">
                  <c:v>33247.513200000001</c:v>
                </c:pt>
                <c:pt idx="13">
                  <c:v>41276.849199999997</c:v>
                </c:pt>
                <c:pt idx="14">
                  <c:v>38807.270899999996</c:v>
                </c:pt>
                <c:pt idx="15">
                  <c:v>46308.53100000001</c:v>
                </c:pt>
                <c:pt idx="16">
                  <c:v>60282.540400000005</c:v>
                </c:pt>
                <c:pt idx="17">
                  <c:v>68163.883100000006</c:v>
                </c:pt>
                <c:pt idx="18">
                  <c:v>73133.89509999998</c:v>
                </c:pt>
                <c:pt idx="19">
                  <c:v>79058</c:v>
                </c:pt>
                <c:pt idx="20">
                  <c:v>83094</c:v>
                </c:pt>
                <c:pt idx="21">
                  <c:v>86014</c:v>
                </c:pt>
              </c:numCache>
            </c:numRef>
          </c:xVal>
          <c:yVal>
            <c:numRef>
              <c:f>ПФ2!$DK$68:$DK$89</c:f>
              <c:numCache>
                <c:formatCode>0</c:formatCode>
                <c:ptCount val="22"/>
                <c:pt idx="0">
                  <c:v>719.79349999999999</c:v>
                </c:pt>
                <c:pt idx="1">
                  <c:v>1007.827</c:v>
                </c:pt>
                <c:pt idx="2">
                  <c:v>1235.2137</c:v>
                </c:pt>
                <c:pt idx="3">
                  <c:v>1462.2840000000001</c:v>
                </c:pt>
                <c:pt idx="4">
                  <c:v>2526.1678999999999</c:v>
                </c:pt>
                <c:pt idx="5">
                  <c:v>3295.2372999999998</c:v>
                </c:pt>
                <c:pt idx="6">
                  <c:v>4318.1211000000003</c:v>
                </c:pt>
                <c:pt idx="7">
                  <c:v>5409.1576999999997</c:v>
                </c:pt>
                <c:pt idx="8">
                  <c:v>6537.4014999999999</c:v>
                </c:pt>
                <c:pt idx="9">
                  <c:v>8438.4840999999997</c:v>
                </c:pt>
                <c:pt idx="10">
                  <c:v>10652.8578</c:v>
                </c:pt>
                <c:pt idx="11">
                  <c:v>12974.743399999999</c:v>
                </c:pt>
                <c:pt idx="12">
                  <c:v>16031.739799999999</c:v>
                </c:pt>
                <c:pt idx="13">
                  <c:v>19966.954699999998</c:v>
                </c:pt>
                <c:pt idx="14">
                  <c:v>20986.036</c:v>
                </c:pt>
                <c:pt idx="15">
                  <c:v>23617.623</c:v>
                </c:pt>
                <c:pt idx="16">
                  <c:v>29939.463500000002</c:v>
                </c:pt>
                <c:pt idx="17">
                  <c:v>34492.361700000001</c:v>
                </c:pt>
                <c:pt idx="18">
                  <c:v>38465.140799999994</c:v>
                </c:pt>
                <c:pt idx="19">
                  <c:v>41954.83</c:v>
                </c:pt>
                <c:pt idx="20">
                  <c:v>43242.32</c:v>
                </c:pt>
                <c:pt idx="21">
                  <c:v>45317.05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25A-44B3-A9FA-A13C8ECC3657}"/>
            </c:ext>
          </c:extLst>
        </c:ser>
        <c:ser>
          <c:idx val="1"/>
          <c:order val="1"/>
          <c:spPr>
            <a:ln w="63500">
              <a:solidFill>
                <a:srgbClr val="00B0F0"/>
              </a:solidFill>
            </a:ln>
          </c:spPr>
          <c:marker>
            <c:symbol val="circle"/>
            <c:size val="10"/>
            <c:spPr>
              <a:noFill/>
            </c:spPr>
          </c:marker>
          <c:trendline>
            <c:spPr>
              <a:ln w="15875">
                <a:prstDash val="lgDash"/>
              </a:ln>
            </c:spPr>
            <c:trendlineType val="linear"/>
            <c:forward val="10000"/>
            <c:dispRSqr val="1"/>
            <c:dispEq val="1"/>
            <c:trendlineLbl>
              <c:layout>
                <c:manualLayout>
                  <c:x val="0.18238377880297621"/>
                  <c:y val="-1.9696448808113543E-2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sz="1400">
                      <a:latin typeface="Arial" pitchFamily="34" charset="0"/>
                      <a:cs typeface="Arial" pitchFamily="34" charset="0"/>
                    </a:defRPr>
                  </a:pPr>
                  <a:endParaRPr lang="ru-RU"/>
                </a:p>
              </c:txPr>
            </c:trendlineLbl>
          </c:trendline>
          <c:xVal>
            <c:numRef>
              <c:f>ПФ2!$DJ$68:$DJ$89</c:f>
              <c:numCache>
                <c:formatCode>0</c:formatCode>
                <c:ptCount val="22"/>
                <c:pt idx="0">
                  <c:v>1428.5209</c:v>
                </c:pt>
                <c:pt idx="1">
                  <c:v>2007.8252000000002</c:v>
                </c:pt>
                <c:pt idx="2">
                  <c:v>2342.5137</c:v>
                </c:pt>
                <c:pt idx="3">
                  <c:v>2629.6228999999998</c:v>
                </c:pt>
                <c:pt idx="4">
                  <c:v>4823.2329</c:v>
                </c:pt>
                <c:pt idx="5">
                  <c:v>7305.6466</c:v>
                </c:pt>
                <c:pt idx="6">
                  <c:v>8943.5825999999997</c:v>
                </c:pt>
                <c:pt idx="7">
                  <c:v>10819.270899999998</c:v>
                </c:pt>
                <c:pt idx="8">
                  <c:v>13208.250299999998</c:v>
                </c:pt>
                <c:pt idx="9">
                  <c:v>17027.166999999998</c:v>
                </c:pt>
                <c:pt idx="10">
                  <c:v>21609.765799999997</c:v>
                </c:pt>
                <c:pt idx="11">
                  <c:v>26917.203699999998</c:v>
                </c:pt>
                <c:pt idx="12">
                  <c:v>33247.513200000001</c:v>
                </c:pt>
                <c:pt idx="13">
                  <c:v>41276.849199999997</c:v>
                </c:pt>
                <c:pt idx="14">
                  <c:v>38807.270899999996</c:v>
                </c:pt>
                <c:pt idx="15">
                  <c:v>46308.53100000001</c:v>
                </c:pt>
                <c:pt idx="16">
                  <c:v>60282.540400000005</c:v>
                </c:pt>
                <c:pt idx="17">
                  <c:v>68163.883100000006</c:v>
                </c:pt>
                <c:pt idx="18">
                  <c:v>73133.89509999998</c:v>
                </c:pt>
                <c:pt idx="19">
                  <c:v>79058</c:v>
                </c:pt>
                <c:pt idx="20">
                  <c:v>83094</c:v>
                </c:pt>
                <c:pt idx="21">
                  <c:v>86014</c:v>
                </c:pt>
              </c:numCache>
            </c:numRef>
          </c:xVal>
          <c:yVal>
            <c:numRef>
              <c:f>ПФ2!$DL$68:$DL$89</c:f>
              <c:numCache>
                <c:formatCode>0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A25A-44B3-A9FA-A13C8ECC3657}"/>
            </c:ext>
          </c:extLst>
        </c:ser>
        <c:ser>
          <c:idx val="2"/>
          <c:order val="2"/>
          <c:spPr>
            <a:ln>
              <a:solidFill>
                <a:schemeClr val="tx1"/>
              </a:solidFill>
            </a:ln>
          </c:spPr>
          <c:marker>
            <c:symbol val="circle"/>
            <c:size val="10"/>
            <c:spPr>
              <a:noFill/>
              <a:ln w="15875">
                <a:solidFill>
                  <a:schemeClr val="tx1"/>
                </a:solidFill>
              </a:ln>
            </c:spPr>
          </c:marker>
          <c:trendline>
            <c:spPr>
              <a:ln w="12700">
                <a:prstDash val="lgDash"/>
              </a:ln>
            </c:spPr>
            <c:trendlineType val="linear"/>
            <c:forward val="10000"/>
            <c:dispRSqr val="1"/>
            <c:dispEq val="1"/>
            <c:trendlineLbl>
              <c:layout>
                <c:manualLayout>
                  <c:x val="0.17752688328976649"/>
                  <c:y val="7.4792218862371848E-2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sz="1400">
                      <a:latin typeface="Arial" panose="020B0604020202020204" pitchFamily="34" charset="0"/>
                      <a:cs typeface="Arial" panose="020B0604020202020204" pitchFamily="34" charset="0"/>
                    </a:defRPr>
                  </a:pPr>
                  <a:endParaRPr lang="ru-RU"/>
                </a:p>
              </c:txPr>
            </c:trendlineLbl>
          </c:trendline>
          <c:xVal>
            <c:numRef>
              <c:f>ПФ2!$DJ$68:$DJ$89</c:f>
              <c:numCache>
                <c:formatCode>0</c:formatCode>
                <c:ptCount val="22"/>
                <c:pt idx="0">
                  <c:v>1428.5209</c:v>
                </c:pt>
                <c:pt idx="1">
                  <c:v>2007.8252000000002</c:v>
                </c:pt>
                <c:pt idx="2">
                  <c:v>2342.5137</c:v>
                </c:pt>
                <c:pt idx="3">
                  <c:v>2629.6228999999998</c:v>
                </c:pt>
                <c:pt idx="4">
                  <c:v>4823.2329</c:v>
                </c:pt>
                <c:pt idx="5">
                  <c:v>7305.6466</c:v>
                </c:pt>
                <c:pt idx="6">
                  <c:v>8943.5825999999997</c:v>
                </c:pt>
                <c:pt idx="7">
                  <c:v>10819.270899999998</c:v>
                </c:pt>
                <c:pt idx="8">
                  <c:v>13208.250299999998</c:v>
                </c:pt>
                <c:pt idx="9">
                  <c:v>17027.166999999998</c:v>
                </c:pt>
                <c:pt idx="10">
                  <c:v>21609.765799999997</c:v>
                </c:pt>
                <c:pt idx="11">
                  <c:v>26917.203699999998</c:v>
                </c:pt>
                <c:pt idx="12">
                  <c:v>33247.513200000001</c:v>
                </c:pt>
                <c:pt idx="13">
                  <c:v>41276.849199999997</c:v>
                </c:pt>
                <c:pt idx="14">
                  <c:v>38807.270899999996</c:v>
                </c:pt>
                <c:pt idx="15">
                  <c:v>46308.53100000001</c:v>
                </c:pt>
                <c:pt idx="16">
                  <c:v>60282.540400000005</c:v>
                </c:pt>
                <c:pt idx="17">
                  <c:v>68163.883100000006</c:v>
                </c:pt>
                <c:pt idx="18">
                  <c:v>73133.89509999998</c:v>
                </c:pt>
                <c:pt idx="19">
                  <c:v>79058</c:v>
                </c:pt>
                <c:pt idx="20">
                  <c:v>83094</c:v>
                </c:pt>
                <c:pt idx="21">
                  <c:v>86014</c:v>
                </c:pt>
              </c:numCache>
            </c:numRef>
          </c:xVal>
          <c:yVal>
            <c:numRef>
              <c:f>ПФ2!$DM$68:$DM$89</c:f>
              <c:numCache>
                <c:formatCode>0</c:formatCode>
                <c:ptCount val="22"/>
                <c:pt idx="0">
                  <c:v>266.97399999999999</c:v>
                </c:pt>
                <c:pt idx="1">
                  <c:v>375.95800000000003</c:v>
                </c:pt>
                <c:pt idx="2">
                  <c:v>408.79700000000003</c:v>
                </c:pt>
                <c:pt idx="3">
                  <c:v>407.08600000000001</c:v>
                </c:pt>
                <c:pt idx="4">
                  <c:v>670.43899999999996</c:v>
                </c:pt>
                <c:pt idx="5">
                  <c:v>1165.2339999999999</c:v>
                </c:pt>
                <c:pt idx="6">
                  <c:v>1504.7</c:v>
                </c:pt>
                <c:pt idx="7">
                  <c:v>1762.4</c:v>
                </c:pt>
                <c:pt idx="8">
                  <c:v>2186.4</c:v>
                </c:pt>
                <c:pt idx="9">
                  <c:v>2865</c:v>
                </c:pt>
                <c:pt idx="10">
                  <c:v>3611.1</c:v>
                </c:pt>
                <c:pt idx="11">
                  <c:v>4730</c:v>
                </c:pt>
                <c:pt idx="12">
                  <c:v>6716.2219999999998</c:v>
                </c:pt>
                <c:pt idx="13">
                  <c:v>8781.616</c:v>
                </c:pt>
                <c:pt idx="14">
                  <c:v>7976.0129999999999</c:v>
                </c:pt>
                <c:pt idx="15">
                  <c:v>9152.1</c:v>
                </c:pt>
                <c:pt idx="16">
                  <c:v>11035.652</c:v>
                </c:pt>
                <c:pt idx="17">
                  <c:v>12586.090400000001</c:v>
                </c:pt>
                <c:pt idx="18">
                  <c:v>13450.2382</c:v>
                </c:pt>
                <c:pt idx="19">
                  <c:v>13902.6453</c:v>
                </c:pt>
                <c:pt idx="20">
                  <c:v>13897.2</c:v>
                </c:pt>
                <c:pt idx="21">
                  <c:v>14748.8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A25A-44B3-A9FA-A13C8ECC36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953664"/>
        <c:axId val="163713408"/>
      </c:scatterChart>
      <c:valAx>
        <c:axId val="163953664"/>
        <c:scaling>
          <c:orientation val="minMax"/>
          <c:max val="120000"/>
          <c:min val="0"/>
        </c:scaling>
        <c:delete val="0"/>
        <c:axPos val="b"/>
        <c:numFmt formatCode="#,##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2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63713408"/>
        <c:crosses val="autoZero"/>
        <c:crossBetween val="midCat"/>
        <c:majorUnit val="20000"/>
      </c:valAx>
      <c:valAx>
        <c:axId val="163713408"/>
        <c:scaling>
          <c:orientation val="minMax"/>
          <c:max val="50000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txPr>
          <a:bodyPr/>
          <a:lstStyle/>
          <a:p>
            <a:pPr>
              <a:defRPr sz="12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63953664"/>
        <c:crosses val="autoZero"/>
        <c:crossBetween val="midCat"/>
        <c:majorUnit val="10000"/>
      </c:valAx>
      <c:spPr>
        <a:solidFill>
          <a:sysClr val="window" lastClr="FFFFFF"/>
        </a:solidFill>
      </c:spPr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1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8449020166274755E-2"/>
          <c:y val="1.6507210504435189E-2"/>
          <c:w val="0.91191923112961304"/>
          <c:h val="0.91575080600266479"/>
        </c:manualLayout>
      </c:layout>
      <c:scatterChart>
        <c:scatterStyle val="smoothMarker"/>
        <c:varyColors val="0"/>
        <c:ser>
          <c:idx val="0"/>
          <c:order val="0"/>
          <c:spPr>
            <a:ln w="69850">
              <a:solidFill>
                <a:srgbClr val="FF0000"/>
              </a:solidFill>
            </a:ln>
          </c:spPr>
          <c:marker>
            <c:symbol val="circle"/>
            <c:size val="10"/>
            <c:spPr>
              <a:noFill/>
            </c:spPr>
          </c:marker>
          <c:trendline>
            <c:spPr>
              <a:ln w="12700">
                <a:prstDash val="lgDash"/>
              </a:ln>
            </c:spPr>
            <c:trendlineType val="linear"/>
            <c:forward val="10000"/>
            <c:dispRSqr val="1"/>
            <c:dispEq val="1"/>
            <c:trendlineLbl>
              <c:layout>
                <c:manualLayout>
                  <c:x val="0.17137914653553141"/>
                  <c:y val="0.1979636532354857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sz="1800"/>
                  </a:pPr>
                  <a:endParaRPr lang="ru-RU"/>
                </a:p>
              </c:txPr>
            </c:trendlineLbl>
          </c:trendline>
          <c:xVal>
            <c:numRef>
              <c:f>ПФ2!$EF$27:$EF$48</c:f>
              <c:numCache>
                <c:formatCode>0</c:formatCode>
                <c:ptCount val="22"/>
                <c:pt idx="0">
                  <c:v>1428.5209</c:v>
                </c:pt>
                <c:pt idx="1">
                  <c:v>2007.8252000000002</c:v>
                </c:pt>
                <c:pt idx="2">
                  <c:v>2342.5137</c:v>
                </c:pt>
                <c:pt idx="3">
                  <c:v>2629.6228999999998</c:v>
                </c:pt>
                <c:pt idx="4">
                  <c:v>4823.2329</c:v>
                </c:pt>
                <c:pt idx="5">
                  <c:v>7305.6466</c:v>
                </c:pt>
                <c:pt idx="6">
                  <c:v>8943.5825999999997</c:v>
                </c:pt>
                <c:pt idx="7">
                  <c:v>10819.270899999998</c:v>
                </c:pt>
                <c:pt idx="8">
                  <c:v>13208.250299999998</c:v>
                </c:pt>
                <c:pt idx="9">
                  <c:v>17027.166999999998</c:v>
                </c:pt>
                <c:pt idx="10">
                  <c:v>21609.765799999997</c:v>
                </c:pt>
                <c:pt idx="11">
                  <c:v>26917.203699999998</c:v>
                </c:pt>
                <c:pt idx="12">
                  <c:v>33247.513200000001</c:v>
                </c:pt>
                <c:pt idx="13">
                  <c:v>41276.849199999997</c:v>
                </c:pt>
                <c:pt idx="14">
                  <c:v>38807.270899999996</c:v>
                </c:pt>
                <c:pt idx="15">
                  <c:v>46308.53100000001</c:v>
                </c:pt>
                <c:pt idx="16">
                  <c:v>60282.540400000005</c:v>
                </c:pt>
                <c:pt idx="17">
                  <c:v>68163.883100000006</c:v>
                </c:pt>
                <c:pt idx="18">
                  <c:v>73133.89509999998</c:v>
                </c:pt>
                <c:pt idx="19">
                  <c:v>79199.658500000005</c:v>
                </c:pt>
                <c:pt idx="20">
                  <c:v>83232.618400000007</c:v>
                </c:pt>
                <c:pt idx="21">
                  <c:v>86043.648900000015</c:v>
                </c:pt>
              </c:numCache>
            </c:numRef>
          </c:xVal>
          <c:yVal>
            <c:numRef>
              <c:f>ПФ2!$EG$27:$EG$48</c:f>
              <c:numCache>
                <c:formatCode>0</c:formatCode>
                <c:ptCount val="22"/>
                <c:pt idx="0">
                  <c:v>272.50150000000002</c:v>
                </c:pt>
                <c:pt idx="1">
                  <c:v>391.38130000000001</c:v>
                </c:pt>
                <c:pt idx="2">
                  <c:v>493.57350000000002</c:v>
                </c:pt>
                <c:pt idx="3">
                  <c:v>492.62060000000002</c:v>
                </c:pt>
                <c:pt idx="4">
                  <c:v>703.20910000000003</c:v>
                </c:pt>
                <c:pt idx="5">
                  <c:v>1102.4971</c:v>
                </c:pt>
                <c:pt idx="6">
                  <c:v>1469.9576</c:v>
                </c:pt>
                <c:pt idx="7">
                  <c:v>1942.4418000000001</c:v>
                </c:pt>
                <c:pt idx="8">
                  <c:v>2366.3687</c:v>
                </c:pt>
                <c:pt idx="9">
                  <c:v>2889.8145</c:v>
                </c:pt>
                <c:pt idx="10">
                  <c:v>3645.9185000000002</c:v>
                </c:pt>
                <c:pt idx="11">
                  <c:v>4680.4097000000002</c:v>
                </c:pt>
                <c:pt idx="12">
                  <c:v>5750.9641000000001</c:v>
                </c:pt>
                <c:pt idx="13">
                  <c:v>7359.8441999999995</c:v>
                </c:pt>
                <c:pt idx="14">
                  <c:v>8066.7</c:v>
                </c:pt>
                <c:pt idx="15">
                  <c:v>8671.3230000000003</c:v>
                </c:pt>
                <c:pt idx="16">
                  <c:v>10527.4218</c:v>
                </c:pt>
                <c:pt idx="17">
                  <c:v>12155.9717</c:v>
                </c:pt>
                <c:pt idx="18">
                  <c:v>13551.946099999999</c:v>
                </c:pt>
                <c:pt idx="19">
                  <c:v>14207.045099999999</c:v>
                </c:pt>
                <c:pt idx="20" formatCode="General">
                  <c:v>14543.941800000001</c:v>
                </c:pt>
                <c:pt idx="21" formatCode="General">
                  <c:v>15549.392400000001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178-4691-BA7D-2DC68B67A0D7}"/>
            </c:ext>
          </c:extLst>
        </c:ser>
        <c:ser>
          <c:idx val="1"/>
          <c:order val="1"/>
          <c:spPr>
            <a:ln w="63500">
              <a:solidFill>
                <a:srgbClr val="00B0F0"/>
              </a:solidFill>
            </a:ln>
          </c:spPr>
          <c:marker>
            <c:symbol val="circle"/>
            <c:size val="10"/>
            <c:spPr>
              <a:noFill/>
            </c:spPr>
          </c:marker>
          <c:trendline>
            <c:spPr>
              <a:ln>
                <a:prstDash val="lgDash"/>
              </a:ln>
            </c:spPr>
            <c:trendlineType val="linear"/>
            <c:forward val="10000"/>
            <c:dispRSqr val="1"/>
            <c:dispEq val="1"/>
            <c:trendlineLbl>
              <c:layout>
                <c:manualLayout>
                  <c:x val="-0.31214108994410888"/>
                  <c:y val="0.19474118427226736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sz="1600">
                      <a:latin typeface="Arial" panose="020B0604020202020204" pitchFamily="34" charset="0"/>
                      <a:cs typeface="Arial" panose="020B0604020202020204" pitchFamily="34" charset="0"/>
                    </a:defRPr>
                  </a:pPr>
                  <a:endParaRPr lang="ru-RU"/>
                </a:p>
              </c:txPr>
            </c:trendlineLbl>
          </c:trendline>
          <c:xVal>
            <c:numRef>
              <c:f>ПФ2!$EF$27:$EF$48</c:f>
              <c:numCache>
                <c:formatCode>0</c:formatCode>
                <c:ptCount val="22"/>
                <c:pt idx="0">
                  <c:v>1428.5209</c:v>
                </c:pt>
                <c:pt idx="1">
                  <c:v>2007.8252000000002</c:v>
                </c:pt>
                <c:pt idx="2">
                  <c:v>2342.5137</c:v>
                </c:pt>
                <c:pt idx="3">
                  <c:v>2629.6228999999998</c:v>
                </c:pt>
                <c:pt idx="4">
                  <c:v>4823.2329</c:v>
                </c:pt>
                <c:pt idx="5">
                  <c:v>7305.6466</c:v>
                </c:pt>
                <c:pt idx="6">
                  <c:v>8943.5825999999997</c:v>
                </c:pt>
                <c:pt idx="7">
                  <c:v>10819.270899999998</c:v>
                </c:pt>
                <c:pt idx="8">
                  <c:v>13208.250299999998</c:v>
                </c:pt>
                <c:pt idx="9">
                  <c:v>17027.166999999998</c:v>
                </c:pt>
                <c:pt idx="10">
                  <c:v>21609.765799999997</c:v>
                </c:pt>
                <c:pt idx="11">
                  <c:v>26917.203699999998</c:v>
                </c:pt>
                <c:pt idx="12">
                  <c:v>33247.513200000001</c:v>
                </c:pt>
                <c:pt idx="13">
                  <c:v>41276.849199999997</c:v>
                </c:pt>
                <c:pt idx="14">
                  <c:v>38807.270899999996</c:v>
                </c:pt>
                <c:pt idx="15">
                  <c:v>46308.53100000001</c:v>
                </c:pt>
                <c:pt idx="16">
                  <c:v>60282.540400000005</c:v>
                </c:pt>
                <c:pt idx="17">
                  <c:v>68163.883100000006</c:v>
                </c:pt>
                <c:pt idx="18">
                  <c:v>73133.89509999998</c:v>
                </c:pt>
                <c:pt idx="19">
                  <c:v>79199.658500000005</c:v>
                </c:pt>
                <c:pt idx="20">
                  <c:v>83232.618400000007</c:v>
                </c:pt>
                <c:pt idx="21">
                  <c:v>86043.648900000015</c:v>
                </c:pt>
              </c:numCache>
            </c:numRef>
          </c:xVal>
          <c:yVal>
            <c:numRef>
              <c:f>ПФ2!$EH$27:$EH$48</c:f>
              <c:numCache>
                <c:formatCode>0</c:formatCode>
                <c:ptCount val="22"/>
                <c:pt idx="0">
                  <c:v>368.88830000000002</c:v>
                </c:pt>
                <c:pt idx="1">
                  <c:v>490.67980000000006</c:v>
                </c:pt>
                <c:pt idx="2">
                  <c:v>599.57709999999986</c:v>
                </c:pt>
                <c:pt idx="3">
                  <c:v>479.01689999999996</c:v>
                </c:pt>
                <c:pt idx="4">
                  <c:v>748.08879999999999</c:v>
                </c:pt>
                <c:pt idx="5">
                  <c:v>1302.9964999999997</c:v>
                </c:pt>
                <c:pt idx="6">
                  <c:v>1928.3684999999994</c:v>
                </c:pt>
                <c:pt idx="7">
                  <c:v>2349.4081999999985</c:v>
                </c:pt>
                <c:pt idx="8">
                  <c:v>2935.0134999999982</c:v>
                </c:pt>
                <c:pt idx="9">
                  <c:v>3583.7784999999981</c:v>
                </c:pt>
                <c:pt idx="10">
                  <c:v>4373.5738999999985</c:v>
                </c:pt>
                <c:pt idx="11">
                  <c:v>5649.1719999999987</c:v>
                </c:pt>
                <c:pt idx="12">
                  <c:v>7068.8403000000008</c:v>
                </c:pt>
                <c:pt idx="13">
                  <c:v>9104.344299999997</c:v>
                </c:pt>
                <c:pt idx="14">
                  <c:v>7435.3883999999971</c:v>
                </c:pt>
                <c:pt idx="15">
                  <c:v>9991.8440000000119</c:v>
                </c:pt>
                <c:pt idx="16">
                  <c:v>14227.657200000005</c:v>
                </c:pt>
                <c:pt idx="17">
                  <c:v>16300.083700000003</c:v>
                </c:pt>
                <c:pt idx="18">
                  <c:v>17017.569999999989</c:v>
                </c:pt>
                <c:pt idx="19">
                  <c:v>17918.964099999997</c:v>
                </c:pt>
                <c:pt idx="20">
                  <c:v>19268.840700000012</c:v>
                </c:pt>
                <c:pt idx="21">
                  <c:v>20932.675500000008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178-4691-BA7D-2DC68B67A0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762944"/>
        <c:axId val="163764480"/>
      </c:scatterChart>
      <c:valAx>
        <c:axId val="163762944"/>
        <c:scaling>
          <c:orientation val="minMax"/>
          <c:max val="120000"/>
          <c:min val="0"/>
        </c:scaling>
        <c:delete val="0"/>
        <c:axPos val="b"/>
        <c:numFmt formatCode="#,##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4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63764480"/>
        <c:crosses val="autoZero"/>
        <c:crossBetween val="midCat"/>
        <c:majorUnit val="20000"/>
      </c:valAx>
      <c:valAx>
        <c:axId val="163764480"/>
        <c:scaling>
          <c:orientation val="minMax"/>
          <c:max val="25000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txPr>
          <a:bodyPr/>
          <a:lstStyle/>
          <a:p>
            <a:pPr>
              <a:defRPr sz="14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63762944"/>
        <c:crosses val="autoZero"/>
        <c:crossBetween val="midCat"/>
        <c:majorUnit val="5000"/>
      </c:valAx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1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4.6644825583165121E-2"/>
          <c:y val="1.3026015005995045E-2"/>
          <c:w val="0.91583663714129593"/>
          <c:h val="0.93103213952282049"/>
        </c:manualLayout>
      </c:layout>
      <c:lineChart>
        <c:grouping val="standard"/>
        <c:varyColors val="0"/>
        <c:ser>
          <c:idx val="1"/>
          <c:order val="0"/>
          <c:spPr>
            <a:ln>
              <a:solidFill>
                <a:schemeClr val="tx1"/>
              </a:solidFill>
              <a:prstDash val="lgDash"/>
            </a:ln>
          </c:spPr>
          <c:marker>
            <c:symbol val="none"/>
          </c:marker>
          <c:cat>
            <c:numRef>
              <c:f>ПФ2!$DJ$27:$DJ$52</c:f>
              <c:numCache>
                <c:formatCode>General</c:formatCode>
                <c:ptCount val="26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</c:numCache>
            </c:numRef>
          </c:cat>
          <c:val>
            <c:numRef>
              <c:f>ПФ2!$DK$27:$DK$52</c:f>
              <c:numCache>
                <c:formatCode>0.000</c:formatCode>
                <c:ptCount val="26"/>
                <c:pt idx="0">
                  <c:v>1</c:v>
                </c:pt>
                <c:pt idx="1">
                  <c:v>0.81899999999999995</c:v>
                </c:pt>
                <c:pt idx="2">
                  <c:v>0.77804999999999991</c:v>
                </c:pt>
                <c:pt idx="3">
                  <c:v>0.68468399999999996</c:v>
                </c:pt>
                <c:pt idx="4">
                  <c:v>0.71891819999999995</c:v>
                </c:pt>
                <c:pt idx="5">
                  <c:v>0.84400996679999984</c:v>
                </c:pt>
                <c:pt idx="6">
                  <c:v>0.92841096347999985</c:v>
                </c:pt>
                <c:pt idx="7">
                  <c:v>0.95440647045743987</c:v>
                </c:pt>
                <c:pt idx="8">
                  <c:v>1.0737072792646198</c:v>
                </c:pt>
                <c:pt idx="9">
                  <c:v>1.2208051765238728</c:v>
                </c:pt>
                <c:pt idx="10">
                  <c:v>1.3453273045293079</c:v>
                </c:pt>
                <c:pt idx="11">
                  <c:v>1.5699969643857024</c:v>
                </c:pt>
                <c:pt idx="12">
                  <c:v>1.9263862753012568</c:v>
                </c:pt>
                <c:pt idx="13">
                  <c:v>2.1093929714548763</c:v>
                </c:pt>
                <c:pt idx="14">
                  <c:v>1.8246249203084679</c:v>
                </c:pt>
                <c:pt idx="15">
                  <c:v>1.9395762902879012</c:v>
                </c:pt>
                <c:pt idx="16">
                  <c:v>2.1490505296389948</c:v>
                </c:pt>
                <c:pt idx="17">
                  <c:v>2.2951859656544467</c:v>
                </c:pt>
                <c:pt idx="18">
                  <c:v>2.313547453379682</c:v>
                </c:pt>
                <c:pt idx="19">
                  <c:v>2.2788442415789869</c:v>
                </c:pt>
                <c:pt idx="20">
                  <c:v>2.0486809731795095</c:v>
                </c:pt>
                <c:pt idx="21">
                  <c:v>2.0445836112331506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384-4C86-A6E3-D61AC230D42D}"/>
            </c:ext>
          </c:extLst>
        </c:ser>
        <c:ser>
          <c:idx val="2"/>
          <c:order val="1"/>
          <c:spPr>
            <a:ln w="50800">
              <a:solidFill>
                <a:srgbClr val="FF0000"/>
              </a:solidFill>
            </a:ln>
          </c:spPr>
          <c:marker>
            <c:symbol val="none"/>
          </c:marker>
          <c:cat>
            <c:numRef>
              <c:f>ПФ2!$DJ$27:$DJ$52</c:f>
              <c:numCache>
                <c:formatCode>General</c:formatCode>
                <c:ptCount val="26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</c:numCache>
            </c:numRef>
          </c:cat>
          <c:val>
            <c:numRef>
              <c:f>ПФ2!$DL$27:$DL$52</c:f>
              <c:numCache>
                <c:formatCode>0.000</c:formatCode>
                <c:ptCount val="26"/>
                <c:pt idx="0">
                  <c:v>1</c:v>
                </c:pt>
                <c:pt idx="1">
                  <c:v>1.0309999999999999</c:v>
                </c:pt>
                <c:pt idx="2">
                  <c:v>1.0062559999999998</c:v>
                </c:pt>
                <c:pt idx="3">
                  <c:v>1.0163185599999998</c:v>
                </c:pt>
                <c:pt idx="4">
                  <c:v>1.0478244353599997</c:v>
                </c:pt>
                <c:pt idx="5">
                  <c:v>1.0687809240671997</c:v>
                </c:pt>
                <c:pt idx="6">
                  <c:v>1.0602306766746621</c:v>
                </c:pt>
                <c:pt idx="7">
                  <c:v>1.0877966742682033</c:v>
                </c:pt>
                <c:pt idx="8">
                  <c:v>1.1139037944506402</c:v>
                </c:pt>
                <c:pt idx="9">
                  <c:v>1.1372957741341037</c:v>
                </c:pt>
                <c:pt idx="10">
                  <c:v>1.1532179149719812</c:v>
                </c:pt>
                <c:pt idx="11">
                  <c:v>1.1797419270163367</c:v>
                </c:pt>
                <c:pt idx="12">
                  <c:v>1.2115949590457777</c:v>
                </c:pt>
                <c:pt idx="13">
                  <c:v>1.2527891876533341</c:v>
                </c:pt>
                <c:pt idx="14">
                  <c:v>1.2452724525274141</c:v>
                </c:pt>
                <c:pt idx="15">
                  <c:v>1.2265933657395029</c:v>
                </c:pt>
                <c:pt idx="16">
                  <c:v>1.2437656728598561</c:v>
                </c:pt>
                <c:pt idx="17">
                  <c:v>1.2761035803542125</c:v>
                </c:pt>
                <c:pt idx="18">
                  <c:v>1.2875885125774005</c:v>
                </c:pt>
                <c:pt idx="19">
                  <c:v>1.2605491538132751</c:v>
                </c:pt>
                <c:pt idx="20">
                  <c:v>1.2151693842759972</c:v>
                </c:pt>
                <c:pt idx="21">
                  <c:v>1.2333969250401371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4384-4C86-A6E3-D61AC230D42D}"/>
            </c:ext>
          </c:extLst>
        </c:ser>
        <c:ser>
          <c:idx val="0"/>
          <c:order val="2"/>
          <c:spPr>
            <a:ln w="57150">
              <a:solidFill>
                <a:srgbClr val="00B0F0"/>
              </a:solidFill>
            </a:ln>
          </c:spPr>
          <c:marker>
            <c:symbol val="none"/>
          </c:marker>
          <c:cat>
            <c:numRef>
              <c:f>ПФ2!$DJ$27:$DJ$52</c:f>
              <c:numCache>
                <c:formatCode>General</c:formatCode>
                <c:ptCount val="26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</c:numCache>
            </c:numRef>
          </c:cat>
          <c:val>
            <c:numRef>
              <c:f>ПФ2!$DM$27:$DM$52</c:f>
              <c:numCache>
                <c:formatCode>0.000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4384-4C86-A6E3-D61AC230D4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4074624"/>
        <c:axId val="164076160"/>
      </c:lineChart>
      <c:catAx>
        <c:axId val="1640746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4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64076160"/>
        <c:crosses val="autoZero"/>
        <c:auto val="1"/>
        <c:lblAlgn val="ctr"/>
        <c:lblOffset val="100"/>
        <c:tickLblSkip val="5"/>
        <c:tickMarkSkip val="5"/>
        <c:noMultiLvlLbl val="0"/>
      </c:catAx>
      <c:valAx>
        <c:axId val="164076160"/>
        <c:scaling>
          <c:orientation val="minMax"/>
          <c:max val="3"/>
          <c:min val="0.5"/>
        </c:scaling>
        <c:delete val="0"/>
        <c:axPos val="l"/>
        <c:majorGridlines/>
        <c:numFmt formatCode="0.0" sourceLinked="0"/>
        <c:majorTickMark val="out"/>
        <c:minorTickMark val="none"/>
        <c:tickLblPos val="nextTo"/>
        <c:txPr>
          <a:bodyPr/>
          <a:lstStyle/>
          <a:p>
            <a:pPr>
              <a:defRPr sz="14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64074624"/>
        <c:crosses val="autoZero"/>
        <c:crossBetween val="between"/>
        <c:majorUnit val="0.5"/>
      </c:valAx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1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2994893566402838E-2"/>
          <c:y val="3.828779073288445E-2"/>
          <c:w val="0.91191923112961304"/>
          <c:h val="0.9302617104459"/>
        </c:manualLayout>
      </c:layout>
      <c:scatterChart>
        <c:scatterStyle val="smoothMarker"/>
        <c:varyColors val="0"/>
        <c:ser>
          <c:idx val="0"/>
          <c:order val="0"/>
          <c:spPr>
            <a:ln w="88900">
              <a:solidFill>
                <a:srgbClr val="FFC000"/>
              </a:solidFill>
            </a:ln>
          </c:spPr>
          <c:marker>
            <c:symbol val="circle"/>
            <c:size val="10"/>
            <c:spPr>
              <a:noFill/>
              <a:ln>
                <a:solidFill>
                  <a:schemeClr val="tx1"/>
                </a:solidFill>
              </a:ln>
            </c:spPr>
          </c:marker>
          <c:xVal>
            <c:numRef>
              <c:f>ПФ2!$CP$68:$CP$88</c:f>
              <c:numCache>
                <c:formatCode>0</c:formatCode>
                <c:ptCount val="21"/>
                <c:pt idx="0">
                  <c:v>1428.5209000000002</c:v>
                </c:pt>
                <c:pt idx="1">
                  <c:v>2007.8252000000007</c:v>
                </c:pt>
                <c:pt idx="2">
                  <c:v>2342.5136999999995</c:v>
                </c:pt>
                <c:pt idx="3">
                  <c:v>2629.6228999999998</c:v>
                </c:pt>
                <c:pt idx="4">
                  <c:v>4823.2329000000009</c:v>
                </c:pt>
                <c:pt idx="5">
                  <c:v>7305.6466</c:v>
                </c:pt>
                <c:pt idx="6">
                  <c:v>8943.5826000000015</c:v>
                </c:pt>
                <c:pt idx="7">
                  <c:v>10819.212299999999</c:v>
                </c:pt>
                <c:pt idx="8">
                  <c:v>13208.2338</c:v>
                </c:pt>
                <c:pt idx="9">
                  <c:v>17027.190900000001</c:v>
                </c:pt>
                <c:pt idx="10">
                  <c:v>21609.765500000001</c:v>
                </c:pt>
                <c:pt idx="11">
                  <c:v>26917.201400000002</c:v>
                </c:pt>
                <c:pt idx="12">
                  <c:v>33247.513200000001</c:v>
                </c:pt>
                <c:pt idx="13">
                  <c:v>41276.849199999997</c:v>
                </c:pt>
                <c:pt idx="14">
                  <c:v>38807.218999999997</c:v>
                </c:pt>
                <c:pt idx="15">
                  <c:v>46308.540999999997</c:v>
                </c:pt>
                <c:pt idx="16">
                  <c:v>60282.540399999998</c:v>
                </c:pt>
                <c:pt idx="17">
                  <c:v>68163.883099999992</c:v>
                </c:pt>
                <c:pt idx="18">
                  <c:v>73133.895099999994</c:v>
                </c:pt>
                <c:pt idx="19">
                  <c:v>79058.48</c:v>
                </c:pt>
                <c:pt idx="20">
                  <c:v>83094.3</c:v>
                </c:pt>
              </c:numCache>
            </c:numRef>
          </c:xVal>
          <c:yVal>
            <c:numRef>
              <c:f>ПФ2!$CQ$68:$CQ$88</c:f>
              <c:numCache>
                <c:formatCode>0</c:formatCode>
                <c:ptCount val="21"/>
                <c:pt idx="0">
                  <c:v>266.97399999999999</c:v>
                </c:pt>
                <c:pt idx="1">
                  <c:v>375.95800000000003</c:v>
                </c:pt>
                <c:pt idx="2">
                  <c:v>408.79700000000003</c:v>
                </c:pt>
                <c:pt idx="3">
                  <c:v>407.08600000000001</c:v>
                </c:pt>
                <c:pt idx="4">
                  <c:v>670.43899999999996</c:v>
                </c:pt>
                <c:pt idx="5">
                  <c:v>1165.2339999999999</c:v>
                </c:pt>
                <c:pt idx="6">
                  <c:v>1504.7</c:v>
                </c:pt>
                <c:pt idx="7">
                  <c:v>1762.4</c:v>
                </c:pt>
                <c:pt idx="8">
                  <c:v>2186.4</c:v>
                </c:pt>
                <c:pt idx="9">
                  <c:v>2865</c:v>
                </c:pt>
                <c:pt idx="10">
                  <c:v>3611.1</c:v>
                </c:pt>
                <c:pt idx="11">
                  <c:v>4730</c:v>
                </c:pt>
                <c:pt idx="12">
                  <c:v>6716.2219999999998</c:v>
                </c:pt>
                <c:pt idx="13">
                  <c:v>8781.616</c:v>
                </c:pt>
                <c:pt idx="14">
                  <c:v>7976.0129999999999</c:v>
                </c:pt>
                <c:pt idx="15">
                  <c:v>9152.1</c:v>
                </c:pt>
                <c:pt idx="16">
                  <c:v>11035.652</c:v>
                </c:pt>
                <c:pt idx="17">
                  <c:v>12586.090400000001</c:v>
                </c:pt>
                <c:pt idx="18">
                  <c:v>13450.2382</c:v>
                </c:pt>
                <c:pt idx="19">
                  <c:v>13902.6453</c:v>
                </c:pt>
                <c:pt idx="20">
                  <c:v>13897.2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D91-4C71-94B2-53367EB32B9A}"/>
            </c:ext>
          </c:extLst>
        </c:ser>
        <c:ser>
          <c:idx val="1"/>
          <c:order val="1"/>
          <c:trendline>
            <c:spPr>
              <a:ln>
                <a:prstDash val="lgDash"/>
              </a:ln>
            </c:spPr>
            <c:trendlineType val="linear"/>
            <c:forward val="10000"/>
            <c:dispRSqr val="1"/>
            <c:dispEq val="1"/>
            <c:trendlineLbl>
              <c:layout>
                <c:manualLayout>
                  <c:x val="-0.36756013816142286"/>
                  <c:y val="0.21389805739680237"/>
                </c:manualLayout>
              </c:layout>
              <c:tx>
                <c:rich>
                  <a:bodyPr/>
                  <a:lstStyle/>
                  <a:p>
                    <a:pPr>
                      <a:defRPr sz="1050"/>
                    </a:pPr>
                    <a:r>
                      <a:rPr lang="en-US" sz="2000" baseline="0"/>
                      <a:t>y = 0,1579x + 1848,9
R² = 0,9919</a:t>
                    </a:r>
                    <a:endParaRPr lang="en-US" sz="2000"/>
                  </a:p>
                </c:rich>
              </c:tx>
              <c:numFmt formatCode="General" sourceLinked="0"/>
            </c:trendlineLbl>
          </c:trendline>
          <c:xVal>
            <c:numRef>
              <c:f>ПФ2!$CP$82:$CP$88</c:f>
              <c:numCache>
                <c:formatCode>0</c:formatCode>
                <c:ptCount val="7"/>
                <c:pt idx="0">
                  <c:v>38807.218999999997</c:v>
                </c:pt>
                <c:pt idx="1">
                  <c:v>46308.540999999997</c:v>
                </c:pt>
                <c:pt idx="2">
                  <c:v>60282.540399999998</c:v>
                </c:pt>
                <c:pt idx="3">
                  <c:v>68163.883099999992</c:v>
                </c:pt>
                <c:pt idx="4">
                  <c:v>73133.895099999994</c:v>
                </c:pt>
                <c:pt idx="5">
                  <c:v>79058.48</c:v>
                </c:pt>
                <c:pt idx="6">
                  <c:v>83094.3</c:v>
                </c:pt>
              </c:numCache>
            </c:numRef>
          </c:xVal>
          <c:yVal>
            <c:numRef>
              <c:f>ПФ2!$CR$82:$CR$88</c:f>
              <c:numCache>
                <c:formatCode>0</c:formatCode>
                <c:ptCount val="7"/>
                <c:pt idx="0">
                  <c:v>7976.0129999999999</c:v>
                </c:pt>
                <c:pt idx="1">
                  <c:v>9152.1</c:v>
                </c:pt>
                <c:pt idx="2">
                  <c:v>11035.652</c:v>
                </c:pt>
                <c:pt idx="3">
                  <c:v>12586.090400000001</c:v>
                </c:pt>
                <c:pt idx="4">
                  <c:v>13450.2382</c:v>
                </c:pt>
                <c:pt idx="5">
                  <c:v>13902.6453</c:v>
                </c:pt>
                <c:pt idx="6">
                  <c:v>13897.2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D91-4C71-94B2-53367EB32B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868672"/>
        <c:axId val="163870208"/>
      </c:scatterChart>
      <c:valAx>
        <c:axId val="163868672"/>
        <c:scaling>
          <c:orientation val="minMax"/>
          <c:max val="100000"/>
          <c:min val="0"/>
        </c:scaling>
        <c:delete val="0"/>
        <c:axPos val="b"/>
        <c:numFmt formatCode="#,##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2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63870208"/>
        <c:crosses val="autoZero"/>
        <c:crossBetween val="midCat"/>
        <c:majorUnit val="20000"/>
      </c:valAx>
      <c:valAx>
        <c:axId val="163870208"/>
        <c:scaling>
          <c:orientation val="minMax"/>
          <c:max val="20000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txPr>
          <a:bodyPr/>
          <a:lstStyle/>
          <a:p>
            <a:pPr>
              <a:defRPr sz="12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63868672"/>
        <c:crosses val="autoZero"/>
        <c:crossBetween val="midCat"/>
        <c:majorUnit val="10000"/>
      </c:valAx>
      <c:spPr>
        <a:solidFill>
          <a:sysClr val="window" lastClr="FFFFFF"/>
        </a:solidFill>
      </c:spPr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1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1495376320654081E-2"/>
          <c:y val="3.828779073288445E-2"/>
          <c:w val="0.8735498954088079"/>
          <c:h val="0.9302617104459"/>
        </c:manualLayout>
      </c:layout>
      <c:scatterChart>
        <c:scatterStyle val="smoothMarker"/>
        <c:varyColors val="0"/>
        <c:ser>
          <c:idx val="0"/>
          <c:order val="0"/>
          <c:spPr>
            <a:ln w="117475">
              <a:solidFill>
                <a:srgbClr val="00B0F0"/>
              </a:solidFill>
            </a:ln>
          </c:spPr>
          <c:marker>
            <c:symbol val="none"/>
          </c:marker>
          <c:trendline>
            <c:spPr>
              <a:ln w="25400">
                <a:prstDash val="lgDash"/>
              </a:ln>
            </c:spPr>
            <c:trendlineType val="linear"/>
            <c:forward val="20000"/>
            <c:dispRSqr val="1"/>
            <c:dispEq val="1"/>
            <c:trendlineLbl>
              <c:layout>
                <c:manualLayout>
                  <c:x val="-6.4722674676972528E-3"/>
                  <c:y val="0.42543499982000516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sz="1600">
                      <a:latin typeface="Arial" panose="020B0604020202020204" pitchFamily="34" charset="0"/>
                      <a:cs typeface="Arial" panose="020B0604020202020204" pitchFamily="34" charset="0"/>
                    </a:defRPr>
                  </a:pPr>
                  <a:endParaRPr lang="ru-RU"/>
                </a:p>
              </c:txPr>
            </c:trendlineLbl>
          </c:trendline>
          <c:xVal>
            <c:numRef>
              <c:f>ПФ2!$CR$27:$CR$48</c:f>
              <c:numCache>
                <c:formatCode>0</c:formatCode>
                <c:ptCount val="22"/>
                <c:pt idx="0">
                  <c:v>2876.5161000000003</c:v>
                </c:pt>
                <c:pt idx="1">
                  <c:v>3978.7420000000006</c:v>
                </c:pt>
                <c:pt idx="2">
                  <c:v>4542.1256999999996</c:v>
                </c:pt>
                <c:pt idx="3">
                  <c:v>4820.3402999999998</c:v>
                </c:pt>
                <c:pt idx="4">
                  <c:v>8798.5622000000003</c:v>
                </c:pt>
                <c:pt idx="5">
                  <c:v>13385.6595</c:v>
                </c:pt>
                <c:pt idx="6">
                  <c:v>17020.277300000002</c:v>
                </c:pt>
                <c:pt idx="7">
                  <c:v>20222.973599999998</c:v>
                </c:pt>
                <c:pt idx="8">
                  <c:v>24861.589499999998</c:v>
                </c:pt>
                <c:pt idx="9">
                  <c:v>31659.022599999997</c:v>
                </c:pt>
                <c:pt idx="10">
                  <c:v>40112.701999999997</c:v>
                </c:pt>
                <c:pt idx="11">
                  <c:v>50163.726499999997</c:v>
                </c:pt>
                <c:pt idx="12">
                  <c:v>62515.174500000001</c:v>
                </c:pt>
                <c:pt idx="13">
                  <c:v>77695.808799999999</c:v>
                </c:pt>
                <c:pt idx="14">
                  <c:v>73092.394899999999</c:v>
                </c:pt>
                <c:pt idx="15">
                  <c:v>88323.067999999999</c:v>
                </c:pt>
                <c:pt idx="16">
                  <c:v>109158.8003</c:v>
                </c:pt>
                <c:pt idx="17">
                  <c:v>122259.8224</c:v>
                </c:pt>
                <c:pt idx="18">
                  <c:v>132429.93030000001</c:v>
                </c:pt>
                <c:pt idx="19">
                  <c:v>143402.38389999999</c:v>
                </c:pt>
                <c:pt idx="20">
                  <c:v>153208.1569</c:v>
                </c:pt>
                <c:pt idx="21">
                  <c:v>160860.21100000001</c:v>
                </c:pt>
              </c:numCache>
            </c:numRef>
          </c:xVal>
          <c:yVal>
            <c:numRef>
              <c:f>ПФ2!$CS$27:$CS$48</c:f>
              <c:numCache>
                <c:formatCode>0</c:formatCode>
                <c:ptCount val="22"/>
                <c:pt idx="0">
                  <c:v>647.87</c:v>
                </c:pt>
                <c:pt idx="1">
                  <c:v>1022.64</c:v>
                </c:pt>
                <c:pt idx="2">
                  <c:v>1202.9000000000001</c:v>
                </c:pt>
                <c:pt idx="3">
                  <c:v>1263.047</c:v>
                </c:pt>
                <c:pt idx="4">
                  <c:v>1933.606</c:v>
                </c:pt>
                <c:pt idx="5">
                  <c:v>2937.23</c:v>
                </c:pt>
                <c:pt idx="6">
                  <c:v>3848.4</c:v>
                </c:pt>
                <c:pt idx="7">
                  <c:v>5065.1000000000004</c:v>
                </c:pt>
                <c:pt idx="8">
                  <c:v>6231.3869999999997</c:v>
                </c:pt>
                <c:pt idx="9">
                  <c:v>7845.0370000000003</c:v>
                </c:pt>
                <c:pt idx="10">
                  <c:v>9439.8269999999993</c:v>
                </c:pt>
                <c:pt idx="11">
                  <c:v>11985.905000000001</c:v>
                </c:pt>
                <c:pt idx="12">
                  <c:v>15526.11</c:v>
                </c:pt>
                <c:pt idx="13">
                  <c:v>19559.759999999998</c:v>
                </c:pt>
                <c:pt idx="14">
                  <c:v>20411.61</c:v>
                </c:pt>
                <c:pt idx="15">
                  <c:v>22995.63</c:v>
                </c:pt>
                <c:pt idx="16">
                  <c:v>26386.6754</c:v>
                </c:pt>
                <c:pt idx="17">
                  <c:v>30201.161499999998</c:v>
                </c:pt>
                <c:pt idx="18">
                  <c:v>33792.282200000001</c:v>
                </c:pt>
                <c:pt idx="19">
                  <c:v>37387.176399999997</c:v>
                </c:pt>
                <c:pt idx="20">
                  <c:v>38091.4522</c:v>
                </c:pt>
                <c:pt idx="21">
                  <c:v>40779.2886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10E-4595-83F0-448736F512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996800"/>
        <c:axId val="163998336"/>
      </c:scatterChart>
      <c:valAx>
        <c:axId val="163996800"/>
        <c:scaling>
          <c:orientation val="minMax"/>
          <c:max val="200000"/>
          <c:min val="0"/>
        </c:scaling>
        <c:delete val="0"/>
        <c:axPos val="b"/>
        <c:numFmt formatCode="#,##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2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63998336"/>
        <c:crosses val="autoZero"/>
        <c:crossBetween val="midCat"/>
        <c:majorUnit val="40000"/>
      </c:valAx>
      <c:valAx>
        <c:axId val="163998336"/>
        <c:scaling>
          <c:orientation val="minMax"/>
          <c:max val="50000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txPr>
          <a:bodyPr/>
          <a:lstStyle/>
          <a:p>
            <a:pPr>
              <a:defRPr sz="12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63996800"/>
        <c:crosses val="autoZero"/>
        <c:crossBetween val="midCat"/>
        <c:majorUnit val="25000"/>
      </c:valAx>
      <c:spPr>
        <a:solidFill>
          <a:sysClr val="window" lastClr="FFFFFF"/>
        </a:solidFill>
      </c:spPr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1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2994893566402838E-2"/>
          <c:y val="3.828779073288445E-2"/>
          <c:w val="0.91191923112961304"/>
          <c:h val="0.9302617104459"/>
        </c:manualLayout>
      </c:layout>
      <c:scatterChart>
        <c:scatterStyle val="smoothMarker"/>
        <c:varyColors val="0"/>
        <c:ser>
          <c:idx val="0"/>
          <c:order val="0"/>
          <c:spPr>
            <a:ln w="101600">
              <a:solidFill>
                <a:srgbClr val="FFC000"/>
              </a:solidFill>
            </a:ln>
          </c:spPr>
          <c:marker>
            <c:symbol val="circle"/>
            <c:size val="10"/>
            <c:spPr>
              <a:noFill/>
              <a:ln w="19050">
                <a:solidFill>
                  <a:schemeClr val="tx1"/>
                </a:solidFill>
              </a:ln>
            </c:spPr>
          </c:marker>
          <c:xVal>
            <c:numRef>
              <c:f>ПФ2!$BU$27:$BU$48</c:f>
              <c:numCache>
                <c:formatCode>0.00</c:formatCode>
                <c:ptCount val="22"/>
                <c:pt idx="0">
                  <c:v>1</c:v>
                </c:pt>
                <c:pt idx="1">
                  <c:v>0.96399999999999997</c:v>
                </c:pt>
                <c:pt idx="2">
                  <c:v>0.97749600000000003</c:v>
                </c:pt>
                <c:pt idx="3">
                  <c:v>0.92568871200000002</c:v>
                </c:pt>
                <c:pt idx="4">
                  <c:v>0.98493278956800012</c:v>
                </c:pt>
                <c:pt idx="5">
                  <c:v>1.0834260685248003</c:v>
                </c:pt>
                <c:pt idx="6">
                  <c:v>1.138680798019565</c:v>
                </c:pt>
                <c:pt idx="7">
                  <c:v>1.1921987955264846</c:v>
                </c:pt>
                <c:pt idx="8">
                  <c:v>1.2792293075999179</c:v>
                </c:pt>
                <c:pt idx="9">
                  <c:v>1.3713338177471122</c:v>
                </c:pt>
                <c:pt idx="10">
                  <c:v>1.4590991820829273</c:v>
                </c:pt>
                <c:pt idx="11">
                  <c:v>1.5787453150137274</c:v>
                </c:pt>
                <c:pt idx="12">
                  <c:v>1.7129386667898943</c:v>
                </c:pt>
                <c:pt idx="13">
                  <c:v>1.8020114774629687</c:v>
                </c:pt>
                <c:pt idx="14">
                  <c:v>1.6596525707433942</c:v>
                </c:pt>
                <c:pt idx="15">
                  <c:v>1.7343369364268468</c:v>
                </c:pt>
                <c:pt idx="16">
                  <c:v>1.808913424693201</c:v>
                </c:pt>
                <c:pt idx="17">
                  <c:v>1.8750455190419226</c:v>
                </c:pt>
                <c:pt idx="18">
                  <c:v>1.9085217286102596</c:v>
                </c:pt>
                <c:pt idx="19">
                  <c:v>1.9226180848563927</c:v>
                </c:pt>
                <c:pt idx="20">
                  <c:v>1.8783978689046956</c:v>
                </c:pt>
                <c:pt idx="21">
                  <c:v>1.8821546646425049</c:v>
                </c:pt>
              </c:numCache>
            </c:numRef>
          </c:xVal>
          <c:yVal>
            <c:numRef>
              <c:f>ПФ2!$BV$27:$BV$48</c:f>
              <c:numCache>
                <c:formatCode>0.00</c:formatCode>
                <c:ptCount val="22"/>
                <c:pt idx="0">
                  <c:v>1</c:v>
                </c:pt>
                <c:pt idx="1">
                  <c:v>1.3191577216179184</c:v>
                </c:pt>
                <c:pt idx="2">
                  <c:v>1.465619370714605</c:v>
                </c:pt>
                <c:pt idx="3">
                  <c:v>0.85716727254299341</c:v>
                </c:pt>
                <c:pt idx="4">
                  <c:v>0.8905613871995075</c:v>
                </c:pt>
                <c:pt idx="5">
                  <c:v>1.0910735084339893</c:v>
                </c:pt>
                <c:pt idx="6">
                  <c:v>1.2043645968535897</c:v>
                </c:pt>
                <c:pt idx="7">
                  <c:v>1.3454454046567674</c:v>
                </c:pt>
                <c:pt idx="8">
                  <c:v>1.4850279596592788</c:v>
                </c:pt>
                <c:pt idx="9">
                  <c:v>1.6493886216432383</c:v>
                </c:pt>
                <c:pt idx="10">
                  <c:v>1.7629074929087367</c:v>
                </c:pt>
                <c:pt idx="11">
                  <c:v>2.0289294415498413</c:v>
                </c:pt>
                <c:pt idx="12">
                  <c:v>2.2961879581752398</c:v>
                </c:pt>
                <c:pt idx="13">
                  <c:v>2.5452330528232636</c:v>
                </c:pt>
                <c:pt idx="14">
                  <c:v>2.4972789335593348</c:v>
                </c:pt>
                <c:pt idx="15">
                  <c:v>2.5669743863224377</c:v>
                </c:pt>
                <c:pt idx="16">
                  <c:v>2.7400070660747096</c:v>
                </c:pt>
                <c:pt idx="17">
                  <c:v>2.9136140751903352</c:v>
                </c:pt>
                <c:pt idx="18">
                  <c:v>3.0676926627762775</c:v>
                </c:pt>
                <c:pt idx="19">
                  <c:v>3.0404294602847233</c:v>
                </c:pt>
                <c:pt idx="20">
                  <c:v>2.7139935535586104</c:v>
                </c:pt>
                <c:pt idx="21">
                  <c:v>2.7539998517348616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3B7-4AEF-9CA5-C1FA1310F838}"/>
            </c:ext>
          </c:extLst>
        </c:ser>
        <c:ser>
          <c:idx val="1"/>
          <c:order val="1"/>
          <c:trendline>
            <c:spPr>
              <a:ln w="22225">
                <a:prstDash val="lgDash"/>
              </a:ln>
            </c:spPr>
            <c:trendlineType val="linear"/>
            <c:forward val="2"/>
            <c:backward val="1"/>
            <c:dispRSqr val="1"/>
            <c:dispEq val="1"/>
            <c:trendlineLbl>
              <c:layout>
                <c:manualLayout>
                  <c:x val="-0.66749104754539279"/>
                  <c:y val="0.46595293369919188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sz="1200">
                      <a:latin typeface="Arial" pitchFamily="34" charset="0"/>
                      <a:cs typeface="Arial" pitchFamily="34" charset="0"/>
                    </a:defRPr>
                  </a:pPr>
                  <a:endParaRPr lang="ru-RU"/>
                </a:p>
              </c:txPr>
            </c:trendlineLbl>
          </c:trendline>
          <c:xVal>
            <c:numRef>
              <c:f>ПФ2!$BU$32:$BU$40</c:f>
              <c:numCache>
                <c:formatCode>0.00</c:formatCode>
                <c:ptCount val="9"/>
                <c:pt idx="0">
                  <c:v>1.0834260685248003</c:v>
                </c:pt>
                <c:pt idx="1">
                  <c:v>1.138680798019565</c:v>
                </c:pt>
                <c:pt idx="2">
                  <c:v>1.1921987955264846</c:v>
                </c:pt>
                <c:pt idx="3">
                  <c:v>1.2792293075999179</c:v>
                </c:pt>
                <c:pt idx="4">
                  <c:v>1.3713338177471122</c:v>
                </c:pt>
                <c:pt idx="5">
                  <c:v>1.4590991820829273</c:v>
                </c:pt>
                <c:pt idx="6">
                  <c:v>1.5787453150137274</c:v>
                </c:pt>
                <c:pt idx="7">
                  <c:v>1.7129386667898943</c:v>
                </c:pt>
                <c:pt idx="8">
                  <c:v>1.8020114774629687</c:v>
                </c:pt>
              </c:numCache>
            </c:numRef>
          </c:xVal>
          <c:yVal>
            <c:numRef>
              <c:f>ПФ2!$BW$32:$BW$40</c:f>
              <c:numCache>
                <c:formatCode>0.00</c:formatCode>
                <c:ptCount val="9"/>
                <c:pt idx="0">
                  <c:v>1.0910735084339893</c:v>
                </c:pt>
                <c:pt idx="1">
                  <c:v>1.2043645968535897</c:v>
                </c:pt>
                <c:pt idx="2">
                  <c:v>1.3454454046567674</c:v>
                </c:pt>
                <c:pt idx="3">
                  <c:v>1.4850279596592788</c:v>
                </c:pt>
                <c:pt idx="4">
                  <c:v>1.6493886216432383</c:v>
                </c:pt>
                <c:pt idx="5">
                  <c:v>1.7629074929087367</c:v>
                </c:pt>
                <c:pt idx="6">
                  <c:v>2.0289294415498413</c:v>
                </c:pt>
                <c:pt idx="7">
                  <c:v>2.2961879581752398</c:v>
                </c:pt>
                <c:pt idx="8">
                  <c:v>2.5452330528232636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3B7-4AEF-9CA5-C1FA1310F838}"/>
            </c:ext>
          </c:extLst>
        </c:ser>
        <c:ser>
          <c:idx val="2"/>
          <c:order val="2"/>
          <c:trendline>
            <c:spPr>
              <a:ln w="25400">
                <a:prstDash val="dash"/>
              </a:ln>
            </c:spPr>
            <c:trendlineType val="linear"/>
            <c:forward val="0.2"/>
            <c:backward val="0.1"/>
            <c:dispRSqr val="1"/>
            <c:dispEq val="1"/>
            <c:trendlineLbl>
              <c:layout>
                <c:manualLayout>
                  <c:x val="7.0532364342983933E-2"/>
                  <c:y val="0.38298906267303995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sz="1200">
                      <a:latin typeface="Arial" pitchFamily="34" charset="0"/>
                      <a:cs typeface="Arial" pitchFamily="34" charset="0"/>
                    </a:defRPr>
                  </a:pPr>
                  <a:endParaRPr lang="ru-RU"/>
                </a:p>
              </c:txPr>
            </c:trendlineLbl>
          </c:trendline>
          <c:xVal>
            <c:numRef>
              <c:f>ПФ2!$BU$41:$BU$46</c:f>
              <c:numCache>
                <c:formatCode>0.00</c:formatCode>
                <c:ptCount val="6"/>
                <c:pt idx="0">
                  <c:v>1.6596525707433942</c:v>
                </c:pt>
                <c:pt idx="1">
                  <c:v>1.7343369364268468</c:v>
                </c:pt>
                <c:pt idx="2">
                  <c:v>1.808913424693201</c:v>
                </c:pt>
                <c:pt idx="3">
                  <c:v>1.8750455190419226</c:v>
                </c:pt>
                <c:pt idx="4">
                  <c:v>1.9085217286102596</c:v>
                </c:pt>
                <c:pt idx="5">
                  <c:v>1.9226180848563927</c:v>
                </c:pt>
              </c:numCache>
            </c:numRef>
          </c:xVal>
          <c:yVal>
            <c:numRef>
              <c:f>ПФ2!$BX$41:$BX$46</c:f>
              <c:numCache>
                <c:formatCode>0.00</c:formatCode>
                <c:ptCount val="6"/>
                <c:pt idx="0">
                  <c:v>2.4972789335593348</c:v>
                </c:pt>
                <c:pt idx="1">
                  <c:v>2.5669743863224377</c:v>
                </c:pt>
                <c:pt idx="2">
                  <c:v>2.7400070660747096</c:v>
                </c:pt>
                <c:pt idx="3">
                  <c:v>2.9136140751903352</c:v>
                </c:pt>
                <c:pt idx="4">
                  <c:v>3.0676926627762775</c:v>
                </c:pt>
                <c:pt idx="5">
                  <c:v>3.0404294602847233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E3B7-4AEF-9CA5-C1FA1310F8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111104"/>
        <c:axId val="164112640"/>
      </c:scatterChart>
      <c:valAx>
        <c:axId val="164111104"/>
        <c:scaling>
          <c:orientation val="minMax"/>
          <c:max val="2.5"/>
          <c:min val="0.5"/>
        </c:scaling>
        <c:delete val="0"/>
        <c:axPos val="b"/>
        <c:numFmt formatCode="#,##0.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64112640"/>
        <c:crosses val="autoZero"/>
        <c:crossBetween val="midCat"/>
        <c:majorUnit val="0.5"/>
      </c:valAx>
      <c:valAx>
        <c:axId val="164112640"/>
        <c:scaling>
          <c:orientation val="minMax"/>
          <c:max val="4"/>
          <c:min val="0"/>
        </c:scaling>
        <c:delete val="0"/>
        <c:axPos val="l"/>
        <c:majorGridlines/>
        <c:numFmt formatCode="0.0" sourceLinked="0"/>
        <c:majorTickMark val="out"/>
        <c:minorTickMark val="none"/>
        <c:tickLblPos val="nextTo"/>
        <c:txPr>
          <a:bodyPr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64111104"/>
        <c:crosses val="autoZero"/>
        <c:crossBetween val="midCat"/>
        <c:majorUnit val="1"/>
      </c:valAx>
      <c:spPr>
        <a:solidFill>
          <a:sysClr val="window" lastClr="FFFFFF"/>
        </a:solidFill>
      </c:spPr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1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5710220406934153E-2"/>
          <c:y val="1.7807016997221318E-2"/>
          <c:w val="0.90914293396406654"/>
          <c:h val="0.91431766467689934"/>
        </c:manualLayout>
      </c:layout>
      <c:lineChart>
        <c:grouping val="standard"/>
        <c:varyColors val="0"/>
        <c:ser>
          <c:idx val="0"/>
          <c:order val="0"/>
          <c:spPr>
            <a:ln w="63500">
              <a:solidFill>
                <a:srgbClr val="00B0F0"/>
              </a:solidFill>
            </a:ln>
          </c:spPr>
          <c:marker>
            <c:symbol val="none"/>
          </c:marker>
          <c:cat>
            <c:numRef>
              <c:f>ПФ2!$ED$68:$ED$103</c:f>
              <c:numCache>
                <c:formatCode>General</c:formatCode>
                <c:ptCount val="36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</c:numCache>
            </c:numRef>
          </c:cat>
          <c:val>
            <c:numRef>
              <c:f>ПФ2!$FJ$68:$FJ$88</c:f>
              <c:numCache>
                <c:formatCode>0.00</c:formatCode>
                <c:ptCount val="21"/>
                <c:pt idx="0">
                  <c:v>1</c:v>
                </c:pt>
                <c:pt idx="1">
                  <c:v>1.5208627234830072</c:v>
                </c:pt>
                <c:pt idx="2">
                  <c:v>1.7178414165358655</c:v>
                </c:pt>
                <c:pt idx="3">
                  <c:v>2.3960063610370872</c:v>
                </c:pt>
                <c:pt idx="4">
                  <c:v>4.6635438415007853</c:v>
                </c:pt>
                <c:pt idx="5">
                  <c:v>5.0821555739588433</c:v>
                </c:pt>
                <c:pt idx="6">
                  <c:v>6.2597323676099617</c:v>
                </c:pt>
                <c:pt idx="7">
                  <c:v>7.0728069310904971</c:v>
                </c:pt>
                <c:pt idx="8">
                  <c:v>7.8586429903564081</c:v>
                </c:pt>
                <c:pt idx="9">
                  <c:v>9.0480534412004499</c:v>
                </c:pt>
                <c:pt idx="10">
                  <c:v>10.070168753275144</c:v>
                </c:pt>
                <c:pt idx="11">
                  <c:v>11.237649593940652</c:v>
                </c:pt>
                <c:pt idx="12">
                  <c:v>12.985985567555964</c:v>
                </c:pt>
                <c:pt idx="13">
                  <c:v>15.397267606350976</c:v>
                </c:pt>
                <c:pt idx="14">
                  <c:v>18.209619166526906</c:v>
                </c:pt>
                <c:pt idx="15">
                  <c:v>20.205803391972641</c:v>
                </c:pt>
                <c:pt idx="16">
                  <c:v>23.496938857350884</c:v>
                </c:pt>
                <c:pt idx="17">
                  <c:v>25.552634846384674</c:v>
                </c:pt>
                <c:pt idx="18">
                  <c:v>27.368855432385324</c:v>
                </c:pt>
                <c:pt idx="19">
                  <c:v>30.814371333057377</c:v>
                </c:pt>
                <c:pt idx="20">
                  <c:v>36.34296976353653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CCA-4CEF-A07D-A2FC3CAF3159}"/>
            </c:ext>
          </c:extLst>
        </c:ser>
        <c:ser>
          <c:idx val="1"/>
          <c:order val="1"/>
          <c:spPr>
            <a:ln>
              <a:solidFill>
                <a:schemeClr val="tx1"/>
              </a:solidFill>
              <a:prstDash val="lgDash"/>
            </a:ln>
          </c:spPr>
          <c:marker>
            <c:symbol val="none"/>
          </c:marker>
          <c:cat>
            <c:numRef>
              <c:f>ПФ2!$ED$68:$ED$103</c:f>
              <c:numCache>
                <c:formatCode>General</c:formatCode>
                <c:ptCount val="36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</c:numCache>
            </c:numRef>
          </c:cat>
          <c:val>
            <c:numRef>
              <c:f>ПФ2!$FK$68:$FK$88</c:f>
              <c:numCache>
                <c:formatCode>0.00</c:formatCode>
                <c:ptCount val="21"/>
                <c:pt idx="0">
                  <c:v>1</c:v>
                </c:pt>
                <c:pt idx="1">
                  <c:v>1.218</c:v>
                </c:pt>
                <c:pt idx="2">
                  <c:v>1.3519800000000002</c:v>
                </c:pt>
                <c:pt idx="3">
                  <c:v>2.4930511200000005</c:v>
                </c:pt>
                <c:pt idx="4">
                  <c:v>3.4030147788000007</c:v>
                </c:pt>
                <c:pt idx="5">
                  <c:v>4.0904237641176007</c:v>
                </c:pt>
                <c:pt idx="6">
                  <c:v>4.8512425842434741</c:v>
                </c:pt>
                <c:pt idx="7">
                  <c:v>5.5837802144642392</c:v>
                </c:pt>
                <c:pt idx="8">
                  <c:v>6.2538338401999489</c:v>
                </c:pt>
                <c:pt idx="9">
                  <c:v>6.9855323995033425</c:v>
                </c:pt>
                <c:pt idx="10">
                  <c:v>7.7469554310492068</c:v>
                </c:pt>
                <c:pt idx="11">
                  <c:v>8.4441814198436358</c:v>
                </c:pt>
                <c:pt idx="12">
                  <c:v>9.4465057543790749</c:v>
                </c:pt>
                <c:pt idx="13">
                  <c:v>10.701001718560617</c:v>
                </c:pt>
                <c:pt idx="14">
                  <c:v>11.642689869793951</c:v>
                </c:pt>
                <c:pt idx="15">
                  <c:v>12.664918040361862</c:v>
                </c:pt>
                <c:pt idx="16">
                  <c:v>13.437478040823935</c:v>
                </c:pt>
                <c:pt idx="17">
                  <c:v>14.321664095910151</c:v>
                </c:pt>
                <c:pt idx="18">
                  <c:v>15.245411430096356</c:v>
                </c:pt>
                <c:pt idx="19">
                  <c:v>17.318787384589459</c:v>
                </c:pt>
                <c:pt idx="20">
                  <c:v>19.552910957201501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CCA-4CEF-A07D-A2FC3CAF3159}"/>
            </c:ext>
          </c:extLst>
        </c:ser>
        <c:ser>
          <c:idx val="2"/>
          <c:order val="2"/>
          <c:spPr>
            <a:ln w="63500">
              <a:solidFill>
                <a:srgbClr val="FF0000"/>
              </a:solidFill>
            </a:ln>
          </c:spPr>
          <c:marker>
            <c:symbol val="none"/>
          </c:marker>
          <c:cat>
            <c:numRef>
              <c:f>ПФ2!$ED$68:$ED$103</c:f>
              <c:numCache>
                <c:formatCode>General</c:formatCode>
                <c:ptCount val="36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</c:numCache>
            </c:numRef>
          </c:cat>
          <c:val>
            <c:numRef>
              <c:f>ПФ2!$FL$68:$FL$88</c:f>
              <c:numCache>
                <c:formatCode>0.00</c:formatCode>
                <c:ptCount val="21"/>
                <c:pt idx="0">
                  <c:v>1</c:v>
                </c:pt>
                <c:pt idx="1">
                  <c:v>1.170751567490661</c:v>
                </c:pt>
                <c:pt idx="2">
                  <c:v>1.4027022303089887</c:v>
                </c:pt>
                <c:pt idx="3">
                  <c:v>2.0776657762662092</c:v>
                </c:pt>
                <c:pt idx="4">
                  <c:v>4.8943006185343938</c:v>
                </c:pt>
                <c:pt idx="5">
                  <c:v>5.1416113994451775</c:v>
                </c:pt>
                <c:pt idx="6">
                  <c:v>5.3433855590626722</c:v>
                </c:pt>
                <c:pt idx="7">
                  <c:v>5.6965406483895409</c:v>
                </c:pt>
                <c:pt idx="8">
                  <c:v>5.788123461724906</c:v>
                </c:pt>
                <c:pt idx="9">
                  <c:v>5.6171649663435321</c:v>
                </c:pt>
                <c:pt idx="10">
                  <c:v>5.9336563381172764</c:v>
                </c:pt>
                <c:pt idx="11">
                  <c:v>5.9494755268032087</c:v>
                </c:pt>
                <c:pt idx="12">
                  <c:v>5.9724865903412292</c:v>
                </c:pt>
                <c:pt idx="13">
                  <c:v>6.6180737006266304</c:v>
                </c:pt>
                <c:pt idx="14">
                  <c:v>8.3015732196072296</c:v>
                </c:pt>
                <c:pt idx="15">
                  <c:v>8.121605375451491</c:v>
                </c:pt>
                <c:pt idx="16">
                  <c:v>8.2828741918760365</c:v>
                </c:pt>
                <c:pt idx="17">
                  <c:v>8.6670199170643638</c:v>
                </c:pt>
                <c:pt idx="18">
                  <c:v>9.0619465420277994</c:v>
                </c:pt>
                <c:pt idx="19">
                  <c:v>10.713774916786434</c:v>
                </c:pt>
                <c:pt idx="20">
                  <c:v>15.005583237946571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CCA-4CEF-A07D-A2FC3CAF31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3126656"/>
        <c:axId val="163140736"/>
      </c:lineChart>
      <c:dateAx>
        <c:axId val="163126656"/>
        <c:scaling>
          <c:orientation val="minMax"/>
          <c:max val="2030"/>
          <c:min val="1995"/>
        </c:scaling>
        <c:delete val="0"/>
        <c:axPos val="b"/>
        <c:numFmt formatCode="#,##0" sourceLinked="0"/>
        <c:majorTickMark val="out"/>
        <c:minorTickMark val="none"/>
        <c:tickLblPos val="nextTo"/>
        <c:txPr>
          <a:bodyPr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63140736"/>
        <c:crosses val="autoZero"/>
        <c:auto val="0"/>
        <c:lblOffset val="100"/>
        <c:baseTimeUnit val="days"/>
        <c:majorUnit val="5"/>
        <c:majorTimeUnit val="days"/>
        <c:minorUnit val="5"/>
      </c:dateAx>
      <c:valAx>
        <c:axId val="163140736"/>
        <c:scaling>
          <c:orientation val="minMax"/>
          <c:max val="40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txPr>
          <a:bodyPr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63126656"/>
        <c:crossesAt val="1995"/>
        <c:crossBetween val="between"/>
        <c:majorUnit val="10"/>
      </c:valAx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1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1097981957554788E-2"/>
          <c:y val="3.1944851601228612E-2"/>
          <c:w val="0.91986629816968268"/>
          <c:h val="0.91575080600266479"/>
        </c:manualLayout>
      </c:layout>
      <c:scatterChart>
        <c:scatterStyle val="smoothMarker"/>
        <c:varyColors val="0"/>
        <c:ser>
          <c:idx val="0"/>
          <c:order val="0"/>
          <c:spPr>
            <a:ln w="88900">
              <a:solidFill>
                <a:srgbClr val="FF0000"/>
              </a:solidFill>
            </a:ln>
          </c:spPr>
          <c:marker>
            <c:symbol val="none"/>
          </c:marker>
          <c:trendline>
            <c:spPr>
              <a:ln>
                <a:prstDash val="lgDash"/>
              </a:ln>
            </c:spPr>
            <c:trendlineType val="linear"/>
            <c:forward val="5"/>
            <c:dispRSqr val="1"/>
            <c:dispEq val="1"/>
            <c:trendlineLbl>
              <c:layout>
                <c:manualLayout>
                  <c:x val="0.10457712296594172"/>
                  <c:y val="0.10797798351882999"/>
                </c:manualLayout>
              </c:layout>
              <c:numFmt formatCode="General" sourceLinked="0"/>
              <c:spPr>
                <a:ln>
                  <a:solidFill>
                    <a:schemeClr val="accent1">
                      <a:shade val="95000"/>
                      <a:satMod val="105000"/>
                    </a:schemeClr>
                  </a:solidFill>
                  <a:prstDash val="lgDash"/>
                </a:ln>
              </c:spPr>
              <c:txPr>
                <a:bodyPr/>
                <a:lstStyle/>
                <a:p>
                  <a:pPr algn="ctr" rtl="0">
                    <a:defRPr lang="en-US" sz="1400" b="0" i="0" u="none" strike="noStrike" kern="1200" baseline="0">
                      <a:solidFill>
                        <a:sysClr val="windowText" lastClr="000000"/>
                      </a:solidFill>
                      <a:latin typeface="Arial" panose="020B0604020202020204" pitchFamily="34" charset="0"/>
                      <a:ea typeface="+mn-ea"/>
                      <a:cs typeface="Arial" panose="020B0604020202020204" pitchFamily="34" charset="0"/>
                    </a:defRPr>
                  </a:pPr>
                  <a:endParaRPr lang="ru-RU"/>
                </a:p>
              </c:txPr>
            </c:trendlineLbl>
          </c:trendline>
          <c:xVal>
            <c:numRef>
              <c:f>ПФ2!$EK$68:$EK$89</c:f>
              <c:numCache>
                <c:formatCode>0.00</c:formatCode>
                <c:ptCount val="22"/>
                <c:pt idx="0">
                  <c:v>1</c:v>
                </c:pt>
                <c:pt idx="1">
                  <c:v>1.218</c:v>
                </c:pt>
                <c:pt idx="2">
                  <c:v>1.3519800000000002</c:v>
                </c:pt>
                <c:pt idx="3">
                  <c:v>2.4930511200000005</c:v>
                </c:pt>
                <c:pt idx="4">
                  <c:v>3.4030147788000007</c:v>
                </c:pt>
                <c:pt idx="5">
                  <c:v>4.0904237641176007</c:v>
                </c:pt>
                <c:pt idx="6">
                  <c:v>4.8512425842434741</c:v>
                </c:pt>
                <c:pt idx="7">
                  <c:v>5.5837802144642392</c:v>
                </c:pt>
                <c:pt idx="8">
                  <c:v>6.2538338401999489</c:v>
                </c:pt>
                <c:pt idx="9">
                  <c:v>6.9855323995033425</c:v>
                </c:pt>
                <c:pt idx="10">
                  <c:v>7.7469554310492068</c:v>
                </c:pt>
                <c:pt idx="11">
                  <c:v>8.4441814198436358</c:v>
                </c:pt>
                <c:pt idx="12">
                  <c:v>9.4465057543790749</c:v>
                </c:pt>
                <c:pt idx="13">
                  <c:v>10.701001718560617</c:v>
                </c:pt>
                <c:pt idx="14">
                  <c:v>11.642689869793951</c:v>
                </c:pt>
                <c:pt idx="15">
                  <c:v>12.664918040361862</c:v>
                </c:pt>
                <c:pt idx="16">
                  <c:v>13.437478040823935</c:v>
                </c:pt>
                <c:pt idx="17">
                  <c:v>14.321664095910151</c:v>
                </c:pt>
                <c:pt idx="18">
                  <c:v>15.245411430096356</c:v>
                </c:pt>
                <c:pt idx="19">
                  <c:v>17.318787384589459</c:v>
                </c:pt>
                <c:pt idx="20">
                  <c:v>19.552910957201501</c:v>
                </c:pt>
                <c:pt idx="21">
                  <c:v>20.608768148890384</c:v>
                </c:pt>
              </c:numCache>
            </c:numRef>
          </c:xVal>
          <c:yVal>
            <c:numRef>
              <c:f>ПФ2!$EE$68:$EE$89</c:f>
              <c:numCache>
                <c:formatCode>0.00</c:formatCode>
                <c:ptCount val="22"/>
                <c:pt idx="0">
                  <c:v>1</c:v>
                </c:pt>
                <c:pt idx="1">
                  <c:v>1.7194377618988257</c:v>
                </c:pt>
                <c:pt idx="2">
                  <c:v>1.9680277801214476</c:v>
                </c:pt>
                <c:pt idx="3">
                  <c:v>2.2270348811115843</c:v>
                </c:pt>
                <c:pt idx="4">
                  <c:v>3.493098424873764</c:v>
                </c:pt>
                <c:pt idx="5">
                  <c:v>5.1712627496070169</c:v>
                </c:pt>
                <c:pt idx="6">
                  <c:v>6.0707268468539191</c:v>
                </c:pt>
                <c:pt idx="7">
                  <c:v>6.9167509862711283</c:v>
                </c:pt>
                <c:pt idx="8">
                  <c:v>7.6273689193439225</c:v>
                </c:pt>
                <c:pt idx="9">
                  <c:v>8.7904133177964692</c:v>
                </c:pt>
                <c:pt idx="10">
                  <c:v>10.054085870175701</c:v>
                </c:pt>
                <c:pt idx="11">
                  <c:v>11.28478682823815</c:v>
                </c:pt>
                <c:pt idx="12">
                  <c:v>13.059083510568804</c:v>
                </c:pt>
                <c:pt idx="13">
                  <c:v>15.593657080025292</c:v>
                </c:pt>
                <c:pt idx="14">
                  <c:v>16.373566297801105</c:v>
                </c:pt>
                <c:pt idx="15">
                  <c:v>17.674409856030426</c:v>
                </c:pt>
                <c:pt idx="16">
                  <c:v>19.234566440524752</c:v>
                </c:pt>
                <c:pt idx="17">
                  <c:v>20.540168341333807</c:v>
                </c:pt>
                <c:pt idx="18">
                  <c:v>21.776225011581559</c:v>
                </c:pt>
                <c:pt idx="19">
                  <c:v>22.851453644141124</c:v>
                </c:pt>
                <c:pt idx="20">
                  <c:v>25.408791247612854</c:v>
                </c:pt>
                <c:pt idx="21">
                  <c:v>27.019844336572895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E28-418E-9B57-2AD19F97291C}"/>
            </c:ext>
          </c:extLst>
        </c:ser>
        <c:ser>
          <c:idx val="1"/>
          <c:order val="1"/>
          <c:spPr>
            <a:ln w="95250">
              <a:solidFill>
                <a:srgbClr val="FFC000"/>
              </a:solidFill>
            </a:ln>
          </c:spPr>
          <c:marker>
            <c:symbol val="none"/>
          </c:marker>
          <c:trendline>
            <c:spPr>
              <a:ln w="12700">
                <a:prstDash val="lgDash"/>
              </a:ln>
            </c:spPr>
            <c:trendlineType val="linear"/>
            <c:forward val="5"/>
            <c:dispRSqr val="1"/>
            <c:dispEq val="1"/>
            <c:trendlineLbl>
              <c:layout>
                <c:manualLayout>
                  <c:x val="0.12254644855632672"/>
                  <c:y val="0.11964465054155897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sz="1400">
                      <a:latin typeface="Arial" panose="020B0604020202020204" pitchFamily="34" charset="0"/>
                      <a:cs typeface="Arial" panose="020B0604020202020204" pitchFamily="34" charset="0"/>
                    </a:defRPr>
                  </a:pPr>
                  <a:endParaRPr lang="ru-RU"/>
                </a:p>
              </c:txPr>
            </c:trendlineLbl>
          </c:trendline>
          <c:xVal>
            <c:numRef>
              <c:f>ПФ2!$EK$68:$EK$89</c:f>
              <c:numCache>
                <c:formatCode>0.00</c:formatCode>
                <c:ptCount val="22"/>
                <c:pt idx="0">
                  <c:v>1</c:v>
                </c:pt>
                <c:pt idx="1">
                  <c:v>1.218</c:v>
                </c:pt>
                <c:pt idx="2">
                  <c:v>1.3519800000000002</c:v>
                </c:pt>
                <c:pt idx="3">
                  <c:v>2.4930511200000005</c:v>
                </c:pt>
                <c:pt idx="4">
                  <c:v>3.4030147788000007</c:v>
                </c:pt>
                <c:pt idx="5">
                  <c:v>4.0904237641176007</c:v>
                </c:pt>
                <c:pt idx="6">
                  <c:v>4.8512425842434741</c:v>
                </c:pt>
                <c:pt idx="7">
                  <c:v>5.5837802144642392</c:v>
                </c:pt>
                <c:pt idx="8">
                  <c:v>6.2538338401999489</c:v>
                </c:pt>
                <c:pt idx="9">
                  <c:v>6.9855323995033425</c:v>
                </c:pt>
                <c:pt idx="10">
                  <c:v>7.7469554310492068</c:v>
                </c:pt>
                <c:pt idx="11">
                  <c:v>8.4441814198436358</c:v>
                </c:pt>
                <c:pt idx="12">
                  <c:v>9.4465057543790749</c:v>
                </c:pt>
                <c:pt idx="13">
                  <c:v>10.701001718560617</c:v>
                </c:pt>
                <c:pt idx="14">
                  <c:v>11.642689869793951</c:v>
                </c:pt>
                <c:pt idx="15">
                  <c:v>12.664918040361862</c:v>
                </c:pt>
                <c:pt idx="16">
                  <c:v>13.437478040823935</c:v>
                </c:pt>
                <c:pt idx="17">
                  <c:v>14.321664095910151</c:v>
                </c:pt>
                <c:pt idx="18">
                  <c:v>15.245411430096356</c:v>
                </c:pt>
                <c:pt idx="19">
                  <c:v>17.318787384589459</c:v>
                </c:pt>
                <c:pt idx="20">
                  <c:v>19.552910957201501</c:v>
                </c:pt>
                <c:pt idx="21">
                  <c:v>20.608768148890384</c:v>
                </c:pt>
              </c:numCache>
            </c:numRef>
          </c:xVal>
          <c:yVal>
            <c:numRef>
              <c:f>ПФ2!$EG$68:$EG$89</c:f>
              <c:numCache>
                <c:formatCode>0.00</c:formatCode>
                <c:ptCount val="22"/>
                <c:pt idx="0">
                  <c:v>1</c:v>
                </c:pt>
                <c:pt idx="1">
                  <c:v>1.3930686182271845</c:v>
                </c:pt>
                <c:pt idx="2">
                  <c:v>1.8000080782573098</c:v>
                </c:pt>
                <c:pt idx="3">
                  <c:v>1.7787455021088285</c:v>
                </c:pt>
                <c:pt idx="4">
                  <c:v>2.4627881934761957</c:v>
                </c:pt>
                <c:pt idx="5">
                  <c:v>3.7854704885295649</c:v>
                </c:pt>
                <c:pt idx="6">
                  <c:v>5.0878645956391404</c:v>
                </c:pt>
                <c:pt idx="7">
                  <c:v>6.5528675715584006</c:v>
                </c:pt>
                <c:pt idx="8">
                  <c:v>7.7958923176158716</c:v>
                </c:pt>
                <c:pt idx="9">
                  <c:v>9.32454487174126</c:v>
                </c:pt>
                <c:pt idx="10">
                  <c:v>11.601834838997735</c:v>
                </c:pt>
                <c:pt idx="11">
                  <c:v>14.558879763670303</c:v>
                </c:pt>
                <c:pt idx="12">
                  <c:v>17.418642331419541</c:v>
                </c:pt>
                <c:pt idx="13">
                  <c:v>21.558658204106848</c:v>
                </c:pt>
                <c:pt idx="14">
                  <c:v>23.771830652990928</c:v>
                </c:pt>
                <c:pt idx="15">
                  <c:v>25.942740710668115</c:v>
                </c:pt>
                <c:pt idx="16">
                  <c:v>31.060937552257776</c:v>
                </c:pt>
                <c:pt idx="17">
                  <c:v>34.957056458668305</c:v>
                </c:pt>
                <c:pt idx="18">
                  <c:v>38.623860073036887</c:v>
                </c:pt>
                <c:pt idx="19">
                  <c:v>41.260921847659759</c:v>
                </c:pt>
                <c:pt idx="20">
                  <c:v>44.344749772395339</c:v>
                </c:pt>
                <c:pt idx="21">
                  <c:v>46.796704667591264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E28-418E-9B57-2AD19F97291C}"/>
            </c:ext>
          </c:extLst>
        </c:ser>
        <c:ser>
          <c:idx val="2"/>
          <c:order val="2"/>
          <c:spPr>
            <a:ln w="88900">
              <a:solidFill>
                <a:srgbClr val="00B0F0">
                  <a:alpha val="70000"/>
                </a:srgbClr>
              </a:solidFill>
            </a:ln>
          </c:spPr>
          <c:marker>
            <c:symbol val="none"/>
          </c:marker>
          <c:xVal>
            <c:numRef>
              <c:f>ПФ2!$EK$68:$EK$89</c:f>
              <c:numCache>
                <c:formatCode>0.00</c:formatCode>
                <c:ptCount val="22"/>
                <c:pt idx="0">
                  <c:v>1</c:v>
                </c:pt>
                <c:pt idx="1">
                  <c:v>1.218</c:v>
                </c:pt>
                <c:pt idx="2">
                  <c:v>1.3519800000000002</c:v>
                </c:pt>
                <c:pt idx="3">
                  <c:v>2.4930511200000005</c:v>
                </c:pt>
                <c:pt idx="4">
                  <c:v>3.4030147788000007</c:v>
                </c:pt>
                <c:pt idx="5">
                  <c:v>4.0904237641176007</c:v>
                </c:pt>
                <c:pt idx="6">
                  <c:v>4.8512425842434741</c:v>
                </c:pt>
                <c:pt idx="7">
                  <c:v>5.5837802144642392</c:v>
                </c:pt>
                <c:pt idx="8">
                  <c:v>6.2538338401999489</c:v>
                </c:pt>
                <c:pt idx="9">
                  <c:v>6.9855323995033425</c:v>
                </c:pt>
                <c:pt idx="10">
                  <c:v>7.7469554310492068</c:v>
                </c:pt>
                <c:pt idx="11">
                  <c:v>8.4441814198436358</c:v>
                </c:pt>
                <c:pt idx="12">
                  <c:v>9.4465057543790749</c:v>
                </c:pt>
                <c:pt idx="13">
                  <c:v>10.701001718560617</c:v>
                </c:pt>
                <c:pt idx="14">
                  <c:v>11.642689869793951</c:v>
                </c:pt>
                <c:pt idx="15">
                  <c:v>12.664918040361862</c:v>
                </c:pt>
                <c:pt idx="16">
                  <c:v>13.437478040823935</c:v>
                </c:pt>
                <c:pt idx="17">
                  <c:v>14.321664095910151</c:v>
                </c:pt>
                <c:pt idx="18">
                  <c:v>15.245411430096356</c:v>
                </c:pt>
                <c:pt idx="19">
                  <c:v>17.318787384589459</c:v>
                </c:pt>
                <c:pt idx="20">
                  <c:v>19.552910957201501</c:v>
                </c:pt>
                <c:pt idx="21">
                  <c:v>20.608768148890384</c:v>
                </c:pt>
              </c:numCache>
            </c:numRef>
          </c:xVal>
          <c:yVal>
            <c:numRef>
              <c:f>ПФ2!$EI$68:$EI$89</c:f>
              <c:numCache>
                <c:formatCode>0.00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E28-418E-9B57-2AD19F97291C}"/>
            </c:ext>
          </c:extLst>
        </c:ser>
        <c:ser>
          <c:idx val="3"/>
          <c:order val="3"/>
          <c:spPr>
            <a:ln w="28575">
              <a:solidFill>
                <a:srgbClr val="FF0000"/>
              </a:solidFill>
              <a:prstDash val="lgDash"/>
            </a:ln>
          </c:spPr>
          <c:marker>
            <c:symbol val="none"/>
          </c:marker>
          <c:xVal>
            <c:numRef>
              <c:f>ПФ2!$EL$68:$EL$103</c:f>
              <c:numCache>
                <c:formatCode>0.00</c:formatCode>
                <c:ptCount val="36"/>
                <c:pt idx="20">
                  <c:v>19.552910957201501</c:v>
                </c:pt>
                <c:pt idx="21">
                  <c:v>20.608768148890384</c:v>
                </c:pt>
                <c:pt idx="22">
                  <c:v>0</c:v>
                </c:pt>
                <c:pt idx="23">
                  <c:v>22.02392812898368</c:v>
                </c:pt>
                <c:pt idx="24">
                  <c:v>22.693455544104783</c:v>
                </c:pt>
                <c:pt idx="25">
                  <c:v>23.807704211320324</c:v>
                </c:pt>
                <c:pt idx="26">
                  <c:v>24.998089421886341</c:v>
                </c:pt>
                <c:pt idx="27">
                  <c:v>26.247993892980659</c:v>
                </c:pt>
                <c:pt idx="28">
                  <c:v>27.560393587629694</c:v>
                </c:pt>
                <c:pt idx="29">
                  <c:v>28.938413267011178</c:v>
                </c:pt>
                <c:pt idx="30">
                  <c:v>30.385333930361739</c:v>
                </c:pt>
                <c:pt idx="31">
                  <c:v>31.904600626879827</c:v>
                </c:pt>
                <c:pt idx="32">
                  <c:v>33.499830658223821</c:v>
                </c:pt>
                <c:pt idx="33">
                  <c:v>35.174822191135014</c:v>
                </c:pt>
                <c:pt idx="34">
                  <c:v>36.933563300691766</c:v>
                </c:pt>
                <c:pt idx="35">
                  <c:v>49.494507172004546</c:v>
                </c:pt>
              </c:numCache>
            </c:numRef>
          </c:xVal>
          <c:yVal>
            <c:numRef>
              <c:f>ПФ2!$EF$68:$EF$103</c:f>
              <c:numCache>
                <c:formatCode>0.00</c:formatCode>
                <c:ptCount val="36"/>
                <c:pt idx="21">
                  <c:v>27.019844336572895</c:v>
                </c:pt>
                <c:pt idx="22">
                  <c:v>-2.2446064348514483</c:v>
                </c:pt>
                <c:pt idx="23">
                  <c:v>29.029371508305378</c:v>
                </c:pt>
                <c:pt idx="24">
                  <c:v>29.980100437777342</c:v>
                </c:pt>
                <c:pt idx="25">
                  <c:v>31.56233354522341</c:v>
                </c:pt>
                <c:pt idx="26">
                  <c:v>33.252680544227154</c:v>
                </c:pt>
                <c:pt idx="27">
                  <c:v>35.027544893181087</c:v>
                </c:pt>
                <c:pt idx="28">
                  <c:v>36.891152459582713</c:v>
                </c:pt>
                <c:pt idx="29">
                  <c:v>38.847940404304424</c:v>
                </c:pt>
                <c:pt idx="30">
                  <c:v>40.902567746262221</c:v>
                </c:pt>
                <c:pt idx="31">
                  <c:v>43.059926455317907</c:v>
                </c:pt>
                <c:pt idx="32">
                  <c:v>45.32515309982638</c:v>
                </c:pt>
                <c:pt idx="33">
                  <c:v>47.703641076560274</c:v>
                </c:pt>
                <c:pt idx="34">
                  <c:v>50.201053452130864</c:v>
                </c:pt>
                <c:pt idx="35">
                  <c:v>68.037593749395015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DE1-4100-A565-2FD960A74638}"/>
            </c:ext>
          </c:extLst>
        </c:ser>
        <c:ser>
          <c:idx val="4"/>
          <c:order val="4"/>
          <c:spPr>
            <a:ln w="25400">
              <a:solidFill>
                <a:schemeClr val="tx1"/>
              </a:solidFill>
              <a:prstDash val="lgDash"/>
            </a:ln>
          </c:spPr>
          <c:marker>
            <c:symbol val="none"/>
          </c:marker>
          <c:xVal>
            <c:numRef>
              <c:f>ПФ2!$EL$68:$EL$103</c:f>
              <c:numCache>
                <c:formatCode>0.00</c:formatCode>
                <c:ptCount val="36"/>
                <c:pt idx="20">
                  <c:v>19.552910957201501</c:v>
                </c:pt>
                <c:pt idx="21">
                  <c:v>20.608768148890384</c:v>
                </c:pt>
                <c:pt idx="22">
                  <c:v>0</c:v>
                </c:pt>
                <c:pt idx="23">
                  <c:v>22.02392812898368</c:v>
                </c:pt>
                <c:pt idx="24">
                  <c:v>22.693455544104783</c:v>
                </c:pt>
                <c:pt idx="25">
                  <c:v>23.807704211320324</c:v>
                </c:pt>
                <c:pt idx="26">
                  <c:v>24.998089421886341</c:v>
                </c:pt>
                <c:pt idx="27">
                  <c:v>26.247993892980659</c:v>
                </c:pt>
                <c:pt idx="28">
                  <c:v>27.560393587629694</c:v>
                </c:pt>
                <c:pt idx="29">
                  <c:v>28.938413267011178</c:v>
                </c:pt>
                <c:pt idx="30">
                  <c:v>30.385333930361739</c:v>
                </c:pt>
                <c:pt idx="31">
                  <c:v>31.904600626879827</c:v>
                </c:pt>
                <c:pt idx="32">
                  <c:v>33.499830658223821</c:v>
                </c:pt>
                <c:pt idx="33">
                  <c:v>35.174822191135014</c:v>
                </c:pt>
                <c:pt idx="34">
                  <c:v>36.933563300691766</c:v>
                </c:pt>
                <c:pt idx="35">
                  <c:v>49.494507172004546</c:v>
                </c:pt>
              </c:numCache>
            </c:numRef>
          </c:xVal>
          <c:yVal>
            <c:numRef>
              <c:f>ПФ2!$EJ$68:$EJ$103</c:f>
              <c:numCache>
                <c:formatCode>0.00</c:formatCode>
                <c:ptCount val="36"/>
                <c:pt idx="20">
                  <c:v>0</c:v>
                </c:pt>
                <c:pt idx="21">
                  <c:v>0</c:v>
                </c:pt>
                <c:pt idx="22">
                  <c:v>-61.826304446671152</c:v>
                </c:pt>
                <c:pt idx="23">
                  <c:v>4.2454799402798855</c:v>
                </c:pt>
                <c:pt idx="24">
                  <c:v>6.2540621856431926</c:v>
                </c:pt>
                <c:pt idx="25">
                  <c:v>9.5968081872898168</c:v>
                </c:pt>
                <c:pt idx="26">
                  <c:v>13.167963818987868</c:v>
                </c:pt>
                <c:pt idx="27">
                  <c:v>16.917677232270822</c:v>
                </c:pt>
                <c:pt idx="28">
                  <c:v>20.854876316217926</c:v>
                </c:pt>
                <c:pt idx="29">
                  <c:v>24.988935354362379</c:v>
                </c:pt>
                <c:pt idx="30">
                  <c:v>29.329697344414061</c:v>
                </c:pt>
                <c:pt idx="31">
                  <c:v>33.887497433968321</c:v>
                </c:pt>
                <c:pt idx="32">
                  <c:v>38.673187528000305</c:v>
                </c:pt>
                <c:pt idx="33">
                  <c:v>43.698162126733884</c:v>
                </c:pt>
                <c:pt idx="34">
                  <c:v>48.974385455404139</c:v>
                </c:pt>
                <c:pt idx="35">
                  <c:v>86.657217069342479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7DE1-4100-A565-2FD960A746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259712"/>
        <c:axId val="164261248"/>
      </c:scatterChart>
      <c:valAx>
        <c:axId val="164259712"/>
        <c:scaling>
          <c:orientation val="minMax"/>
          <c:max val="30"/>
          <c:min val="0"/>
        </c:scaling>
        <c:delete val="0"/>
        <c:axPos val="b"/>
        <c:numFmt formatCode="#,##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4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64261248"/>
        <c:crosses val="autoZero"/>
        <c:crossBetween val="midCat"/>
        <c:majorUnit val="10"/>
      </c:valAx>
      <c:valAx>
        <c:axId val="164261248"/>
        <c:scaling>
          <c:orientation val="minMax"/>
          <c:max val="80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txPr>
          <a:bodyPr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64259712"/>
        <c:crosses val="autoZero"/>
        <c:crossBetween val="midCat"/>
        <c:majorUnit val="20"/>
      </c:valAx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1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1097981957554788E-2"/>
          <c:y val="3.1944851601228612E-2"/>
          <c:w val="0.91986629816968268"/>
          <c:h val="0.91575080600266479"/>
        </c:manualLayout>
      </c:layout>
      <c:scatterChart>
        <c:scatterStyle val="smoothMarker"/>
        <c:varyColors val="0"/>
        <c:ser>
          <c:idx val="0"/>
          <c:order val="0"/>
          <c:spPr>
            <a:ln w="88900">
              <a:solidFill>
                <a:srgbClr val="FF0000"/>
              </a:solidFill>
            </a:ln>
          </c:spPr>
          <c:marker>
            <c:symbol val="none"/>
          </c:marker>
          <c:trendline>
            <c:spPr>
              <a:ln>
                <a:prstDash val="lgDash"/>
              </a:ln>
            </c:spPr>
            <c:trendlineType val="linear"/>
            <c:forward val="5"/>
            <c:dispRSqr val="1"/>
            <c:dispEq val="1"/>
            <c:trendlineLbl>
              <c:layout>
                <c:manualLayout>
                  <c:x val="0.10457712296594172"/>
                  <c:y val="0.10797798351882999"/>
                </c:manualLayout>
              </c:layout>
              <c:numFmt formatCode="General" sourceLinked="0"/>
              <c:spPr>
                <a:ln>
                  <a:solidFill>
                    <a:schemeClr val="accent1">
                      <a:shade val="95000"/>
                      <a:satMod val="105000"/>
                    </a:schemeClr>
                  </a:solidFill>
                  <a:prstDash val="lgDash"/>
                </a:ln>
              </c:spPr>
              <c:txPr>
                <a:bodyPr/>
                <a:lstStyle/>
                <a:p>
                  <a:pPr algn="ctr" rtl="0">
                    <a:defRPr lang="en-US" sz="1400" b="0" i="0" u="none" strike="noStrike" kern="1200" baseline="0">
                      <a:solidFill>
                        <a:sysClr val="windowText" lastClr="000000"/>
                      </a:solidFill>
                      <a:latin typeface="Arial" panose="020B0604020202020204" pitchFamily="34" charset="0"/>
                      <a:ea typeface="+mn-ea"/>
                      <a:cs typeface="Arial" panose="020B0604020202020204" pitchFamily="34" charset="0"/>
                    </a:defRPr>
                  </a:pPr>
                  <a:endParaRPr lang="ru-RU"/>
                </a:p>
              </c:txPr>
            </c:trendlineLbl>
          </c:trendline>
          <c:xVal>
            <c:numRef>
              <c:f>ПФ2!$EK$68:$EK$89</c:f>
              <c:numCache>
                <c:formatCode>0.00</c:formatCode>
                <c:ptCount val="22"/>
                <c:pt idx="0">
                  <c:v>1</c:v>
                </c:pt>
                <c:pt idx="1">
                  <c:v>1.218</c:v>
                </c:pt>
                <c:pt idx="2">
                  <c:v>1.3519800000000002</c:v>
                </c:pt>
                <c:pt idx="3">
                  <c:v>2.4930511200000005</c:v>
                </c:pt>
                <c:pt idx="4">
                  <c:v>3.4030147788000007</c:v>
                </c:pt>
                <c:pt idx="5">
                  <c:v>4.0904237641176007</c:v>
                </c:pt>
                <c:pt idx="6">
                  <c:v>4.8512425842434741</c:v>
                </c:pt>
                <c:pt idx="7">
                  <c:v>5.5837802144642392</c:v>
                </c:pt>
                <c:pt idx="8">
                  <c:v>6.2538338401999489</c:v>
                </c:pt>
                <c:pt idx="9">
                  <c:v>6.9855323995033425</c:v>
                </c:pt>
                <c:pt idx="10">
                  <c:v>7.7469554310492068</c:v>
                </c:pt>
                <c:pt idx="11">
                  <c:v>8.4441814198436358</c:v>
                </c:pt>
                <c:pt idx="12">
                  <c:v>9.4465057543790749</c:v>
                </c:pt>
                <c:pt idx="13">
                  <c:v>10.701001718560617</c:v>
                </c:pt>
                <c:pt idx="14">
                  <c:v>11.642689869793951</c:v>
                </c:pt>
                <c:pt idx="15">
                  <c:v>12.664918040361862</c:v>
                </c:pt>
                <c:pt idx="16">
                  <c:v>13.437478040823935</c:v>
                </c:pt>
                <c:pt idx="17">
                  <c:v>14.321664095910151</c:v>
                </c:pt>
                <c:pt idx="18">
                  <c:v>15.245411430096356</c:v>
                </c:pt>
                <c:pt idx="19">
                  <c:v>17.318787384589459</c:v>
                </c:pt>
                <c:pt idx="20">
                  <c:v>19.552910957201501</c:v>
                </c:pt>
                <c:pt idx="21">
                  <c:v>20.608768148890384</c:v>
                </c:pt>
              </c:numCache>
            </c:numRef>
          </c:xVal>
          <c:yVal>
            <c:numRef>
              <c:f>ПФ2!$EE$68:$EE$89</c:f>
              <c:numCache>
                <c:formatCode>0.00</c:formatCode>
                <c:ptCount val="22"/>
                <c:pt idx="0">
                  <c:v>1</c:v>
                </c:pt>
                <c:pt idx="1">
                  <c:v>1.7194377618988257</c:v>
                </c:pt>
                <c:pt idx="2">
                  <c:v>1.9680277801214476</c:v>
                </c:pt>
                <c:pt idx="3">
                  <c:v>2.2270348811115843</c:v>
                </c:pt>
                <c:pt idx="4">
                  <c:v>3.493098424873764</c:v>
                </c:pt>
                <c:pt idx="5">
                  <c:v>5.1712627496070169</c:v>
                </c:pt>
                <c:pt idx="6">
                  <c:v>6.0707268468539191</c:v>
                </c:pt>
                <c:pt idx="7">
                  <c:v>6.9167509862711283</c:v>
                </c:pt>
                <c:pt idx="8">
                  <c:v>7.6273689193439225</c:v>
                </c:pt>
                <c:pt idx="9">
                  <c:v>8.7904133177964692</c:v>
                </c:pt>
                <c:pt idx="10">
                  <c:v>10.054085870175701</c:v>
                </c:pt>
                <c:pt idx="11">
                  <c:v>11.28478682823815</c:v>
                </c:pt>
                <c:pt idx="12">
                  <c:v>13.059083510568804</c:v>
                </c:pt>
                <c:pt idx="13">
                  <c:v>15.593657080025292</c:v>
                </c:pt>
                <c:pt idx="14">
                  <c:v>16.373566297801105</c:v>
                </c:pt>
                <c:pt idx="15">
                  <c:v>17.674409856030426</c:v>
                </c:pt>
                <c:pt idx="16">
                  <c:v>19.234566440524752</c:v>
                </c:pt>
                <c:pt idx="17">
                  <c:v>20.540168341333807</c:v>
                </c:pt>
                <c:pt idx="18">
                  <c:v>21.776225011581559</c:v>
                </c:pt>
                <c:pt idx="19">
                  <c:v>22.851453644141124</c:v>
                </c:pt>
                <c:pt idx="20">
                  <c:v>25.408791247612854</c:v>
                </c:pt>
                <c:pt idx="21">
                  <c:v>27.019844336572895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455-43BF-B628-4D4F5A7AD3F7}"/>
            </c:ext>
          </c:extLst>
        </c:ser>
        <c:ser>
          <c:idx val="1"/>
          <c:order val="1"/>
          <c:spPr>
            <a:ln w="95250">
              <a:solidFill>
                <a:srgbClr val="FFC000"/>
              </a:solidFill>
            </a:ln>
          </c:spPr>
          <c:marker>
            <c:symbol val="none"/>
          </c:marker>
          <c:trendline>
            <c:spPr>
              <a:ln w="12700">
                <a:prstDash val="lgDash"/>
              </a:ln>
            </c:spPr>
            <c:trendlineType val="linear"/>
            <c:forward val="5"/>
            <c:dispRSqr val="1"/>
            <c:dispEq val="1"/>
            <c:trendlineLbl>
              <c:layout>
                <c:manualLayout>
                  <c:x val="0.12254644855632672"/>
                  <c:y val="0.11964465054155897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sz="1400">
                      <a:latin typeface="Arial" panose="020B0604020202020204" pitchFamily="34" charset="0"/>
                      <a:cs typeface="Arial" panose="020B0604020202020204" pitchFamily="34" charset="0"/>
                    </a:defRPr>
                  </a:pPr>
                  <a:endParaRPr lang="ru-RU"/>
                </a:p>
              </c:txPr>
            </c:trendlineLbl>
          </c:trendline>
          <c:xVal>
            <c:numRef>
              <c:f>ПФ2!$EK$68:$EK$89</c:f>
              <c:numCache>
                <c:formatCode>0.00</c:formatCode>
                <c:ptCount val="22"/>
                <c:pt idx="0">
                  <c:v>1</c:v>
                </c:pt>
                <c:pt idx="1">
                  <c:v>1.218</c:v>
                </c:pt>
                <c:pt idx="2">
                  <c:v>1.3519800000000002</c:v>
                </c:pt>
                <c:pt idx="3">
                  <c:v>2.4930511200000005</c:v>
                </c:pt>
                <c:pt idx="4">
                  <c:v>3.4030147788000007</c:v>
                </c:pt>
                <c:pt idx="5">
                  <c:v>4.0904237641176007</c:v>
                </c:pt>
                <c:pt idx="6">
                  <c:v>4.8512425842434741</c:v>
                </c:pt>
                <c:pt idx="7">
                  <c:v>5.5837802144642392</c:v>
                </c:pt>
                <c:pt idx="8">
                  <c:v>6.2538338401999489</c:v>
                </c:pt>
                <c:pt idx="9">
                  <c:v>6.9855323995033425</c:v>
                </c:pt>
                <c:pt idx="10">
                  <c:v>7.7469554310492068</c:v>
                </c:pt>
                <c:pt idx="11">
                  <c:v>8.4441814198436358</c:v>
                </c:pt>
                <c:pt idx="12">
                  <c:v>9.4465057543790749</c:v>
                </c:pt>
                <c:pt idx="13">
                  <c:v>10.701001718560617</c:v>
                </c:pt>
                <c:pt idx="14">
                  <c:v>11.642689869793951</c:v>
                </c:pt>
                <c:pt idx="15">
                  <c:v>12.664918040361862</c:v>
                </c:pt>
                <c:pt idx="16">
                  <c:v>13.437478040823935</c:v>
                </c:pt>
                <c:pt idx="17">
                  <c:v>14.321664095910151</c:v>
                </c:pt>
                <c:pt idx="18">
                  <c:v>15.245411430096356</c:v>
                </c:pt>
                <c:pt idx="19">
                  <c:v>17.318787384589459</c:v>
                </c:pt>
                <c:pt idx="20">
                  <c:v>19.552910957201501</c:v>
                </c:pt>
                <c:pt idx="21">
                  <c:v>20.608768148890384</c:v>
                </c:pt>
              </c:numCache>
            </c:numRef>
          </c:xVal>
          <c:yVal>
            <c:numRef>
              <c:f>ПФ2!$EG$68:$EG$89</c:f>
              <c:numCache>
                <c:formatCode>0.00</c:formatCode>
                <c:ptCount val="22"/>
                <c:pt idx="0">
                  <c:v>1</c:v>
                </c:pt>
                <c:pt idx="1">
                  <c:v>1.3930686182271845</c:v>
                </c:pt>
                <c:pt idx="2">
                  <c:v>1.8000080782573098</c:v>
                </c:pt>
                <c:pt idx="3">
                  <c:v>1.7787455021088285</c:v>
                </c:pt>
                <c:pt idx="4">
                  <c:v>2.4627881934761957</c:v>
                </c:pt>
                <c:pt idx="5">
                  <c:v>3.7854704885295649</c:v>
                </c:pt>
                <c:pt idx="6">
                  <c:v>5.0878645956391404</c:v>
                </c:pt>
                <c:pt idx="7">
                  <c:v>6.5528675715584006</c:v>
                </c:pt>
                <c:pt idx="8">
                  <c:v>7.7958923176158716</c:v>
                </c:pt>
                <c:pt idx="9">
                  <c:v>9.32454487174126</c:v>
                </c:pt>
                <c:pt idx="10">
                  <c:v>11.601834838997735</c:v>
                </c:pt>
                <c:pt idx="11">
                  <c:v>14.558879763670303</c:v>
                </c:pt>
                <c:pt idx="12">
                  <c:v>17.418642331419541</c:v>
                </c:pt>
                <c:pt idx="13">
                  <c:v>21.558658204106848</c:v>
                </c:pt>
                <c:pt idx="14">
                  <c:v>23.771830652990928</c:v>
                </c:pt>
                <c:pt idx="15">
                  <c:v>25.942740710668115</c:v>
                </c:pt>
                <c:pt idx="16">
                  <c:v>31.060937552257776</c:v>
                </c:pt>
                <c:pt idx="17">
                  <c:v>34.957056458668305</c:v>
                </c:pt>
                <c:pt idx="18">
                  <c:v>38.623860073036887</c:v>
                </c:pt>
                <c:pt idx="19">
                  <c:v>41.260921847659759</c:v>
                </c:pt>
                <c:pt idx="20">
                  <c:v>44.344749772395339</c:v>
                </c:pt>
                <c:pt idx="21">
                  <c:v>46.796704667591264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455-43BF-B628-4D4F5A7AD3F7}"/>
            </c:ext>
          </c:extLst>
        </c:ser>
        <c:ser>
          <c:idx val="2"/>
          <c:order val="2"/>
          <c:spPr>
            <a:ln w="88900">
              <a:solidFill>
                <a:srgbClr val="00B0F0">
                  <a:alpha val="70000"/>
                </a:srgbClr>
              </a:solidFill>
            </a:ln>
          </c:spPr>
          <c:marker>
            <c:symbol val="none"/>
          </c:marker>
          <c:xVal>
            <c:numRef>
              <c:f>ПФ2!$EK$68:$EK$89</c:f>
              <c:numCache>
                <c:formatCode>0.00</c:formatCode>
                <c:ptCount val="22"/>
                <c:pt idx="0">
                  <c:v>1</c:v>
                </c:pt>
                <c:pt idx="1">
                  <c:v>1.218</c:v>
                </c:pt>
                <c:pt idx="2">
                  <c:v>1.3519800000000002</c:v>
                </c:pt>
                <c:pt idx="3">
                  <c:v>2.4930511200000005</c:v>
                </c:pt>
                <c:pt idx="4">
                  <c:v>3.4030147788000007</c:v>
                </c:pt>
                <c:pt idx="5">
                  <c:v>4.0904237641176007</c:v>
                </c:pt>
                <c:pt idx="6">
                  <c:v>4.8512425842434741</c:v>
                </c:pt>
                <c:pt idx="7">
                  <c:v>5.5837802144642392</c:v>
                </c:pt>
                <c:pt idx="8">
                  <c:v>6.2538338401999489</c:v>
                </c:pt>
                <c:pt idx="9">
                  <c:v>6.9855323995033425</c:v>
                </c:pt>
                <c:pt idx="10">
                  <c:v>7.7469554310492068</c:v>
                </c:pt>
                <c:pt idx="11">
                  <c:v>8.4441814198436358</c:v>
                </c:pt>
                <c:pt idx="12">
                  <c:v>9.4465057543790749</c:v>
                </c:pt>
                <c:pt idx="13">
                  <c:v>10.701001718560617</c:v>
                </c:pt>
                <c:pt idx="14">
                  <c:v>11.642689869793951</c:v>
                </c:pt>
                <c:pt idx="15">
                  <c:v>12.664918040361862</c:v>
                </c:pt>
                <c:pt idx="16">
                  <c:v>13.437478040823935</c:v>
                </c:pt>
                <c:pt idx="17">
                  <c:v>14.321664095910151</c:v>
                </c:pt>
                <c:pt idx="18">
                  <c:v>15.245411430096356</c:v>
                </c:pt>
                <c:pt idx="19">
                  <c:v>17.318787384589459</c:v>
                </c:pt>
                <c:pt idx="20">
                  <c:v>19.552910957201501</c:v>
                </c:pt>
                <c:pt idx="21">
                  <c:v>20.608768148890384</c:v>
                </c:pt>
              </c:numCache>
            </c:numRef>
          </c:xVal>
          <c:yVal>
            <c:numRef>
              <c:f>ПФ2!$EI$68:$EI$89</c:f>
              <c:numCache>
                <c:formatCode>0.00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B455-43BF-B628-4D4F5A7AD3F7}"/>
            </c:ext>
          </c:extLst>
        </c:ser>
        <c:ser>
          <c:idx val="3"/>
          <c:order val="3"/>
          <c:spPr>
            <a:ln w="28575">
              <a:solidFill>
                <a:srgbClr val="FF0000"/>
              </a:solidFill>
              <a:prstDash val="lgDash"/>
            </a:ln>
          </c:spPr>
          <c:marker>
            <c:symbol val="none"/>
          </c:marker>
          <c:xVal>
            <c:numRef>
              <c:f>ПФ2!$EL$68:$EL$103</c:f>
              <c:numCache>
                <c:formatCode>0.00</c:formatCode>
                <c:ptCount val="36"/>
                <c:pt idx="20">
                  <c:v>19.552910957201501</c:v>
                </c:pt>
                <c:pt idx="21">
                  <c:v>20.608768148890384</c:v>
                </c:pt>
                <c:pt idx="22">
                  <c:v>0</c:v>
                </c:pt>
                <c:pt idx="23">
                  <c:v>22.02392812898368</c:v>
                </c:pt>
                <c:pt idx="24">
                  <c:v>22.693455544104783</c:v>
                </c:pt>
                <c:pt idx="25">
                  <c:v>23.807704211320324</c:v>
                </c:pt>
                <c:pt idx="26">
                  <c:v>24.998089421886341</c:v>
                </c:pt>
                <c:pt idx="27">
                  <c:v>26.247993892980659</c:v>
                </c:pt>
                <c:pt idx="28">
                  <c:v>27.560393587629694</c:v>
                </c:pt>
                <c:pt idx="29">
                  <c:v>28.938413267011178</c:v>
                </c:pt>
                <c:pt idx="30">
                  <c:v>30.385333930361739</c:v>
                </c:pt>
                <c:pt idx="31">
                  <c:v>31.904600626879827</c:v>
                </c:pt>
                <c:pt idx="32">
                  <c:v>33.499830658223821</c:v>
                </c:pt>
                <c:pt idx="33">
                  <c:v>35.174822191135014</c:v>
                </c:pt>
                <c:pt idx="34">
                  <c:v>36.933563300691766</c:v>
                </c:pt>
                <c:pt idx="35">
                  <c:v>49.494507172004546</c:v>
                </c:pt>
              </c:numCache>
            </c:numRef>
          </c:xVal>
          <c:yVal>
            <c:numRef>
              <c:f>ПФ2!$EF$68:$EF$103</c:f>
              <c:numCache>
                <c:formatCode>0.00</c:formatCode>
                <c:ptCount val="36"/>
                <c:pt idx="21">
                  <c:v>27.019844336572895</c:v>
                </c:pt>
                <c:pt idx="22">
                  <c:v>-2.2446064348514483</c:v>
                </c:pt>
                <c:pt idx="23">
                  <c:v>29.029371508305378</c:v>
                </c:pt>
                <c:pt idx="24">
                  <c:v>29.980100437777342</c:v>
                </c:pt>
                <c:pt idx="25">
                  <c:v>31.56233354522341</c:v>
                </c:pt>
                <c:pt idx="26">
                  <c:v>33.252680544227154</c:v>
                </c:pt>
                <c:pt idx="27">
                  <c:v>35.027544893181087</c:v>
                </c:pt>
                <c:pt idx="28">
                  <c:v>36.891152459582713</c:v>
                </c:pt>
                <c:pt idx="29">
                  <c:v>38.847940404304424</c:v>
                </c:pt>
                <c:pt idx="30">
                  <c:v>40.902567746262221</c:v>
                </c:pt>
                <c:pt idx="31">
                  <c:v>43.059926455317907</c:v>
                </c:pt>
                <c:pt idx="32">
                  <c:v>45.32515309982638</c:v>
                </c:pt>
                <c:pt idx="33">
                  <c:v>47.703641076560274</c:v>
                </c:pt>
                <c:pt idx="34">
                  <c:v>50.201053452130864</c:v>
                </c:pt>
                <c:pt idx="35">
                  <c:v>68.037593749395015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B455-43BF-B628-4D4F5A7AD3F7}"/>
            </c:ext>
          </c:extLst>
        </c:ser>
        <c:ser>
          <c:idx val="4"/>
          <c:order val="4"/>
          <c:spPr>
            <a:ln w="25400">
              <a:solidFill>
                <a:schemeClr val="tx1"/>
              </a:solidFill>
              <a:prstDash val="lgDash"/>
            </a:ln>
          </c:spPr>
          <c:marker>
            <c:symbol val="none"/>
          </c:marker>
          <c:xVal>
            <c:numRef>
              <c:f>ПФ2!$EL$68:$EL$103</c:f>
              <c:numCache>
                <c:formatCode>0.00</c:formatCode>
                <c:ptCount val="36"/>
                <c:pt idx="20">
                  <c:v>19.552910957201501</c:v>
                </c:pt>
                <c:pt idx="21">
                  <c:v>20.608768148890384</c:v>
                </c:pt>
                <c:pt idx="22">
                  <c:v>0</c:v>
                </c:pt>
                <c:pt idx="23">
                  <c:v>22.02392812898368</c:v>
                </c:pt>
                <c:pt idx="24">
                  <c:v>22.693455544104783</c:v>
                </c:pt>
                <c:pt idx="25">
                  <c:v>23.807704211320324</c:v>
                </c:pt>
                <c:pt idx="26">
                  <c:v>24.998089421886341</c:v>
                </c:pt>
                <c:pt idx="27">
                  <c:v>26.247993892980659</c:v>
                </c:pt>
                <c:pt idx="28">
                  <c:v>27.560393587629694</c:v>
                </c:pt>
                <c:pt idx="29">
                  <c:v>28.938413267011178</c:v>
                </c:pt>
                <c:pt idx="30">
                  <c:v>30.385333930361739</c:v>
                </c:pt>
                <c:pt idx="31">
                  <c:v>31.904600626879827</c:v>
                </c:pt>
                <c:pt idx="32">
                  <c:v>33.499830658223821</c:v>
                </c:pt>
                <c:pt idx="33">
                  <c:v>35.174822191135014</c:v>
                </c:pt>
                <c:pt idx="34">
                  <c:v>36.933563300691766</c:v>
                </c:pt>
                <c:pt idx="35">
                  <c:v>49.494507172004546</c:v>
                </c:pt>
              </c:numCache>
            </c:numRef>
          </c:xVal>
          <c:yVal>
            <c:numRef>
              <c:f>ПФ2!$EJ$68:$EJ$103</c:f>
              <c:numCache>
                <c:formatCode>0.00</c:formatCode>
                <c:ptCount val="36"/>
                <c:pt idx="20">
                  <c:v>0</c:v>
                </c:pt>
                <c:pt idx="21">
                  <c:v>0</c:v>
                </c:pt>
                <c:pt idx="22">
                  <c:v>-61.826304446671152</c:v>
                </c:pt>
                <c:pt idx="23">
                  <c:v>4.2454799402798855</c:v>
                </c:pt>
                <c:pt idx="24">
                  <c:v>6.2540621856431926</c:v>
                </c:pt>
                <c:pt idx="25">
                  <c:v>9.5968081872898168</c:v>
                </c:pt>
                <c:pt idx="26">
                  <c:v>13.167963818987868</c:v>
                </c:pt>
                <c:pt idx="27">
                  <c:v>16.917677232270822</c:v>
                </c:pt>
                <c:pt idx="28">
                  <c:v>20.854876316217926</c:v>
                </c:pt>
                <c:pt idx="29">
                  <c:v>24.988935354362379</c:v>
                </c:pt>
                <c:pt idx="30">
                  <c:v>29.329697344414061</c:v>
                </c:pt>
                <c:pt idx="31">
                  <c:v>33.887497433968321</c:v>
                </c:pt>
                <c:pt idx="32">
                  <c:v>38.673187528000305</c:v>
                </c:pt>
                <c:pt idx="33">
                  <c:v>43.698162126733884</c:v>
                </c:pt>
                <c:pt idx="34">
                  <c:v>48.974385455404139</c:v>
                </c:pt>
                <c:pt idx="35">
                  <c:v>86.657217069342479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B455-43BF-B628-4D4F5A7AD3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339072"/>
        <c:axId val="164353152"/>
      </c:scatterChart>
      <c:valAx>
        <c:axId val="164339072"/>
        <c:scaling>
          <c:orientation val="minMax"/>
          <c:max val="30"/>
          <c:min val="0"/>
        </c:scaling>
        <c:delete val="0"/>
        <c:axPos val="b"/>
        <c:numFmt formatCode="#,##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4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64353152"/>
        <c:crosses val="autoZero"/>
        <c:crossBetween val="midCat"/>
        <c:majorUnit val="10"/>
      </c:valAx>
      <c:valAx>
        <c:axId val="164353152"/>
        <c:scaling>
          <c:orientation val="minMax"/>
          <c:max val="80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txPr>
          <a:bodyPr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64339072"/>
        <c:crosses val="autoZero"/>
        <c:crossBetween val="midCat"/>
        <c:majorUnit val="20"/>
      </c:valAx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1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6.5845860176568807E-2"/>
          <c:y val="1.8717809147923883E-2"/>
          <c:w val="0.91105343057416865"/>
          <c:h val="0.93655994080189997"/>
        </c:manualLayout>
      </c:layout>
      <c:lineChart>
        <c:grouping val="standard"/>
        <c:varyColors val="0"/>
        <c:ser>
          <c:idx val="0"/>
          <c:order val="0"/>
          <c:spPr>
            <a:ln w="114300">
              <a:solidFill>
                <a:srgbClr val="00B0F0">
                  <a:alpha val="54000"/>
                </a:srgbClr>
              </a:solidFill>
            </a:ln>
          </c:spPr>
          <c:marker>
            <c:symbol val="none"/>
          </c:marker>
          <c:cat>
            <c:numRef>
              <c:f>ПФ2!$BA$26:$BA$61</c:f>
              <c:numCache>
                <c:formatCode>General</c:formatCode>
                <c:ptCount val="36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</c:numCache>
            </c:numRef>
          </c:cat>
          <c:val>
            <c:numRef>
              <c:f>ПФ2!$BE$66:$BE$101</c:f>
              <c:numCache>
                <c:formatCode>0.00</c:formatCode>
                <c:ptCount val="36"/>
                <c:pt idx="0">
                  <c:v>43.206939348996954</c:v>
                </c:pt>
                <c:pt idx="1">
                  <c:v>42.749286899313503</c:v>
                </c:pt>
                <c:pt idx="2">
                  <c:v>45.447241894736841</c:v>
                </c:pt>
                <c:pt idx="3">
                  <c:v>44.298503885723704</c:v>
                </c:pt>
                <c:pt idx="4">
                  <c:v>43.416737397690277</c:v>
                </c:pt>
                <c:pt idx="5">
                  <c:v>46.046768151253758</c:v>
                </c:pt>
                <c:pt idx="6">
                  <c:v>48.263748607689806</c:v>
                </c:pt>
                <c:pt idx="7">
                  <c:v>49.226295399031507</c:v>
                </c:pt>
                <c:pt idx="8">
                  <c:v>53.222993601114709</c:v>
                </c:pt>
                <c:pt idx="9">
                  <c:v>56.644052738523989</c:v>
                </c:pt>
                <c:pt idx="10">
                  <c:v>58.979127328817569</c:v>
                </c:pt>
                <c:pt idx="11">
                  <c:v>63.457556425113935</c:v>
                </c:pt>
                <c:pt idx="12">
                  <c:v>67.479917249698346</c:v>
                </c:pt>
                <c:pt idx="13">
                  <c:v>70.621402348481183</c:v>
                </c:pt>
                <c:pt idx="14">
                  <c:v>66.896281588517056</c:v>
                </c:pt>
                <c:pt idx="15">
                  <c:v>69.715085293922698</c:v>
                </c:pt>
                <c:pt idx="16">
                  <c:v>71.765752104766392</c:v>
                </c:pt>
                <c:pt idx="17">
                  <c:v>73.846746364363511</c:v>
                </c:pt>
                <c:pt idx="18">
                  <c:v>75.560123440531513</c:v>
                </c:pt>
                <c:pt idx="19">
                  <c:v>76.007477976215441</c:v>
                </c:pt>
                <c:pt idx="20">
                  <c:v>74.205557755695821</c:v>
                </c:pt>
                <c:pt idx="21">
                  <c:v>75.024056551326893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F5B6-4F61-B7F5-A0825C0523B3}"/>
            </c:ext>
          </c:extLst>
        </c:ser>
        <c:ser>
          <c:idx val="1"/>
          <c:order val="1"/>
          <c:spPr>
            <a:ln w="25400">
              <a:solidFill>
                <a:schemeClr val="tx1">
                  <a:alpha val="98000"/>
                </a:schemeClr>
              </a:solidFill>
              <a:prstDash val="lgDash"/>
            </a:ln>
          </c:spPr>
          <c:marker>
            <c:symbol val="none"/>
          </c:marker>
          <c:cat>
            <c:numRef>
              <c:f>ПФ2!$BA$26:$BA$61</c:f>
              <c:numCache>
                <c:formatCode>General</c:formatCode>
                <c:ptCount val="36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</c:numCache>
            </c:numRef>
          </c:cat>
          <c:val>
            <c:numRef>
              <c:f>ПФ2!#REF!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5B6-4F61-B7F5-A0825C0523B3}"/>
            </c:ext>
          </c:extLst>
        </c:ser>
        <c:ser>
          <c:idx val="2"/>
          <c:order val="2"/>
          <c:spPr>
            <a:ln w="38100">
              <a:solidFill>
                <a:srgbClr val="FF0000"/>
              </a:solidFill>
              <a:prstDash val="solid"/>
            </a:ln>
          </c:spPr>
          <c:marker>
            <c:symbol val="none"/>
          </c:marker>
          <c:cat>
            <c:numRef>
              <c:f>ПФ2!$BA$26:$BA$61</c:f>
              <c:numCache>
                <c:formatCode>General</c:formatCode>
                <c:ptCount val="36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</c:numCache>
            </c:numRef>
          </c:cat>
          <c:val>
            <c:numRef>
              <c:f>ПФ2!$BF$66:$BF$101</c:f>
              <c:numCache>
                <c:formatCode>General</c:formatCode>
                <c:ptCount val="36"/>
                <c:pt idx="21" formatCode="0.00">
                  <c:v>75.024056551326893</c:v>
                </c:pt>
                <c:pt idx="22" formatCode="0.00">
                  <c:v>77.167211043056923</c:v>
                </c:pt>
                <c:pt idx="23" formatCode="0.00">
                  <c:v>78.864635853510762</c:v>
                </c:pt>
                <c:pt idx="24" formatCode="0.00">
                  <c:v>79.940971174109237</c:v>
                </c:pt>
                <c:pt idx="25" formatCode="0.00">
                  <c:v>80.019369981581406</c:v>
                </c:pt>
                <c:pt idx="26" formatCode="0.00">
                  <c:v>80.091381773154495</c:v>
                </c:pt>
                <c:pt idx="27" formatCode="0.00">
                  <c:v>81.915820010252475</c:v>
                </c:pt>
                <c:pt idx="28" formatCode="0.00">
                  <c:v>82.896899731222646</c:v>
                </c:pt>
                <c:pt idx="29" formatCode="0.00">
                  <c:v>83.898550764360792</c:v>
                </c:pt>
                <c:pt idx="30" formatCode="0.00">
                  <c:v>84.919779616660918</c:v>
                </c:pt>
                <c:pt idx="31" formatCode="0.00">
                  <c:v>85.959594939183901</c:v>
                </c:pt>
                <c:pt idx="32" formatCode="0.00">
                  <c:v>87.017006170284546</c:v>
                </c:pt>
                <c:pt idx="33" formatCode="0.00">
                  <c:v>88.091022509927015</c:v>
                </c:pt>
                <c:pt idx="34" formatCode="0.00">
                  <c:v>89.18065218920745</c:v>
                </c:pt>
                <c:pt idx="35" formatCode="0.00">
                  <c:v>90.284902002720656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5B6-4F61-B7F5-A0825C0523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4393344"/>
        <c:axId val="164394880"/>
      </c:lineChart>
      <c:catAx>
        <c:axId val="164393344"/>
        <c:scaling>
          <c:orientation val="minMax"/>
        </c:scaling>
        <c:delete val="0"/>
        <c:axPos val="b"/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600" b="0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164394880"/>
        <c:crosses val="autoZero"/>
        <c:auto val="1"/>
        <c:lblAlgn val="ctr"/>
        <c:lblOffset val="100"/>
        <c:tickLblSkip val="3"/>
        <c:tickMarkSkip val="1"/>
        <c:noMultiLvlLbl val="0"/>
      </c:catAx>
      <c:valAx>
        <c:axId val="164394880"/>
        <c:scaling>
          <c:orientation val="minMax"/>
          <c:max val="100"/>
          <c:min val="2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600" b="0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164393344"/>
        <c:crosses val="autoZero"/>
        <c:crossBetween val="between"/>
        <c:majorUnit val="20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chemeClr val="bg2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 Cyr"/>
          <a:ea typeface="Arial Cyr"/>
          <a:cs typeface="Arial Cyr"/>
        </a:defRPr>
      </a:pPr>
      <a:endParaRPr lang="ru-RU"/>
    </a:p>
  </c:txPr>
  <c:printSettings>
    <c:headerFooter alignWithMargins="0"/>
    <c:pageMargins b="1" l="0.75000000000001465" r="0.75000000000001465" t="1" header="0.5" footer="0.5"/>
    <c:pageSetup paperSize="9" orientation="landscape" verticalDpi="0"/>
  </c:printSettings>
  <c:userShapes r:id="rId2"/>
</c:chartSpace>
</file>

<file path=xl/charts/chart1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6.5845860176568807E-2"/>
          <c:y val="1.8717809147923883E-2"/>
          <c:w val="0.91105343057416865"/>
          <c:h val="0.93655994080189997"/>
        </c:manualLayout>
      </c:layout>
      <c:lineChart>
        <c:grouping val="standard"/>
        <c:varyColors val="0"/>
        <c:ser>
          <c:idx val="0"/>
          <c:order val="0"/>
          <c:spPr>
            <a:ln w="114300">
              <a:solidFill>
                <a:srgbClr val="00B0F0">
                  <a:alpha val="54000"/>
                </a:srgbClr>
              </a:solidFill>
            </a:ln>
          </c:spPr>
          <c:marker>
            <c:symbol val="none"/>
          </c:marker>
          <c:cat>
            <c:numRef>
              <c:f>ПФ2!$BA$26:$BA$61</c:f>
              <c:numCache>
                <c:formatCode>General</c:formatCode>
                <c:ptCount val="36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</c:numCache>
            </c:numRef>
          </c:cat>
          <c:val>
            <c:numRef>
              <c:f>ПФ2!$BW$66:$BW$101</c:f>
              <c:numCache>
                <c:formatCode>0.00</c:formatCode>
                <c:ptCount val="36"/>
                <c:pt idx="0">
                  <c:v>0.52160205427817563</c:v>
                </c:pt>
                <c:pt idx="1">
                  <c:v>0.5075047014598465</c:v>
                </c:pt>
                <c:pt idx="2">
                  <c:v>0.51667647317297627</c:v>
                </c:pt>
                <c:pt idx="3">
                  <c:v>0.49180137717267253</c:v>
                </c:pt>
                <c:pt idx="4">
                  <c:v>0.51928728248372014</c:v>
                </c:pt>
                <c:pt idx="5">
                  <c:v>0.56527391744994016</c:v>
                </c:pt>
                <c:pt idx="6">
                  <c:v>0.58768319068878805</c:v>
                </c:pt>
                <c:pt idx="7">
                  <c:v>0.60746658522682651</c:v>
                </c:pt>
                <c:pt idx="8">
                  <c:v>0.64524584965850484</c:v>
                </c:pt>
                <c:pt idx="9">
                  <c:v>0.6858912575110091</c:v>
                </c:pt>
                <c:pt idx="10">
                  <c:v>0.71146914542604167</c:v>
                </c:pt>
                <c:pt idx="11">
                  <c:v>0.75663076110249938</c:v>
                </c:pt>
                <c:pt idx="12">
                  <c:v>0.79846194770079482</c:v>
                </c:pt>
                <c:pt idx="13">
                  <c:v>0.80925197402107585</c:v>
                </c:pt>
                <c:pt idx="14">
                  <c:v>0.72613113172821342</c:v>
                </c:pt>
                <c:pt idx="15">
                  <c:v>0.74023076535400389</c:v>
                </c:pt>
                <c:pt idx="16">
                  <c:v>0.7423660464079096</c:v>
                </c:pt>
                <c:pt idx="17">
                  <c:v>0.73951900500270207</c:v>
                </c:pt>
                <c:pt idx="18">
                  <c:v>0.72531114707757816</c:v>
                </c:pt>
                <c:pt idx="19">
                  <c:v>0.70502761451706741</c:v>
                </c:pt>
                <c:pt idx="20">
                  <c:v>0.67428513132591605</c:v>
                </c:pt>
                <c:pt idx="21">
                  <c:v>0.65676280356287497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CF9D-4673-ABC7-2648E09B0BBB}"/>
            </c:ext>
          </c:extLst>
        </c:ser>
        <c:ser>
          <c:idx val="2"/>
          <c:order val="1"/>
          <c:spPr>
            <a:ln w="38100">
              <a:solidFill>
                <a:srgbClr val="FF0000"/>
              </a:solidFill>
              <a:prstDash val="solid"/>
            </a:ln>
          </c:spPr>
          <c:marker>
            <c:symbol val="none"/>
          </c:marker>
          <c:cat>
            <c:numRef>
              <c:f>ПФ2!$BA$26:$BA$61</c:f>
              <c:numCache>
                <c:formatCode>General</c:formatCode>
                <c:ptCount val="36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</c:numCache>
            </c:numRef>
          </c:cat>
          <c:val>
            <c:numRef>
              <c:f>ПФ2!$BX$66:$BX$101</c:f>
              <c:numCache>
                <c:formatCode>General</c:formatCode>
                <c:ptCount val="36"/>
                <c:pt idx="21" formatCode="0.00">
                  <c:v>0.65676280356287497</c:v>
                </c:pt>
                <c:pt idx="22" formatCode="0.00">
                  <c:v>0.64853745053174072</c:v>
                </c:pt>
                <c:pt idx="23" formatCode="0.00">
                  <c:v>0.63795670517757586</c:v>
                </c:pt>
                <c:pt idx="24" formatCode="0.00">
                  <c:v>0.63838148479384893</c:v>
                </c:pt>
                <c:pt idx="25" formatCode="0.00">
                  <c:v>0.62971368080122925</c:v>
                </c:pt>
                <c:pt idx="26" formatCode="0.00">
                  <c:v>0.63240246057627225</c:v>
                </c:pt>
                <c:pt idx="27" formatCode="0.00">
                  <c:v>0.62819642642448525</c:v>
                </c:pt>
                <c:pt idx="28" formatCode="0.00">
                  <c:v>0.62268113244718992</c:v>
                </c:pt>
                <c:pt idx="29" formatCode="0.00">
                  <c:v>0.61649473119105769</c:v>
                </c:pt>
                <c:pt idx="30" formatCode="0.00">
                  <c:v>0.61007507178679821</c:v>
                </c:pt>
                <c:pt idx="31" formatCode="0.00">
                  <c:v>0.60365638778089803</c:v>
                </c:pt>
                <c:pt idx="32" formatCode="0.00">
                  <c:v>0.59738326290951704</c:v>
                </c:pt>
                <c:pt idx="33" formatCode="0.00">
                  <c:v>0.59134571010380399</c:v>
                </c:pt>
                <c:pt idx="34" formatCode="0.00">
                  <c:v>0.58560024240232167</c:v>
                </c:pt>
                <c:pt idx="35" formatCode="0.00">
                  <c:v>0.58018259124118976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F9D-4673-ABC7-2648E09B0B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4563200"/>
        <c:axId val="164577280"/>
      </c:lineChart>
      <c:catAx>
        <c:axId val="164563200"/>
        <c:scaling>
          <c:orientation val="minMax"/>
        </c:scaling>
        <c:delete val="0"/>
        <c:axPos val="b"/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600" b="0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164577280"/>
        <c:crosses val="autoZero"/>
        <c:auto val="1"/>
        <c:lblAlgn val="ctr"/>
        <c:lblOffset val="100"/>
        <c:tickLblSkip val="3"/>
        <c:tickMarkSkip val="1"/>
        <c:noMultiLvlLbl val="0"/>
      </c:catAx>
      <c:valAx>
        <c:axId val="164577280"/>
        <c:scaling>
          <c:orientation val="minMax"/>
          <c:max val="0.9"/>
          <c:min val="0.4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600" b="0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164563200"/>
        <c:crosses val="autoZero"/>
        <c:crossBetween val="between"/>
        <c:majorUnit val="0.1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chemeClr val="bg2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 Cyr"/>
          <a:ea typeface="Arial Cyr"/>
          <a:cs typeface="Arial Cyr"/>
        </a:defRPr>
      </a:pPr>
      <a:endParaRPr lang="ru-RU"/>
    </a:p>
  </c:txPr>
  <c:printSettings>
    <c:headerFooter alignWithMargins="0"/>
    <c:pageMargins b="1" l="0.75000000000001465" r="0.75000000000001465" t="1" header="0.5" footer="0.5"/>
    <c:pageSetup paperSize="9" orientation="landscape" verticalDpi="0"/>
  </c:printSettings>
  <c:userShapes r:id="rId2"/>
</c:chartSpace>
</file>

<file path=xl/charts/chart1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8449020166274755E-2"/>
          <c:y val="1.6507210504435189E-2"/>
          <c:w val="0.91191923112961304"/>
          <c:h val="0.91575080600266479"/>
        </c:manualLayout>
      </c:layout>
      <c:scatterChart>
        <c:scatterStyle val="smoothMarker"/>
        <c:varyColors val="0"/>
        <c:ser>
          <c:idx val="0"/>
          <c:order val="0"/>
          <c:spPr>
            <a:ln w="95250">
              <a:solidFill>
                <a:srgbClr val="FFC000"/>
              </a:solidFill>
            </a:ln>
          </c:spPr>
          <c:marker>
            <c:symbol val="circle"/>
            <c:size val="16"/>
            <c:spPr>
              <a:noFill/>
            </c:spPr>
          </c:marker>
          <c:trendline>
            <c:spPr>
              <a:ln w="22225">
                <a:prstDash val="lgDash"/>
              </a:ln>
            </c:spPr>
            <c:trendlineType val="linear"/>
            <c:forward val="5"/>
            <c:dispRSqr val="1"/>
            <c:dispEq val="1"/>
            <c:trendlineLbl>
              <c:layout>
                <c:manualLayout>
                  <c:x val="-6.3299428415666922E-2"/>
                  <c:y val="0.23442442557972348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sz="1600">
                      <a:latin typeface="Arial" panose="020B0604020202020204" pitchFamily="34" charset="0"/>
                      <a:cs typeface="Arial" panose="020B0604020202020204" pitchFamily="34" charset="0"/>
                    </a:defRPr>
                  </a:pPr>
                  <a:endParaRPr lang="ru-RU"/>
                </a:p>
              </c:txPr>
            </c:trendlineLbl>
          </c:trendline>
          <c:xVal>
            <c:numRef>
              <c:f>ПФ2!$FB$27:$FB$62</c:f>
              <c:numCache>
                <c:formatCode>0.00</c:formatCode>
                <c:ptCount val="36"/>
                <c:pt idx="0">
                  <c:v>1</c:v>
                </c:pt>
                <c:pt idx="1">
                  <c:v>1.218</c:v>
                </c:pt>
                <c:pt idx="2">
                  <c:v>1.3519800000000002</c:v>
                </c:pt>
                <c:pt idx="3">
                  <c:v>2.4930511200000005</c:v>
                </c:pt>
                <c:pt idx="4">
                  <c:v>3.4030147788000007</c:v>
                </c:pt>
                <c:pt idx="5">
                  <c:v>4.0904237641176007</c:v>
                </c:pt>
                <c:pt idx="6">
                  <c:v>4.8512425842434741</c:v>
                </c:pt>
                <c:pt idx="7">
                  <c:v>5.5837802144642392</c:v>
                </c:pt>
                <c:pt idx="8">
                  <c:v>6.2538338401999489</c:v>
                </c:pt>
                <c:pt idx="9">
                  <c:v>6.9855323995033425</c:v>
                </c:pt>
                <c:pt idx="10">
                  <c:v>7.7469554310492068</c:v>
                </c:pt>
                <c:pt idx="11">
                  <c:v>8.4441814198436358</c:v>
                </c:pt>
                <c:pt idx="12">
                  <c:v>9.4465057543790749</c:v>
                </c:pt>
                <c:pt idx="13">
                  <c:v>10.701001718560617</c:v>
                </c:pt>
                <c:pt idx="14">
                  <c:v>11.642689869793951</c:v>
                </c:pt>
                <c:pt idx="15">
                  <c:v>12.664918040361862</c:v>
                </c:pt>
                <c:pt idx="16">
                  <c:v>13.437478040823935</c:v>
                </c:pt>
                <c:pt idx="17">
                  <c:v>14.324351591518315</c:v>
                </c:pt>
                <c:pt idx="18">
                  <c:v>15.255434444967005</c:v>
                </c:pt>
                <c:pt idx="19">
                  <c:v>16.994553971693247</c:v>
                </c:pt>
                <c:pt idx="20" formatCode="General">
                  <c:v>19.186851434041674</c:v>
                </c:pt>
                <c:pt idx="21" formatCode="General">
                  <c:v>20.222941411479926</c:v>
                </c:pt>
              </c:numCache>
            </c:numRef>
          </c:xVal>
          <c:yVal>
            <c:numRef>
              <c:f>ПФ2!$FC$27:$FC$62</c:f>
              <c:numCache>
                <c:formatCode>0.00</c:formatCode>
                <c:ptCount val="36"/>
                <c:pt idx="0">
                  <c:v>1</c:v>
                </c:pt>
                <c:pt idx="1">
                  <c:v>1.6953967315458069</c:v>
                </c:pt>
                <c:pt idx="2">
                  <c:v>2.415292468742241</c:v>
                </c:pt>
                <c:pt idx="3">
                  <c:v>2.6727462335842294</c:v>
                </c:pt>
                <c:pt idx="4">
                  <c:v>3.4893420575027583</c:v>
                </c:pt>
                <c:pt idx="5">
                  <c:v>3.9448052793534916</c:v>
                </c:pt>
                <c:pt idx="6">
                  <c:v>4.3960246162225971</c:v>
                </c:pt>
                <c:pt idx="7">
                  <c:v>5.8843823618297426</c:v>
                </c:pt>
                <c:pt idx="8">
                  <c:v>5.9009164044902702</c:v>
                </c:pt>
                <c:pt idx="9">
                  <c:v>5.7361386042739939</c:v>
                </c:pt>
                <c:pt idx="10">
                  <c:v>7.7188495068870884</c:v>
                </c:pt>
                <c:pt idx="11">
                  <c:v>7.333907061981483</c:v>
                </c:pt>
                <c:pt idx="12">
                  <c:v>7.9418012798076241</c:v>
                </c:pt>
                <c:pt idx="13">
                  <c:v>9.313557709187231</c:v>
                </c:pt>
                <c:pt idx="14">
                  <c:v>10.66694831320229</c:v>
                </c:pt>
                <c:pt idx="15">
                  <c:v>11.27644871677545</c:v>
                </c:pt>
                <c:pt idx="16">
                  <c:v>12.282914423380722</c:v>
                </c:pt>
                <c:pt idx="17">
                  <c:v>13.249096044334456</c:v>
                </c:pt>
                <c:pt idx="18">
                  <c:v>14.15863931501705</c:v>
                </c:pt>
                <c:pt idx="19">
                  <c:v>14.240158664898729</c:v>
                </c:pt>
                <c:pt idx="20">
                  <c:v>14.837823597492827</c:v>
                </c:pt>
                <c:pt idx="21">
                  <c:v>15.58730165186604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49A-43E2-A332-105B00BDDCD9}"/>
            </c:ext>
          </c:extLst>
        </c:ser>
        <c:ser>
          <c:idx val="1"/>
          <c:order val="1"/>
          <c:spPr>
            <a:ln w="92075">
              <a:solidFill>
                <a:srgbClr val="00B0F0"/>
              </a:solidFill>
            </a:ln>
          </c:spPr>
          <c:marker>
            <c:symbol val="circle"/>
            <c:size val="15"/>
            <c:spPr>
              <a:noFill/>
              <a:ln>
                <a:solidFill>
                  <a:schemeClr val="tx1"/>
                </a:solidFill>
              </a:ln>
            </c:spPr>
          </c:marker>
          <c:trendline>
            <c:spPr>
              <a:ln w="15875">
                <a:prstDash val="lgDash"/>
              </a:ln>
            </c:spPr>
            <c:trendlineType val="linear"/>
            <c:forward val="5"/>
            <c:dispRSqr val="1"/>
            <c:dispEq val="1"/>
            <c:trendlineLbl>
              <c:layout>
                <c:manualLayout>
                  <c:x val="-0.41262149154508632"/>
                  <c:y val="0.30910673968629182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sz="1600">
                      <a:latin typeface="Arial" panose="020B0604020202020204" pitchFamily="34" charset="0"/>
                      <a:cs typeface="Arial" panose="020B0604020202020204" pitchFamily="34" charset="0"/>
                    </a:defRPr>
                  </a:pPr>
                  <a:endParaRPr lang="ru-RU"/>
                </a:p>
              </c:txPr>
            </c:trendlineLbl>
          </c:trendline>
          <c:xVal>
            <c:numRef>
              <c:f>ПФ2!$FB$27:$FB$62</c:f>
              <c:numCache>
                <c:formatCode>0.00</c:formatCode>
                <c:ptCount val="36"/>
                <c:pt idx="0">
                  <c:v>1</c:v>
                </c:pt>
                <c:pt idx="1">
                  <c:v>1.218</c:v>
                </c:pt>
                <c:pt idx="2">
                  <c:v>1.3519800000000002</c:v>
                </c:pt>
                <c:pt idx="3">
                  <c:v>2.4930511200000005</c:v>
                </c:pt>
                <c:pt idx="4">
                  <c:v>3.4030147788000007</c:v>
                </c:pt>
                <c:pt idx="5">
                  <c:v>4.0904237641176007</c:v>
                </c:pt>
                <c:pt idx="6">
                  <c:v>4.8512425842434741</c:v>
                </c:pt>
                <c:pt idx="7">
                  <c:v>5.5837802144642392</c:v>
                </c:pt>
                <c:pt idx="8">
                  <c:v>6.2538338401999489</c:v>
                </c:pt>
                <c:pt idx="9">
                  <c:v>6.9855323995033425</c:v>
                </c:pt>
                <c:pt idx="10">
                  <c:v>7.7469554310492068</c:v>
                </c:pt>
                <c:pt idx="11">
                  <c:v>8.4441814198436358</c:v>
                </c:pt>
                <c:pt idx="12">
                  <c:v>9.4465057543790749</c:v>
                </c:pt>
                <c:pt idx="13">
                  <c:v>10.701001718560617</c:v>
                </c:pt>
                <c:pt idx="14">
                  <c:v>11.642689869793951</c:v>
                </c:pt>
                <c:pt idx="15">
                  <c:v>12.664918040361862</c:v>
                </c:pt>
                <c:pt idx="16">
                  <c:v>13.437478040823935</c:v>
                </c:pt>
                <c:pt idx="17">
                  <c:v>14.324351591518315</c:v>
                </c:pt>
                <c:pt idx="18">
                  <c:v>15.255434444967005</c:v>
                </c:pt>
                <c:pt idx="19">
                  <c:v>16.994553971693247</c:v>
                </c:pt>
                <c:pt idx="20" formatCode="General">
                  <c:v>19.186851434041674</c:v>
                </c:pt>
                <c:pt idx="21" formatCode="General">
                  <c:v>20.222941411479926</c:v>
                </c:pt>
              </c:numCache>
            </c:numRef>
          </c:xVal>
          <c:yVal>
            <c:numRef>
              <c:f>ПФ2!$FA$27:$FA$62</c:f>
              <c:numCache>
                <c:formatCode>0.00</c:formatCode>
                <c:ptCount val="36"/>
                <c:pt idx="0">
                  <c:v>1</c:v>
                </c:pt>
                <c:pt idx="1">
                  <c:v>1.7194377618988257</c:v>
                </c:pt>
                <c:pt idx="2">
                  <c:v>1.9680277801214476</c:v>
                </c:pt>
                <c:pt idx="3">
                  <c:v>2.2270348811115843</c:v>
                </c:pt>
                <c:pt idx="4">
                  <c:v>3.493098424873764</c:v>
                </c:pt>
                <c:pt idx="5">
                  <c:v>5.1712627496070169</c:v>
                </c:pt>
                <c:pt idx="6">
                  <c:v>6.0707268468539191</c:v>
                </c:pt>
                <c:pt idx="7">
                  <c:v>6.9167509862711283</c:v>
                </c:pt>
                <c:pt idx="8">
                  <c:v>7.6273689193439225</c:v>
                </c:pt>
                <c:pt idx="9">
                  <c:v>8.7904133177964692</c:v>
                </c:pt>
                <c:pt idx="10">
                  <c:v>10.054085870175701</c:v>
                </c:pt>
                <c:pt idx="11">
                  <c:v>11.28478682823815</c:v>
                </c:pt>
                <c:pt idx="12">
                  <c:v>13.059083510568804</c:v>
                </c:pt>
                <c:pt idx="13">
                  <c:v>15.593657080025292</c:v>
                </c:pt>
                <c:pt idx="14">
                  <c:v>16.373566297801105</c:v>
                </c:pt>
                <c:pt idx="15">
                  <c:v>17.674409856030426</c:v>
                </c:pt>
                <c:pt idx="16">
                  <c:v>19.234566440524752</c:v>
                </c:pt>
                <c:pt idx="17">
                  <c:v>20.540168341333807</c:v>
                </c:pt>
                <c:pt idx="18">
                  <c:v>21.776225011581559</c:v>
                </c:pt>
                <c:pt idx="19">
                  <c:v>22.851453644141124</c:v>
                </c:pt>
                <c:pt idx="20">
                  <c:v>25.408791247612854</c:v>
                </c:pt>
                <c:pt idx="21">
                  <c:v>27.210700956508322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249A-43E2-A332-105B00BDDC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574336"/>
        <c:axId val="164575872"/>
      </c:scatterChart>
      <c:valAx>
        <c:axId val="164574336"/>
        <c:scaling>
          <c:orientation val="minMax"/>
          <c:max val="30"/>
          <c:min val="0"/>
        </c:scaling>
        <c:delete val="0"/>
        <c:axPos val="b"/>
        <c:numFmt formatCode="#,##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4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64575872"/>
        <c:crosses val="autoZero"/>
        <c:crossBetween val="midCat"/>
        <c:majorUnit val="5"/>
      </c:valAx>
      <c:valAx>
        <c:axId val="164575872"/>
        <c:scaling>
          <c:orientation val="minMax"/>
          <c:max val="50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txPr>
          <a:bodyPr/>
          <a:lstStyle/>
          <a:p>
            <a:pPr>
              <a:defRPr sz="14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64574336"/>
        <c:crosses val="autoZero"/>
        <c:crossBetween val="midCat"/>
        <c:majorUnit val="10"/>
      </c:valAx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1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5.5393115860517504E-2"/>
          <c:y val="3.6009509462689812E-2"/>
          <c:w val="0.92932787401574801"/>
          <c:h val="0.89523254793159956"/>
        </c:manualLayout>
      </c:layout>
      <c:lineChart>
        <c:grouping val="standard"/>
        <c:varyColors val="0"/>
        <c:ser>
          <c:idx val="0"/>
          <c:order val="0"/>
          <c:marker>
            <c:symbol val="none"/>
          </c:marker>
          <c:cat>
            <c:numRef>
              <c:f>'СРВ ТРАЕКТ'!$C$9:$C$44</c:f>
              <c:numCache>
                <c:formatCode>General</c:formatCode>
                <c:ptCount val="36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</c:numCache>
            </c:numRef>
          </c:cat>
          <c:val>
            <c:numRef>
              <c:f>'СРВ ТРАЕКТ'!$F$9:$F$44</c:f>
              <c:numCache>
                <c:formatCode>General</c:formatCode>
                <c:ptCount val="36"/>
                <c:pt idx="21" formatCode="0.00">
                  <c:v>-100</c:v>
                </c:pt>
                <c:pt idx="22" formatCode="0.00">
                  <c:v>-100</c:v>
                </c:pt>
                <c:pt idx="23" formatCode="0.00">
                  <c:v>-100</c:v>
                </c:pt>
                <c:pt idx="24" formatCode="0.00">
                  <c:v>-99.999999999999986</c:v>
                </c:pt>
                <c:pt idx="25" formatCode="0.00">
                  <c:v>-100</c:v>
                </c:pt>
                <c:pt idx="26" formatCode="0.00">
                  <c:v>-100</c:v>
                </c:pt>
                <c:pt idx="27" formatCode="0.00">
                  <c:v>-100</c:v>
                </c:pt>
                <c:pt idx="28" formatCode="0.00">
                  <c:v>-100</c:v>
                </c:pt>
                <c:pt idx="29" formatCode="0.00">
                  <c:v>-100.00000000000001</c:v>
                </c:pt>
                <c:pt idx="30" formatCode="0.00">
                  <c:v>-100</c:v>
                </c:pt>
                <c:pt idx="31" formatCode="0.00">
                  <c:v>-100</c:v>
                </c:pt>
                <c:pt idx="32" formatCode="0.00">
                  <c:v>-100</c:v>
                </c:pt>
                <c:pt idx="33" formatCode="0.00">
                  <c:v>-100</c:v>
                </c:pt>
                <c:pt idx="34" formatCode="0.00">
                  <c:v>-100</c:v>
                </c:pt>
                <c:pt idx="35" formatCode="0.00">
                  <c:v>-100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62-4628-ABC1-5EC334826039}"/>
            </c:ext>
          </c:extLst>
        </c:ser>
        <c:ser>
          <c:idx val="1"/>
          <c:order val="1"/>
          <c:marker>
            <c:symbol val="none"/>
          </c:marker>
          <c:cat>
            <c:numRef>
              <c:f>'СРВ ТРАЕКТ'!$C$9:$C$44</c:f>
              <c:numCache>
                <c:formatCode>General</c:formatCode>
                <c:ptCount val="36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</c:numCache>
            </c:numRef>
          </c:cat>
          <c:val>
            <c:numRef>
              <c:f>'СРВ ТРАЕКТ'!$N$9:$N$44</c:f>
              <c:numCache>
                <c:formatCode>General</c:formatCode>
                <c:ptCount val="36"/>
                <c:pt idx="21" formatCode="0.00">
                  <c:v>0</c:v>
                </c:pt>
                <c:pt idx="22" formatCode="0.00">
                  <c:v>0</c:v>
                </c:pt>
                <c:pt idx="23" formatCode="0.00">
                  <c:v>0</c:v>
                </c:pt>
                <c:pt idx="24" formatCode="0.00">
                  <c:v>0</c:v>
                </c:pt>
                <c:pt idx="25" formatCode="0.00">
                  <c:v>0</c:v>
                </c:pt>
                <c:pt idx="26" formatCode="0.00">
                  <c:v>0</c:v>
                </c:pt>
                <c:pt idx="27" formatCode="0.00">
                  <c:v>0</c:v>
                </c:pt>
                <c:pt idx="28" formatCode="0.00">
                  <c:v>0</c:v>
                </c:pt>
                <c:pt idx="29" formatCode="0.00">
                  <c:v>0</c:v>
                </c:pt>
                <c:pt idx="30" formatCode="0.00">
                  <c:v>0</c:v>
                </c:pt>
                <c:pt idx="31" formatCode="0.00">
                  <c:v>0</c:v>
                </c:pt>
                <c:pt idx="32" formatCode="0.00">
                  <c:v>0</c:v>
                </c:pt>
                <c:pt idx="33" formatCode="0.00">
                  <c:v>0</c:v>
                </c:pt>
                <c:pt idx="34" formatCode="0.00">
                  <c:v>0</c:v>
                </c:pt>
                <c:pt idx="35" formatCode="0.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62-4628-ABC1-5EC334826039}"/>
            </c:ext>
          </c:extLst>
        </c:ser>
        <c:ser>
          <c:idx val="2"/>
          <c:order val="2"/>
          <c:spPr>
            <a:ln w="88900">
              <a:solidFill>
                <a:srgbClr val="FF0000"/>
              </a:solidFill>
            </a:ln>
          </c:spPr>
          <c:marker>
            <c:symbol val="none"/>
          </c:marker>
          <c:cat>
            <c:numRef>
              <c:f>'СРВ ТРАЕКТ'!$C$9:$C$44</c:f>
              <c:numCache>
                <c:formatCode>General</c:formatCode>
                <c:ptCount val="36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</c:numCache>
            </c:numRef>
          </c:cat>
          <c:val>
            <c:numRef>
              <c:f>'СРВ ТРАЕКТ'!$R$9:$R$44</c:f>
              <c:numCache>
                <c:formatCode>General</c:formatCode>
                <c:ptCount val="36"/>
                <c:pt idx="21" formatCode="0.00">
                  <c:v>0</c:v>
                </c:pt>
                <c:pt idx="22" formatCode="0.00">
                  <c:v>0</c:v>
                </c:pt>
                <c:pt idx="23" formatCode="0.00">
                  <c:v>0</c:v>
                </c:pt>
                <c:pt idx="24" formatCode="0.00">
                  <c:v>0</c:v>
                </c:pt>
                <c:pt idx="25" formatCode="0.00">
                  <c:v>0</c:v>
                </c:pt>
                <c:pt idx="26" formatCode="0.00">
                  <c:v>0</c:v>
                </c:pt>
                <c:pt idx="27" formatCode="0.00">
                  <c:v>0</c:v>
                </c:pt>
                <c:pt idx="28" formatCode="0.00">
                  <c:v>0</c:v>
                </c:pt>
                <c:pt idx="29" formatCode="0.00">
                  <c:v>0</c:v>
                </c:pt>
                <c:pt idx="30" formatCode="0.00">
                  <c:v>0</c:v>
                </c:pt>
                <c:pt idx="31" formatCode="0.00">
                  <c:v>0</c:v>
                </c:pt>
                <c:pt idx="32" formatCode="0.00">
                  <c:v>0</c:v>
                </c:pt>
                <c:pt idx="33" formatCode="0.00">
                  <c:v>0</c:v>
                </c:pt>
                <c:pt idx="34" formatCode="0.00">
                  <c:v>0</c:v>
                </c:pt>
                <c:pt idx="35" formatCode="0.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362-4628-ABC1-5EC3348260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6932608"/>
        <c:axId val="116934144"/>
      </c:lineChart>
      <c:catAx>
        <c:axId val="1169326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100"/>
            </a:pPr>
            <a:endParaRPr lang="ru-RU"/>
          </a:p>
        </c:txPr>
        <c:crossAx val="116934144"/>
        <c:crosses val="autoZero"/>
        <c:auto val="1"/>
        <c:lblAlgn val="ctr"/>
        <c:lblOffset val="100"/>
        <c:tickLblSkip val="2"/>
        <c:tickMarkSkip val="1"/>
        <c:noMultiLvlLbl val="0"/>
      </c:catAx>
      <c:valAx>
        <c:axId val="116934144"/>
        <c:scaling>
          <c:orientation val="minMax"/>
          <c:max val="15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ru-RU"/>
          </a:p>
        </c:txPr>
        <c:crossAx val="116932608"/>
        <c:crosses val="autoZero"/>
        <c:crossBetween val="between"/>
        <c:majorUnit val="5"/>
      </c:valAx>
      <c:spPr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CCFFFF"/>
    </a:solidFill>
    <a:ln w="3175">
      <a:solidFill>
        <a:srgbClr val="000000"/>
      </a:solidFill>
      <a:prstDash val="solid"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Arial Cyr"/>
          <a:ea typeface="Arial Cyr"/>
          <a:cs typeface="Arial Cyr"/>
        </a:defRPr>
      </a:pPr>
      <a:endParaRPr lang="ru-RU"/>
    </a:p>
  </c:txPr>
  <c:printSettings>
    <c:headerFooter alignWithMargins="0"/>
    <c:pageMargins b="1" l="0.75000000000001465" r="0.75000000000001465" t="1" header="0.5" footer="0.5"/>
    <c:pageSetup paperSize="9" orientation="landscape"/>
  </c:printSettings>
  <c:userShapes r:id="rId1"/>
</c:chartSpace>
</file>

<file path=xl/charts/chart1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5.5393115860517504E-2"/>
          <c:y val="3.6009509462689812E-2"/>
          <c:w val="0.92932787401574801"/>
          <c:h val="0.89523254793159956"/>
        </c:manualLayout>
      </c:layout>
      <c:lineChart>
        <c:grouping val="standard"/>
        <c:varyColors val="0"/>
        <c:ser>
          <c:idx val="0"/>
          <c:order val="0"/>
          <c:cat>
            <c:numRef>
              <c:f>МУЛЬТ!$C$27:$C$42</c:f>
              <c:numCache>
                <c:formatCode>General</c:formatCode>
                <c:ptCount val="16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  <c:pt idx="8">
                  <c:v>2023</c:v>
                </c:pt>
                <c:pt idx="9">
                  <c:v>2024</c:v>
                </c:pt>
                <c:pt idx="10">
                  <c:v>2025</c:v>
                </c:pt>
                <c:pt idx="11">
                  <c:v>2026</c:v>
                </c:pt>
                <c:pt idx="12">
                  <c:v>2027</c:v>
                </c:pt>
                <c:pt idx="13">
                  <c:v>2028</c:v>
                </c:pt>
                <c:pt idx="14">
                  <c:v>2029</c:v>
                </c:pt>
                <c:pt idx="15">
                  <c:v>2030</c:v>
                </c:pt>
              </c:numCache>
            </c:numRef>
          </c:cat>
          <c:val>
            <c:numRef>
              <c:f>МУЛЬТ!$F$27:$F$42</c:f>
              <c:numCache>
                <c:formatCode>0.00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952-4D3B-BD5E-7FC833724789}"/>
            </c:ext>
          </c:extLst>
        </c:ser>
        <c:ser>
          <c:idx val="1"/>
          <c:order val="1"/>
          <c:val>
            <c:numRef>
              <c:f>МУЛЬТ!$J$27:$J$42</c:f>
              <c:numCache>
                <c:formatCode>0.00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952-4D3B-BD5E-7FC833724789}"/>
            </c:ext>
          </c:extLst>
        </c:ser>
        <c:ser>
          <c:idx val="2"/>
          <c:order val="2"/>
          <c:val>
            <c:numRef>
              <c:f>МУЛЬТ!$N$27:$N$42</c:f>
              <c:numCache>
                <c:formatCode>0.00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952-4D3B-BD5E-7FC833724789}"/>
            </c:ext>
          </c:extLst>
        </c:ser>
        <c:ser>
          <c:idx val="3"/>
          <c:order val="3"/>
          <c:val>
            <c:numRef>
              <c:f>МУЛЬТ!$R$27:$R$42</c:f>
              <c:numCache>
                <c:formatCode>0.00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952-4D3B-BD5E-7FC8337247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387648"/>
        <c:axId val="165393536"/>
      </c:lineChart>
      <c:catAx>
        <c:axId val="1653876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100"/>
            </a:pPr>
            <a:endParaRPr lang="ru-RU"/>
          </a:p>
        </c:txPr>
        <c:crossAx val="165393536"/>
        <c:crosses val="autoZero"/>
        <c:auto val="1"/>
        <c:lblAlgn val="ctr"/>
        <c:lblOffset val="100"/>
        <c:tickLblSkip val="2"/>
        <c:tickMarkSkip val="1"/>
        <c:noMultiLvlLbl val="0"/>
      </c:catAx>
      <c:valAx>
        <c:axId val="165393536"/>
        <c:scaling>
          <c:orientation val="minMax"/>
          <c:max val="40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ru-RU"/>
          </a:p>
        </c:txPr>
        <c:crossAx val="165387648"/>
        <c:crosses val="autoZero"/>
        <c:crossBetween val="between"/>
        <c:majorUnit val="10"/>
      </c:valAx>
      <c:spPr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CCFFFF"/>
    </a:solidFill>
    <a:ln w="3175">
      <a:solidFill>
        <a:srgbClr val="000000"/>
      </a:solidFill>
      <a:prstDash val="solid"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Arial Cyr"/>
          <a:ea typeface="Arial Cyr"/>
          <a:cs typeface="Arial Cyr"/>
        </a:defRPr>
      </a:pPr>
      <a:endParaRPr lang="ru-RU"/>
    </a:p>
  </c:txPr>
  <c:printSettings>
    <c:headerFooter alignWithMargins="0"/>
    <c:pageMargins b="1" l="0.75000000000001465" r="0.75000000000001465" t="1" header="0.5" footer="0.5"/>
    <c:pageSetup paperSize="9" orientation="landscape"/>
  </c:printSettings>
  <c:userShapes r:id="rId1"/>
</c:chartSpace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26" Type="http://schemas.openxmlformats.org/officeDocument/2006/relationships/chart" Target="../charts/chart26.xml"/><Relationship Id="rId3" Type="http://schemas.openxmlformats.org/officeDocument/2006/relationships/chart" Target="../charts/chart3.xml"/><Relationship Id="rId21" Type="http://schemas.openxmlformats.org/officeDocument/2006/relationships/chart" Target="../charts/chart21.xml"/><Relationship Id="rId34" Type="http://schemas.openxmlformats.org/officeDocument/2006/relationships/chart" Target="../charts/chart34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5" Type="http://schemas.openxmlformats.org/officeDocument/2006/relationships/chart" Target="../charts/chart25.xml"/><Relationship Id="rId33" Type="http://schemas.openxmlformats.org/officeDocument/2006/relationships/chart" Target="../charts/chart33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20" Type="http://schemas.openxmlformats.org/officeDocument/2006/relationships/chart" Target="../charts/chart20.xml"/><Relationship Id="rId29" Type="http://schemas.openxmlformats.org/officeDocument/2006/relationships/chart" Target="../charts/chart29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24" Type="http://schemas.openxmlformats.org/officeDocument/2006/relationships/chart" Target="../charts/chart24.xml"/><Relationship Id="rId32" Type="http://schemas.openxmlformats.org/officeDocument/2006/relationships/chart" Target="../charts/chart32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23" Type="http://schemas.openxmlformats.org/officeDocument/2006/relationships/chart" Target="../charts/chart23.xml"/><Relationship Id="rId28" Type="http://schemas.openxmlformats.org/officeDocument/2006/relationships/chart" Target="../charts/chart28.xml"/><Relationship Id="rId10" Type="http://schemas.openxmlformats.org/officeDocument/2006/relationships/chart" Target="../charts/chart10.xml"/><Relationship Id="rId19" Type="http://schemas.openxmlformats.org/officeDocument/2006/relationships/chart" Target="../charts/chart19.xml"/><Relationship Id="rId31" Type="http://schemas.openxmlformats.org/officeDocument/2006/relationships/chart" Target="../charts/chart31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Relationship Id="rId22" Type="http://schemas.openxmlformats.org/officeDocument/2006/relationships/chart" Target="../charts/chart22.xml"/><Relationship Id="rId27" Type="http://schemas.openxmlformats.org/officeDocument/2006/relationships/chart" Target="../charts/chart27.xml"/><Relationship Id="rId30" Type="http://schemas.openxmlformats.org/officeDocument/2006/relationships/chart" Target="../charts/chart30.xml"/><Relationship Id="rId8" Type="http://schemas.openxmlformats.org/officeDocument/2006/relationships/chart" Target="../charts/chart8.xml"/></Relationships>
</file>

<file path=xl/drawings/_rels/drawing36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47.xml"/><Relationship Id="rId18" Type="http://schemas.openxmlformats.org/officeDocument/2006/relationships/chart" Target="../charts/chart52.xml"/><Relationship Id="rId26" Type="http://schemas.openxmlformats.org/officeDocument/2006/relationships/chart" Target="../charts/chart60.xml"/><Relationship Id="rId39" Type="http://schemas.openxmlformats.org/officeDocument/2006/relationships/chart" Target="../charts/chart73.xml"/><Relationship Id="rId21" Type="http://schemas.openxmlformats.org/officeDocument/2006/relationships/chart" Target="../charts/chart55.xml"/><Relationship Id="rId34" Type="http://schemas.openxmlformats.org/officeDocument/2006/relationships/chart" Target="../charts/chart68.xml"/><Relationship Id="rId42" Type="http://schemas.openxmlformats.org/officeDocument/2006/relationships/chart" Target="../charts/chart76.xml"/><Relationship Id="rId47" Type="http://schemas.openxmlformats.org/officeDocument/2006/relationships/chart" Target="../charts/chart81.xml"/><Relationship Id="rId50" Type="http://schemas.openxmlformats.org/officeDocument/2006/relationships/chart" Target="../charts/chart84.xml"/><Relationship Id="rId55" Type="http://schemas.openxmlformats.org/officeDocument/2006/relationships/chart" Target="../charts/chart89.xml"/><Relationship Id="rId7" Type="http://schemas.openxmlformats.org/officeDocument/2006/relationships/chart" Target="../charts/chart41.xml"/><Relationship Id="rId2" Type="http://schemas.openxmlformats.org/officeDocument/2006/relationships/chart" Target="../charts/chart36.xml"/><Relationship Id="rId16" Type="http://schemas.openxmlformats.org/officeDocument/2006/relationships/chart" Target="../charts/chart50.xml"/><Relationship Id="rId29" Type="http://schemas.openxmlformats.org/officeDocument/2006/relationships/chart" Target="../charts/chart63.xml"/><Relationship Id="rId11" Type="http://schemas.openxmlformats.org/officeDocument/2006/relationships/chart" Target="../charts/chart45.xml"/><Relationship Id="rId24" Type="http://schemas.openxmlformats.org/officeDocument/2006/relationships/chart" Target="../charts/chart58.xml"/><Relationship Id="rId32" Type="http://schemas.openxmlformats.org/officeDocument/2006/relationships/chart" Target="../charts/chart66.xml"/><Relationship Id="rId37" Type="http://schemas.openxmlformats.org/officeDocument/2006/relationships/chart" Target="../charts/chart71.xml"/><Relationship Id="rId40" Type="http://schemas.openxmlformats.org/officeDocument/2006/relationships/chart" Target="../charts/chart74.xml"/><Relationship Id="rId45" Type="http://schemas.openxmlformats.org/officeDocument/2006/relationships/chart" Target="../charts/chart79.xml"/><Relationship Id="rId53" Type="http://schemas.openxmlformats.org/officeDocument/2006/relationships/chart" Target="../charts/chart87.xml"/><Relationship Id="rId58" Type="http://schemas.openxmlformats.org/officeDocument/2006/relationships/chart" Target="../charts/chart92.xml"/><Relationship Id="rId5" Type="http://schemas.openxmlformats.org/officeDocument/2006/relationships/chart" Target="../charts/chart39.xml"/><Relationship Id="rId61" Type="http://schemas.openxmlformats.org/officeDocument/2006/relationships/chart" Target="../charts/chart95.xml"/><Relationship Id="rId19" Type="http://schemas.openxmlformats.org/officeDocument/2006/relationships/chart" Target="../charts/chart53.xml"/><Relationship Id="rId14" Type="http://schemas.openxmlformats.org/officeDocument/2006/relationships/chart" Target="../charts/chart48.xml"/><Relationship Id="rId22" Type="http://schemas.openxmlformats.org/officeDocument/2006/relationships/chart" Target="../charts/chart56.xml"/><Relationship Id="rId27" Type="http://schemas.openxmlformats.org/officeDocument/2006/relationships/chart" Target="../charts/chart61.xml"/><Relationship Id="rId30" Type="http://schemas.openxmlformats.org/officeDocument/2006/relationships/chart" Target="../charts/chart64.xml"/><Relationship Id="rId35" Type="http://schemas.openxmlformats.org/officeDocument/2006/relationships/chart" Target="../charts/chart69.xml"/><Relationship Id="rId43" Type="http://schemas.openxmlformats.org/officeDocument/2006/relationships/chart" Target="../charts/chart77.xml"/><Relationship Id="rId48" Type="http://schemas.openxmlformats.org/officeDocument/2006/relationships/chart" Target="../charts/chart82.xml"/><Relationship Id="rId56" Type="http://schemas.openxmlformats.org/officeDocument/2006/relationships/chart" Target="../charts/chart90.xml"/><Relationship Id="rId8" Type="http://schemas.openxmlformats.org/officeDocument/2006/relationships/chart" Target="../charts/chart42.xml"/><Relationship Id="rId51" Type="http://schemas.openxmlformats.org/officeDocument/2006/relationships/chart" Target="../charts/chart85.xml"/><Relationship Id="rId3" Type="http://schemas.openxmlformats.org/officeDocument/2006/relationships/chart" Target="../charts/chart37.xml"/><Relationship Id="rId12" Type="http://schemas.openxmlformats.org/officeDocument/2006/relationships/chart" Target="../charts/chart46.xml"/><Relationship Id="rId17" Type="http://schemas.openxmlformats.org/officeDocument/2006/relationships/chart" Target="../charts/chart51.xml"/><Relationship Id="rId25" Type="http://schemas.openxmlformats.org/officeDocument/2006/relationships/chart" Target="../charts/chart59.xml"/><Relationship Id="rId33" Type="http://schemas.openxmlformats.org/officeDocument/2006/relationships/chart" Target="../charts/chart67.xml"/><Relationship Id="rId38" Type="http://schemas.openxmlformats.org/officeDocument/2006/relationships/chart" Target="../charts/chart72.xml"/><Relationship Id="rId46" Type="http://schemas.openxmlformats.org/officeDocument/2006/relationships/chart" Target="../charts/chart80.xml"/><Relationship Id="rId59" Type="http://schemas.openxmlformats.org/officeDocument/2006/relationships/chart" Target="../charts/chart93.xml"/><Relationship Id="rId20" Type="http://schemas.openxmlformats.org/officeDocument/2006/relationships/chart" Target="../charts/chart54.xml"/><Relationship Id="rId41" Type="http://schemas.openxmlformats.org/officeDocument/2006/relationships/chart" Target="../charts/chart75.xml"/><Relationship Id="rId54" Type="http://schemas.openxmlformats.org/officeDocument/2006/relationships/chart" Target="../charts/chart88.xml"/><Relationship Id="rId1" Type="http://schemas.openxmlformats.org/officeDocument/2006/relationships/chart" Target="../charts/chart35.xml"/><Relationship Id="rId6" Type="http://schemas.openxmlformats.org/officeDocument/2006/relationships/chart" Target="../charts/chart40.xml"/><Relationship Id="rId15" Type="http://schemas.openxmlformats.org/officeDocument/2006/relationships/chart" Target="../charts/chart49.xml"/><Relationship Id="rId23" Type="http://schemas.openxmlformats.org/officeDocument/2006/relationships/chart" Target="../charts/chart57.xml"/><Relationship Id="rId28" Type="http://schemas.openxmlformats.org/officeDocument/2006/relationships/chart" Target="../charts/chart62.xml"/><Relationship Id="rId36" Type="http://schemas.openxmlformats.org/officeDocument/2006/relationships/chart" Target="../charts/chart70.xml"/><Relationship Id="rId49" Type="http://schemas.openxmlformats.org/officeDocument/2006/relationships/chart" Target="../charts/chart83.xml"/><Relationship Id="rId57" Type="http://schemas.openxmlformats.org/officeDocument/2006/relationships/chart" Target="../charts/chart91.xml"/><Relationship Id="rId10" Type="http://schemas.openxmlformats.org/officeDocument/2006/relationships/chart" Target="../charts/chart44.xml"/><Relationship Id="rId31" Type="http://schemas.openxmlformats.org/officeDocument/2006/relationships/chart" Target="../charts/chart65.xml"/><Relationship Id="rId44" Type="http://schemas.openxmlformats.org/officeDocument/2006/relationships/chart" Target="../charts/chart78.xml"/><Relationship Id="rId52" Type="http://schemas.openxmlformats.org/officeDocument/2006/relationships/chart" Target="../charts/chart86.xml"/><Relationship Id="rId60" Type="http://schemas.openxmlformats.org/officeDocument/2006/relationships/chart" Target="../charts/chart94.xml"/><Relationship Id="rId4" Type="http://schemas.openxmlformats.org/officeDocument/2006/relationships/chart" Target="../charts/chart38.xml"/><Relationship Id="rId9" Type="http://schemas.openxmlformats.org/officeDocument/2006/relationships/chart" Target="../charts/chart43.xml"/></Relationships>
</file>

<file path=xl/drawings/_rels/drawing98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108.xml"/><Relationship Id="rId18" Type="http://schemas.openxmlformats.org/officeDocument/2006/relationships/chart" Target="../charts/chart113.xml"/><Relationship Id="rId26" Type="http://schemas.openxmlformats.org/officeDocument/2006/relationships/chart" Target="../charts/chart121.xml"/><Relationship Id="rId39" Type="http://schemas.openxmlformats.org/officeDocument/2006/relationships/chart" Target="../charts/chart134.xml"/><Relationship Id="rId21" Type="http://schemas.openxmlformats.org/officeDocument/2006/relationships/chart" Target="../charts/chart116.xml"/><Relationship Id="rId34" Type="http://schemas.openxmlformats.org/officeDocument/2006/relationships/chart" Target="../charts/chart129.xml"/><Relationship Id="rId42" Type="http://schemas.openxmlformats.org/officeDocument/2006/relationships/chart" Target="../charts/chart137.xml"/><Relationship Id="rId7" Type="http://schemas.openxmlformats.org/officeDocument/2006/relationships/chart" Target="../charts/chart102.xml"/><Relationship Id="rId2" Type="http://schemas.openxmlformats.org/officeDocument/2006/relationships/chart" Target="../charts/chart97.xml"/><Relationship Id="rId16" Type="http://schemas.openxmlformats.org/officeDocument/2006/relationships/chart" Target="../charts/chart111.xml"/><Relationship Id="rId20" Type="http://schemas.openxmlformats.org/officeDocument/2006/relationships/chart" Target="../charts/chart115.xml"/><Relationship Id="rId29" Type="http://schemas.openxmlformats.org/officeDocument/2006/relationships/chart" Target="../charts/chart124.xml"/><Relationship Id="rId41" Type="http://schemas.openxmlformats.org/officeDocument/2006/relationships/chart" Target="../charts/chart136.xml"/><Relationship Id="rId1" Type="http://schemas.openxmlformats.org/officeDocument/2006/relationships/chart" Target="../charts/chart96.xml"/><Relationship Id="rId6" Type="http://schemas.openxmlformats.org/officeDocument/2006/relationships/chart" Target="../charts/chart101.xml"/><Relationship Id="rId11" Type="http://schemas.openxmlformats.org/officeDocument/2006/relationships/chart" Target="../charts/chart106.xml"/><Relationship Id="rId24" Type="http://schemas.openxmlformats.org/officeDocument/2006/relationships/chart" Target="../charts/chart119.xml"/><Relationship Id="rId32" Type="http://schemas.openxmlformats.org/officeDocument/2006/relationships/chart" Target="../charts/chart127.xml"/><Relationship Id="rId37" Type="http://schemas.openxmlformats.org/officeDocument/2006/relationships/chart" Target="../charts/chart132.xml"/><Relationship Id="rId40" Type="http://schemas.openxmlformats.org/officeDocument/2006/relationships/chart" Target="../charts/chart135.xml"/><Relationship Id="rId5" Type="http://schemas.openxmlformats.org/officeDocument/2006/relationships/chart" Target="../charts/chart100.xml"/><Relationship Id="rId15" Type="http://schemas.openxmlformats.org/officeDocument/2006/relationships/chart" Target="../charts/chart110.xml"/><Relationship Id="rId23" Type="http://schemas.openxmlformats.org/officeDocument/2006/relationships/chart" Target="../charts/chart118.xml"/><Relationship Id="rId28" Type="http://schemas.openxmlformats.org/officeDocument/2006/relationships/chart" Target="../charts/chart123.xml"/><Relationship Id="rId36" Type="http://schemas.openxmlformats.org/officeDocument/2006/relationships/chart" Target="../charts/chart131.xml"/><Relationship Id="rId10" Type="http://schemas.openxmlformats.org/officeDocument/2006/relationships/chart" Target="../charts/chart105.xml"/><Relationship Id="rId19" Type="http://schemas.openxmlformats.org/officeDocument/2006/relationships/chart" Target="../charts/chart114.xml"/><Relationship Id="rId31" Type="http://schemas.openxmlformats.org/officeDocument/2006/relationships/chart" Target="../charts/chart126.xml"/><Relationship Id="rId4" Type="http://schemas.openxmlformats.org/officeDocument/2006/relationships/chart" Target="../charts/chart99.xml"/><Relationship Id="rId9" Type="http://schemas.openxmlformats.org/officeDocument/2006/relationships/chart" Target="../charts/chart104.xml"/><Relationship Id="rId14" Type="http://schemas.openxmlformats.org/officeDocument/2006/relationships/chart" Target="../charts/chart109.xml"/><Relationship Id="rId22" Type="http://schemas.openxmlformats.org/officeDocument/2006/relationships/chart" Target="../charts/chart117.xml"/><Relationship Id="rId27" Type="http://schemas.openxmlformats.org/officeDocument/2006/relationships/chart" Target="../charts/chart122.xml"/><Relationship Id="rId30" Type="http://schemas.openxmlformats.org/officeDocument/2006/relationships/chart" Target="../charts/chart125.xml"/><Relationship Id="rId35" Type="http://schemas.openxmlformats.org/officeDocument/2006/relationships/chart" Target="../charts/chart130.xml"/><Relationship Id="rId8" Type="http://schemas.openxmlformats.org/officeDocument/2006/relationships/chart" Target="../charts/chart103.xml"/><Relationship Id="rId3" Type="http://schemas.openxmlformats.org/officeDocument/2006/relationships/chart" Target="../charts/chart98.xml"/><Relationship Id="rId12" Type="http://schemas.openxmlformats.org/officeDocument/2006/relationships/chart" Target="../charts/chart107.xml"/><Relationship Id="rId17" Type="http://schemas.openxmlformats.org/officeDocument/2006/relationships/chart" Target="../charts/chart112.xml"/><Relationship Id="rId25" Type="http://schemas.openxmlformats.org/officeDocument/2006/relationships/chart" Target="../charts/chart120.xml"/><Relationship Id="rId33" Type="http://schemas.openxmlformats.org/officeDocument/2006/relationships/chart" Target="../charts/chart128.xml"/><Relationship Id="rId38" Type="http://schemas.openxmlformats.org/officeDocument/2006/relationships/chart" Target="../charts/chart133.xml"/></Relationships>
</file>

<file path=xl/drawings/_rels/drawing13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0.xml"/><Relationship Id="rId2" Type="http://schemas.openxmlformats.org/officeDocument/2006/relationships/chart" Target="../charts/chart139.xml"/><Relationship Id="rId1" Type="http://schemas.openxmlformats.org/officeDocument/2006/relationships/chart" Target="../charts/chart138.xml"/></Relationships>
</file>

<file path=xl/drawings/_rels/drawing140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48.xml"/><Relationship Id="rId13" Type="http://schemas.openxmlformats.org/officeDocument/2006/relationships/chart" Target="../charts/chart153.xml"/><Relationship Id="rId3" Type="http://schemas.openxmlformats.org/officeDocument/2006/relationships/chart" Target="../charts/chart143.xml"/><Relationship Id="rId7" Type="http://schemas.openxmlformats.org/officeDocument/2006/relationships/chart" Target="../charts/chart147.xml"/><Relationship Id="rId12" Type="http://schemas.openxmlformats.org/officeDocument/2006/relationships/chart" Target="../charts/chart152.xml"/><Relationship Id="rId2" Type="http://schemas.openxmlformats.org/officeDocument/2006/relationships/chart" Target="../charts/chart142.xml"/><Relationship Id="rId16" Type="http://schemas.openxmlformats.org/officeDocument/2006/relationships/chart" Target="../charts/chart156.xml"/><Relationship Id="rId1" Type="http://schemas.openxmlformats.org/officeDocument/2006/relationships/chart" Target="../charts/chart141.xml"/><Relationship Id="rId6" Type="http://schemas.openxmlformats.org/officeDocument/2006/relationships/chart" Target="../charts/chart146.xml"/><Relationship Id="rId11" Type="http://schemas.openxmlformats.org/officeDocument/2006/relationships/chart" Target="../charts/chart151.xml"/><Relationship Id="rId5" Type="http://schemas.openxmlformats.org/officeDocument/2006/relationships/chart" Target="../charts/chart145.xml"/><Relationship Id="rId15" Type="http://schemas.openxmlformats.org/officeDocument/2006/relationships/chart" Target="../charts/chart155.xml"/><Relationship Id="rId10" Type="http://schemas.openxmlformats.org/officeDocument/2006/relationships/chart" Target="../charts/chart150.xml"/><Relationship Id="rId4" Type="http://schemas.openxmlformats.org/officeDocument/2006/relationships/chart" Target="../charts/chart144.xml"/><Relationship Id="rId9" Type="http://schemas.openxmlformats.org/officeDocument/2006/relationships/chart" Target="../charts/chart149.xml"/><Relationship Id="rId14" Type="http://schemas.openxmlformats.org/officeDocument/2006/relationships/chart" Target="../charts/chart154.xml"/></Relationships>
</file>

<file path=xl/drawings/_rels/drawing150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64.xml"/><Relationship Id="rId3" Type="http://schemas.openxmlformats.org/officeDocument/2006/relationships/chart" Target="../charts/chart159.xml"/><Relationship Id="rId7" Type="http://schemas.openxmlformats.org/officeDocument/2006/relationships/chart" Target="../charts/chart163.xml"/><Relationship Id="rId12" Type="http://schemas.openxmlformats.org/officeDocument/2006/relationships/chart" Target="../charts/chart168.xml"/><Relationship Id="rId2" Type="http://schemas.openxmlformats.org/officeDocument/2006/relationships/chart" Target="../charts/chart158.xml"/><Relationship Id="rId1" Type="http://schemas.openxmlformats.org/officeDocument/2006/relationships/chart" Target="../charts/chart157.xml"/><Relationship Id="rId6" Type="http://schemas.openxmlformats.org/officeDocument/2006/relationships/chart" Target="../charts/chart162.xml"/><Relationship Id="rId11" Type="http://schemas.openxmlformats.org/officeDocument/2006/relationships/chart" Target="../charts/chart167.xml"/><Relationship Id="rId5" Type="http://schemas.openxmlformats.org/officeDocument/2006/relationships/chart" Target="../charts/chart161.xml"/><Relationship Id="rId10" Type="http://schemas.openxmlformats.org/officeDocument/2006/relationships/chart" Target="../charts/chart166.xml"/><Relationship Id="rId4" Type="http://schemas.openxmlformats.org/officeDocument/2006/relationships/chart" Target="../charts/chart160.xml"/><Relationship Id="rId9" Type="http://schemas.openxmlformats.org/officeDocument/2006/relationships/chart" Target="../charts/chart165.xml"/></Relationships>
</file>

<file path=xl/drawings/_rels/drawing16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76.xml"/><Relationship Id="rId13" Type="http://schemas.openxmlformats.org/officeDocument/2006/relationships/chart" Target="../charts/chart181.xml"/><Relationship Id="rId18" Type="http://schemas.openxmlformats.org/officeDocument/2006/relationships/chart" Target="../charts/chart186.xml"/><Relationship Id="rId3" Type="http://schemas.openxmlformats.org/officeDocument/2006/relationships/chart" Target="../charts/chart171.xml"/><Relationship Id="rId7" Type="http://schemas.openxmlformats.org/officeDocument/2006/relationships/chart" Target="../charts/chart175.xml"/><Relationship Id="rId12" Type="http://schemas.openxmlformats.org/officeDocument/2006/relationships/chart" Target="../charts/chart180.xml"/><Relationship Id="rId17" Type="http://schemas.openxmlformats.org/officeDocument/2006/relationships/chart" Target="../charts/chart185.xml"/><Relationship Id="rId2" Type="http://schemas.openxmlformats.org/officeDocument/2006/relationships/chart" Target="../charts/chart170.xml"/><Relationship Id="rId16" Type="http://schemas.openxmlformats.org/officeDocument/2006/relationships/chart" Target="../charts/chart184.xml"/><Relationship Id="rId1" Type="http://schemas.openxmlformats.org/officeDocument/2006/relationships/chart" Target="../charts/chart169.xml"/><Relationship Id="rId6" Type="http://schemas.openxmlformats.org/officeDocument/2006/relationships/chart" Target="../charts/chart174.xml"/><Relationship Id="rId11" Type="http://schemas.openxmlformats.org/officeDocument/2006/relationships/chart" Target="../charts/chart179.xml"/><Relationship Id="rId5" Type="http://schemas.openxmlformats.org/officeDocument/2006/relationships/chart" Target="../charts/chart173.xml"/><Relationship Id="rId15" Type="http://schemas.openxmlformats.org/officeDocument/2006/relationships/chart" Target="../charts/chart183.xml"/><Relationship Id="rId10" Type="http://schemas.openxmlformats.org/officeDocument/2006/relationships/chart" Target="../charts/chart178.xml"/><Relationship Id="rId4" Type="http://schemas.openxmlformats.org/officeDocument/2006/relationships/chart" Target="../charts/chart172.xml"/><Relationship Id="rId9" Type="http://schemas.openxmlformats.org/officeDocument/2006/relationships/chart" Target="../charts/chart177.xml"/><Relationship Id="rId14" Type="http://schemas.openxmlformats.org/officeDocument/2006/relationships/chart" Target="../charts/chart182.xml"/></Relationships>
</file>

<file path=xl/drawings/_rels/drawing18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18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7.xml"/></Relationships>
</file>

<file path=xl/drawings/_rels/drawing18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8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92</xdr:col>
      <xdr:colOff>508001</xdr:colOff>
      <xdr:row>20</xdr:row>
      <xdr:rowOff>144615</xdr:rowOff>
    </xdr:from>
    <xdr:ext cx="1579562" cy="561868"/>
    <xdr:sp macro="" textlink="">
      <xdr:nvSpPr>
        <xdr:cNvPr id="2" name="TextBox 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 txBox="1"/>
      </xdr:nvSpPr>
      <xdr:spPr>
        <a:xfrm>
          <a:off x="51562001" y="3176740"/>
          <a:ext cx="1579562" cy="56186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ru-RU" sz="1600">
            <a:latin typeface="Arial" pitchFamily="34" charset="0"/>
            <a:cs typeface="Arial" pitchFamily="34" charset="0"/>
          </a:endParaRPr>
        </a:p>
      </xdr:txBody>
    </xdr:sp>
    <xdr:clientData/>
  </xdr:oneCellAnchor>
  <xdr:twoCellAnchor>
    <xdr:from>
      <xdr:col>33</xdr:col>
      <xdr:colOff>95249</xdr:colOff>
      <xdr:row>10</xdr:row>
      <xdr:rowOff>0</xdr:rowOff>
    </xdr:from>
    <xdr:to>
      <xdr:col>48</xdr:col>
      <xdr:colOff>0</xdr:colOff>
      <xdr:row>48</xdr:row>
      <xdr:rowOff>0</xdr:rowOff>
    </xdr:to>
    <xdr:graphicFrame macro="">
      <xdr:nvGraphicFramePr>
        <xdr:cNvPr id="57" name="Диаграмма 56">
          <a:extLst>
            <a:ext uri="{FF2B5EF4-FFF2-40B4-BE49-F238E27FC236}">
              <a16:creationId xmlns:a16="http://schemas.microsoft.com/office/drawing/2014/main" id="{00000000-0008-0000-0000-00003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52388</xdr:colOff>
      <xdr:row>10</xdr:row>
      <xdr:rowOff>19050</xdr:rowOff>
    </xdr:from>
    <xdr:to>
      <xdr:col>26</xdr:col>
      <xdr:colOff>514350</xdr:colOff>
      <xdr:row>47</xdr:row>
      <xdr:rowOff>190500</xdr:rowOff>
    </xdr:to>
    <xdr:graphicFrame macro="">
      <xdr:nvGraphicFramePr>
        <xdr:cNvPr id="45" name="Диаграмма 44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33</xdr:col>
      <xdr:colOff>52388</xdr:colOff>
      <xdr:row>10</xdr:row>
      <xdr:rowOff>12700</xdr:rowOff>
    </xdr:from>
    <xdr:to>
      <xdr:col>49</xdr:col>
      <xdr:colOff>514350</xdr:colOff>
      <xdr:row>48</xdr:row>
      <xdr:rowOff>0</xdr:rowOff>
    </xdr:to>
    <xdr:graphicFrame macro="">
      <xdr:nvGraphicFramePr>
        <xdr:cNvPr id="46" name="Диаграмма 45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161</xdr:col>
      <xdr:colOff>95249</xdr:colOff>
      <xdr:row>10</xdr:row>
      <xdr:rowOff>0</xdr:rowOff>
    </xdr:from>
    <xdr:to>
      <xdr:col>176</xdr:col>
      <xdr:colOff>0</xdr:colOff>
      <xdr:row>48</xdr:row>
      <xdr:rowOff>0</xdr:rowOff>
    </xdr:to>
    <xdr:graphicFrame macro="">
      <xdr:nvGraphicFramePr>
        <xdr:cNvPr id="47" name="Диаграмма 46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139</xdr:col>
      <xdr:colOff>52388</xdr:colOff>
      <xdr:row>10</xdr:row>
      <xdr:rowOff>12700</xdr:rowOff>
    </xdr:from>
    <xdr:to>
      <xdr:col>155</xdr:col>
      <xdr:colOff>590550</xdr:colOff>
      <xdr:row>47</xdr:row>
      <xdr:rowOff>190500</xdr:rowOff>
    </xdr:to>
    <xdr:graphicFrame macro="">
      <xdr:nvGraphicFramePr>
        <xdr:cNvPr id="48" name="Диаграмма 47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161</xdr:col>
      <xdr:colOff>52388</xdr:colOff>
      <xdr:row>10</xdr:row>
      <xdr:rowOff>12700</xdr:rowOff>
    </xdr:from>
    <xdr:to>
      <xdr:col>177</xdr:col>
      <xdr:colOff>514350</xdr:colOff>
      <xdr:row>48</xdr:row>
      <xdr:rowOff>0</xdr:rowOff>
    </xdr:to>
    <xdr:graphicFrame macro="">
      <xdr:nvGraphicFramePr>
        <xdr:cNvPr id="50" name="Диаграмма 49">
          <a:extLst>
            <a:ext uri="{FF2B5EF4-FFF2-40B4-BE49-F238E27FC236}">
              <a16:creationId xmlns:a16="http://schemas.microsoft.com/office/drawing/2014/main" id="{00000000-0008-0000-0000-00003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297</xdr:col>
      <xdr:colOff>95249</xdr:colOff>
      <xdr:row>10</xdr:row>
      <xdr:rowOff>0</xdr:rowOff>
    </xdr:from>
    <xdr:to>
      <xdr:col>312</xdr:col>
      <xdr:colOff>0</xdr:colOff>
      <xdr:row>48</xdr:row>
      <xdr:rowOff>0</xdr:rowOff>
    </xdr:to>
    <xdr:graphicFrame macro="">
      <xdr:nvGraphicFramePr>
        <xdr:cNvPr id="51" name="Диаграмма 50"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274</xdr:col>
      <xdr:colOff>52388</xdr:colOff>
      <xdr:row>10</xdr:row>
      <xdr:rowOff>12700</xdr:rowOff>
    </xdr:from>
    <xdr:to>
      <xdr:col>290</xdr:col>
      <xdr:colOff>514350</xdr:colOff>
      <xdr:row>48</xdr:row>
      <xdr:rowOff>0</xdr:rowOff>
    </xdr:to>
    <xdr:graphicFrame macro="">
      <xdr:nvGraphicFramePr>
        <xdr:cNvPr id="52" name="Диаграмма 51">
          <a:extLst>
            <a:ext uri="{FF2B5EF4-FFF2-40B4-BE49-F238E27FC236}">
              <a16:creationId xmlns:a16="http://schemas.microsoft.com/office/drawing/2014/main" id="{00000000-0008-0000-0000-00003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297</xdr:col>
      <xdr:colOff>52388</xdr:colOff>
      <xdr:row>10</xdr:row>
      <xdr:rowOff>12700</xdr:rowOff>
    </xdr:from>
    <xdr:to>
      <xdr:col>313</xdr:col>
      <xdr:colOff>514350</xdr:colOff>
      <xdr:row>48</xdr:row>
      <xdr:rowOff>0</xdr:rowOff>
    </xdr:to>
    <xdr:graphicFrame macro="">
      <xdr:nvGraphicFramePr>
        <xdr:cNvPr id="53" name="Диаграмма 52">
          <a:extLst>
            <a:ext uri="{FF2B5EF4-FFF2-40B4-BE49-F238E27FC236}">
              <a16:creationId xmlns:a16="http://schemas.microsoft.com/office/drawing/2014/main" id="{00000000-0008-0000-0000-00003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413</xdr:col>
      <xdr:colOff>66675</xdr:colOff>
      <xdr:row>10</xdr:row>
      <xdr:rowOff>19050</xdr:rowOff>
    </xdr:from>
    <xdr:to>
      <xdr:col>430</xdr:col>
      <xdr:colOff>34925</xdr:colOff>
      <xdr:row>48</xdr:row>
      <xdr:rowOff>95250</xdr:rowOff>
    </xdr:to>
    <xdr:graphicFrame macro="">
      <xdr:nvGraphicFramePr>
        <xdr:cNvPr id="55" name="Диаграмма 54">
          <a:extLst>
            <a:ext uri="{FF2B5EF4-FFF2-40B4-BE49-F238E27FC236}">
              <a16:creationId xmlns:a16="http://schemas.microsoft.com/office/drawing/2014/main" id="{00000000-0008-0000-0000-00003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435</xdr:col>
      <xdr:colOff>90488</xdr:colOff>
      <xdr:row>10</xdr:row>
      <xdr:rowOff>50800</xdr:rowOff>
    </xdr:from>
    <xdr:to>
      <xdr:col>451</xdr:col>
      <xdr:colOff>552450</xdr:colOff>
      <xdr:row>47</xdr:row>
      <xdr:rowOff>76200</xdr:rowOff>
    </xdr:to>
    <xdr:graphicFrame macro="">
      <xdr:nvGraphicFramePr>
        <xdr:cNvPr id="58" name="Диаграмма 57">
          <a:extLst>
            <a:ext uri="{FF2B5EF4-FFF2-40B4-BE49-F238E27FC236}">
              <a16:creationId xmlns:a16="http://schemas.microsoft.com/office/drawing/2014/main" id="{00000000-0008-0000-0000-00003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549</xdr:col>
      <xdr:colOff>131762</xdr:colOff>
      <xdr:row>9</xdr:row>
      <xdr:rowOff>187325</xdr:rowOff>
    </xdr:from>
    <xdr:to>
      <xdr:col>566</xdr:col>
      <xdr:colOff>304799</xdr:colOff>
      <xdr:row>47</xdr:row>
      <xdr:rowOff>222250</xdr:rowOff>
    </xdr:to>
    <xdr:graphicFrame macro="">
      <xdr:nvGraphicFramePr>
        <xdr:cNvPr id="61" name="Диаграмма 60">
          <a:extLst>
            <a:ext uri="{FF2B5EF4-FFF2-40B4-BE49-F238E27FC236}">
              <a16:creationId xmlns:a16="http://schemas.microsoft.com/office/drawing/2014/main" id="{00000000-0008-0000-0000-00003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571</xdr:col>
      <xdr:colOff>147638</xdr:colOff>
      <xdr:row>10</xdr:row>
      <xdr:rowOff>12700</xdr:rowOff>
    </xdr:from>
    <xdr:to>
      <xdr:col>588</xdr:col>
      <xdr:colOff>266700</xdr:colOff>
      <xdr:row>48</xdr:row>
      <xdr:rowOff>0</xdr:rowOff>
    </xdr:to>
    <xdr:graphicFrame macro="">
      <xdr:nvGraphicFramePr>
        <xdr:cNvPr id="63" name="Диаграмма 62">
          <a:extLst>
            <a:ext uri="{FF2B5EF4-FFF2-40B4-BE49-F238E27FC236}">
              <a16:creationId xmlns:a16="http://schemas.microsoft.com/office/drawing/2014/main" id="{00000000-0008-0000-0000-00003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55</xdr:col>
      <xdr:colOff>52388</xdr:colOff>
      <xdr:row>10</xdr:row>
      <xdr:rowOff>12700</xdr:rowOff>
    </xdr:from>
    <xdr:to>
      <xdr:col>71</xdr:col>
      <xdr:colOff>514350</xdr:colOff>
      <xdr:row>48</xdr:row>
      <xdr:rowOff>0</xdr:rowOff>
    </xdr:to>
    <xdr:graphicFrame macro="">
      <xdr:nvGraphicFramePr>
        <xdr:cNvPr id="65" name="Диаграмма 64">
          <a:extLst>
            <a:ext uri="{FF2B5EF4-FFF2-40B4-BE49-F238E27FC236}">
              <a16:creationId xmlns:a16="http://schemas.microsoft.com/office/drawing/2014/main" id="{00000000-0008-0000-0000-00004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78</xdr:col>
      <xdr:colOff>90488</xdr:colOff>
      <xdr:row>9</xdr:row>
      <xdr:rowOff>190500</xdr:rowOff>
    </xdr:from>
    <xdr:to>
      <xdr:col>94</xdr:col>
      <xdr:colOff>552450</xdr:colOff>
      <xdr:row>47</xdr:row>
      <xdr:rowOff>209550</xdr:rowOff>
    </xdr:to>
    <xdr:graphicFrame macro="">
      <xdr:nvGraphicFramePr>
        <xdr:cNvPr id="66" name="Диаграмма 65">
          <a:extLst>
            <a:ext uri="{FF2B5EF4-FFF2-40B4-BE49-F238E27FC236}">
              <a16:creationId xmlns:a16="http://schemas.microsoft.com/office/drawing/2014/main" id="{00000000-0008-0000-0000-00004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206</xdr:col>
      <xdr:colOff>95250</xdr:colOff>
      <xdr:row>10</xdr:row>
      <xdr:rowOff>57150</xdr:rowOff>
    </xdr:from>
    <xdr:to>
      <xdr:col>222</xdr:col>
      <xdr:colOff>514350</xdr:colOff>
      <xdr:row>48</xdr:row>
      <xdr:rowOff>0</xdr:rowOff>
    </xdr:to>
    <xdr:graphicFrame macro="">
      <xdr:nvGraphicFramePr>
        <xdr:cNvPr id="68" name="Диаграмма 67">
          <a:extLst>
            <a:ext uri="{FF2B5EF4-FFF2-40B4-BE49-F238E27FC236}">
              <a16:creationId xmlns:a16="http://schemas.microsoft.com/office/drawing/2014/main" id="{00000000-0008-0000-0000-00004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182</xdr:col>
      <xdr:colOff>661988</xdr:colOff>
      <xdr:row>9</xdr:row>
      <xdr:rowOff>171450</xdr:rowOff>
    </xdr:from>
    <xdr:to>
      <xdr:col>199</xdr:col>
      <xdr:colOff>609600</xdr:colOff>
      <xdr:row>46</xdr:row>
      <xdr:rowOff>247650</xdr:rowOff>
    </xdr:to>
    <xdr:graphicFrame macro="">
      <xdr:nvGraphicFramePr>
        <xdr:cNvPr id="70" name="Диаграмма 69">
          <a:extLst>
            <a:ext uri="{FF2B5EF4-FFF2-40B4-BE49-F238E27FC236}">
              <a16:creationId xmlns:a16="http://schemas.microsoft.com/office/drawing/2014/main" id="{00000000-0008-0000-0000-00004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321</xdr:col>
      <xdr:colOff>109538</xdr:colOff>
      <xdr:row>10</xdr:row>
      <xdr:rowOff>31750</xdr:rowOff>
    </xdr:from>
    <xdr:to>
      <xdr:col>336</xdr:col>
      <xdr:colOff>609600</xdr:colOff>
      <xdr:row>48</xdr:row>
      <xdr:rowOff>19050</xdr:rowOff>
    </xdr:to>
    <xdr:graphicFrame macro="">
      <xdr:nvGraphicFramePr>
        <xdr:cNvPr id="73" name="Диаграмма 72">
          <a:extLst>
            <a:ext uri="{FF2B5EF4-FFF2-40B4-BE49-F238E27FC236}">
              <a16:creationId xmlns:a16="http://schemas.microsoft.com/office/drawing/2014/main" id="{00000000-0008-0000-0000-00004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342</xdr:col>
      <xdr:colOff>109538</xdr:colOff>
      <xdr:row>10</xdr:row>
      <xdr:rowOff>19050</xdr:rowOff>
    </xdr:from>
    <xdr:to>
      <xdr:col>359</xdr:col>
      <xdr:colOff>514350</xdr:colOff>
      <xdr:row>47</xdr:row>
      <xdr:rowOff>190500</xdr:rowOff>
    </xdr:to>
    <xdr:graphicFrame macro="">
      <xdr:nvGraphicFramePr>
        <xdr:cNvPr id="75" name="Диаграмма 74">
          <a:extLst>
            <a:ext uri="{FF2B5EF4-FFF2-40B4-BE49-F238E27FC236}">
              <a16:creationId xmlns:a16="http://schemas.microsoft.com/office/drawing/2014/main" id="{00000000-0008-0000-0000-00004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457</xdr:col>
      <xdr:colOff>52388</xdr:colOff>
      <xdr:row>10</xdr:row>
      <xdr:rowOff>12700</xdr:rowOff>
    </xdr:from>
    <xdr:to>
      <xdr:col>473</xdr:col>
      <xdr:colOff>514350</xdr:colOff>
      <xdr:row>48</xdr:row>
      <xdr:rowOff>0</xdr:rowOff>
    </xdr:to>
    <xdr:graphicFrame macro="">
      <xdr:nvGraphicFramePr>
        <xdr:cNvPr id="77" name="Диаграмма 76">
          <a:extLst>
            <a:ext uri="{FF2B5EF4-FFF2-40B4-BE49-F238E27FC236}">
              <a16:creationId xmlns:a16="http://schemas.microsoft.com/office/drawing/2014/main" id="{00000000-0008-0000-0000-00004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481</xdr:col>
      <xdr:colOff>52388</xdr:colOff>
      <xdr:row>10</xdr:row>
      <xdr:rowOff>165100</xdr:rowOff>
    </xdr:from>
    <xdr:to>
      <xdr:col>497</xdr:col>
      <xdr:colOff>476250</xdr:colOff>
      <xdr:row>47</xdr:row>
      <xdr:rowOff>209550</xdr:rowOff>
    </xdr:to>
    <xdr:graphicFrame macro="">
      <xdr:nvGraphicFramePr>
        <xdr:cNvPr id="78" name="Диаграмма 77">
          <a:extLst>
            <a:ext uri="{FF2B5EF4-FFF2-40B4-BE49-F238E27FC236}">
              <a16:creationId xmlns:a16="http://schemas.microsoft.com/office/drawing/2014/main" id="{00000000-0008-0000-0000-00004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616</xdr:col>
      <xdr:colOff>95249</xdr:colOff>
      <xdr:row>10</xdr:row>
      <xdr:rowOff>0</xdr:rowOff>
    </xdr:from>
    <xdr:to>
      <xdr:col>631</xdr:col>
      <xdr:colOff>0</xdr:colOff>
      <xdr:row>48</xdr:row>
      <xdr:rowOff>0</xdr:rowOff>
    </xdr:to>
    <xdr:graphicFrame macro="">
      <xdr:nvGraphicFramePr>
        <xdr:cNvPr id="79" name="Диаграмма 78">
          <a:extLst>
            <a:ext uri="{FF2B5EF4-FFF2-40B4-BE49-F238E27FC236}">
              <a16:creationId xmlns:a16="http://schemas.microsoft.com/office/drawing/2014/main" id="{00000000-0008-0000-0000-00004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593</xdr:col>
      <xdr:colOff>52388</xdr:colOff>
      <xdr:row>10</xdr:row>
      <xdr:rowOff>12700</xdr:rowOff>
    </xdr:from>
    <xdr:to>
      <xdr:col>610</xdr:col>
      <xdr:colOff>228600</xdr:colOff>
      <xdr:row>48</xdr:row>
      <xdr:rowOff>0</xdr:rowOff>
    </xdr:to>
    <xdr:graphicFrame macro="">
      <xdr:nvGraphicFramePr>
        <xdr:cNvPr id="80" name="Диаграмма 79">
          <a:extLst>
            <a:ext uri="{FF2B5EF4-FFF2-40B4-BE49-F238E27FC236}">
              <a16:creationId xmlns:a16="http://schemas.microsoft.com/office/drawing/2014/main" id="{00000000-0008-0000-0000-00005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616</xdr:col>
      <xdr:colOff>52388</xdr:colOff>
      <xdr:row>10</xdr:row>
      <xdr:rowOff>12700</xdr:rowOff>
    </xdr:from>
    <xdr:to>
      <xdr:col>631</xdr:col>
      <xdr:colOff>685800</xdr:colOff>
      <xdr:row>48</xdr:row>
      <xdr:rowOff>0</xdr:rowOff>
    </xdr:to>
    <xdr:graphicFrame macro="">
      <xdr:nvGraphicFramePr>
        <xdr:cNvPr id="81" name="Диаграмма 80">
          <a:extLst>
            <a:ext uri="{FF2B5EF4-FFF2-40B4-BE49-F238E27FC236}">
              <a16:creationId xmlns:a16="http://schemas.microsoft.com/office/drawing/2014/main" id="{00000000-0008-0000-0000-00005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oneCellAnchor>
    <xdr:from>
      <xdr:col>135</xdr:col>
      <xdr:colOff>508001</xdr:colOff>
      <xdr:row>20</xdr:row>
      <xdr:rowOff>144615</xdr:rowOff>
    </xdr:from>
    <xdr:ext cx="1579562" cy="561868"/>
    <xdr:sp macro="" textlink="">
      <xdr:nvSpPr>
        <xdr:cNvPr id="82" name="TextBox 7">
          <a:extLst>
            <a:ext uri="{FF2B5EF4-FFF2-40B4-BE49-F238E27FC236}">
              <a16:creationId xmlns:a16="http://schemas.microsoft.com/office/drawing/2014/main" id="{00000000-0008-0000-0000-000052000000}"/>
            </a:ext>
          </a:extLst>
        </xdr:cNvPr>
        <xdr:cNvSpPr txBox="1"/>
      </xdr:nvSpPr>
      <xdr:spPr>
        <a:xfrm>
          <a:off x="55816501" y="3319615"/>
          <a:ext cx="1579562" cy="56186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ru-RU" sz="1600">
            <a:latin typeface="Arial" pitchFamily="34" charset="0"/>
            <a:cs typeface="Arial" pitchFamily="34" charset="0"/>
          </a:endParaRPr>
        </a:p>
      </xdr:txBody>
    </xdr:sp>
    <xdr:clientData/>
  </xdr:oneCellAnchor>
  <xdr:twoCellAnchor>
    <xdr:from>
      <xdr:col>100</xdr:col>
      <xdr:colOff>52388</xdr:colOff>
      <xdr:row>10</xdr:row>
      <xdr:rowOff>12700</xdr:rowOff>
    </xdr:from>
    <xdr:to>
      <xdr:col>116</xdr:col>
      <xdr:colOff>514350</xdr:colOff>
      <xdr:row>48</xdr:row>
      <xdr:rowOff>0</xdr:rowOff>
    </xdr:to>
    <xdr:graphicFrame macro="">
      <xdr:nvGraphicFramePr>
        <xdr:cNvPr id="84" name="Диаграмма 83">
          <a:extLst>
            <a:ext uri="{FF2B5EF4-FFF2-40B4-BE49-F238E27FC236}">
              <a16:creationId xmlns:a16="http://schemas.microsoft.com/office/drawing/2014/main" id="{00000000-0008-0000-0000-00005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122</xdr:col>
      <xdr:colOff>147638</xdr:colOff>
      <xdr:row>10</xdr:row>
      <xdr:rowOff>31750</xdr:rowOff>
    </xdr:from>
    <xdr:to>
      <xdr:col>133</xdr:col>
      <xdr:colOff>914400</xdr:colOff>
      <xdr:row>48</xdr:row>
      <xdr:rowOff>19050</xdr:rowOff>
    </xdr:to>
    <xdr:graphicFrame macro="">
      <xdr:nvGraphicFramePr>
        <xdr:cNvPr id="85" name="Диаграмма 84">
          <a:extLst>
            <a:ext uri="{FF2B5EF4-FFF2-40B4-BE49-F238E27FC236}">
              <a16:creationId xmlns:a16="http://schemas.microsoft.com/office/drawing/2014/main" id="{00000000-0008-0000-0000-00005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228</xdr:col>
      <xdr:colOff>52388</xdr:colOff>
      <xdr:row>10</xdr:row>
      <xdr:rowOff>12700</xdr:rowOff>
    </xdr:from>
    <xdr:to>
      <xdr:col>244</xdr:col>
      <xdr:colOff>514350</xdr:colOff>
      <xdr:row>48</xdr:row>
      <xdr:rowOff>0</xdr:rowOff>
    </xdr:to>
    <xdr:graphicFrame macro="">
      <xdr:nvGraphicFramePr>
        <xdr:cNvPr id="87" name="Диаграмма 86">
          <a:extLst>
            <a:ext uri="{FF2B5EF4-FFF2-40B4-BE49-F238E27FC236}">
              <a16:creationId xmlns:a16="http://schemas.microsoft.com/office/drawing/2014/main" id="{00000000-0008-0000-0000-00005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251</xdr:col>
      <xdr:colOff>192088</xdr:colOff>
      <xdr:row>9</xdr:row>
      <xdr:rowOff>174625</xdr:rowOff>
    </xdr:from>
    <xdr:to>
      <xdr:col>268</xdr:col>
      <xdr:colOff>476250</xdr:colOff>
      <xdr:row>47</xdr:row>
      <xdr:rowOff>209550</xdr:rowOff>
    </xdr:to>
    <xdr:graphicFrame macro="">
      <xdr:nvGraphicFramePr>
        <xdr:cNvPr id="88" name="Диаграмма 87">
          <a:extLst>
            <a:ext uri="{FF2B5EF4-FFF2-40B4-BE49-F238E27FC236}">
              <a16:creationId xmlns:a16="http://schemas.microsoft.com/office/drawing/2014/main" id="{00000000-0008-0000-0000-00005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365</xdr:col>
      <xdr:colOff>52388</xdr:colOff>
      <xdr:row>10</xdr:row>
      <xdr:rowOff>12700</xdr:rowOff>
    </xdr:from>
    <xdr:to>
      <xdr:col>382</xdr:col>
      <xdr:colOff>685800</xdr:colOff>
      <xdr:row>48</xdr:row>
      <xdr:rowOff>0</xdr:rowOff>
    </xdr:to>
    <xdr:graphicFrame macro="">
      <xdr:nvGraphicFramePr>
        <xdr:cNvPr id="90" name="Диаграмма 89">
          <a:extLst>
            <a:ext uri="{FF2B5EF4-FFF2-40B4-BE49-F238E27FC236}">
              <a16:creationId xmlns:a16="http://schemas.microsoft.com/office/drawing/2014/main" id="{00000000-0008-0000-0000-00005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390</xdr:col>
      <xdr:colOff>95250</xdr:colOff>
      <xdr:row>10</xdr:row>
      <xdr:rowOff>50800</xdr:rowOff>
    </xdr:from>
    <xdr:to>
      <xdr:col>407</xdr:col>
      <xdr:colOff>533400</xdr:colOff>
      <xdr:row>48</xdr:row>
      <xdr:rowOff>38100</xdr:rowOff>
    </xdr:to>
    <xdr:graphicFrame macro="">
      <xdr:nvGraphicFramePr>
        <xdr:cNvPr id="91" name="Диаграмма 90">
          <a:extLst>
            <a:ext uri="{FF2B5EF4-FFF2-40B4-BE49-F238E27FC236}">
              <a16:creationId xmlns:a16="http://schemas.microsoft.com/office/drawing/2014/main" id="{00000000-0008-0000-0000-00005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503</xdr:col>
      <xdr:colOff>71438</xdr:colOff>
      <xdr:row>10</xdr:row>
      <xdr:rowOff>184150</xdr:rowOff>
    </xdr:from>
    <xdr:to>
      <xdr:col>519</xdr:col>
      <xdr:colOff>533400</xdr:colOff>
      <xdr:row>47</xdr:row>
      <xdr:rowOff>228600</xdr:rowOff>
    </xdr:to>
    <xdr:graphicFrame macro="">
      <xdr:nvGraphicFramePr>
        <xdr:cNvPr id="93" name="Диаграмма 92">
          <a:extLst>
            <a:ext uri="{FF2B5EF4-FFF2-40B4-BE49-F238E27FC236}">
              <a16:creationId xmlns:a16="http://schemas.microsoft.com/office/drawing/2014/main" id="{00000000-0008-0000-0000-00005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525</xdr:col>
      <xdr:colOff>52388</xdr:colOff>
      <xdr:row>10</xdr:row>
      <xdr:rowOff>12700</xdr:rowOff>
    </xdr:from>
    <xdr:to>
      <xdr:col>542</xdr:col>
      <xdr:colOff>495300</xdr:colOff>
      <xdr:row>48</xdr:row>
      <xdr:rowOff>0</xdr:rowOff>
    </xdr:to>
    <xdr:graphicFrame macro="">
      <xdr:nvGraphicFramePr>
        <xdr:cNvPr id="94" name="Диаграмма 93">
          <a:extLst>
            <a:ext uri="{FF2B5EF4-FFF2-40B4-BE49-F238E27FC236}">
              <a16:creationId xmlns:a16="http://schemas.microsoft.com/office/drawing/2014/main" id="{00000000-0008-0000-0000-00005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637</xdr:col>
      <xdr:colOff>52388</xdr:colOff>
      <xdr:row>10</xdr:row>
      <xdr:rowOff>12700</xdr:rowOff>
    </xdr:from>
    <xdr:to>
      <xdr:col>653</xdr:col>
      <xdr:colOff>514350</xdr:colOff>
      <xdr:row>48</xdr:row>
      <xdr:rowOff>0</xdr:rowOff>
    </xdr:to>
    <xdr:graphicFrame macro="">
      <xdr:nvGraphicFramePr>
        <xdr:cNvPr id="96" name="Диаграмма 95">
          <a:extLst>
            <a:ext uri="{FF2B5EF4-FFF2-40B4-BE49-F238E27FC236}">
              <a16:creationId xmlns:a16="http://schemas.microsoft.com/office/drawing/2014/main" id="{00000000-0008-0000-0000-00006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659</xdr:col>
      <xdr:colOff>52388</xdr:colOff>
      <xdr:row>10</xdr:row>
      <xdr:rowOff>12700</xdr:rowOff>
    </xdr:from>
    <xdr:to>
      <xdr:col>675</xdr:col>
      <xdr:colOff>438150</xdr:colOff>
      <xdr:row>48</xdr:row>
      <xdr:rowOff>0</xdr:rowOff>
    </xdr:to>
    <xdr:graphicFrame macro="">
      <xdr:nvGraphicFramePr>
        <xdr:cNvPr id="97" name="Диаграмма 96">
          <a:extLst>
            <a:ext uri="{FF2B5EF4-FFF2-40B4-BE49-F238E27FC236}">
              <a16:creationId xmlns:a16="http://schemas.microsoft.com/office/drawing/2014/main" id="{00000000-0008-0000-0000-00006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oneCellAnchor>
    <xdr:from>
      <xdr:col>621</xdr:col>
      <xdr:colOff>114300</xdr:colOff>
      <xdr:row>38</xdr:row>
      <xdr:rowOff>247650</xdr:rowOff>
    </xdr:from>
    <xdr:ext cx="5143500" cy="505267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 txBox="1"/>
      </xdr:nvSpPr>
      <xdr:spPr>
        <a:xfrm>
          <a:off x="53397150" y="56216550"/>
          <a:ext cx="5143500" cy="50526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2800">
              <a:latin typeface="Arial" panose="020B0604020202020204" pitchFamily="34" charset="0"/>
              <a:cs typeface="Arial" panose="020B0604020202020204" pitchFamily="34" charset="0"/>
            </a:rPr>
            <a:t>^XOS = ^fos*FS = 0,809*FS</a:t>
          </a:r>
          <a:endParaRPr lang="ru-RU" sz="28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oneCellAnchor>
  <xdr:oneCellAnchor>
    <xdr:from>
      <xdr:col>234</xdr:col>
      <xdr:colOff>476250</xdr:colOff>
      <xdr:row>34</xdr:row>
      <xdr:rowOff>0</xdr:rowOff>
    </xdr:from>
    <xdr:ext cx="2988190" cy="505267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 txBox="1"/>
      </xdr:nvSpPr>
      <xdr:spPr>
        <a:xfrm>
          <a:off x="66103500" y="17335500"/>
          <a:ext cx="2988190" cy="50526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800">
              <a:latin typeface="Arial" panose="020B0604020202020204" pitchFamily="34" charset="0"/>
              <a:cs typeface="Arial" panose="020B0604020202020204" pitchFamily="34" charset="0"/>
            </a:rPr>
            <a:t>qIM = IMS / XOS</a:t>
          </a:r>
          <a:endParaRPr lang="ru-RU" sz="28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oneCellAnchor>
  <xdr:oneCellAnchor>
    <xdr:from>
      <xdr:col>396</xdr:col>
      <xdr:colOff>533400</xdr:colOff>
      <xdr:row>32</xdr:row>
      <xdr:rowOff>38100</xdr:rowOff>
    </xdr:from>
    <xdr:ext cx="768865" cy="387286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SpPr txBox="1"/>
      </xdr:nvSpPr>
      <xdr:spPr>
        <a:xfrm>
          <a:off x="84277200" y="28098750"/>
          <a:ext cx="768865" cy="3872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000" b="1">
              <a:latin typeface="Arial" panose="020B0604020202020204" pitchFamily="34" charset="0"/>
              <a:cs typeface="Arial" panose="020B0604020202020204" pitchFamily="34" charset="0"/>
            </a:rPr>
            <a:t>Dww</a:t>
          </a:r>
          <a:endParaRPr lang="ru-RU" sz="2000" b="1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oneCellAnchor>
  <xdr:oneCellAnchor>
    <xdr:from>
      <xdr:col>396</xdr:col>
      <xdr:colOff>590550</xdr:colOff>
      <xdr:row>27</xdr:row>
      <xdr:rowOff>152400</xdr:rowOff>
    </xdr:from>
    <xdr:ext cx="612219" cy="387286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SpPr txBox="1"/>
      </xdr:nvSpPr>
      <xdr:spPr>
        <a:xfrm>
          <a:off x="84334350" y="27070050"/>
          <a:ext cx="612219" cy="3872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000" b="1">
              <a:latin typeface="Arial" panose="020B0604020202020204" pitchFamily="34" charset="0"/>
              <a:cs typeface="Arial" panose="020B0604020202020204" pitchFamily="34" charset="0"/>
            </a:rPr>
            <a:t>IPC</a:t>
          </a:r>
          <a:endParaRPr lang="ru-RU" sz="2000" b="1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oneCellAnchor>
  <xdr:oneCellAnchor>
    <xdr:from>
      <xdr:col>396</xdr:col>
      <xdr:colOff>628650</xdr:colOff>
      <xdr:row>24</xdr:row>
      <xdr:rowOff>114300</xdr:rowOff>
    </xdr:from>
    <xdr:ext cx="441146" cy="387286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SpPr txBox="1"/>
      </xdr:nvSpPr>
      <xdr:spPr>
        <a:xfrm>
          <a:off x="84372450" y="26346150"/>
          <a:ext cx="441146" cy="3872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000" b="1">
              <a:latin typeface="Arial" panose="020B0604020202020204" pitchFamily="34" charset="0"/>
              <a:cs typeface="Arial" panose="020B0604020202020204" pitchFamily="34" charset="0"/>
            </a:rPr>
            <a:t>D</a:t>
          </a:r>
          <a:r>
            <a:rPr lang="en-US" sz="2000">
              <a:latin typeface="Arial" panose="020B0604020202020204" pitchFamily="34" charset="0"/>
              <a:cs typeface="Arial" panose="020B0604020202020204" pitchFamily="34" charset="0"/>
            </a:rPr>
            <a:t>f</a:t>
          </a:r>
          <a:endParaRPr lang="ru-RU" sz="20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oneCellAnchor>
  <xdr:oneCellAnchor>
    <xdr:from>
      <xdr:col>88</xdr:col>
      <xdr:colOff>171450</xdr:colOff>
      <xdr:row>23</xdr:row>
      <xdr:rowOff>152400</xdr:rowOff>
    </xdr:from>
    <xdr:ext cx="2977803" cy="357790"/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SpPr txBox="1"/>
      </xdr:nvSpPr>
      <xdr:spPr>
        <a:xfrm>
          <a:off x="55892700" y="6096000"/>
          <a:ext cx="2977803" cy="35779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1800">
              <a:latin typeface="Arial" panose="020B0604020202020204" pitchFamily="34" charset="0"/>
              <a:cs typeface="Arial" panose="020B0604020202020204" pitchFamily="34" charset="0"/>
            </a:rPr>
            <a:t>ЭКСПЕРТНЫЙ</a:t>
          </a:r>
          <a:r>
            <a:rPr lang="ru-RU" sz="1800" baseline="0">
              <a:latin typeface="Arial" panose="020B0604020202020204" pitchFamily="34" charset="0"/>
              <a:cs typeface="Arial" panose="020B0604020202020204" pitchFamily="34" charset="0"/>
            </a:rPr>
            <a:t> ПРОГНОЗ</a:t>
          </a:r>
          <a:endParaRPr lang="ru-RU" sz="18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oneCellAnchor>
  <xdr:oneCellAnchor>
    <xdr:from>
      <xdr:col>354</xdr:col>
      <xdr:colOff>209550</xdr:colOff>
      <xdr:row>30</xdr:row>
      <xdr:rowOff>57150</xdr:rowOff>
    </xdr:from>
    <xdr:ext cx="1294713" cy="357790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SpPr txBox="1"/>
      </xdr:nvSpPr>
      <xdr:spPr>
        <a:xfrm>
          <a:off x="57759600" y="30746700"/>
          <a:ext cx="1294713" cy="35779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1800">
              <a:latin typeface="Arial" panose="020B0604020202020204" pitchFamily="34" charset="0"/>
              <a:cs typeface="Arial" panose="020B0604020202020204" pitchFamily="34" charset="0"/>
            </a:rPr>
            <a:t>ПРОГНОЗ</a:t>
          </a:r>
        </a:p>
      </xdr:txBody>
    </xdr:sp>
    <xdr:clientData/>
  </xdr:oneCellAnchor>
  <xdr:oneCellAnchor>
    <xdr:from>
      <xdr:col>346</xdr:col>
      <xdr:colOff>457200</xdr:colOff>
      <xdr:row>30</xdr:row>
      <xdr:rowOff>19050</xdr:rowOff>
    </xdr:from>
    <xdr:ext cx="870816" cy="328295"/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SpPr txBox="1"/>
      </xdr:nvSpPr>
      <xdr:spPr>
        <a:xfrm>
          <a:off x="53130450" y="30708600"/>
          <a:ext cx="870816" cy="32829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1600">
              <a:latin typeface="Arial" panose="020B0604020202020204" pitchFamily="34" charset="0"/>
              <a:cs typeface="Arial" panose="020B0604020202020204" pitchFamily="34" charset="0"/>
            </a:rPr>
            <a:t>ТРЕНД</a:t>
          </a:r>
        </a:p>
      </xdr:txBody>
    </xdr:sp>
    <xdr:clientData/>
  </xdr:one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0.08002</cdr:x>
      <cdr:y>0.03148</cdr:y>
    </cdr:from>
    <cdr:to>
      <cdr:x>0.18998</cdr:x>
      <cdr:y>0.09005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35514" y="273361"/>
          <a:ext cx="1010737" cy="50859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</a:t>
          </a:r>
        </a:p>
      </cdr:txBody>
    </cdr:sp>
  </cdr:relSizeAnchor>
  <cdr:relSizeAnchor xmlns:cdr="http://schemas.openxmlformats.org/drawingml/2006/chartDrawing">
    <cdr:from>
      <cdr:x>0.25698</cdr:x>
      <cdr:y>0.08871</cdr:y>
    </cdr:from>
    <cdr:to>
      <cdr:x>0.8532</cdr:x>
      <cdr:y>0.18099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2362097" y="770282"/>
          <a:ext cx="5480153" cy="8013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БАЗИСНЫЕ ТЕМПЫ</a:t>
          </a:r>
          <a:r>
            <a:rPr lang="ru-RU" sz="2000" b="1" baseline="0">
              <a:latin typeface="Arial" pitchFamily="34" charset="0"/>
              <a:cs typeface="Arial" pitchFamily="34" charset="0"/>
            </a:rPr>
            <a:t> ВАЛОВОГО</a:t>
          </a:r>
        </a:p>
        <a:p xmlns:a="http://schemas.openxmlformats.org/drawingml/2006/main">
          <a:r>
            <a:rPr lang="ru-RU" sz="2000" b="1" baseline="0">
              <a:latin typeface="Arial" pitchFamily="34" charset="0"/>
              <a:cs typeface="Arial" pitchFamily="34" charset="0"/>
            </a:rPr>
            <a:t> ВНУТРЕННЕГО ПРОДУКТА</a:t>
          </a:r>
          <a:r>
            <a:rPr lang="ru-RU" sz="2000" b="1">
              <a:latin typeface="Arial" pitchFamily="34" charset="0"/>
              <a:cs typeface="Arial" pitchFamily="34" charset="0"/>
            </a:rPr>
            <a:t> </a:t>
          </a:r>
        </a:p>
      </cdr:txBody>
    </cdr:sp>
  </cdr:relSizeAnchor>
  <cdr:relSizeAnchor xmlns:cdr="http://schemas.openxmlformats.org/drawingml/2006/chartDrawing">
    <cdr:from>
      <cdr:x>0.80465</cdr:x>
      <cdr:y>0.88778</cdr:y>
    </cdr:from>
    <cdr:to>
      <cdr:x>0.93092</cdr:x>
      <cdr:y>0.93236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C62E565B-F758-4D5E-85D4-ACC5727F5068}"/>
            </a:ext>
          </a:extLst>
        </cdr:cNvPr>
        <cdr:cNvSpPr txBox="1"/>
      </cdr:nvSpPr>
      <cdr:spPr>
        <a:xfrm xmlns:a="http://schemas.openxmlformats.org/drawingml/2006/main">
          <a:off x="7396021" y="7709114"/>
          <a:ext cx="1160606" cy="3871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baseline="0">
              <a:latin typeface="Arial" pitchFamily="34" charset="0"/>
              <a:cs typeface="Arial" pitchFamily="34" charset="0"/>
            </a:rPr>
            <a:t>  </a:t>
          </a:r>
          <a:r>
            <a:rPr lang="ru-RU" sz="1800" b="1" baseline="0">
              <a:latin typeface="Arial" pitchFamily="34" charset="0"/>
              <a:cs typeface="Arial" pitchFamily="34" charset="0"/>
            </a:rPr>
            <a:t>ВРЕМЯ</a:t>
          </a:r>
          <a:endParaRPr lang="ru-RU" sz="18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0.09499</cdr:x>
      <cdr:y>0.06114</cdr:y>
    </cdr:from>
    <cdr:to>
      <cdr:x>0.16753</cdr:x>
      <cdr:y>0.10833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C05C57E-6B9F-4CA9-9390-B31B20F966A5}"/>
            </a:ext>
          </a:extLst>
        </cdr:cNvPr>
        <cdr:cNvSpPr txBox="1"/>
      </cdr:nvSpPr>
      <cdr:spPr>
        <a:xfrm xmlns:a="http://schemas.openxmlformats.org/drawingml/2006/main">
          <a:off x="873127" y="530930"/>
          <a:ext cx="666749" cy="4097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2400" b="1">
              <a:latin typeface="Arial" pitchFamily="34" charset="0"/>
              <a:cs typeface="Arial" pitchFamily="34" charset="0"/>
            </a:rPr>
            <a:t>Pw</a:t>
          </a:r>
          <a:r>
            <a:rPr lang="ru-RU" sz="2000">
              <a:latin typeface="Arial" pitchFamily="34" charset="0"/>
              <a:cs typeface="Arial" pitchFamily="34" charset="0"/>
            </a:rPr>
            <a:t> </a:t>
          </a:r>
          <a:r>
            <a:rPr lang="ru-RU" sz="1800">
              <a:latin typeface="Arial" pitchFamily="34" charset="0"/>
              <a:cs typeface="Arial" pitchFamily="34" charset="0"/>
            </a:rPr>
            <a:t>   </a:t>
          </a:r>
        </a:p>
      </cdr:txBody>
    </cdr:sp>
  </cdr:relSizeAnchor>
  <cdr:relSizeAnchor xmlns:cdr="http://schemas.openxmlformats.org/drawingml/2006/chartDrawing">
    <cdr:from>
      <cdr:x>0.40417</cdr:x>
      <cdr:y>0.59198</cdr:y>
    </cdr:from>
    <cdr:to>
      <cdr:x>0.48014</cdr:x>
      <cdr:y>0.63437</cdr:y>
    </cdr:to>
    <cdr:sp macro="" textlink="">
      <cdr:nvSpPr>
        <cdr:cNvPr id="9" name="TextBox 5">
          <a:extLst xmlns:a="http://schemas.openxmlformats.org/drawingml/2006/main">
            <a:ext uri="{FF2B5EF4-FFF2-40B4-BE49-F238E27FC236}">
              <a16:creationId xmlns:a16="http://schemas.microsoft.com/office/drawing/2014/main" id="{71F1EE7D-ED1E-453C-A8EA-CE26BCBCF352}"/>
            </a:ext>
          </a:extLst>
        </cdr:cNvPr>
        <cdr:cNvSpPr txBox="1"/>
      </cdr:nvSpPr>
      <cdr:spPr>
        <a:xfrm xmlns:a="http://schemas.openxmlformats.org/drawingml/2006/main">
          <a:off x="3714947" y="5140564"/>
          <a:ext cx="698288" cy="36809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400">
              <a:latin typeface="Arial" pitchFamily="34" charset="0"/>
              <a:cs typeface="Arial" pitchFamily="34" charset="0"/>
            </a:rPr>
            <a:t>ОТЧЁТ</a:t>
          </a:r>
        </a:p>
        <a:p xmlns:a="http://schemas.openxmlformats.org/drawingml/2006/main">
          <a:r>
            <a:rPr lang="ru-RU" sz="1400">
              <a:latin typeface="Arial" pitchFamily="34" charset="0"/>
              <a:cs typeface="Arial" pitchFamily="34" charset="0"/>
            </a:rPr>
            <a:t>  </a:t>
          </a:r>
        </a:p>
      </cdr:txBody>
    </cdr: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0.25627</cdr:x>
      <cdr:y>0.0688</cdr:y>
    </cdr:from>
    <cdr:to>
      <cdr:x>0.82277</cdr:x>
      <cdr:y>0.15368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2696013" y="689867"/>
          <a:ext cx="5959785" cy="8510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algn="l"/>
          <a:r>
            <a:rPr lang="ru-RU" sz="2000" b="1">
              <a:latin typeface="Arial" pitchFamily="34" charset="0"/>
              <a:cs typeface="Arial" pitchFamily="34" charset="0"/>
            </a:rPr>
            <a:t>  ДИНАМИКА</a:t>
          </a:r>
          <a:r>
            <a:rPr lang="en-US" sz="2000" b="1">
              <a:latin typeface="Arial" pitchFamily="34" charset="0"/>
              <a:cs typeface="Arial" pitchFamily="34" charset="0"/>
            </a:rPr>
            <a:t> </a:t>
          </a:r>
          <a:r>
            <a:rPr lang="en-US" sz="2000" b="1" baseline="0">
              <a:latin typeface="Arial" pitchFamily="34" charset="0"/>
              <a:cs typeface="Arial" pitchFamily="34" charset="0"/>
            </a:rPr>
            <a:t> </a:t>
          </a:r>
          <a:r>
            <a:rPr lang="ru-RU" sz="2000" b="1" baseline="0">
              <a:latin typeface="Arial" pitchFamily="34" charset="0"/>
              <a:cs typeface="Arial" pitchFamily="34" charset="0"/>
            </a:rPr>
            <a:t>ГОДОВЫХ ТЕМПОВ</a:t>
          </a:r>
          <a:endParaRPr lang="ru-RU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pPr algn="l"/>
          <a:r>
            <a:rPr lang="ru-RU" sz="2000" b="1">
              <a:latin typeface="Arial" pitchFamily="34" charset="0"/>
              <a:cs typeface="Arial" pitchFamily="34" charset="0"/>
            </a:rPr>
            <a:t>  ВАЛОВОГО ВНУТРЕННЕГО ПРОДУКТА</a:t>
          </a:r>
        </a:p>
        <a:p xmlns:a="http://schemas.openxmlformats.org/drawingml/2006/main">
          <a:pPr algn="l"/>
          <a:r>
            <a:rPr lang="ru-RU" sz="2000" b="1">
              <a:latin typeface="Arial" pitchFamily="34" charset="0"/>
              <a:cs typeface="Arial" pitchFamily="34" charset="0"/>
            </a:rPr>
            <a:t>  </a:t>
          </a:r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pPr algn="l"/>
          <a:r>
            <a:rPr lang="en-US" sz="2000" b="1">
              <a:latin typeface="Arial" pitchFamily="34" charset="0"/>
              <a:cs typeface="Arial" pitchFamily="34" charset="0"/>
            </a:rPr>
            <a:t> </a:t>
          </a:r>
          <a:r>
            <a:rPr lang="en-US" sz="2000" b="1" baseline="0">
              <a:latin typeface="Arial" pitchFamily="34" charset="0"/>
              <a:cs typeface="Arial" pitchFamily="34" charset="0"/>
            </a:rPr>
            <a:t> </a:t>
          </a:r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en-US" sz="2000" b="1">
              <a:latin typeface="Arial" pitchFamily="34" charset="0"/>
              <a:cs typeface="Arial" pitchFamily="34" charset="0"/>
            </a:rPr>
            <a:t>                     </a:t>
          </a:r>
          <a:endParaRPr lang="ru-RU" sz="20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0.8174</cdr:x>
      <cdr:y>0.86917</cdr:y>
    </cdr:from>
    <cdr:to>
      <cdr:x>0.93843</cdr:x>
      <cdr:y>0.90896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C62E565B-F758-4D5E-85D4-ACC5727F5068}"/>
            </a:ext>
          </a:extLst>
        </cdr:cNvPr>
        <cdr:cNvSpPr txBox="1"/>
      </cdr:nvSpPr>
      <cdr:spPr>
        <a:xfrm xmlns:a="http://schemas.openxmlformats.org/drawingml/2006/main">
          <a:off x="8599316" y="7820774"/>
          <a:ext cx="1273346" cy="35802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baseline="0">
              <a:latin typeface="Arial" pitchFamily="34" charset="0"/>
              <a:cs typeface="Arial" pitchFamily="34" charset="0"/>
            </a:rPr>
            <a:t>  </a:t>
          </a:r>
          <a:r>
            <a:rPr lang="ru-RU" sz="1800" b="1" baseline="0">
              <a:latin typeface="Arial" pitchFamily="34" charset="0"/>
              <a:cs typeface="Arial" pitchFamily="34" charset="0"/>
            </a:rPr>
            <a:t> ВРЕМЯ</a:t>
          </a:r>
          <a:endParaRPr lang="ru-RU" sz="18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C05C57E-6B9F-4CA9-9390-B31B20F966A5}"/>
            </a:ext>
          </a:extLst>
        </cdr:cNvPr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0.65178</cdr:x>
      <cdr:y>0.55172</cdr:y>
    </cdr:from>
    <cdr:to>
      <cdr:x>0.99457</cdr:x>
      <cdr:y>0.62069</cdr:y>
    </cdr:to>
    <cdr:sp macro="" textlink="">
      <cdr:nvSpPr>
        <cdr:cNvPr id="9" name="TextBox 5">
          <a:extLst xmlns:a="http://schemas.openxmlformats.org/drawingml/2006/main">
            <a:ext uri="{FF2B5EF4-FFF2-40B4-BE49-F238E27FC236}">
              <a16:creationId xmlns:a16="http://schemas.microsoft.com/office/drawing/2014/main" id="{71F1EE7D-ED1E-453C-A8EA-CE26BCBCF352}"/>
            </a:ext>
          </a:extLst>
        </cdr:cNvPr>
        <cdr:cNvSpPr txBox="1"/>
      </cdr:nvSpPr>
      <cdr:spPr>
        <a:xfrm xmlns:a="http://schemas.openxmlformats.org/drawingml/2006/main">
          <a:off x="6856946" y="5486382"/>
          <a:ext cx="3606275" cy="68584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Прогноз</a:t>
          </a:r>
          <a:r>
            <a:rPr lang="ru-RU" sz="1800" baseline="0">
              <a:latin typeface="Arial" pitchFamily="34" charset="0"/>
              <a:cs typeface="Arial" pitchFamily="34" charset="0"/>
            </a:rPr>
            <a:t> Минэкономразвития</a:t>
          </a:r>
          <a:r>
            <a:rPr lang="ru-RU" sz="1800">
              <a:latin typeface="Arial" pitchFamily="34" charset="0"/>
              <a:cs typeface="Arial" pitchFamily="34" charset="0"/>
            </a:rPr>
            <a:t>  с</a:t>
          </a:r>
        </a:p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учётом эпидемии КВ</a:t>
          </a:r>
        </a:p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</a:t>
          </a:r>
        </a:p>
      </cdr:txBody>
    </cdr:sp>
  </cdr:relSizeAnchor>
  <cdr:relSizeAnchor xmlns:cdr="http://schemas.openxmlformats.org/drawingml/2006/chartDrawing">
    <cdr:from>
      <cdr:x>0.67949</cdr:x>
      <cdr:y>0.56513</cdr:y>
    </cdr:from>
    <cdr:to>
      <cdr:x>0.76641</cdr:x>
      <cdr:y>0.65709</cdr:y>
    </cdr:to>
    <cdr:sp macro="" textlink="">
      <cdr:nvSpPr>
        <cdr:cNvPr id="8" name="TextBox 7"/>
        <cdr:cNvSpPr txBox="1"/>
      </cdr:nvSpPr>
      <cdr:spPr>
        <a:xfrm xmlns:a="http://schemas.openxmlformats.org/drawingml/2006/main">
          <a:off x="7148512" y="561975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/>
        <a:p xmlns:a="http://schemas.openxmlformats.org/drawingml/2006/main">
          <a:endParaRPr lang="ru-RU" sz="1100"/>
        </a:p>
      </cdr:txBody>
    </cdr:sp>
  </cdr:relSizeAnchor>
  <cdr:relSizeAnchor xmlns:cdr="http://schemas.openxmlformats.org/drawingml/2006/chartDrawing">
    <cdr:from>
      <cdr:x>0.52558</cdr:x>
      <cdr:y>0.35249</cdr:y>
    </cdr:from>
    <cdr:to>
      <cdr:x>0.77909</cdr:x>
      <cdr:y>0.42337</cdr:y>
    </cdr:to>
    <cdr:sp macro="" textlink="">
      <cdr:nvSpPr>
        <cdr:cNvPr id="10" name="TextBox 9"/>
        <cdr:cNvSpPr txBox="1"/>
      </cdr:nvSpPr>
      <cdr:spPr>
        <a:xfrm xmlns:a="http://schemas.openxmlformats.org/drawingml/2006/main">
          <a:off x="5529278" y="3505216"/>
          <a:ext cx="2666984" cy="70483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Прогноз </a:t>
          </a:r>
          <a:r>
            <a:rPr lang="en-US" sz="1800">
              <a:latin typeface="Arial" pitchFamily="34" charset="0"/>
              <a:cs typeface="Arial" pitchFamily="34" charset="0"/>
            </a:rPr>
            <a:t> </a:t>
          </a:r>
          <a:r>
            <a:rPr lang="ru-RU" sz="1800">
              <a:latin typeface="Arial" pitchFamily="34" charset="0"/>
              <a:cs typeface="Arial" pitchFamily="34" charset="0"/>
            </a:rPr>
            <a:t>по модели</a:t>
          </a:r>
          <a:endParaRPr lang="ru-RU" sz="2000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без учёта эпидемии КВ</a:t>
          </a:r>
          <a:endParaRPr lang="ru-RU" sz="1600">
            <a:latin typeface="Arial" pitchFamily="34" charset="0"/>
            <a:cs typeface="Arial" pitchFamily="34" charset="0"/>
          </a:endParaRPr>
        </a:p>
      </cdr:txBody>
    </cdr:sp>
  </cdr:relSizeAnchor>
</c:userShapes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0.26449</cdr:x>
      <cdr:y>0.07426</cdr:y>
    </cdr:from>
    <cdr:to>
      <cdr:x>0.83099</cdr:x>
      <cdr:y>0.16125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2675085" y="726395"/>
          <a:ext cx="5729559" cy="85095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algn="l"/>
          <a:r>
            <a:rPr lang="ru-RU" sz="2000" b="1">
              <a:latin typeface="Arial" pitchFamily="34" charset="0"/>
              <a:cs typeface="Arial" pitchFamily="34" charset="0"/>
            </a:rPr>
            <a:t>  ДИНАМИКА</a:t>
          </a:r>
          <a:r>
            <a:rPr lang="en-US" sz="2000" b="1">
              <a:latin typeface="Arial" pitchFamily="34" charset="0"/>
              <a:cs typeface="Arial" pitchFamily="34" charset="0"/>
            </a:rPr>
            <a:t> </a:t>
          </a:r>
          <a:r>
            <a:rPr lang="en-US" sz="2000" b="1" baseline="0">
              <a:latin typeface="Arial" pitchFamily="34" charset="0"/>
              <a:cs typeface="Arial" pitchFamily="34" charset="0"/>
            </a:rPr>
            <a:t> </a:t>
          </a:r>
          <a:r>
            <a:rPr lang="ru-RU" sz="2000" b="1" baseline="0">
              <a:latin typeface="Arial" pitchFamily="34" charset="0"/>
              <a:cs typeface="Arial" pitchFamily="34" charset="0"/>
            </a:rPr>
            <a:t>БАЗИСНЫХ ТЕМПОВ</a:t>
          </a:r>
          <a:endParaRPr lang="ru-RU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pPr algn="l"/>
          <a:r>
            <a:rPr lang="ru-RU" sz="2000" b="1">
              <a:latin typeface="Arial" pitchFamily="34" charset="0"/>
              <a:cs typeface="Arial" pitchFamily="34" charset="0"/>
            </a:rPr>
            <a:t>  ВАЛОВОГО ВНУТРЕННЕГО ПРОДУКТА</a:t>
          </a:r>
        </a:p>
        <a:p xmlns:a="http://schemas.openxmlformats.org/drawingml/2006/main">
          <a:pPr algn="l"/>
          <a:r>
            <a:rPr lang="ru-RU" sz="2000" b="1">
              <a:latin typeface="Arial" pitchFamily="34" charset="0"/>
              <a:cs typeface="Arial" pitchFamily="34" charset="0"/>
            </a:rPr>
            <a:t>  </a:t>
          </a:r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pPr algn="l"/>
          <a:r>
            <a:rPr lang="en-US" sz="2000" b="1">
              <a:latin typeface="Arial" pitchFamily="34" charset="0"/>
              <a:cs typeface="Arial" pitchFamily="34" charset="0"/>
            </a:rPr>
            <a:t> </a:t>
          </a:r>
          <a:r>
            <a:rPr lang="en-US" sz="2000" b="1" baseline="0">
              <a:latin typeface="Arial" pitchFamily="34" charset="0"/>
              <a:cs typeface="Arial" pitchFamily="34" charset="0"/>
            </a:rPr>
            <a:t> </a:t>
          </a:r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en-US" sz="2000" b="1">
              <a:latin typeface="Arial" pitchFamily="34" charset="0"/>
              <a:cs typeface="Arial" pitchFamily="34" charset="0"/>
            </a:rPr>
            <a:t>                     </a:t>
          </a:r>
          <a:endParaRPr lang="ru-RU" sz="20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0.81277</cdr:x>
      <cdr:y>0.87341</cdr:y>
    </cdr:from>
    <cdr:to>
      <cdr:x>0.9366</cdr:x>
      <cdr:y>0.91531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C62E565B-F758-4D5E-85D4-ACC5727F5068}"/>
            </a:ext>
          </a:extLst>
        </cdr:cNvPr>
        <cdr:cNvSpPr txBox="1"/>
      </cdr:nvSpPr>
      <cdr:spPr>
        <a:xfrm xmlns:a="http://schemas.openxmlformats.org/drawingml/2006/main">
          <a:off x="8302941" y="7858874"/>
          <a:ext cx="1264921" cy="3770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baseline="0">
              <a:latin typeface="Arial" pitchFamily="34" charset="0"/>
              <a:cs typeface="Arial" pitchFamily="34" charset="0"/>
            </a:rPr>
            <a:t>  </a:t>
          </a:r>
          <a:r>
            <a:rPr lang="ru-RU" sz="1800" b="1" baseline="0">
              <a:latin typeface="Arial" pitchFamily="34" charset="0"/>
              <a:cs typeface="Arial" pitchFamily="34" charset="0"/>
            </a:rPr>
            <a:t> ВРЕМЯ</a:t>
          </a:r>
          <a:endParaRPr lang="ru-RU" sz="18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C05C57E-6B9F-4CA9-9390-B31B20F966A5}"/>
            </a:ext>
          </a:extLst>
        </cdr:cNvPr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0.71037</cdr:x>
      <cdr:y>0.40875</cdr:y>
    </cdr:from>
    <cdr:to>
      <cdr:x>0.83303</cdr:x>
      <cdr:y>0.45637</cdr:y>
    </cdr:to>
    <cdr:sp macro="" textlink="">
      <cdr:nvSpPr>
        <cdr:cNvPr id="9" name="TextBox 5">
          <a:extLst xmlns:a="http://schemas.openxmlformats.org/drawingml/2006/main">
            <a:ext uri="{FF2B5EF4-FFF2-40B4-BE49-F238E27FC236}">
              <a16:creationId xmlns:a16="http://schemas.microsoft.com/office/drawing/2014/main" id="{71F1EE7D-ED1E-453C-A8EA-CE26BCBCF352}"/>
            </a:ext>
          </a:extLst>
        </cdr:cNvPr>
        <cdr:cNvSpPr txBox="1"/>
      </cdr:nvSpPr>
      <cdr:spPr>
        <a:xfrm xmlns:a="http://schemas.openxmlformats.org/drawingml/2006/main">
          <a:off x="7256828" y="4098368"/>
          <a:ext cx="1253041" cy="47746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400">
              <a:latin typeface="Arial" pitchFamily="34" charset="0"/>
              <a:cs typeface="Arial" pitchFamily="34" charset="0"/>
            </a:rPr>
            <a:t>  ПРОГНОЗ   </a:t>
          </a:r>
        </a:p>
      </cdr:txBody>
    </cdr:sp>
  </cdr:relSizeAnchor>
  <cdr:relSizeAnchor xmlns:cdr="http://schemas.openxmlformats.org/drawingml/2006/chartDrawing">
    <cdr:from>
      <cdr:x>0.45036</cdr:x>
      <cdr:y>0.34295</cdr:y>
    </cdr:from>
    <cdr:to>
      <cdr:x>0.54077</cdr:x>
      <cdr:y>0.38514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4600678" y="3438636"/>
          <a:ext cx="923589" cy="4230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400">
              <a:latin typeface="Arial" panose="020B0604020202020204" pitchFamily="34" charset="0"/>
              <a:cs typeface="Arial" panose="020B0604020202020204" pitchFamily="34" charset="0"/>
            </a:rPr>
            <a:t>ТРЕНД</a:t>
          </a:r>
        </a:p>
      </cdr:txBody>
    </cdr:sp>
  </cdr:relSizeAnchor>
</c:userShapes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0.08002</cdr:x>
      <cdr:y>0.03148</cdr:y>
    </cdr:from>
    <cdr:to>
      <cdr:x>0.18998</cdr:x>
      <cdr:y>0.09005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35514" y="273361"/>
          <a:ext cx="1010737" cy="50859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</a:t>
          </a:r>
        </a:p>
      </cdr:txBody>
    </cdr:sp>
  </cdr:relSizeAnchor>
  <cdr:relSizeAnchor xmlns:cdr="http://schemas.openxmlformats.org/drawingml/2006/chartDrawing">
    <cdr:from>
      <cdr:x>0.25698</cdr:x>
      <cdr:y>0.08871</cdr:y>
    </cdr:from>
    <cdr:to>
      <cdr:x>0.8532</cdr:x>
      <cdr:y>0.18099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2362097" y="770282"/>
          <a:ext cx="5480153" cy="8013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БАЗИСНЫЕ ТЕМПЫ</a:t>
          </a:r>
          <a:r>
            <a:rPr lang="ru-RU" sz="2000" b="1" baseline="0">
              <a:latin typeface="Arial" pitchFamily="34" charset="0"/>
              <a:cs typeface="Arial" pitchFamily="34" charset="0"/>
            </a:rPr>
            <a:t> ВАЛОВОГО</a:t>
          </a:r>
        </a:p>
        <a:p xmlns:a="http://schemas.openxmlformats.org/drawingml/2006/main">
          <a:r>
            <a:rPr lang="ru-RU" sz="2000" b="1" baseline="0">
              <a:latin typeface="Arial" pitchFamily="34" charset="0"/>
              <a:cs typeface="Arial" pitchFamily="34" charset="0"/>
            </a:rPr>
            <a:t> ВНУТРЕННЕГО ПРОДУКТА</a:t>
          </a:r>
          <a:r>
            <a:rPr lang="ru-RU" sz="2000" b="1">
              <a:latin typeface="Arial" pitchFamily="34" charset="0"/>
              <a:cs typeface="Arial" pitchFamily="34" charset="0"/>
            </a:rPr>
            <a:t> </a:t>
          </a:r>
        </a:p>
      </cdr:txBody>
    </cdr:sp>
  </cdr:relSizeAnchor>
  <cdr:relSizeAnchor xmlns:cdr="http://schemas.openxmlformats.org/drawingml/2006/chartDrawing">
    <cdr:from>
      <cdr:x>0.80465</cdr:x>
      <cdr:y>0.88778</cdr:y>
    </cdr:from>
    <cdr:to>
      <cdr:x>0.93092</cdr:x>
      <cdr:y>0.93236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C62E565B-F758-4D5E-85D4-ACC5727F5068}"/>
            </a:ext>
          </a:extLst>
        </cdr:cNvPr>
        <cdr:cNvSpPr txBox="1"/>
      </cdr:nvSpPr>
      <cdr:spPr>
        <a:xfrm xmlns:a="http://schemas.openxmlformats.org/drawingml/2006/main">
          <a:off x="7396021" y="7709114"/>
          <a:ext cx="1160606" cy="3871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baseline="0">
              <a:latin typeface="Arial" pitchFamily="34" charset="0"/>
              <a:cs typeface="Arial" pitchFamily="34" charset="0"/>
            </a:rPr>
            <a:t>  </a:t>
          </a:r>
          <a:r>
            <a:rPr lang="ru-RU" sz="1800" b="1" baseline="0">
              <a:latin typeface="Arial" pitchFamily="34" charset="0"/>
              <a:cs typeface="Arial" pitchFamily="34" charset="0"/>
            </a:rPr>
            <a:t>ВРЕМЯ</a:t>
          </a:r>
          <a:endParaRPr lang="ru-RU" sz="18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0.09499</cdr:x>
      <cdr:y>0.06114</cdr:y>
    </cdr:from>
    <cdr:to>
      <cdr:x>0.16753</cdr:x>
      <cdr:y>0.10833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C05C57E-6B9F-4CA9-9390-B31B20F966A5}"/>
            </a:ext>
          </a:extLst>
        </cdr:cNvPr>
        <cdr:cNvSpPr txBox="1"/>
      </cdr:nvSpPr>
      <cdr:spPr>
        <a:xfrm xmlns:a="http://schemas.openxmlformats.org/drawingml/2006/main">
          <a:off x="873127" y="530930"/>
          <a:ext cx="666749" cy="4097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2400" b="1">
              <a:latin typeface="Arial" pitchFamily="34" charset="0"/>
              <a:cs typeface="Arial" pitchFamily="34" charset="0"/>
            </a:rPr>
            <a:t>Pw</a:t>
          </a:r>
          <a:r>
            <a:rPr lang="ru-RU" sz="2000">
              <a:latin typeface="Arial" pitchFamily="34" charset="0"/>
              <a:cs typeface="Arial" pitchFamily="34" charset="0"/>
            </a:rPr>
            <a:t> </a:t>
          </a:r>
          <a:r>
            <a:rPr lang="ru-RU" sz="1800">
              <a:latin typeface="Arial" pitchFamily="34" charset="0"/>
              <a:cs typeface="Arial" pitchFamily="34" charset="0"/>
            </a:rPr>
            <a:t>   </a:t>
          </a:r>
        </a:p>
      </cdr:txBody>
    </cdr:sp>
  </cdr:relSizeAnchor>
  <cdr:relSizeAnchor xmlns:cdr="http://schemas.openxmlformats.org/drawingml/2006/chartDrawing">
    <cdr:from>
      <cdr:x>0.40417</cdr:x>
      <cdr:y>0.59198</cdr:y>
    </cdr:from>
    <cdr:to>
      <cdr:x>0.48014</cdr:x>
      <cdr:y>0.63437</cdr:y>
    </cdr:to>
    <cdr:sp macro="" textlink="">
      <cdr:nvSpPr>
        <cdr:cNvPr id="9" name="TextBox 5">
          <a:extLst xmlns:a="http://schemas.openxmlformats.org/drawingml/2006/main">
            <a:ext uri="{FF2B5EF4-FFF2-40B4-BE49-F238E27FC236}">
              <a16:creationId xmlns:a16="http://schemas.microsoft.com/office/drawing/2014/main" id="{71F1EE7D-ED1E-453C-A8EA-CE26BCBCF352}"/>
            </a:ext>
          </a:extLst>
        </cdr:cNvPr>
        <cdr:cNvSpPr txBox="1"/>
      </cdr:nvSpPr>
      <cdr:spPr>
        <a:xfrm xmlns:a="http://schemas.openxmlformats.org/drawingml/2006/main">
          <a:off x="3714947" y="5140564"/>
          <a:ext cx="698288" cy="36809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400">
              <a:latin typeface="Arial" pitchFamily="34" charset="0"/>
              <a:cs typeface="Arial" pitchFamily="34" charset="0"/>
            </a:rPr>
            <a:t>ОТЧЁТ</a:t>
          </a:r>
        </a:p>
        <a:p xmlns:a="http://schemas.openxmlformats.org/drawingml/2006/main">
          <a:r>
            <a:rPr lang="ru-RU" sz="1400">
              <a:latin typeface="Arial" pitchFamily="34" charset="0"/>
              <a:cs typeface="Arial" pitchFamily="34" charset="0"/>
            </a:rPr>
            <a:t>  </a:t>
          </a:r>
        </a:p>
      </cdr:txBody>
    </cdr:sp>
  </cdr:relSizeAnchor>
</c:userShapes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0.25482</cdr:x>
      <cdr:y>0.07425</cdr:y>
    </cdr:from>
    <cdr:to>
      <cdr:x>0.82132</cdr:x>
      <cdr:y>0.15913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2559477" y="662434"/>
          <a:ext cx="5689990" cy="75727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algn="l"/>
          <a:r>
            <a:rPr lang="ru-RU" sz="2000" b="1">
              <a:latin typeface="Arial" pitchFamily="34" charset="0"/>
              <a:cs typeface="Arial" pitchFamily="34" charset="0"/>
            </a:rPr>
            <a:t>  ДИНАМИКА</a:t>
          </a:r>
          <a:r>
            <a:rPr lang="en-US" sz="2000" b="1">
              <a:latin typeface="Arial" pitchFamily="34" charset="0"/>
              <a:cs typeface="Arial" pitchFamily="34" charset="0"/>
            </a:rPr>
            <a:t> </a:t>
          </a:r>
          <a:r>
            <a:rPr lang="en-US" sz="2000" b="1" baseline="0">
              <a:latin typeface="Arial" pitchFamily="34" charset="0"/>
              <a:cs typeface="Arial" pitchFamily="34" charset="0"/>
            </a:rPr>
            <a:t> </a:t>
          </a:r>
          <a:r>
            <a:rPr lang="ru-RU" sz="2000" b="1" baseline="0">
              <a:latin typeface="Arial" pitchFamily="34" charset="0"/>
              <a:cs typeface="Arial" pitchFamily="34" charset="0"/>
            </a:rPr>
            <a:t>ГОДОВЫХ ТЕМПОВ</a:t>
          </a:r>
          <a:endParaRPr lang="ru-RU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pPr algn="l"/>
          <a:r>
            <a:rPr lang="ru-RU" sz="2000" b="1">
              <a:latin typeface="Arial" pitchFamily="34" charset="0"/>
              <a:cs typeface="Arial" pitchFamily="34" charset="0"/>
            </a:rPr>
            <a:t>  ИНВЕСТИЦИЙ В ОСНОВНОЙ КАПИТАЛ</a:t>
          </a:r>
        </a:p>
        <a:p xmlns:a="http://schemas.openxmlformats.org/drawingml/2006/main">
          <a:pPr algn="l"/>
          <a:r>
            <a:rPr lang="ru-RU" sz="2000" b="1">
              <a:latin typeface="Arial" pitchFamily="34" charset="0"/>
              <a:cs typeface="Arial" pitchFamily="34" charset="0"/>
            </a:rPr>
            <a:t>  </a:t>
          </a:r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pPr algn="l"/>
          <a:r>
            <a:rPr lang="en-US" sz="2000" b="1">
              <a:latin typeface="Arial" pitchFamily="34" charset="0"/>
              <a:cs typeface="Arial" pitchFamily="34" charset="0"/>
            </a:rPr>
            <a:t> </a:t>
          </a:r>
          <a:r>
            <a:rPr lang="en-US" sz="2000" b="1" baseline="0">
              <a:latin typeface="Arial" pitchFamily="34" charset="0"/>
              <a:cs typeface="Arial" pitchFamily="34" charset="0"/>
            </a:rPr>
            <a:t> </a:t>
          </a:r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en-US" sz="2000" b="1">
              <a:latin typeface="Arial" pitchFamily="34" charset="0"/>
              <a:cs typeface="Arial" pitchFamily="34" charset="0"/>
            </a:rPr>
            <a:t>                     </a:t>
          </a:r>
          <a:endParaRPr lang="ru-RU" sz="20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0.8174</cdr:x>
      <cdr:y>0.86917</cdr:y>
    </cdr:from>
    <cdr:to>
      <cdr:x>0.93843</cdr:x>
      <cdr:y>0.90896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C62E565B-F758-4D5E-85D4-ACC5727F5068}"/>
            </a:ext>
          </a:extLst>
        </cdr:cNvPr>
        <cdr:cNvSpPr txBox="1"/>
      </cdr:nvSpPr>
      <cdr:spPr>
        <a:xfrm xmlns:a="http://schemas.openxmlformats.org/drawingml/2006/main">
          <a:off x="8599316" y="7820774"/>
          <a:ext cx="1273346" cy="35802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baseline="0">
              <a:latin typeface="Arial" pitchFamily="34" charset="0"/>
              <a:cs typeface="Arial" pitchFamily="34" charset="0"/>
            </a:rPr>
            <a:t>  </a:t>
          </a:r>
          <a:r>
            <a:rPr lang="ru-RU" sz="1800" b="1" baseline="0">
              <a:latin typeface="Arial" pitchFamily="34" charset="0"/>
              <a:cs typeface="Arial" pitchFamily="34" charset="0"/>
            </a:rPr>
            <a:t> ВРЕМЯ</a:t>
          </a:r>
          <a:endParaRPr lang="ru-RU" sz="18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C05C57E-6B9F-4CA9-9390-B31B20F966A5}"/>
            </a:ext>
          </a:extLst>
        </cdr:cNvPr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0.77204</cdr:x>
      <cdr:y>0.50448</cdr:y>
    </cdr:from>
    <cdr:to>
      <cdr:x>0.88254</cdr:x>
      <cdr:y>0.5521</cdr:y>
    </cdr:to>
    <cdr:sp macro="" textlink="">
      <cdr:nvSpPr>
        <cdr:cNvPr id="9" name="TextBox 5">
          <a:extLst xmlns:a="http://schemas.openxmlformats.org/drawingml/2006/main">
            <a:ext uri="{FF2B5EF4-FFF2-40B4-BE49-F238E27FC236}">
              <a16:creationId xmlns:a16="http://schemas.microsoft.com/office/drawing/2014/main" id="{71F1EE7D-ED1E-453C-A8EA-CE26BCBCF352}"/>
            </a:ext>
          </a:extLst>
        </cdr:cNvPr>
        <cdr:cNvSpPr txBox="1"/>
      </cdr:nvSpPr>
      <cdr:spPr>
        <a:xfrm xmlns:a="http://schemas.openxmlformats.org/drawingml/2006/main">
          <a:off x="8100116" y="4358295"/>
          <a:ext cx="1159343" cy="4113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400">
              <a:latin typeface="Arial" pitchFamily="34" charset="0"/>
              <a:cs typeface="Arial" pitchFamily="34" charset="0"/>
            </a:rPr>
            <a:t> ПРОГНОЗ   </a:t>
          </a:r>
        </a:p>
      </cdr:txBody>
    </cdr:sp>
  </cdr:relSizeAnchor>
</c:userShapes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0.2625</cdr:x>
      <cdr:y>0.16146</cdr:y>
    </cdr:from>
    <cdr:to>
      <cdr:x>0.829</cdr:x>
      <cdr:y>0.24845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2704947" y="1567942"/>
          <a:ext cx="5837478" cy="8447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algn="l"/>
          <a:r>
            <a:rPr lang="ru-RU" sz="2000" b="1">
              <a:latin typeface="Arial" pitchFamily="34" charset="0"/>
              <a:cs typeface="Arial" pitchFamily="34" charset="0"/>
            </a:rPr>
            <a:t>  ДИНАМИКА</a:t>
          </a:r>
          <a:r>
            <a:rPr lang="en-US" sz="2000" b="1">
              <a:latin typeface="Arial" pitchFamily="34" charset="0"/>
              <a:cs typeface="Arial" pitchFamily="34" charset="0"/>
            </a:rPr>
            <a:t> </a:t>
          </a:r>
          <a:r>
            <a:rPr lang="en-US" sz="2000" b="1" baseline="0">
              <a:latin typeface="Arial" pitchFamily="34" charset="0"/>
              <a:cs typeface="Arial" pitchFamily="34" charset="0"/>
            </a:rPr>
            <a:t> </a:t>
          </a:r>
          <a:r>
            <a:rPr lang="ru-RU" sz="2000" b="1" baseline="0">
              <a:latin typeface="Arial" pitchFamily="34" charset="0"/>
              <a:cs typeface="Arial" pitchFamily="34" charset="0"/>
            </a:rPr>
            <a:t>БАЗИСНЫХ ТЕМПОВ</a:t>
          </a:r>
          <a:endParaRPr lang="ru-RU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pPr algn="l"/>
          <a:r>
            <a:rPr lang="ru-RU" sz="2000" b="1">
              <a:latin typeface="Arial" pitchFamily="34" charset="0"/>
              <a:cs typeface="Arial" pitchFamily="34" charset="0"/>
            </a:rPr>
            <a:t>  ИНВЕСТИЦИЙ В ОСНОВНОЙ КАПИТАЛ</a:t>
          </a:r>
        </a:p>
        <a:p xmlns:a="http://schemas.openxmlformats.org/drawingml/2006/main">
          <a:pPr algn="l"/>
          <a:r>
            <a:rPr lang="ru-RU" sz="2000" b="1">
              <a:latin typeface="Arial" pitchFamily="34" charset="0"/>
              <a:cs typeface="Arial" pitchFamily="34" charset="0"/>
            </a:rPr>
            <a:t>  </a:t>
          </a:r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pPr algn="l"/>
          <a:r>
            <a:rPr lang="en-US" sz="2000" b="1">
              <a:latin typeface="Arial" pitchFamily="34" charset="0"/>
              <a:cs typeface="Arial" pitchFamily="34" charset="0"/>
            </a:rPr>
            <a:t> </a:t>
          </a:r>
          <a:r>
            <a:rPr lang="en-US" sz="2000" b="1" baseline="0">
              <a:latin typeface="Arial" pitchFamily="34" charset="0"/>
              <a:cs typeface="Arial" pitchFamily="34" charset="0"/>
            </a:rPr>
            <a:t> </a:t>
          </a:r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en-US" sz="2000" b="1">
              <a:latin typeface="Arial" pitchFamily="34" charset="0"/>
              <a:cs typeface="Arial" pitchFamily="34" charset="0"/>
            </a:rPr>
            <a:t>                     </a:t>
          </a:r>
          <a:endParaRPr lang="ru-RU" sz="20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0.81277</cdr:x>
      <cdr:y>0.87341</cdr:y>
    </cdr:from>
    <cdr:to>
      <cdr:x>0.9366</cdr:x>
      <cdr:y>0.91531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C62E565B-F758-4D5E-85D4-ACC5727F5068}"/>
            </a:ext>
          </a:extLst>
        </cdr:cNvPr>
        <cdr:cNvSpPr txBox="1"/>
      </cdr:nvSpPr>
      <cdr:spPr>
        <a:xfrm xmlns:a="http://schemas.openxmlformats.org/drawingml/2006/main">
          <a:off x="8302941" y="7858874"/>
          <a:ext cx="1264921" cy="3770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baseline="0">
              <a:latin typeface="Arial" pitchFamily="34" charset="0"/>
              <a:cs typeface="Arial" pitchFamily="34" charset="0"/>
            </a:rPr>
            <a:t>  </a:t>
          </a:r>
          <a:r>
            <a:rPr lang="ru-RU" sz="1800" b="1" baseline="0">
              <a:latin typeface="Arial" pitchFamily="34" charset="0"/>
              <a:cs typeface="Arial" pitchFamily="34" charset="0"/>
            </a:rPr>
            <a:t> ВРЕМЯ</a:t>
          </a:r>
          <a:endParaRPr lang="ru-RU" sz="18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C05C57E-6B9F-4CA9-9390-B31B20F966A5}"/>
            </a:ext>
          </a:extLst>
        </cdr:cNvPr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0.78724</cdr:x>
      <cdr:y>0.33542</cdr:y>
    </cdr:from>
    <cdr:to>
      <cdr:x>0.89774</cdr:x>
      <cdr:y>0.38305</cdr:y>
    </cdr:to>
    <cdr:sp macro="" textlink="">
      <cdr:nvSpPr>
        <cdr:cNvPr id="9" name="TextBox 5">
          <a:extLst xmlns:a="http://schemas.openxmlformats.org/drawingml/2006/main">
            <a:ext uri="{FF2B5EF4-FFF2-40B4-BE49-F238E27FC236}">
              <a16:creationId xmlns:a16="http://schemas.microsoft.com/office/drawing/2014/main" id="{71F1EE7D-ED1E-453C-A8EA-CE26BCBCF352}"/>
            </a:ext>
          </a:extLst>
        </cdr:cNvPr>
        <cdr:cNvSpPr txBox="1"/>
      </cdr:nvSpPr>
      <cdr:spPr>
        <a:xfrm xmlns:a="http://schemas.openxmlformats.org/drawingml/2006/main">
          <a:off x="7962158" y="2897795"/>
          <a:ext cx="1117593" cy="4113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400">
              <a:latin typeface="Arial" pitchFamily="34" charset="0"/>
              <a:cs typeface="Arial" pitchFamily="34" charset="0"/>
            </a:rPr>
            <a:t> ПРОГНОЗ  </a:t>
          </a:r>
        </a:p>
      </cdr:txBody>
    </cdr:sp>
  </cdr:relSizeAnchor>
</c:userShapes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0.08002</cdr:x>
      <cdr:y>0.03148</cdr:y>
    </cdr:from>
    <cdr:to>
      <cdr:x>0.18998</cdr:x>
      <cdr:y>0.09005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35514" y="273361"/>
          <a:ext cx="1010737" cy="50859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</a:t>
          </a:r>
        </a:p>
      </cdr:txBody>
    </cdr:sp>
  </cdr:relSizeAnchor>
  <cdr:relSizeAnchor xmlns:cdr="http://schemas.openxmlformats.org/drawingml/2006/chartDrawing">
    <cdr:from>
      <cdr:x>0.25698</cdr:x>
      <cdr:y>0.08871</cdr:y>
    </cdr:from>
    <cdr:to>
      <cdr:x>0.8532</cdr:x>
      <cdr:y>0.18099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2362097" y="770282"/>
          <a:ext cx="5480153" cy="8013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БАЗИСНЫЕ ТЕМПЫ</a:t>
          </a:r>
          <a:r>
            <a:rPr lang="ru-RU" sz="2000" b="1" baseline="0">
              <a:latin typeface="Arial" pitchFamily="34" charset="0"/>
              <a:cs typeface="Arial" pitchFamily="34" charset="0"/>
            </a:rPr>
            <a:t> ВАЛОВОГО</a:t>
          </a:r>
        </a:p>
        <a:p xmlns:a="http://schemas.openxmlformats.org/drawingml/2006/main">
          <a:r>
            <a:rPr lang="ru-RU" sz="2000" b="1" baseline="0">
              <a:latin typeface="Arial" pitchFamily="34" charset="0"/>
              <a:cs typeface="Arial" pitchFamily="34" charset="0"/>
            </a:rPr>
            <a:t> ВНУТРЕННЕГО ПРОДУКТА</a:t>
          </a:r>
          <a:r>
            <a:rPr lang="ru-RU" sz="2000" b="1">
              <a:latin typeface="Arial" pitchFamily="34" charset="0"/>
              <a:cs typeface="Arial" pitchFamily="34" charset="0"/>
            </a:rPr>
            <a:t> </a:t>
          </a:r>
        </a:p>
      </cdr:txBody>
    </cdr:sp>
  </cdr:relSizeAnchor>
  <cdr:relSizeAnchor xmlns:cdr="http://schemas.openxmlformats.org/drawingml/2006/chartDrawing">
    <cdr:from>
      <cdr:x>0.80465</cdr:x>
      <cdr:y>0.88778</cdr:y>
    </cdr:from>
    <cdr:to>
      <cdr:x>0.93092</cdr:x>
      <cdr:y>0.93236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C62E565B-F758-4D5E-85D4-ACC5727F5068}"/>
            </a:ext>
          </a:extLst>
        </cdr:cNvPr>
        <cdr:cNvSpPr txBox="1"/>
      </cdr:nvSpPr>
      <cdr:spPr>
        <a:xfrm xmlns:a="http://schemas.openxmlformats.org/drawingml/2006/main">
          <a:off x="7396021" y="7709114"/>
          <a:ext cx="1160606" cy="3871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baseline="0">
              <a:latin typeface="Arial" pitchFamily="34" charset="0"/>
              <a:cs typeface="Arial" pitchFamily="34" charset="0"/>
            </a:rPr>
            <a:t>  </a:t>
          </a:r>
          <a:r>
            <a:rPr lang="ru-RU" sz="1800" b="1" baseline="0">
              <a:latin typeface="Arial" pitchFamily="34" charset="0"/>
              <a:cs typeface="Arial" pitchFamily="34" charset="0"/>
            </a:rPr>
            <a:t>ВРЕМЯ</a:t>
          </a:r>
          <a:endParaRPr lang="ru-RU" sz="18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0.09499</cdr:x>
      <cdr:y>0.06114</cdr:y>
    </cdr:from>
    <cdr:to>
      <cdr:x>0.16753</cdr:x>
      <cdr:y>0.10833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C05C57E-6B9F-4CA9-9390-B31B20F966A5}"/>
            </a:ext>
          </a:extLst>
        </cdr:cNvPr>
        <cdr:cNvSpPr txBox="1"/>
      </cdr:nvSpPr>
      <cdr:spPr>
        <a:xfrm xmlns:a="http://schemas.openxmlformats.org/drawingml/2006/main">
          <a:off x="873127" y="530930"/>
          <a:ext cx="666749" cy="4097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2400" b="1">
              <a:latin typeface="Arial" pitchFamily="34" charset="0"/>
              <a:cs typeface="Arial" pitchFamily="34" charset="0"/>
            </a:rPr>
            <a:t>Pw</a:t>
          </a:r>
          <a:r>
            <a:rPr lang="ru-RU" sz="2000">
              <a:latin typeface="Arial" pitchFamily="34" charset="0"/>
              <a:cs typeface="Arial" pitchFamily="34" charset="0"/>
            </a:rPr>
            <a:t> </a:t>
          </a:r>
          <a:r>
            <a:rPr lang="ru-RU" sz="1800">
              <a:latin typeface="Arial" pitchFamily="34" charset="0"/>
              <a:cs typeface="Arial" pitchFamily="34" charset="0"/>
            </a:rPr>
            <a:t>   </a:t>
          </a:r>
        </a:p>
      </cdr:txBody>
    </cdr:sp>
  </cdr:relSizeAnchor>
  <cdr:relSizeAnchor xmlns:cdr="http://schemas.openxmlformats.org/drawingml/2006/chartDrawing">
    <cdr:from>
      <cdr:x>0.40417</cdr:x>
      <cdr:y>0.59198</cdr:y>
    </cdr:from>
    <cdr:to>
      <cdr:x>0.48014</cdr:x>
      <cdr:y>0.63437</cdr:y>
    </cdr:to>
    <cdr:sp macro="" textlink="">
      <cdr:nvSpPr>
        <cdr:cNvPr id="9" name="TextBox 5">
          <a:extLst xmlns:a="http://schemas.openxmlformats.org/drawingml/2006/main">
            <a:ext uri="{FF2B5EF4-FFF2-40B4-BE49-F238E27FC236}">
              <a16:creationId xmlns:a16="http://schemas.microsoft.com/office/drawing/2014/main" id="{71F1EE7D-ED1E-453C-A8EA-CE26BCBCF352}"/>
            </a:ext>
          </a:extLst>
        </cdr:cNvPr>
        <cdr:cNvSpPr txBox="1"/>
      </cdr:nvSpPr>
      <cdr:spPr>
        <a:xfrm xmlns:a="http://schemas.openxmlformats.org/drawingml/2006/main">
          <a:off x="3714947" y="5140564"/>
          <a:ext cx="698288" cy="36809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400">
              <a:latin typeface="Arial" pitchFamily="34" charset="0"/>
              <a:cs typeface="Arial" pitchFamily="34" charset="0"/>
            </a:rPr>
            <a:t>ОТЧЁТ</a:t>
          </a:r>
        </a:p>
        <a:p xmlns:a="http://schemas.openxmlformats.org/drawingml/2006/main">
          <a:r>
            <a:rPr lang="ru-RU" sz="1400">
              <a:latin typeface="Arial" pitchFamily="34" charset="0"/>
              <a:cs typeface="Arial" pitchFamily="34" charset="0"/>
            </a:rPr>
            <a:t>  </a:t>
          </a:r>
        </a:p>
      </cdr:txBody>
    </cdr:sp>
  </cdr:relSizeAnchor>
</c:userShapes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0.21832</cdr:x>
      <cdr:y>0.11929</cdr:y>
    </cdr:from>
    <cdr:to>
      <cdr:x>0.89383</cdr:x>
      <cdr:y>0.20417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2273896" y="1030582"/>
          <a:ext cx="7035833" cy="7332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algn="l"/>
          <a:r>
            <a:rPr lang="ru-RU" sz="2000" b="1">
              <a:latin typeface="Arial" pitchFamily="34" charset="0"/>
              <a:cs typeface="Arial" pitchFamily="34" charset="0"/>
            </a:rPr>
            <a:t>  ДИНАМИКА</a:t>
          </a:r>
          <a:r>
            <a:rPr lang="en-US" sz="2000" b="1">
              <a:latin typeface="Arial" pitchFamily="34" charset="0"/>
              <a:cs typeface="Arial" pitchFamily="34" charset="0"/>
            </a:rPr>
            <a:t> </a:t>
          </a:r>
          <a:r>
            <a:rPr lang="en-US" sz="2000" b="1" baseline="0">
              <a:latin typeface="Arial" pitchFamily="34" charset="0"/>
              <a:cs typeface="Arial" pitchFamily="34" charset="0"/>
            </a:rPr>
            <a:t> </a:t>
          </a:r>
          <a:r>
            <a:rPr lang="ru-RU" sz="2000" b="1" baseline="0">
              <a:latin typeface="Arial" pitchFamily="34" charset="0"/>
              <a:cs typeface="Arial" pitchFamily="34" charset="0"/>
            </a:rPr>
            <a:t>ГОДОВЫХ ТЕМПОВ</a:t>
          </a:r>
          <a:endParaRPr lang="ru-RU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pPr algn="l"/>
          <a:r>
            <a:rPr lang="ru-RU" sz="2000" b="1">
              <a:latin typeface="Arial" pitchFamily="34" charset="0"/>
              <a:cs typeface="Arial" pitchFamily="34" charset="0"/>
            </a:rPr>
            <a:t>  КОНЕЧНОГО ПОТРЕБЛЕНИЯ ДОМАШНИХ ХОЗЯЙСТВ</a:t>
          </a:r>
        </a:p>
        <a:p xmlns:a="http://schemas.openxmlformats.org/drawingml/2006/main">
          <a:pPr algn="l"/>
          <a:r>
            <a:rPr lang="ru-RU" sz="2000" b="1">
              <a:latin typeface="Arial" pitchFamily="34" charset="0"/>
              <a:cs typeface="Arial" pitchFamily="34" charset="0"/>
            </a:rPr>
            <a:t>  </a:t>
          </a:r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pPr algn="l"/>
          <a:r>
            <a:rPr lang="en-US" sz="2000" b="1">
              <a:latin typeface="Arial" pitchFamily="34" charset="0"/>
              <a:cs typeface="Arial" pitchFamily="34" charset="0"/>
            </a:rPr>
            <a:t> </a:t>
          </a:r>
          <a:r>
            <a:rPr lang="en-US" sz="2000" b="1" baseline="0">
              <a:latin typeface="Arial" pitchFamily="34" charset="0"/>
              <a:cs typeface="Arial" pitchFamily="34" charset="0"/>
            </a:rPr>
            <a:t> </a:t>
          </a:r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en-US" sz="2000" b="1">
              <a:latin typeface="Arial" pitchFamily="34" charset="0"/>
              <a:cs typeface="Arial" pitchFamily="34" charset="0"/>
            </a:rPr>
            <a:t>                     </a:t>
          </a:r>
          <a:endParaRPr lang="ru-RU" sz="20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0.8174</cdr:x>
      <cdr:y>0.86917</cdr:y>
    </cdr:from>
    <cdr:to>
      <cdr:x>0.93843</cdr:x>
      <cdr:y>0.90896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C62E565B-F758-4D5E-85D4-ACC5727F5068}"/>
            </a:ext>
          </a:extLst>
        </cdr:cNvPr>
        <cdr:cNvSpPr txBox="1"/>
      </cdr:nvSpPr>
      <cdr:spPr>
        <a:xfrm xmlns:a="http://schemas.openxmlformats.org/drawingml/2006/main">
          <a:off x="8599316" y="7820774"/>
          <a:ext cx="1273346" cy="35802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baseline="0">
              <a:latin typeface="Arial" pitchFamily="34" charset="0"/>
              <a:cs typeface="Arial" pitchFamily="34" charset="0"/>
            </a:rPr>
            <a:t>  </a:t>
          </a:r>
          <a:r>
            <a:rPr lang="ru-RU" sz="1800" b="1" baseline="0">
              <a:latin typeface="Arial" pitchFamily="34" charset="0"/>
              <a:cs typeface="Arial" pitchFamily="34" charset="0"/>
            </a:rPr>
            <a:t> ВРЕМЯ</a:t>
          </a:r>
          <a:endParaRPr lang="ru-RU" sz="18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C05C57E-6B9F-4CA9-9390-B31B20F966A5}"/>
            </a:ext>
          </a:extLst>
        </cdr:cNvPr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0.75346</cdr:x>
      <cdr:y>0.39788</cdr:y>
    </cdr:from>
    <cdr:to>
      <cdr:x>0.86396</cdr:x>
      <cdr:y>0.4455</cdr:y>
    </cdr:to>
    <cdr:sp macro="" textlink="">
      <cdr:nvSpPr>
        <cdr:cNvPr id="9" name="TextBox 5">
          <a:extLst xmlns:a="http://schemas.openxmlformats.org/drawingml/2006/main">
            <a:ext uri="{FF2B5EF4-FFF2-40B4-BE49-F238E27FC236}">
              <a16:creationId xmlns:a16="http://schemas.microsoft.com/office/drawing/2014/main" id="{71F1EE7D-ED1E-453C-A8EA-CE26BCBCF352}"/>
            </a:ext>
          </a:extLst>
        </cdr:cNvPr>
        <cdr:cNvSpPr txBox="1"/>
      </cdr:nvSpPr>
      <cdr:spPr>
        <a:xfrm xmlns:a="http://schemas.openxmlformats.org/drawingml/2006/main">
          <a:off x="7926711" y="3534668"/>
          <a:ext cx="1162500" cy="4230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прогноз</a:t>
          </a:r>
          <a:r>
            <a:rPr lang="ru-RU" sz="1400">
              <a:latin typeface="Arial" pitchFamily="34" charset="0"/>
              <a:cs typeface="Arial" pitchFamily="34" charset="0"/>
            </a:rPr>
            <a:t>   </a:t>
          </a:r>
        </a:p>
      </cdr:txBody>
    </cdr:sp>
  </cdr:relSizeAnchor>
</c:userShapes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0.2109</cdr:x>
      <cdr:y>0.0553</cdr:y>
    </cdr:from>
    <cdr:to>
      <cdr:x>0.91795</cdr:x>
      <cdr:y>0.14377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2154436" y="493330"/>
          <a:ext cx="7222925" cy="78937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algn="l"/>
          <a:r>
            <a:rPr lang="ru-RU" sz="2000" b="1">
              <a:latin typeface="Arial" pitchFamily="34" charset="0"/>
              <a:cs typeface="Arial" pitchFamily="34" charset="0"/>
            </a:rPr>
            <a:t>  ДИНАМИКА</a:t>
          </a:r>
          <a:r>
            <a:rPr lang="en-US" sz="2000" b="1">
              <a:latin typeface="Arial" pitchFamily="34" charset="0"/>
              <a:cs typeface="Arial" pitchFamily="34" charset="0"/>
            </a:rPr>
            <a:t> </a:t>
          </a:r>
          <a:r>
            <a:rPr lang="en-US" sz="2000" b="1" baseline="0">
              <a:latin typeface="Arial" pitchFamily="34" charset="0"/>
              <a:cs typeface="Arial" pitchFamily="34" charset="0"/>
            </a:rPr>
            <a:t> </a:t>
          </a:r>
          <a:r>
            <a:rPr lang="ru-RU" sz="2000" b="1" baseline="0">
              <a:latin typeface="Arial" pitchFamily="34" charset="0"/>
              <a:cs typeface="Arial" pitchFamily="34" charset="0"/>
            </a:rPr>
            <a:t>БАЗИСНЫХ ТЕМПОВ</a:t>
          </a:r>
          <a:endParaRPr lang="ru-RU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pPr algn="l"/>
          <a:r>
            <a:rPr lang="ru-RU" sz="2000" b="1">
              <a:latin typeface="Arial" pitchFamily="34" charset="0"/>
              <a:cs typeface="Arial" pitchFamily="34" charset="0"/>
            </a:rPr>
            <a:t>  КОНЕЧНОГО ПОТРЕБЛЕНИЯ ДОМАШНИХ ХОЗЯЙСТВ </a:t>
          </a:r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pPr algn="l"/>
          <a:r>
            <a:rPr lang="en-US" sz="2000" b="1">
              <a:latin typeface="Arial" pitchFamily="34" charset="0"/>
              <a:cs typeface="Arial" pitchFamily="34" charset="0"/>
            </a:rPr>
            <a:t> </a:t>
          </a:r>
          <a:r>
            <a:rPr lang="en-US" sz="2000" b="1" baseline="0">
              <a:latin typeface="Arial" pitchFamily="34" charset="0"/>
              <a:cs typeface="Arial" pitchFamily="34" charset="0"/>
            </a:rPr>
            <a:t> </a:t>
          </a:r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en-US" sz="2000" b="1">
              <a:latin typeface="Arial" pitchFamily="34" charset="0"/>
              <a:cs typeface="Arial" pitchFamily="34" charset="0"/>
            </a:rPr>
            <a:t>                     </a:t>
          </a:r>
          <a:endParaRPr lang="ru-RU" sz="20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0.81277</cdr:x>
      <cdr:y>0.87341</cdr:y>
    </cdr:from>
    <cdr:to>
      <cdr:x>0.9366</cdr:x>
      <cdr:y>0.91531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C62E565B-F758-4D5E-85D4-ACC5727F5068}"/>
            </a:ext>
          </a:extLst>
        </cdr:cNvPr>
        <cdr:cNvSpPr txBox="1"/>
      </cdr:nvSpPr>
      <cdr:spPr>
        <a:xfrm xmlns:a="http://schemas.openxmlformats.org/drawingml/2006/main">
          <a:off x="8302941" y="7858874"/>
          <a:ext cx="1264921" cy="3770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baseline="0">
              <a:latin typeface="Arial" pitchFamily="34" charset="0"/>
              <a:cs typeface="Arial" pitchFamily="34" charset="0"/>
            </a:rPr>
            <a:t>  </a:t>
          </a:r>
          <a:r>
            <a:rPr lang="ru-RU" sz="1800" b="1" baseline="0">
              <a:latin typeface="Arial" pitchFamily="34" charset="0"/>
              <a:cs typeface="Arial" pitchFamily="34" charset="0"/>
            </a:rPr>
            <a:t> ВРЕМЯ</a:t>
          </a:r>
          <a:endParaRPr lang="ru-RU" sz="18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C05C57E-6B9F-4CA9-9390-B31B20F966A5}"/>
            </a:ext>
          </a:extLst>
        </cdr:cNvPr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0.78501</cdr:x>
      <cdr:y>0.38076</cdr:y>
    </cdr:from>
    <cdr:to>
      <cdr:x>0.87542</cdr:x>
      <cdr:y>0.43405</cdr:y>
    </cdr:to>
    <cdr:sp macro="" textlink="">
      <cdr:nvSpPr>
        <cdr:cNvPr id="6" name="TextBox 5"/>
        <cdr:cNvSpPr txBox="1"/>
      </cdr:nvSpPr>
      <cdr:spPr>
        <a:xfrm xmlns:a="http://schemas.openxmlformats.org/drawingml/2006/main">
          <a:off x="8019324" y="3382497"/>
          <a:ext cx="923589" cy="47341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anose="020B0604020202020204" pitchFamily="34" charset="0"/>
              <a:cs typeface="Arial" panose="020B0604020202020204" pitchFamily="34" charset="0"/>
            </a:rPr>
            <a:t>прогноз</a:t>
          </a:r>
        </a:p>
      </cdr:txBody>
    </cdr:sp>
  </cdr:relSizeAnchor>
</c:userShapes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0.21976</cdr:x>
      <cdr:y>0.15734</cdr:y>
    </cdr:from>
    <cdr:to>
      <cdr:x>0.78626</cdr:x>
      <cdr:y>0.24222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2313012" y="1503152"/>
          <a:ext cx="5962484" cy="8109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algn="l"/>
          <a:r>
            <a:rPr lang="ru-RU" sz="2000" b="1">
              <a:latin typeface="Arial" pitchFamily="34" charset="0"/>
              <a:cs typeface="Arial" pitchFamily="34" charset="0"/>
            </a:rPr>
            <a:t>  ДИНАМИКА</a:t>
          </a:r>
          <a:r>
            <a:rPr lang="en-US" sz="2000" b="1">
              <a:latin typeface="Arial" pitchFamily="34" charset="0"/>
              <a:cs typeface="Arial" pitchFamily="34" charset="0"/>
            </a:rPr>
            <a:t> </a:t>
          </a:r>
          <a:r>
            <a:rPr lang="en-US" sz="2000" b="1" baseline="0">
              <a:latin typeface="Arial" pitchFamily="34" charset="0"/>
              <a:cs typeface="Arial" pitchFamily="34" charset="0"/>
            </a:rPr>
            <a:t> </a:t>
          </a:r>
          <a:r>
            <a:rPr lang="ru-RU" sz="2000" b="1" baseline="0">
              <a:latin typeface="Arial" pitchFamily="34" charset="0"/>
              <a:cs typeface="Arial" pitchFamily="34" charset="0"/>
            </a:rPr>
            <a:t>ГОДОВЫХ ТЕМПОВ</a:t>
          </a:r>
          <a:endParaRPr lang="ru-RU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pPr algn="l"/>
          <a:r>
            <a:rPr lang="ru-RU" sz="2000" b="1">
              <a:latin typeface="Arial" pitchFamily="34" charset="0"/>
              <a:cs typeface="Arial" pitchFamily="34" charset="0"/>
            </a:rPr>
            <a:t>  КОНЕЧНОГО ПОТРЕБЛЕНИЯ ГОСУДАРСТВА</a:t>
          </a:r>
        </a:p>
        <a:p xmlns:a="http://schemas.openxmlformats.org/drawingml/2006/main">
          <a:pPr algn="l"/>
          <a:r>
            <a:rPr lang="ru-RU" sz="2000" b="1">
              <a:latin typeface="Arial" pitchFamily="34" charset="0"/>
              <a:cs typeface="Arial" pitchFamily="34" charset="0"/>
            </a:rPr>
            <a:t>  </a:t>
          </a:r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pPr algn="l"/>
          <a:r>
            <a:rPr lang="en-US" sz="2000" b="1">
              <a:latin typeface="Arial" pitchFamily="34" charset="0"/>
              <a:cs typeface="Arial" pitchFamily="34" charset="0"/>
            </a:rPr>
            <a:t> </a:t>
          </a:r>
          <a:r>
            <a:rPr lang="en-US" sz="2000" b="1" baseline="0">
              <a:latin typeface="Arial" pitchFamily="34" charset="0"/>
              <a:cs typeface="Arial" pitchFamily="34" charset="0"/>
            </a:rPr>
            <a:t> </a:t>
          </a:r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en-US" sz="2000" b="1">
              <a:latin typeface="Arial" pitchFamily="34" charset="0"/>
              <a:cs typeface="Arial" pitchFamily="34" charset="0"/>
            </a:rPr>
            <a:t>                     </a:t>
          </a:r>
          <a:endParaRPr lang="ru-RU" sz="20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0.8174</cdr:x>
      <cdr:y>0.86917</cdr:y>
    </cdr:from>
    <cdr:to>
      <cdr:x>0.93843</cdr:x>
      <cdr:y>0.90896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C62E565B-F758-4D5E-85D4-ACC5727F5068}"/>
            </a:ext>
          </a:extLst>
        </cdr:cNvPr>
        <cdr:cNvSpPr txBox="1"/>
      </cdr:nvSpPr>
      <cdr:spPr>
        <a:xfrm xmlns:a="http://schemas.openxmlformats.org/drawingml/2006/main">
          <a:off x="8599316" y="7820774"/>
          <a:ext cx="1273346" cy="35802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baseline="0">
              <a:latin typeface="Arial" pitchFamily="34" charset="0"/>
              <a:cs typeface="Arial" pitchFamily="34" charset="0"/>
            </a:rPr>
            <a:t>  </a:t>
          </a:r>
          <a:r>
            <a:rPr lang="ru-RU" sz="1800" b="1" baseline="0">
              <a:latin typeface="Arial" pitchFamily="34" charset="0"/>
              <a:cs typeface="Arial" pitchFamily="34" charset="0"/>
            </a:rPr>
            <a:t> ВРЕМЯ</a:t>
          </a:r>
          <a:endParaRPr lang="ru-RU" sz="18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C05C57E-6B9F-4CA9-9390-B31B20F966A5}"/>
            </a:ext>
          </a:extLst>
        </cdr:cNvPr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0.77522</cdr:x>
      <cdr:y>0.56367</cdr:y>
    </cdr:from>
    <cdr:to>
      <cdr:x>0.88572</cdr:x>
      <cdr:y>0.61236</cdr:y>
    </cdr:to>
    <cdr:sp macro="" textlink="">
      <cdr:nvSpPr>
        <cdr:cNvPr id="9" name="TextBox 5">
          <a:extLst xmlns:a="http://schemas.openxmlformats.org/drawingml/2006/main">
            <a:ext uri="{FF2B5EF4-FFF2-40B4-BE49-F238E27FC236}">
              <a16:creationId xmlns:a16="http://schemas.microsoft.com/office/drawing/2014/main" id="{71F1EE7D-ED1E-453C-A8EA-CE26BCBCF352}"/>
            </a:ext>
          </a:extLst>
        </cdr:cNvPr>
        <cdr:cNvSpPr txBox="1"/>
      </cdr:nvSpPr>
      <cdr:spPr>
        <a:xfrm xmlns:a="http://schemas.openxmlformats.org/drawingml/2006/main">
          <a:off x="8245435" y="5734067"/>
          <a:ext cx="1175306" cy="495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400">
              <a:latin typeface="Arial" pitchFamily="34" charset="0"/>
              <a:cs typeface="Arial" pitchFamily="34" charset="0"/>
            </a:rPr>
            <a:t>ПРОГНОЗ   </a:t>
          </a:r>
        </a:p>
      </cdr:txBody>
    </cdr:sp>
  </cdr:relSizeAnchor>
</c:userShapes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0.24633</cdr:x>
      <cdr:y>0.15537</cdr:y>
    </cdr:from>
    <cdr:to>
      <cdr:x>0.81283</cdr:x>
      <cdr:y>0.24236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2516387" y="1563742"/>
          <a:ext cx="5787116" cy="87553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algn="l"/>
          <a:r>
            <a:rPr lang="ru-RU" sz="2000" b="1">
              <a:latin typeface="Arial" pitchFamily="34" charset="0"/>
              <a:cs typeface="Arial" pitchFamily="34" charset="0"/>
            </a:rPr>
            <a:t>  ДИНАМИКА</a:t>
          </a:r>
          <a:r>
            <a:rPr lang="en-US" sz="2000" b="1">
              <a:latin typeface="Arial" pitchFamily="34" charset="0"/>
              <a:cs typeface="Arial" pitchFamily="34" charset="0"/>
            </a:rPr>
            <a:t> </a:t>
          </a:r>
          <a:r>
            <a:rPr lang="en-US" sz="2000" b="1" baseline="0">
              <a:latin typeface="Arial" pitchFamily="34" charset="0"/>
              <a:cs typeface="Arial" pitchFamily="34" charset="0"/>
            </a:rPr>
            <a:t> </a:t>
          </a:r>
          <a:r>
            <a:rPr lang="ru-RU" sz="2000" b="1" baseline="0">
              <a:latin typeface="Arial" pitchFamily="34" charset="0"/>
              <a:cs typeface="Arial" pitchFamily="34" charset="0"/>
            </a:rPr>
            <a:t>БАЗИСНОГО ТЕМПА</a:t>
          </a:r>
          <a:endParaRPr lang="ru-RU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pPr algn="l"/>
          <a:r>
            <a:rPr lang="ru-RU" sz="2000" b="1">
              <a:latin typeface="Arial" pitchFamily="34" charset="0"/>
              <a:cs typeface="Arial" pitchFamily="34" charset="0"/>
            </a:rPr>
            <a:t>  КОНЕЧНОГО ПОТРЕБЛЕНИЯ ГОСУДАРСТВА</a:t>
          </a:r>
        </a:p>
        <a:p xmlns:a="http://schemas.openxmlformats.org/drawingml/2006/main">
          <a:pPr algn="l"/>
          <a:r>
            <a:rPr lang="ru-RU" sz="2000" b="1">
              <a:latin typeface="Arial" pitchFamily="34" charset="0"/>
              <a:cs typeface="Arial" pitchFamily="34" charset="0"/>
            </a:rPr>
            <a:t>  </a:t>
          </a:r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pPr algn="l"/>
          <a:r>
            <a:rPr lang="en-US" sz="2000" b="1">
              <a:latin typeface="Arial" pitchFamily="34" charset="0"/>
              <a:cs typeface="Arial" pitchFamily="34" charset="0"/>
            </a:rPr>
            <a:t> </a:t>
          </a:r>
          <a:r>
            <a:rPr lang="en-US" sz="2000" b="1" baseline="0">
              <a:latin typeface="Arial" pitchFamily="34" charset="0"/>
              <a:cs typeface="Arial" pitchFamily="34" charset="0"/>
            </a:rPr>
            <a:t> </a:t>
          </a:r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en-US" sz="2000" b="1">
              <a:latin typeface="Arial" pitchFamily="34" charset="0"/>
              <a:cs typeface="Arial" pitchFamily="34" charset="0"/>
            </a:rPr>
            <a:t>                     </a:t>
          </a:r>
          <a:endParaRPr lang="ru-RU" sz="20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0.81277</cdr:x>
      <cdr:y>0.87341</cdr:y>
    </cdr:from>
    <cdr:to>
      <cdr:x>0.9366</cdr:x>
      <cdr:y>0.91531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C62E565B-F758-4D5E-85D4-ACC5727F5068}"/>
            </a:ext>
          </a:extLst>
        </cdr:cNvPr>
        <cdr:cNvSpPr txBox="1"/>
      </cdr:nvSpPr>
      <cdr:spPr>
        <a:xfrm xmlns:a="http://schemas.openxmlformats.org/drawingml/2006/main">
          <a:off x="8302941" y="7858874"/>
          <a:ext cx="1264921" cy="3770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baseline="0">
              <a:latin typeface="Arial" pitchFamily="34" charset="0"/>
              <a:cs typeface="Arial" pitchFamily="34" charset="0"/>
            </a:rPr>
            <a:t>  </a:t>
          </a:r>
          <a:r>
            <a:rPr lang="ru-RU" sz="1800" b="1" baseline="0">
              <a:latin typeface="Arial" pitchFamily="34" charset="0"/>
              <a:cs typeface="Arial" pitchFamily="34" charset="0"/>
            </a:rPr>
            <a:t> ВРЕМЯ</a:t>
          </a:r>
          <a:endParaRPr lang="ru-RU" sz="18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0.08002</cdr:x>
      <cdr:y>0.03148</cdr:y>
    </cdr:from>
    <cdr:to>
      <cdr:x>0.18508</cdr:x>
      <cdr:y>0.09005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C05C57E-6B9F-4CA9-9390-B31B20F966A5}"/>
            </a:ext>
          </a:extLst>
        </cdr:cNvPr>
        <cdr:cNvSpPr txBox="1"/>
      </cdr:nvSpPr>
      <cdr:spPr>
        <a:xfrm xmlns:a="http://schemas.openxmlformats.org/drawingml/2006/main">
          <a:off x="817449" y="316838"/>
          <a:ext cx="1073263" cy="5894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0.72917</cdr:x>
      <cdr:y>0.64665</cdr:y>
    </cdr:from>
    <cdr:to>
      <cdr:x>0.83967</cdr:x>
      <cdr:y>0.69427</cdr:y>
    </cdr:to>
    <cdr:sp macro="" textlink="">
      <cdr:nvSpPr>
        <cdr:cNvPr id="9" name="TextBox 5">
          <a:extLst xmlns:a="http://schemas.openxmlformats.org/drawingml/2006/main">
            <a:ext uri="{FF2B5EF4-FFF2-40B4-BE49-F238E27FC236}">
              <a16:creationId xmlns:a16="http://schemas.microsoft.com/office/drawing/2014/main" id="{71F1EE7D-ED1E-453C-A8EA-CE26BCBCF352}"/>
            </a:ext>
          </a:extLst>
        </cdr:cNvPr>
        <cdr:cNvSpPr txBox="1"/>
      </cdr:nvSpPr>
      <cdr:spPr>
        <a:xfrm xmlns:a="http://schemas.openxmlformats.org/drawingml/2006/main">
          <a:off x="7448925" y="6508404"/>
          <a:ext cx="1128820" cy="4792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600">
              <a:latin typeface="Arial" pitchFamily="34" charset="0"/>
              <a:cs typeface="Arial" pitchFamily="34" charset="0"/>
            </a:rPr>
            <a:t>ПРОГНОЗ</a:t>
          </a:r>
          <a:r>
            <a:rPr lang="ru-RU" sz="1400">
              <a:latin typeface="Arial" pitchFamily="34" charset="0"/>
              <a:cs typeface="Arial" pitchFamily="34" charset="0"/>
            </a:rPr>
            <a:t>   </a:t>
          </a:r>
        </a:p>
      </cdr:txBody>
    </cdr:sp>
  </cdr:relSizeAnchor>
</c:userShapes>
</file>

<file path=xl/drawings/drawing13.xml><?xml version="1.0" encoding="utf-8"?>
<c:userShapes xmlns:c="http://schemas.openxmlformats.org/drawingml/2006/chart"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0.27638</cdr:x>
      <cdr:y>0.10932</cdr:y>
    </cdr:from>
    <cdr:to>
      <cdr:x>0.84288</cdr:x>
      <cdr:y>0.1942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2878697" y="1048597"/>
          <a:ext cx="5900430" cy="81414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algn="l"/>
          <a:r>
            <a:rPr lang="ru-RU" sz="2000" b="1">
              <a:latin typeface="Arial" pitchFamily="34" charset="0"/>
              <a:cs typeface="Arial" pitchFamily="34" charset="0"/>
            </a:rPr>
            <a:t>  ДИНАМИКА</a:t>
          </a:r>
          <a:r>
            <a:rPr lang="en-US" sz="2000" b="1">
              <a:latin typeface="Arial" pitchFamily="34" charset="0"/>
              <a:cs typeface="Arial" pitchFamily="34" charset="0"/>
            </a:rPr>
            <a:t> </a:t>
          </a:r>
          <a:r>
            <a:rPr lang="en-US" sz="2000" b="1" baseline="0">
              <a:latin typeface="Arial" pitchFamily="34" charset="0"/>
              <a:cs typeface="Arial" pitchFamily="34" charset="0"/>
            </a:rPr>
            <a:t> </a:t>
          </a:r>
          <a:r>
            <a:rPr lang="ru-RU" sz="2000" b="1" baseline="0">
              <a:latin typeface="Arial" pitchFamily="34" charset="0"/>
              <a:cs typeface="Arial" pitchFamily="34" charset="0"/>
            </a:rPr>
            <a:t>ГОДОВЫХ ТЕМПОВ</a:t>
          </a:r>
          <a:endParaRPr lang="ru-RU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pPr algn="l"/>
          <a:r>
            <a:rPr lang="ru-RU" sz="2000" b="1">
              <a:latin typeface="Arial" pitchFamily="34" charset="0"/>
              <a:cs typeface="Arial" pitchFamily="34" charset="0"/>
            </a:rPr>
            <a:t>  КОНЕЧНОГО ПОТРЕБЛЕНИЯ НКО</a:t>
          </a:r>
        </a:p>
        <a:p xmlns:a="http://schemas.openxmlformats.org/drawingml/2006/main">
          <a:pPr algn="l"/>
          <a:r>
            <a:rPr lang="ru-RU" sz="2000" b="1">
              <a:latin typeface="Arial" pitchFamily="34" charset="0"/>
              <a:cs typeface="Arial" pitchFamily="34" charset="0"/>
            </a:rPr>
            <a:t>  </a:t>
          </a:r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pPr algn="l"/>
          <a:r>
            <a:rPr lang="en-US" sz="2000" b="1">
              <a:latin typeface="Arial" pitchFamily="34" charset="0"/>
              <a:cs typeface="Arial" pitchFamily="34" charset="0"/>
            </a:rPr>
            <a:t> </a:t>
          </a:r>
          <a:r>
            <a:rPr lang="en-US" sz="2000" b="1" baseline="0">
              <a:latin typeface="Arial" pitchFamily="34" charset="0"/>
              <a:cs typeface="Arial" pitchFamily="34" charset="0"/>
            </a:rPr>
            <a:t> </a:t>
          </a:r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en-US" sz="2000" b="1">
              <a:latin typeface="Arial" pitchFamily="34" charset="0"/>
              <a:cs typeface="Arial" pitchFamily="34" charset="0"/>
            </a:rPr>
            <a:t>                     </a:t>
          </a:r>
          <a:endParaRPr lang="ru-RU" sz="20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0.8174</cdr:x>
      <cdr:y>0.86917</cdr:y>
    </cdr:from>
    <cdr:to>
      <cdr:x>0.93843</cdr:x>
      <cdr:y>0.90896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C62E565B-F758-4D5E-85D4-ACC5727F5068}"/>
            </a:ext>
          </a:extLst>
        </cdr:cNvPr>
        <cdr:cNvSpPr txBox="1"/>
      </cdr:nvSpPr>
      <cdr:spPr>
        <a:xfrm xmlns:a="http://schemas.openxmlformats.org/drawingml/2006/main">
          <a:off x="8599316" y="7820774"/>
          <a:ext cx="1273346" cy="35802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baseline="0">
              <a:latin typeface="Arial" pitchFamily="34" charset="0"/>
              <a:cs typeface="Arial" pitchFamily="34" charset="0"/>
            </a:rPr>
            <a:t>  </a:t>
          </a:r>
          <a:r>
            <a:rPr lang="ru-RU" sz="1800" b="1" baseline="0">
              <a:latin typeface="Arial" pitchFamily="34" charset="0"/>
              <a:cs typeface="Arial" pitchFamily="34" charset="0"/>
            </a:rPr>
            <a:t> ВРЕМЯ</a:t>
          </a:r>
          <a:endParaRPr lang="ru-RU" sz="18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C05C57E-6B9F-4CA9-9390-B31B20F966A5}"/>
            </a:ext>
          </a:extLst>
        </cdr:cNvPr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0.77591</cdr:x>
      <cdr:y>0.39814</cdr:y>
    </cdr:from>
    <cdr:to>
      <cdr:x>0.87956</cdr:x>
      <cdr:y>0.43951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8162870" y="4003366"/>
          <a:ext cx="1090436" cy="41598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anose="020B0604020202020204" pitchFamily="34" charset="0"/>
              <a:cs typeface="Arial" panose="020B0604020202020204" pitchFamily="34" charset="0"/>
            </a:rPr>
            <a:t>прогноз</a:t>
          </a:r>
        </a:p>
        <a:p xmlns:a="http://schemas.openxmlformats.org/drawingml/2006/main">
          <a:endParaRPr lang="ru-RU" sz="18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0.5269</cdr:x>
      <cdr:y>0.46706</cdr:y>
    </cdr:from>
    <cdr:to>
      <cdr:x>0.61469</cdr:x>
      <cdr:y>0.50513</cdr:y>
    </cdr:to>
    <cdr:sp macro="" textlink="">
      <cdr:nvSpPr>
        <cdr:cNvPr id="6" name="TextBox 5"/>
        <cdr:cNvSpPr txBox="1"/>
      </cdr:nvSpPr>
      <cdr:spPr>
        <a:xfrm xmlns:a="http://schemas.openxmlformats.org/drawingml/2006/main">
          <a:off x="5487987" y="4479925"/>
          <a:ext cx="914400" cy="3651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anose="020B0604020202020204" pitchFamily="34" charset="0"/>
              <a:cs typeface="Arial" panose="020B0604020202020204" pitchFamily="34" charset="0"/>
            </a:rPr>
            <a:t>тренд</a:t>
          </a:r>
        </a:p>
      </cdr:txBody>
    </cdr:sp>
  </cdr:relSizeAnchor>
</c:userShapes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0.30485</cdr:x>
      <cdr:y>0.19469</cdr:y>
    </cdr:from>
    <cdr:to>
      <cdr:x>0.87135</cdr:x>
      <cdr:y>0.28168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3083273" y="1867415"/>
          <a:ext cx="5729560" cy="8343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algn="l"/>
          <a:r>
            <a:rPr lang="ru-RU" sz="2000" b="1">
              <a:latin typeface="Arial" pitchFamily="34" charset="0"/>
              <a:cs typeface="Arial" pitchFamily="34" charset="0"/>
            </a:rPr>
            <a:t>  ДИНАМИКА</a:t>
          </a:r>
          <a:r>
            <a:rPr lang="en-US" sz="2000" b="1">
              <a:latin typeface="Arial" pitchFamily="34" charset="0"/>
              <a:cs typeface="Arial" pitchFamily="34" charset="0"/>
            </a:rPr>
            <a:t> </a:t>
          </a:r>
          <a:r>
            <a:rPr lang="en-US" sz="2000" b="1" baseline="0">
              <a:latin typeface="Arial" pitchFamily="34" charset="0"/>
              <a:cs typeface="Arial" pitchFamily="34" charset="0"/>
            </a:rPr>
            <a:t> </a:t>
          </a:r>
          <a:r>
            <a:rPr lang="ru-RU" sz="2000" b="1" baseline="0">
              <a:latin typeface="Arial" pitchFamily="34" charset="0"/>
              <a:cs typeface="Arial" pitchFamily="34" charset="0"/>
            </a:rPr>
            <a:t>БАЗИСНОГО ТЕМПА</a:t>
          </a:r>
          <a:endParaRPr lang="ru-RU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pPr algn="l"/>
          <a:r>
            <a:rPr lang="ru-RU" sz="2000" b="1">
              <a:latin typeface="Arial" pitchFamily="34" charset="0"/>
              <a:cs typeface="Arial" pitchFamily="34" charset="0"/>
            </a:rPr>
            <a:t>  КОНЕЧНОГО ПОТРЕБЛЕНИЯ НКО</a:t>
          </a:r>
        </a:p>
        <a:p xmlns:a="http://schemas.openxmlformats.org/drawingml/2006/main">
          <a:pPr algn="l"/>
          <a:r>
            <a:rPr lang="ru-RU" sz="2000" b="1">
              <a:latin typeface="Arial" pitchFamily="34" charset="0"/>
              <a:cs typeface="Arial" pitchFamily="34" charset="0"/>
            </a:rPr>
            <a:t>  </a:t>
          </a:r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pPr algn="l"/>
          <a:r>
            <a:rPr lang="en-US" sz="2000" b="1">
              <a:latin typeface="Arial" pitchFamily="34" charset="0"/>
              <a:cs typeface="Arial" pitchFamily="34" charset="0"/>
            </a:rPr>
            <a:t> </a:t>
          </a:r>
          <a:r>
            <a:rPr lang="en-US" sz="2000" b="1" baseline="0">
              <a:latin typeface="Arial" pitchFamily="34" charset="0"/>
              <a:cs typeface="Arial" pitchFamily="34" charset="0"/>
            </a:rPr>
            <a:t> </a:t>
          </a:r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en-US" sz="2000" b="1">
              <a:latin typeface="Arial" pitchFamily="34" charset="0"/>
              <a:cs typeface="Arial" pitchFamily="34" charset="0"/>
            </a:rPr>
            <a:t>                     </a:t>
          </a:r>
          <a:endParaRPr lang="ru-RU" sz="20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0.81277</cdr:x>
      <cdr:y>0.87341</cdr:y>
    </cdr:from>
    <cdr:to>
      <cdr:x>0.9366</cdr:x>
      <cdr:y>0.91531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C62E565B-F758-4D5E-85D4-ACC5727F5068}"/>
            </a:ext>
          </a:extLst>
        </cdr:cNvPr>
        <cdr:cNvSpPr txBox="1"/>
      </cdr:nvSpPr>
      <cdr:spPr>
        <a:xfrm xmlns:a="http://schemas.openxmlformats.org/drawingml/2006/main">
          <a:off x="8302941" y="7858874"/>
          <a:ext cx="1264921" cy="3770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baseline="0">
              <a:latin typeface="Arial" pitchFamily="34" charset="0"/>
              <a:cs typeface="Arial" pitchFamily="34" charset="0"/>
            </a:rPr>
            <a:t>  </a:t>
          </a:r>
          <a:r>
            <a:rPr lang="ru-RU" sz="1800" b="1" baseline="0">
              <a:latin typeface="Arial" pitchFamily="34" charset="0"/>
              <a:cs typeface="Arial" pitchFamily="34" charset="0"/>
            </a:rPr>
            <a:t> ВРЕМЯ</a:t>
          </a:r>
          <a:endParaRPr lang="ru-RU" sz="18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C05C57E-6B9F-4CA9-9390-B31B20F966A5}"/>
            </a:ext>
          </a:extLst>
        </cdr:cNvPr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0.74173</cdr:x>
      <cdr:y>0.51137</cdr:y>
    </cdr:from>
    <cdr:to>
      <cdr:x>0.85223</cdr:x>
      <cdr:y>0.54651</cdr:y>
    </cdr:to>
    <cdr:sp macro="" textlink="">
      <cdr:nvSpPr>
        <cdr:cNvPr id="9" name="TextBox 5">
          <a:extLst xmlns:a="http://schemas.openxmlformats.org/drawingml/2006/main">
            <a:ext uri="{FF2B5EF4-FFF2-40B4-BE49-F238E27FC236}">
              <a16:creationId xmlns:a16="http://schemas.microsoft.com/office/drawing/2014/main" id="{71F1EE7D-ED1E-453C-A8EA-CE26BCBCF352}"/>
            </a:ext>
          </a:extLst>
        </cdr:cNvPr>
        <cdr:cNvSpPr txBox="1"/>
      </cdr:nvSpPr>
      <cdr:spPr>
        <a:xfrm xmlns:a="http://schemas.openxmlformats.org/drawingml/2006/main">
          <a:off x="7501783" y="4904868"/>
          <a:ext cx="1117593" cy="33705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400">
              <a:latin typeface="Arial" pitchFamily="34" charset="0"/>
              <a:cs typeface="Arial" pitchFamily="34" charset="0"/>
            </a:rPr>
            <a:t>ПРОГНОЗ   </a:t>
          </a:r>
        </a:p>
      </cdr:txBody>
    </cdr:sp>
  </cdr:relSizeAnchor>
</c:userShapes>
</file>

<file path=xl/drawings/drawing15.xml><?xml version="1.0" encoding="utf-8"?>
<c:userShapes xmlns:c="http://schemas.openxmlformats.org/drawingml/2006/chart"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0.29592</cdr:x>
      <cdr:y>0.06571</cdr:y>
    </cdr:from>
    <cdr:to>
      <cdr:x>0.79714</cdr:x>
      <cdr:y>0.15059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3056813" y="586234"/>
          <a:ext cx="5177549" cy="75727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algn="l"/>
          <a:r>
            <a:rPr lang="ru-RU" sz="2000" b="1">
              <a:latin typeface="Arial" pitchFamily="34" charset="0"/>
              <a:cs typeface="Arial" pitchFamily="34" charset="0"/>
            </a:rPr>
            <a:t>  ДИНАМИКА</a:t>
          </a:r>
          <a:r>
            <a:rPr lang="en-US" sz="2000" b="1">
              <a:latin typeface="Arial" pitchFamily="34" charset="0"/>
              <a:cs typeface="Arial" pitchFamily="34" charset="0"/>
            </a:rPr>
            <a:t> </a:t>
          </a:r>
          <a:r>
            <a:rPr lang="en-US" sz="2000" b="1" baseline="0">
              <a:latin typeface="Arial" pitchFamily="34" charset="0"/>
              <a:cs typeface="Arial" pitchFamily="34" charset="0"/>
            </a:rPr>
            <a:t> </a:t>
          </a:r>
          <a:r>
            <a:rPr lang="ru-RU" sz="2000" b="1" baseline="0">
              <a:latin typeface="Arial" pitchFamily="34" charset="0"/>
              <a:cs typeface="Arial" pitchFamily="34" charset="0"/>
            </a:rPr>
            <a:t>БАЗИСНОГО ДЕФЛЯТОРА</a:t>
          </a:r>
          <a:endParaRPr lang="ru-RU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pPr algn="l"/>
          <a:r>
            <a:rPr lang="ru-RU" sz="2000" b="1">
              <a:latin typeface="Arial" pitchFamily="34" charset="0"/>
              <a:cs typeface="Arial" pitchFamily="34" charset="0"/>
            </a:rPr>
            <a:t>  МОДИФИЦИРОВАННОГО ЭКСПОРТА</a:t>
          </a:r>
        </a:p>
        <a:p xmlns:a="http://schemas.openxmlformats.org/drawingml/2006/main">
          <a:pPr algn="l"/>
          <a:r>
            <a:rPr lang="ru-RU" sz="2000" b="1">
              <a:latin typeface="Arial" pitchFamily="34" charset="0"/>
              <a:cs typeface="Arial" pitchFamily="34" charset="0"/>
            </a:rPr>
            <a:t>  </a:t>
          </a:r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pPr algn="l"/>
          <a:r>
            <a:rPr lang="en-US" sz="2000" b="1">
              <a:latin typeface="Arial" pitchFamily="34" charset="0"/>
              <a:cs typeface="Arial" pitchFamily="34" charset="0"/>
            </a:rPr>
            <a:t> </a:t>
          </a:r>
          <a:r>
            <a:rPr lang="en-US" sz="2000" b="1" baseline="0">
              <a:latin typeface="Arial" pitchFamily="34" charset="0"/>
              <a:cs typeface="Arial" pitchFamily="34" charset="0"/>
            </a:rPr>
            <a:t> </a:t>
          </a:r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en-US" sz="2000" b="1">
              <a:latin typeface="Arial" pitchFamily="34" charset="0"/>
              <a:cs typeface="Arial" pitchFamily="34" charset="0"/>
            </a:rPr>
            <a:t>                     </a:t>
          </a:r>
          <a:endParaRPr lang="ru-RU" sz="20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0.8174</cdr:x>
      <cdr:y>0.86917</cdr:y>
    </cdr:from>
    <cdr:to>
      <cdr:x>0.93843</cdr:x>
      <cdr:y>0.90896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C62E565B-F758-4D5E-85D4-ACC5727F5068}"/>
            </a:ext>
          </a:extLst>
        </cdr:cNvPr>
        <cdr:cNvSpPr txBox="1"/>
      </cdr:nvSpPr>
      <cdr:spPr>
        <a:xfrm xmlns:a="http://schemas.openxmlformats.org/drawingml/2006/main">
          <a:off x="8599316" y="7820774"/>
          <a:ext cx="1273346" cy="35802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baseline="0">
              <a:latin typeface="Arial" pitchFamily="34" charset="0"/>
              <a:cs typeface="Arial" pitchFamily="34" charset="0"/>
            </a:rPr>
            <a:t>  </a:t>
          </a:r>
          <a:r>
            <a:rPr lang="ru-RU" sz="1800" b="1" baseline="0">
              <a:latin typeface="Arial" pitchFamily="34" charset="0"/>
              <a:cs typeface="Arial" pitchFamily="34" charset="0"/>
            </a:rPr>
            <a:t> ВРЕМЯ</a:t>
          </a:r>
          <a:endParaRPr lang="ru-RU" sz="18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0.08002</cdr:x>
      <cdr:y>0.03148</cdr:y>
    </cdr:from>
    <cdr:to>
      <cdr:x>0.2402</cdr:x>
      <cdr:y>0.11463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C05C57E-6B9F-4CA9-9390-B31B20F966A5}"/>
            </a:ext>
          </a:extLst>
        </cdr:cNvPr>
        <cdr:cNvSpPr txBox="1"/>
      </cdr:nvSpPr>
      <cdr:spPr>
        <a:xfrm xmlns:a="http://schemas.openxmlformats.org/drawingml/2006/main">
          <a:off x="826596" y="315639"/>
          <a:ext cx="1654666" cy="83371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0.66247</cdr:x>
      <cdr:y>0.54</cdr:y>
    </cdr:from>
    <cdr:to>
      <cdr:x>0.9233</cdr:x>
      <cdr:y>0.58762</cdr:y>
    </cdr:to>
    <cdr:sp macro="" textlink="">
      <cdr:nvSpPr>
        <cdr:cNvPr id="9" name="TextBox 5">
          <a:extLst xmlns:a="http://schemas.openxmlformats.org/drawingml/2006/main">
            <a:ext uri="{FF2B5EF4-FFF2-40B4-BE49-F238E27FC236}">
              <a16:creationId xmlns:a16="http://schemas.microsoft.com/office/drawing/2014/main" id="{71F1EE7D-ED1E-453C-A8EA-CE26BCBCF352}"/>
            </a:ext>
          </a:extLst>
        </cdr:cNvPr>
        <cdr:cNvSpPr txBox="1"/>
      </cdr:nvSpPr>
      <cdr:spPr>
        <a:xfrm xmlns:a="http://schemas.openxmlformats.org/drawingml/2006/main">
          <a:off x="6843224" y="5414345"/>
          <a:ext cx="2694338" cy="47746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экспертный</a:t>
          </a:r>
          <a:r>
            <a:rPr lang="ru-RU" sz="1800" baseline="0">
              <a:latin typeface="Arial" pitchFamily="34" charset="0"/>
              <a:cs typeface="Arial" pitchFamily="34" charset="0"/>
            </a:rPr>
            <a:t> прогноз</a:t>
          </a:r>
          <a:r>
            <a:rPr lang="ru-RU" sz="1800">
              <a:latin typeface="Arial" pitchFamily="34" charset="0"/>
              <a:cs typeface="Arial" pitchFamily="34" charset="0"/>
            </a:rPr>
            <a:t>   </a:t>
          </a:r>
        </a:p>
      </cdr:txBody>
    </cdr:sp>
  </cdr:relSizeAnchor>
</c:userShapes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0.30944</cdr:x>
      <cdr:y>0.06641</cdr:y>
    </cdr:from>
    <cdr:to>
      <cdr:x>0.87594</cdr:x>
      <cdr:y>0.1534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3520637" y="664183"/>
          <a:ext cx="6445417" cy="8700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algn="l"/>
          <a:r>
            <a:rPr lang="ru-RU" sz="2000" b="1">
              <a:latin typeface="Arial" pitchFamily="34" charset="0"/>
              <a:cs typeface="Arial" pitchFamily="34" charset="0"/>
            </a:rPr>
            <a:t>  ДИНАМИКА</a:t>
          </a:r>
          <a:r>
            <a:rPr lang="en-US" sz="2000" b="1">
              <a:latin typeface="Arial" pitchFamily="34" charset="0"/>
              <a:cs typeface="Arial" pitchFamily="34" charset="0"/>
            </a:rPr>
            <a:t> </a:t>
          </a:r>
          <a:r>
            <a:rPr lang="en-US" sz="2000" b="1" baseline="0">
              <a:latin typeface="Arial" pitchFamily="34" charset="0"/>
              <a:cs typeface="Arial" pitchFamily="34" charset="0"/>
            </a:rPr>
            <a:t> </a:t>
          </a:r>
          <a:r>
            <a:rPr lang="ru-RU" sz="2000" b="1" baseline="0">
              <a:latin typeface="Arial" pitchFamily="34" charset="0"/>
              <a:cs typeface="Arial" pitchFamily="34" charset="0"/>
            </a:rPr>
            <a:t>БАЗИСНОГО ТЕМПА</a:t>
          </a:r>
          <a:endParaRPr lang="ru-RU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pPr algn="l"/>
          <a:r>
            <a:rPr lang="ru-RU" sz="2000" b="1">
              <a:latin typeface="Arial" pitchFamily="34" charset="0"/>
              <a:cs typeface="Arial" pitchFamily="34" charset="0"/>
            </a:rPr>
            <a:t>  МОДИФИЦИРОВАННОГО ЭКСПОРТА</a:t>
          </a:r>
        </a:p>
        <a:p xmlns:a="http://schemas.openxmlformats.org/drawingml/2006/main">
          <a:pPr algn="l"/>
          <a:r>
            <a:rPr lang="ru-RU" sz="2000" b="1">
              <a:latin typeface="Arial" pitchFamily="34" charset="0"/>
              <a:cs typeface="Arial" pitchFamily="34" charset="0"/>
            </a:rPr>
            <a:t>  </a:t>
          </a:r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pPr algn="l"/>
          <a:r>
            <a:rPr lang="en-US" sz="2000" b="1">
              <a:latin typeface="Arial" pitchFamily="34" charset="0"/>
              <a:cs typeface="Arial" pitchFamily="34" charset="0"/>
            </a:rPr>
            <a:t> </a:t>
          </a:r>
          <a:r>
            <a:rPr lang="en-US" sz="2000" b="1" baseline="0">
              <a:latin typeface="Arial" pitchFamily="34" charset="0"/>
              <a:cs typeface="Arial" pitchFamily="34" charset="0"/>
            </a:rPr>
            <a:t> </a:t>
          </a:r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en-US" sz="2000" b="1">
              <a:latin typeface="Arial" pitchFamily="34" charset="0"/>
              <a:cs typeface="Arial" pitchFamily="34" charset="0"/>
            </a:rPr>
            <a:t>                     </a:t>
          </a:r>
          <a:endParaRPr lang="ru-RU" sz="20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0.81277</cdr:x>
      <cdr:y>0.87341</cdr:y>
    </cdr:from>
    <cdr:to>
      <cdr:x>0.9366</cdr:x>
      <cdr:y>0.91531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C62E565B-F758-4D5E-85D4-ACC5727F5068}"/>
            </a:ext>
          </a:extLst>
        </cdr:cNvPr>
        <cdr:cNvSpPr txBox="1"/>
      </cdr:nvSpPr>
      <cdr:spPr>
        <a:xfrm xmlns:a="http://schemas.openxmlformats.org/drawingml/2006/main">
          <a:off x="8302941" y="7858874"/>
          <a:ext cx="1264921" cy="3770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baseline="0">
              <a:latin typeface="Arial" pitchFamily="34" charset="0"/>
              <a:cs typeface="Arial" pitchFamily="34" charset="0"/>
            </a:rPr>
            <a:t>  </a:t>
          </a:r>
          <a:r>
            <a:rPr lang="ru-RU" sz="1800" b="1" baseline="0">
              <a:latin typeface="Arial" pitchFamily="34" charset="0"/>
              <a:cs typeface="Arial" pitchFamily="34" charset="0"/>
            </a:rPr>
            <a:t> ВРЕМЯ</a:t>
          </a:r>
          <a:endParaRPr lang="ru-RU" sz="18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C05C57E-6B9F-4CA9-9390-B31B20F966A5}"/>
            </a:ext>
          </a:extLst>
        </cdr:cNvPr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</c:userShapes>
</file>

<file path=xl/drawings/drawing17.xml><?xml version="1.0" encoding="utf-8"?>
<c:userShapes xmlns:c="http://schemas.openxmlformats.org/drawingml/2006/chart">
  <cdr:relSizeAnchor xmlns:cdr="http://schemas.openxmlformats.org/drawingml/2006/chartDrawing">
    <cdr:from>
      <cdr:x>0.08002</cdr:x>
      <cdr:y>0.03148</cdr:y>
    </cdr:from>
    <cdr:to>
      <cdr:x>0.18998</cdr:x>
      <cdr:y>0.09005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35514" y="273361"/>
          <a:ext cx="1010737" cy="50859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</a:t>
          </a:r>
        </a:p>
      </cdr:txBody>
    </cdr:sp>
  </cdr:relSizeAnchor>
  <cdr:relSizeAnchor xmlns:cdr="http://schemas.openxmlformats.org/drawingml/2006/chartDrawing">
    <cdr:from>
      <cdr:x>0.18466</cdr:x>
      <cdr:y>0.05653</cdr:y>
    </cdr:from>
    <cdr:to>
      <cdr:x>0.8574</cdr:x>
      <cdr:y>0.17578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2128253" y="551371"/>
          <a:ext cx="7753497" cy="116312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4000" b="1" baseline="0">
              <a:latin typeface="Arial" pitchFamily="34" charset="0"/>
              <a:cs typeface="Arial" pitchFamily="34" charset="0"/>
            </a:rPr>
            <a:t>            </a:t>
          </a:r>
          <a:r>
            <a:rPr lang="ru-RU" sz="2400" b="0" baseline="0">
              <a:latin typeface="Arial" pitchFamily="34" charset="0"/>
              <a:cs typeface="Arial" pitchFamily="34" charset="0"/>
            </a:rPr>
            <a:t>ДИНАМИКА</a:t>
          </a:r>
          <a:r>
            <a:rPr lang="ru-RU" sz="2800" b="0" baseline="0">
              <a:latin typeface="Arial" pitchFamily="34" charset="0"/>
              <a:cs typeface="Arial" pitchFamily="34" charset="0"/>
            </a:rPr>
            <a:t> </a:t>
          </a:r>
          <a:r>
            <a:rPr lang="ru-RU" sz="2400" b="0" baseline="0">
              <a:latin typeface="Arial" pitchFamily="34" charset="0"/>
              <a:cs typeface="Arial" pitchFamily="34" charset="0"/>
            </a:rPr>
            <a:t>БАЗИСНОГО ТЕМПА </a:t>
          </a:r>
        </a:p>
        <a:p xmlns:a="http://schemas.openxmlformats.org/drawingml/2006/main">
          <a:r>
            <a:rPr lang="ru-RU" sz="2400" b="0" baseline="0">
              <a:latin typeface="Arial" pitchFamily="34" charset="0"/>
              <a:cs typeface="Arial" pitchFamily="34" charset="0"/>
            </a:rPr>
            <a:t>                                        ИМПОРТА </a:t>
          </a:r>
          <a:endParaRPr lang="ru-RU" sz="4000">
            <a:effectLst/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r>
            <a:rPr lang="en-US" sz="2000" b="1"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 </a:t>
          </a:r>
          <a:r>
            <a:rPr lang="ru-RU" sz="2000" b="1"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       </a:t>
          </a:r>
          <a:endParaRPr lang="ru-RU" sz="4000">
            <a:effectLst/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</a:t>
          </a:r>
        </a:p>
      </cdr:txBody>
    </cdr:sp>
  </cdr:relSizeAnchor>
  <cdr:relSizeAnchor xmlns:cdr="http://schemas.openxmlformats.org/drawingml/2006/chartDrawing">
    <cdr:from>
      <cdr:x>0.80465</cdr:x>
      <cdr:y>0.88778</cdr:y>
    </cdr:from>
    <cdr:to>
      <cdr:x>0.93092</cdr:x>
      <cdr:y>0.93236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C62E565B-F758-4D5E-85D4-ACC5727F5068}"/>
            </a:ext>
          </a:extLst>
        </cdr:cNvPr>
        <cdr:cNvSpPr txBox="1"/>
      </cdr:nvSpPr>
      <cdr:spPr>
        <a:xfrm xmlns:a="http://schemas.openxmlformats.org/drawingml/2006/main">
          <a:off x="7396021" y="7709114"/>
          <a:ext cx="1160606" cy="3871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baseline="0">
              <a:latin typeface="Arial" pitchFamily="34" charset="0"/>
              <a:cs typeface="Arial" pitchFamily="34" charset="0"/>
            </a:rPr>
            <a:t>  </a:t>
          </a:r>
          <a:r>
            <a:rPr lang="ru-RU" sz="1800" b="1" baseline="0">
              <a:latin typeface="Arial" pitchFamily="34" charset="0"/>
              <a:cs typeface="Arial" pitchFamily="34" charset="0"/>
            </a:rPr>
            <a:t>ВРЕМЯ</a:t>
          </a:r>
          <a:endParaRPr lang="ru-RU" sz="18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0.09499</cdr:x>
      <cdr:y>0.06114</cdr:y>
    </cdr:from>
    <cdr:to>
      <cdr:x>0.16753</cdr:x>
      <cdr:y>0.10833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C05C57E-6B9F-4CA9-9390-B31B20F966A5}"/>
            </a:ext>
          </a:extLst>
        </cdr:cNvPr>
        <cdr:cNvSpPr txBox="1"/>
      </cdr:nvSpPr>
      <cdr:spPr>
        <a:xfrm xmlns:a="http://schemas.openxmlformats.org/drawingml/2006/main">
          <a:off x="873127" y="530930"/>
          <a:ext cx="666749" cy="4097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2400" b="1">
              <a:latin typeface="Arial" pitchFamily="34" charset="0"/>
              <a:cs typeface="Arial" pitchFamily="34" charset="0"/>
            </a:rPr>
            <a:t>Pm</a:t>
          </a:r>
          <a:r>
            <a:rPr lang="ru-RU" sz="2000">
              <a:latin typeface="Arial" pitchFamily="34" charset="0"/>
              <a:cs typeface="Arial" pitchFamily="34" charset="0"/>
            </a:rPr>
            <a:t> </a:t>
          </a:r>
          <a:r>
            <a:rPr lang="ru-RU" sz="1800">
              <a:latin typeface="Arial" pitchFamily="34" charset="0"/>
              <a:cs typeface="Arial" pitchFamily="34" charset="0"/>
            </a:rPr>
            <a:t>   </a:t>
          </a:r>
        </a:p>
      </cdr:txBody>
    </cdr:sp>
  </cdr:relSizeAnchor>
  <cdr:relSizeAnchor xmlns:cdr="http://schemas.openxmlformats.org/drawingml/2006/chartDrawing">
    <cdr:from>
      <cdr:x>0.73872</cdr:x>
      <cdr:y>0.52863</cdr:y>
    </cdr:from>
    <cdr:to>
      <cdr:x>0.81469</cdr:x>
      <cdr:y>0.59515</cdr:y>
    </cdr:to>
    <cdr:sp macro="" textlink="">
      <cdr:nvSpPr>
        <cdr:cNvPr id="9" name="TextBox 5">
          <a:extLst xmlns:a="http://schemas.openxmlformats.org/drawingml/2006/main">
            <a:ext uri="{FF2B5EF4-FFF2-40B4-BE49-F238E27FC236}">
              <a16:creationId xmlns:a16="http://schemas.microsoft.com/office/drawing/2014/main" id="{71F1EE7D-ED1E-453C-A8EA-CE26BCBCF352}"/>
            </a:ext>
          </a:extLst>
        </cdr:cNvPr>
        <cdr:cNvSpPr txBox="1"/>
      </cdr:nvSpPr>
      <cdr:spPr>
        <a:xfrm xmlns:a="http://schemas.openxmlformats.org/drawingml/2006/main">
          <a:off x="7880695" y="5276849"/>
          <a:ext cx="810448" cy="6640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2000">
              <a:latin typeface="Arial" pitchFamily="34" charset="0"/>
              <a:cs typeface="Arial" pitchFamily="34" charset="0"/>
            </a:rPr>
            <a:t>qIM</a:t>
          </a:r>
          <a:endParaRPr lang="ru-RU" sz="2000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ru-RU" sz="1400">
              <a:latin typeface="Arial" pitchFamily="34" charset="0"/>
              <a:cs typeface="Arial" pitchFamily="34" charset="0"/>
            </a:rPr>
            <a:t>  </a:t>
          </a:r>
        </a:p>
      </cdr:txBody>
    </cdr:sp>
  </cdr:relSizeAnchor>
</c:userShapes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0.29031</cdr:x>
      <cdr:y>0.08446</cdr:y>
    </cdr:from>
    <cdr:to>
      <cdr:x>0.8181</cdr:x>
      <cdr:y>0.16934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3070717" y="826981"/>
          <a:ext cx="5582745" cy="8311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algn="l"/>
          <a:r>
            <a:rPr lang="ru-RU" sz="2000" b="1">
              <a:latin typeface="Arial" pitchFamily="34" charset="0"/>
              <a:cs typeface="Arial" pitchFamily="34" charset="0"/>
            </a:rPr>
            <a:t>  </a:t>
          </a:r>
          <a:r>
            <a:rPr lang="ru-RU" sz="2400" b="0">
              <a:latin typeface="Arial" pitchFamily="34" charset="0"/>
              <a:cs typeface="Arial" pitchFamily="34" charset="0"/>
            </a:rPr>
            <a:t>ДИНАМИКА</a:t>
          </a:r>
          <a:r>
            <a:rPr lang="en-US" sz="2400" b="0">
              <a:latin typeface="Arial" pitchFamily="34" charset="0"/>
              <a:cs typeface="Arial" pitchFamily="34" charset="0"/>
            </a:rPr>
            <a:t> </a:t>
          </a:r>
          <a:r>
            <a:rPr lang="en-US" sz="2400" b="0" baseline="0">
              <a:latin typeface="Arial" pitchFamily="34" charset="0"/>
              <a:cs typeface="Arial" pitchFamily="34" charset="0"/>
            </a:rPr>
            <a:t> </a:t>
          </a:r>
          <a:r>
            <a:rPr lang="ru-RU" sz="2400" b="0" baseline="0">
              <a:latin typeface="Arial" pitchFamily="34" charset="0"/>
              <a:cs typeface="Arial" pitchFamily="34" charset="0"/>
            </a:rPr>
            <a:t>ГОДОВОГО ТЕМПА</a:t>
          </a:r>
          <a:endParaRPr lang="ru-RU" sz="2400" b="0">
            <a:latin typeface="Arial" pitchFamily="34" charset="0"/>
            <a:cs typeface="Arial" pitchFamily="34" charset="0"/>
          </a:endParaRPr>
        </a:p>
        <a:p xmlns:a="http://schemas.openxmlformats.org/drawingml/2006/main">
          <a:pPr algn="l"/>
          <a:r>
            <a:rPr lang="ru-RU" sz="2400" b="0">
              <a:latin typeface="Arial" pitchFamily="34" charset="0"/>
              <a:cs typeface="Arial" pitchFamily="34" charset="0"/>
            </a:rPr>
            <a:t>                         ИМПОРТА </a:t>
          </a:r>
          <a:endParaRPr lang="en-US" sz="2400" b="0">
            <a:latin typeface="Arial" pitchFamily="34" charset="0"/>
            <a:cs typeface="Arial" pitchFamily="34" charset="0"/>
          </a:endParaRPr>
        </a:p>
        <a:p xmlns:a="http://schemas.openxmlformats.org/drawingml/2006/main">
          <a:pPr algn="l"/>
          <a:r>
            <a:rPr lang="en-US" sz="2400" b="0">
              <a:latin typeface="Arial" pitchFamily="34" charset="0"/>
              <a:cs typeface="Arial" pitchFamily="34" charset="0"/>
            </a:rPr>
            <a:t> </a:t>
          </a:r>
          <a:r>
            <a:rPr lang="en-US" sz="2400" b="0" baseline="0">
              <a:latin typeface="Arial" pitchFamily="34" charset="0"/>
              <a:cs typeface="Arial" pitchFamily="34" charset="0"/>
            </a:rPr>
            <a:t> </a:t>
          </a:r>
          <a:endParaRPr lang="en-US" sz="2400" b="0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en-US" sz="2000" b="1">
              <a:latin typeface="Arial" pitchFamily="34" charset="0"/>
              <a:cs typeface="Arial" pitchFamily="34" charset="0"/>
            </a:rPr>
            <a:t>                     </a:t>
          </a:r>
          <a:endParaRPr lang="ru-RU" sz="20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0.8174</cdr:x>
      <cdr:y>0.86917</cdr:y>
    </cdr:from>
    <cdr:to>
      <cdr:x>0.93843</cdr:x>
      <cdr:y>0.90896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C62E565B-F758-4D5E-85D4-ACC5727F5068}"/>
            </a:ext>
          </a:extLst>
        </cdr:cNvPr>
        <cdr:cNvSpPr txBox="1"/>
      </cdr:nvSpPr>
      <cdr:spPr>
        <a:xfrm xmlns:a="http://schemas.openxmlformats.org/drawingml/2006/main">
          <a:off x="8599316" y="7820774"/>
          <a:ext cx="1273346" cy="35802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baseline="0">
              <a:latin typeface="Arial" pitchFamily="34" charset="0"/>
              <a:cs typeface="Arial" pitchFamily="34" charset="0"/>
            </a:rPr>
            <a:t>  </a:t>
          </a:r>
          <a:r>
            <a:rPr lang="ru-RU" sz="1800" b="1" baseline="0">
              <a:latin typeface="Arial" pitchFamily="34" charset="0"/>
              <a:cs typeface="Arial" pitchFamily="34" charset="0"/>
            </a:rPr>
            <a:t> ВРЕМЯ</a:t>
          </a:r>
          <a:endParaRPr lang="ru-RU" sz="18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C05C57E-6B9F-4CA9-9390-B31B20F966A5}"/>
            </a:ext>
          </a:extLst>
        </cdr:cNvPr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0.74817</cdr:x>
      <cdr:y>0.51585</cdr:y>
    </cdr:from>
    <cdr:to>
      <cdr:x>0.87213</cdr:x>
      <cdr:y>0.56347</cdr:y>
    </cdr:to>
    <cdr:sp macro="" textlink="">
      <cdr:nvSpPr>
        <cdr:cNvPr id="9" name="TextBox 5">
          <a:extLst xmlns:a="http://schemas.openxmlformats.org/drawingml/2006/main">
            <a:ext uri="{FF2B5EF4-FFF2-40B4-BE49-F238E27FC236}">
              <a16:creationId xmlns:a16="http://schemas.microsoft.com/office/drawing/2014/main" id="{71F1EE7D-ED1E-453C-A8EA-CE26BCBCF352}"/>
            </a:ext>
          </a:extLst>
        </cdr:cNvPr>
        <cdr:cNvSpPr txBox="1"/>
      </cdr:nvSpPr>
      <cdr:spPr>
        <a:xfrm xmlns:a="http://schemas.openxmlformats.org/drawingml/2006/main">
          <a:off x="7913810" y="5051081"/>
          <a:ext cx="1311152" cy="46628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2400">
              <a:latin typeface="Arial" pitchFamily="34" charset="0"/>
              <a:cs typeface="Arial" pitchFamily="34" charset="0"/>
            </a:rPr>
            <a:t>прогноз</a:t>
          </a:r>
          <a:r>
            <a:rPr lang="ru-RU" sz="1400">
              <a:latin typeface="Arial" pitchFamily="34" charset="0"/>
              <a:cs typeface="Arial" pitchFamily="34" charset="0"/>
            </a:rPr>
            <a:t>   </a:t>
          </a:r>
        </a:p>
      </cdr:txBody>
    </cdr:sp>
  </cdr:relSizeAnchor>
</c:userShapes>
</file>

<file path=xl/drawings/drawing19.xml><?xml version="1.0" encoding="utf-8"?>
<c:userShapes xmlns:c="http://schemas.openxmlformats.org/drawingml/2006/chart"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0.25535</cdr:x>
      <cdr:y>0.06357</cdr:y>
    </cdr:from>
    <cdr:to>
      <cdr:x>0.82185</cdr:x>
      <cdr:y>0.14845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2637713" y="567184"/>
          <a:ext cx="5851867" cy="75727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algn="l"/>
          <a:r>
            <a:rPr lang="ru-RU" sz="2000" b="1">
              <a:latin typeface="Arial" pitchFamily="34" charset="0"/>
              <a:cs typeface="Arial" pitchFamily="34" charset="0"/>
            </a:rPr>
            <a:t>  ДИНАМИКА</a:t>
          </a:r>
          <a:r>
            <a:rPr lang="en-US" sz="2000" b="1">
              <a:latin typeface="Arial" pitchFamily="34" charset="0"/>
              <a:cs typeface="Arial" pitchFamily="34" charset="0"/>
            </a:rPr>
            <a:t> </a:t>
          </a:r>
          <a:r>
            <a:rPr lang="en-US" sz="2000" b="1" baseline="0">
              <a:latin typeface="Arial" pitchFamily="34" charset="0"/>
              <a:cs typeface="Arial" pitchFamily="34" charset="0"/>
            </a:rPr>
            <a:t> </a:t>
          </a:r>
          <a:r>
            <a:rPr lang="ru-RU" sz="2000" b="1" baseline="0">
              <a:latin typeface="Arial" pitchFamily="34" charset="0"/>
              <a:cs typeface="Arial" pitchFamily="34" charset="0"/>
            </a:rPr>
            <a:t>ЧИСЛЕННОСТИ ЗАНЯТЫХ</a:t>
          </a:r>
          <a:endParaRPr lang="ru-RU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pPr algn="l"/>
          <a:r>
            <a:rPr lang="ru-RU" sz="2000" b="1">
              <a:latin typeface="Arial" pitchFamily="34" charset="0"/>
              <a:cs typeface="Arial" pitchFamily="34" charset="0"/>
            </a:rPr>
            <a:t>                   И БЕЗРАБОТНЫХ (млн чел)</a:t>
          </a:r>
        </a:p>
        <a:p xmlns:a="http://schemas.openxmlformats.org/drawingml/2006/main">
          <a:pPr algn="l"/>
          <a:r>
            <a:rPr lang="ru-RU" sz="2000" b="1">
              <a:latin typeface="Arial" pitchFamily="34" charset="0"/>
              <a:cs typeface="Arial" pitchFamily="34" charset="0"/>
            </a:rPr>
            <a:t>  </a:t>
          </a:r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pPr algn="l"/>
          <a:r>
            <a:rPr lang="en-US" sz="2000" b="1">
              <a:latin typeface="Arial" pitchFamily="34" charset="0"/>
              <a:cs typeface="Arial" pitchFamily="34" charset="0"/>
            </a:rPr>
            <a:t> </a:t>
          </a:r>
          <a:r>
            <a:rPr lang="en-US" sz="2000" b="1" baseline="0">
              <a:latin typeface="Arial" pitchFamily="34" charset="0"/>
              <a:cs typeface="Arial" pitchFamily="34" charset="0"/>
            </a:rPr>
            <a:t> </a:t>
          </a:r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en-US" sz="2000" b="1">
              <a:latin typeface="Arial" pitchFamily="34" charset="0"/>
              <a:cs typeface="Arial" pitchFamily="34" charset="0"/>
            </a:rPr>
            <a:t>                     </a:t>
          </a:r>
          <a:endParaRPr lang="ru-RU" sz="20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0.44844</cdr:x>
      <cdr:y>0.86703</cdr:y>
    </cdr:from>
    <cdr:to>
      <cdr:x>0.56947</cdr:x>
      <cdr:y>0.90682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C62E565B-F758-4D5E-85D4-ACC5727F5068}"/>
            </a:ext>
          </a:extLst>
        </cdr:cNvPr>
        <cdr:cNvSpPr txBox="1"/>
      </cdr:nvSpPr>
      <cdr:spPr>
        <a:xfrm xmlns:a="http://schemas.openxmlformats.org/drawingml/2006/main">
          <a:off x="4376035" y="7735467"/>
          <a:ext cx="1181055" cy="35499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baseline="0">
              <a:latin typeface="Arial" pitchFamily="34" charset="0"/>
              <a:cs typeface="Arial" pitchFamily="34" charset="0"/>
            </a:rPr>
            <a:t>  </a:t>
          </a:r>
          <a:r>
            <a:rPr lang="ru-RU" sz="1800" b="1" baseline="0">
              <a:latin typeface="Arial" pitchFamily="34" charset="0"/>
              <a:cs typeface="Arial" pitchFamily="34" charset="0"/>
            </a:rPr>
            <a:t> ВРЕМЯ</a:t>
          </a:r>
          <a:endParaRPr lang="ru-RU" sz="18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C05C57E-6B9F-4CA9-9390-B31B20F966A5}"/>
            </a:ext>
          </a:extLst>
        </cdr:cNvPr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</c:userShapes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0.19924</cdr:x>
      <cdr:y>0.13918</cdr:y>
    </cdr:from>
    <cdr:to>
      <cdr:x>0.90481</cdr:x>
      <cdr:y>0.26022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1993598" y="1232891"/>
          <a:ext cx="7059914" cy="10721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algn="l"/>
          <a:r>
            <a:rPr lang="ru-RU" sz="2000" b="1">
              <a:latin typeface="Arial" pitchFamily="34" charset="0"/>
              <a:cs typeface="Arial" pitchFamily="34" charset="0"/>
            </a:rPr>
            <a:t> </a:t>
          </a:r>
          <a:r>
            <a:rPr lang="ru-RU" sz="2400" b="1">
              <a:latin typeface="Arial" pitchFamily="34" charset="0"/>
              <a:cs typeface="Arial" pitchFamily="34" charset="0"/>
            </a:rPr>
            <a:t>ВЫПУСК ОТЕЧЕСТВЕННОЙ ПРОДУКЦИИ</a:t>
          </a:r>
          <a:endParaRPr lang="en-US" sz="2400" b="1">
            <a:latin typeface="Arial" pitchFamily="34" charset="0"/>
            <a:cs typeface="Arial" pitchFamily="34" charset="0"/>
          </a:endParaRPr>
        </a:p>
        <a:p xmlns:a="http://schemas.openxmlformats.org/drawingml/2006/main">
          <a:pPr algn="l"/>
          <a:r>
            <a:rPr lang="en-US" sz="2400" b="1">
              <a:latin typeface="Arial" pitchFamily="34" charset="0"/>
              <a:cs typeface="Arial" pitchFamily="34" charset="0"/>
            </a:rPr>
            <a:t> </a:t>
          </a:r>
          <a:r>
            <a:rPr lang="ru-RU" sz="2400" b="1">
              <a:latin typeface="Arial" pitchFamily="34" charset="0"/>
              <a:cs typeface="Arial" pitchFamily="34" charset="0"/>
            </a:rPr>
            <a:t>в</a:t>
          </a:r>
          <a:r>
            <a:rPr lang="ru-RU" sz="2400" b="1" baseline="0">
              <a:latin typeface="Arial" pitchFamily="34" charset="0"/>
              <a:cs typeface="Arial" pitchFamily="34" charset="0"/>
            </a:rPr>
            <a:t> сопоставимых ценах 1995 года</a:t>
          </a:r>
          <a:r>
            <a:rPr lang="en-US" sz="2000" b="1">
              <a:latin typeface="Arial" pitchFamily="34" charset="0"/>
              <a:cs typeface="Arial" pitchFamily="34" charset="0"/>
            </a:rPr>
            <a:t> </a:t>
          </a:r>
          <a:r>
            <a:rPr lang="en-US" sz="2000" b="1" baseline="0">
              <a:latin typeface="Arial" pitchFamily="34" charset="0"/>
              <a:cs typeface="Arial" pitchFamily="34" charset="0"/>
            </a:rPr>
            <a:t> </a:t>
          </a:r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en-US" sz="2000" b="1">
              <a:latin typeface="Arial" pitchFamily="34" charset="0"/>
              <a:cs typeface="Arial" pitchFamily="34" charset="0"/>
            </a:rPr>
            <a:t>                     </a:t>
          </a:r>
          <a:endParaRPr lang="ru-RU" sz="20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0.81277</cdr:x>
      <cdr:y>0.87341</cdr:y>
    </cdr:from>
    <cdr:to>
      <cdr:x>0.9366</cdr:x>
      <cdr:y>0.91531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C62E565B-F758-4D5E-85D4-ACC5727F5068}"/>
            </a:ext>
          </a:extLst>
        </cdr:cNvPr>
        <cdr:cNvSpPr txBox="1"/>
      </cdr:nvSpPr>
      <cdr:spPr>
        <a:xfrm xmlns:a="http://schemas.openxmlformats.org/drawingml/2006/main">
          <a:off x="8302941" y="7858874"/>
          <a:ext cx="1264921" cy="3770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baseline="0">
              <a:latin typeface="Arial" pitchFamily="34" charset="0"/>
              <a:cs typeface="Arial" pitchFamily="34" charset="0"/>
            </a:rPr>
            <a:t>  </a:t>
          </a:r>
          <a:r>
            <a:rPr lang="ru-RU" sz="1800" b="1" baseline="0">
              <a:latin typeface="Arial" pitchFamily="34" charset="0"/>
              <a:cs typeface="Arial" pitchFamily="34" charset="0"/>
            </a:rPr>
            <a:t> ВРЕМЯ</a:t>
          </a:r>
          <a:endParaRPr lang="ru-RU" sz="18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0.08002</cdr:x>
      <cdr:y>0.03148</cdr:y>
    </cdr:from>
    <cdr:to>
      <cdr:x>0.15528</cdr:x>
      <cdr:y>0.09005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C05C57E-6B9F-4CA9-9390-B31B20F966A5}"/>
            </a:ext>
          </a:extLst>
        </cdr:cNvPr>
        <cdr:cNvSpPr txBox="1"/>
      </cdr:nvSpPr>
      <cdr:spPr>
        <a:xfrm xmlns:a="http://schemas.openxmlformats.org/drawingml/2006/main">
          <a:off x="797633" y="278858"/>
          <a:ext cx="750180" cy="51882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</c:userShapes>
</file>

<file path=xl/drawings/drawing21.xml><?xml version="1.0" encoding="utf-8"?>
<c:userShapes xmlns:c="http://schemas.openxmlformats.org/drawingml/2006/chart"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0.27379</cdr:x>
      <cdr:y>0.17247</cdr:y>
    </cdr:from>
    <cdr:to>
      <cdr:x>0.84029</cdr:x>
      <cdr:y>0.25735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2880377" y="1542054"/>
          <a:ext cx="5959785" cy="7589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algn="l"/>
          <a:r>
            <a:rPr lang="ru-RU" sz="2000" b="1">
              <a:latin typeface="Arial" pitchFamily="34" charset="0"/>
              <a:cs typeface="Arial" pitchFamily="34" charset="0"/>
            </a:rPr>
            <a:t>  ДИНАМИКА</a:t>
          </a:r>
          <a:r>
            <a:rPr lang="en-US" sz="2000" b="1">
              <a:latin typeface="Arial" pitchFamily="34" charset="0"/>
              <a:cs typeface="Arial" pitchFamily="34" charset="0"/>
            </a:rPr>
            <a:t> </a:t>
          </a:r>
          <a:r>
            <a:rPr lang="en-US" sz="2000" b="1" baseline="0">
              <a:latin typeface="Arial" pitchFamily="34" charset="0"/>
              <a:cs typeface="Arial" pitchFamily="34" charset="0"/>
            </a:rPr>
            <a:t> </a:t>
          </a:r>
          <a:r>
            <a:rPr lang="ru-RU" sz="2000" b="1" baseline="0">
              <a:latin typeface="Arial" pitchFamily="34" charset="0"/>
              <a:cs typeface="Arial" pitchFamily="34" charset="0"/>
            </a:rPr>
            <a:t>ГОДОВОГО ТЕМПА</a:t>
          </a:r>
          <a:endParaRPr lang="ru-RU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pPr algn="l"/>
          <a:r>
            <a:rPr lang="ru-RU" sz="2000" b="1">
              <a:latin typeface="Arial" pitchFamily="34" charset="0"/>
              <a:cs typeface="Arial" pitchFamily="34" charset="0"/>
            </a:rPr>
            <a:t>  ВАЛОВОГО ВНУТРЕННЕГО ПРОДУКТА</a:t>
          </a:r>
        </a:p>
        <a:p xmlns:a="http://schemas.openxmlformats.org/drawingml/2006/main">
          <a:pPr algn="l"/>
          <a:r>
            <a:rPr lang="ru-RU" sz="2000" b="1">
              <a:latin typeface="Arial" pitchFamily="34" charset="0"/>
              <a:cs typeface="Arial" pitchFamily="34" charset="0"/>
            </a:rPr>
            <a:t>  </a:t>
          </a:r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pPr algn="l"/>
          <a:r>
            <a:rPr lang="en-US" sz="2000" b="1">
              <a:latin typeface="Arial" pitchFamily="34" charset="0"/>
              <a:cs typeface="Arial" pitchFamily="34" charset="0"/>
            </a:rPr>
            <a:t> </a:t>
          </a:r>
          <a:r>
            <a:rPr lang="en-US" sz="2000" b="1" baseline="0">
              <a:latin typeface="Arial" pitchFamily="34" charset="0"/>
              <a:cs typeface="Arial" pitchFamily="34" charset="0"/>
            </a:rPr>
            <a:t> </a:t>
          </a:r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en-US" sz="2000" b="1">
              <a:latin typeface="Arial" pitchFamily="34" charset="0"/>
              <a:cs typeface="Arial" pitchFamily="34" charset="0"/>
            </a:rPr>
            <a:t>                     </a:t>
          </a:r>
          <a:endParaRPr lang="ru-RU" sz="20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0.8174</cdr:x>
      <cdr:y>0.86917</cdr:y>
    </cdr:from>
    <cdr:to>
      <cdr:x>0.93843</cdr:x>
      <cdr:y>0.90896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C62E565B-F758-4D5E-85D4-ACC5727F5068}"/>
            </a:ext>
          </a:extLst>
        </cdr:cNvPr>
        <cdr:cNvSpPr txBox="1"/>
      </cdr:nvSpPr>
      <cdr:spPr>
        <a:xfrm xmlns:a="http://schemas.openxmlformats.org/drawingml/2006/main">
          <a:off x="8599316" y="7820774"/>
          <a:ext cx="1273346" cy="35802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baseline="0">
              <a:latin typeface="Arial" pitchFamily="34" charset="0"/>
              <a:cs typeface="Arial" pitchFamily="34" charset="0"/>
            </a:rPr>
            <a:t>  </a:t>
          </a:r>
          <a:r>
            <a:rPr lang="ru-RU" sz="1800" b="1" baseline="0">
              <a:latin typeface="Arial" pitchFamily="34" charset="0"/>
              <a:cs typeface="Arial" pitchFamily="34" charset="0"/>
            </a:rPr>
            <a:t> ВРЕМЯ</a:t>
          </a:r>
          <a:endParaRPr lang="ru-RU" sz="18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C05C57E-6B9F-4CA9-9390-B31B20F966A5}"/>
            </a:ext>
          </a:extLst>
        </cdr:cNvPr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0.19707</cdr:x>
      <cdr:y>0.87383</cdr:y>
    </cdr:from>
    <cdr:to>
      <cdr:x>0.30757</cdr:x>
      <cdr:y>0.92145</cdr:y>
    </cdr:to>
    <cdr:sp macro="" textlink="">
      <cdr:nvSpPr>
        <cdr:cNvPr id="9" name="TextBox 5">
          <a:extLst xmlns:a="http://schemas.openxmlformats.org/drawingml/2006/main">
            <a:ext uri="{FF2B5EF4-FFF2-40B4-BE49-F238E27FC236}">
              <a16:creationId xmlns:a16="http://schemas.microsoft.com/office/drawing/2014/main" id="{71F1EE7D-ED1E-453C-A8EA-CE26BCBCF352}"/>
            </a:ext>
          </a:extLst>
        </cdr:cNvPr>
        <cdr:cNvSpPr txBox="1"/>
      </cdr:nvSpPr>
      <cdr:spPr>
        <a:xfrm xmlns:a="http://schemas.openxmlformats.org/drawingml/2006/main">
          <a:off x="1669045" y="7621270"/>
          <a:ext cx="935859" cy="41532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400">
              <a:latin typeface="Arial" pitchFamily="34" charset="0"/>
              <a:cs typeface="Arial" pitchFamily="34" charset="0"/>
            </a:rPr>
            <a:t>Тренд1   </a:t>
          </a:r>
        </a:p>
      </cdr:txBody>
    </cdr:sp>
  </cdr:relSizeAnchor>
</c:userShapes>
</file>

<file path=xl/drawings/drawing22.xml><?xml version="1.0" encoding="utf-8"?>
<c:userShapes xmlns:c="http://schemas.openxmlformats.org/drawingml/2006/chart"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0.27663</cdr:x>
      <cdr:y>0.06686</cdr:y>
    </cdr:from>
    <cdr:to>
      <cdr:x>0.84581</cdr:x>
      <cdr:y>0.22463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2857500" y="665309"/>
          <a:ext cx="5879551" cy="156989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4000" b="1">
              <a:latin typeface="Arial" pitchFamily="34" charset="0"/>
              <a:cs typeface="Arial" pitchFamily="34" charset="0"/>
            </a:rPr>
            <a:t> </a:t>
          </a:r>
          <a:r>
            <a:rPr lang="ru-RU" sz="2400" b="1">
              <a:latin typeface="Arial" pitchFamily="34" charset="0"/>
              <a:cs typeface="Arial" pitchFamily="34" charset="0"/>
            </a:rPr>
            <a:t>ДИНАМИКА ОСНОВНЫХ ФОНДОВ</a:t>
          </a:r>
          <a:endParaRPr lang="ru-RU" sz="4000">
            <a:effectLst/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r>
            <a:rPr lang="en-US" sz="2000" b="1"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 </a:t>
          </a:r>
          <a:r>
            <a:rPr lang="ru-RU" sz="2000" b="1"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  </a:t>
          </a:r>
          <a:r>
            <a:rPr lang="ru-RU" sz="2400" b="1"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в</a:t>
          </a:r>
          <a:r>
            <a:rPr lang="ru-RU" sz="2400" b="1" baseline="0"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 сопоставимых ценах</a:t>
          </a:r>
        </a:p>
        <a:p xmlns:a="http://schemas.openxmlformats.org/drawingml/2006/main">
          <a:r>
            <a:rPr lang="ru-RU" sz="2400" b="1" baseline="0"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  1995 года (млрд руб)</a:t>
          </a:r>
          <a:endParaRPr lang="ru-RU" sz="4400">
            <a:effectLst/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r>
            <a:rPr lang="en-US" sz="1100" b="1">
              <a:effectLst/>
              <a:latin typeface="+mn-lt"/>
              <a:ea typeface="+mn-ea"/>
              <a:cs typeface="+mn-cs"/>
            </a:rPr>
            <a:t> </a:t>
          </a:r>
          <a:r>
            <a:rPr lang="en-US" sz="1100" b="1" baseline="0">
              <a:effectLst/>
              <a:latin typeface="+mn-lt"/>
              <a:ea typeface="+mn-ea"/>
              <a:cs typeface="+mn-cs"/>
            </a:rPr>
            <a:t> </a:t>
          </a:r>
          <a:endParaRPr lang="ru-RU" sz="2000">
            <a:effectLst/>
          </a:endParaRPr>
        </a:p>
        <a:p xmlns:a="http://schemas.openxmlformats.org/drawingml/2006/main">
          <a:pPr algn="l"/>
          <a:r>
            <a:rPr lang="ru-RU" sz="2000" b="1">
              <a:latin typeface="Arial" pitchFamily="34" charset="0"/>
              <a:cs typeface="Arial" pitchFamily="34" charset="0"/>
            </a:rPr>
            <a:t> </a:t>
          </a:r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pPr algn="l"/>
          <a:r>
            <a:rPr lang="en-US" sz="2000" b="1">
              <a:latin typeface="Arial" pitchFamily="34" charset="0"/>
              <a:cs typeface="Arial" pitchFamily="34" charset="0"/>
            </a:rPr>
            <a:t> </a:t>
          </a:r>
          <a:r>
            <a:rPr lang="en-US" sz="2000" b="1" baseline="0">
              <a:latin typeface="Arial" pitchFamily="34" charset="0"/>
              <a:cs typeface="Arial" pitchFamily="34" charset="0"/>
            </a:rPr>
            <a:t> </a:t>
          </a:r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en-US" sz="2000" b="1">
              <a:latin typeface="Arial" pitchFamily="34" charset="0"/>
              <a:cs typeface="Arial" pitchFamily="34" charset="0"/>
            </a:rPr>
            <a:t>                     </a:t>
          </a:r>
          <a:endParaRPr lang="ru-RU" sz="20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0.81277</cdr:x>
      <cdr:y>0.87341</cdr:y>
    </cdr:from>
    <cdr:to>
      <cdr:x>0.9366</cdr:x>
      <cdr:y>0.91531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C62E565B-F758-4D5E-85D4-ACC5727F5068}"/>
            </a:ext>
          </a:extLst>
        </cdr:cNvPr>
        <cdr:cNvSpPr txBox="1"/>
      </cdr:nvSpPr>
      <cdr:spPr>
        <a:xfrm xmlns:a="http://schemas.openxmlformats.org/drawingml/2006/main">
          <a:off x="8302941" y="7858874"/>
          <a:ext cx="1264921" cy="3770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baseline="0">
              <a:latin typeface="Arial" pitchFamily="34" charset="0"/>
              <a:cs typeface="Arial" pitchFamily="34" charset="0"/>
            </a:rPr>
            <a:t>  </a:t>
          </a:r>
          <a:r>
            <a:rPr lang="ru-RU" sz="1800" b="1" baseline="0">
              <a:latin typeface="Arial" pitchFamily="34" charset="0"/>
              <a:cs typeface="Arial" pitchFamily="34" charset="0"/>
            </a:rPr>
            <a:t> ВРЕМЯ</a:t>
          </a:r>
          <a:endParaRPr lang="ru-RU" sz="18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C05C57E-6B9F-4CA9-9390-B31B20F966A5}"/>
            </a:ext>
          </a:extLst>
        </cdr:cNvPr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0.56209</cdr:x>
      <cdr:y>0.37572</cdr:y>
    </cdr:from>
    <cdr:to>
      <cdr:x>0.71116</cdr:x>
      <cdr:y>0.42758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5635006" y="3788735"/>
          <a:ext cx="1494456" cy="52291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2400">
              <a:latin typeface="Arial" panose="020B0604020202020204" pitchFamily="34" charset="0"/>
              <a:cs typeface="Arial" panose="020B0604020202020204" pitchFamily="34" charset="0"/>
            </a:rPr>
            <a:t>прогноз</a:t>
          </a:r>
        </a:p>
        <a:p xmlns:a="http://schemas.openxmlformats.org/drawingml/2006/main">
          <a:endParaRPr lang="ru-RU" sz="24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</c:userShapes>
</file>

<file path=xl/drawings/drawing23.xml><?xml version="1.0" encoding="utf-8"?>
<c:userShapes xmlns:c="http://schemas.openxmlformats.org/drawingml/2006/chart">
  <cdr:relSizeAnchor xmlns:cdr="http://schemas.openxmlformats.org/drawingml/2006/chartDrawing">
    <cdr:from>
      <cdr:x>0.08002</cdr:x>
      <cdr:y>0.03148</cdr:y>
    </cdr:from>
    <cdr:to>
      <cdr:x>0.18998</cdr:x>
      <cdr:y>0.09005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35514" y="273361"/>
          <a:ext cx="1010737" cy="50859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</a:t>
          </a:r>
        </a:p>
      </cdr:txBody>
    </cdr:sp>
  </cdr:relSizeAnchor>
  <cdr:relSizeAnchor xmlns:cdr="http://schemas.openxmlformats.org/drawingml/2006/chartDrawing">
    <cdr:from>
      <cdr:x>0.25698</cdr:x>
      <cdr:y>0.08871</cdr:y>
    </cdr:from>
    <cdr:to>
      <cdr:x>0.8532</cdr:x>
      <cdr:y>0.18099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2362097" y="770282"/>
          <a:ext cx="5480153" cy="8013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БАЗИСНЫЕ ТЕМПЫ</a:t>
          </a:r>
          <a:r>
            <a:rPr lang="ru-RU" sz="2000" b="1" baseline="0">
              <a:latin typeface="Arial" pitchFamily="34" charset="0"/>
              <a:cs typeface="Arial" pitchFamily="34" charset="0"/>
            </a:rPr>
            <a:t> ВАЛОВОГО</a:t>
          </a:r>
        </a:p>
        <a:p xmlns:a="http://schemas.openxmlformats.org/drawingml/2006/main">
          <a:r>
            <a:rPr lang="ru-RU" sz="2000" b="1" baseline="0">
              <a:latin typeface="Arial" pitchFamily="34" charset="0"/>
              <a:cs typeface="Arial" pitchFamily="34" charset="0"/>
            </a:rPr>
            <a:t> ВНУТРЕННЕГО ПРОДУКТА</a:t>
          </a:r>
          <a:r>
            <a:rPr lang="ru-RU" sz="2000" b="1">
              <a:latin typeface="Arial" pitchFamily="34" charset="0"/>
              <a:cs typeface="Arial" pitchFamily="34" charset="0"/>
            </a:rPr>
            <a:t> </a:t>
          </a:r>
        </a:p>
      </cdr:txBody>
    </cdr:sp>
  </cdr:relSizeAnchor>
  <cdr:relSizeAnchor xmlns:cdr="http://schemas.openxmlformats.org/drawingml/2006/chartDrawing">
    <cdr:from>
      <cdr:x>0.80465</cdr:x>
      <cdr:y>0.88778</cdr:y>
    </cdr:from>
    <cdr:to>
      <cdr:x>0.93092</cdr:x>
      <cdr:y>0.93236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C62E565B-F758-4D5E-85D4-ACC5727F5068}"/>
            </a:ext>
          </a:extLst>
        </cdr:cNvPr>
        <cdr:cNvSpPr txBox="1"/>
      </cdr:nvSpPr>
      <cdr:spPr>
        <a:xfrm xmlns:a="http://schemas.openxmlformats.org/drawingml/2006/main">
          <a:off x="7396021" y="7709114"/>
          <a:ext cx="1160606" cy="3871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baseline="0">
              <a:latin typeface="Arial" pitchFamily="34" charset="0"/>
              <a:cs typeface="Arial" pitchFamily="34" charset="0"/>
            </a:rPr>
            <a:t>  </a:t>
          </a:r>
          <a:r>
            <a:rPr lang="ru-RU" sz="1800" b="1" baseline="0">
              <a:latin typeface="Arial" pitchFamily="34" charset="0"/>
              <a:cs typeface="Arial" pitchFamily="34" charset="0"/>
            </a:rPr>
            <a:t>ВРЕМЯ</a:t>
          </a:r>
          <a:endParaRPr lang="ru-RU" sz="18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0.09499</cdr:x>
      <cdr:y>0.06114</cdr:y>
    </cdr:from>
    <cdr:to>
      <cdr:x>0.16753</cdr:x>
      <cdr:y>0.10833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C05C57E-6B9F-4CA9-9390-B31B20F966A5}"/>
            </a:ext>
          </a:extLst>
        </cdr:cNvPr>
        <cdr:cNvSpPr txBox="1"/>
      </cdr:nvSpPr>
      <cdr:spPr>
        <a:xfrm xmlns:a="http://schemas.openxmlformats.org/drawingml/2006/main">
          <a:off x="873127" y="530930"/>
          <a:ext cx="666749" cy="4097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2400" b="1">
              <a:latin typeface="Arial" pitchFamily="34" charset="0"/>
              <a:cs typeface="Arial" pitchFamily="34" charset="0"/>
            </a:rPr>
            <a:t>Pw</a:t>
          </a:r>
          <a:r>
            <a:rPr lang="ru-RU" sz="2000">
              <a:latin typeface="Arial" pitchFamily="34" charset="0"/>
              <a:cs typeface="Arial" pitchFamily="34" charset="0"/>
            </a:rPr>
            <a:t> </a:t>
          </a:r>
          <a:r>
            <a:rPr lang="ru-RU" sz="1800">
              <a:latin typeface="Arial" pitchFamily="34" charset="0"/>
              <a:cs typeface="Arial" pitchFamily="34" charset="0"/>
            </a:rPr>
            <a:t>   </a:t>
          </a:r>
        </a:p>
      </cdr:txBody>
    </cdr:sp>
  </cdr:relSizeAnchor>
  <cdr:relSizeAnchor xmlns:cdr="http://schemas.openxmlformats.org/drawingml/2006/chartDrawing">
    <cdr:from>
      <cdr:x>0.40417</cdr:x>
      <cdr:y>0.59198</cdr:y>
    </cdr:from>
    <cdr:to>
      <cdr:x>0.48014</cdr:x>
      <cdr:y>0.63437</cdr:y>
    </cdr:to>
    <cdr:sp macro="" textlink="">
      <cdr:nvSpPr>
        <cdr:cNvPr id="9" name="TextBox 5">
          <a:extLst xmlns:a="http://schemas.openxmlformats.org/drawingml/2006/main">
            <a:ext uri="{FF2B5EF4-FFF2-40B4-BE49-F238E27FC236}">
              <a16:creationId xmlns:a16="http://schemas.microsoft.com/office/drawing/2014/main" id="{71F1EE7D-ED1E-453C-A8EA-CE26BCBCF352}"/>
            </a:ext>
          </a:extLst>
        </cdr:cNvPr>
        <cdr:cNvSpPr txBox="1"/>
      </cdr:nvSpPr>
      <cdr:spPr>
        <a:xfrm xmlns:a="http://schemas.openxmlformats.org/drawingml/2006/main">
          <a:off x="3714947" y="5140564"/>
          <a:ext cx="698288" cy="36809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400">
              <a:latin typeface="Arial" pitchFamily="34" charset="0"/>
              <a:cs typeface="Arial" pitchFamily="34" charset="0"/>
            </a:rPr>
            <a:t>ОТЧЁТ</a:t>
          </a:r>
        </a:p>
        <a:p xmlns:a="http://schemas.openxmlformats.org/drawingml/2006/main">
          <a:r>
            <a:rPr lang="ru-RU" sz="1400">
              <a:latin typeface="Arial" pitchFamily="34" charset="0"/>
              <a:cs typeface="Arial" pitchFamily="34" charset="0"/>
            </a:rPr>
            <a:t>  </a:t>
          </a:r>
        </a:p>
      </cdr:txBody>
    </cdr:sp>
  </cdr:relSizeAnchor>
</c:userShapes>
</file>

<file path=xl/drawings/drawing24.xml><?xml version="1.0" encoding="utf-8"?>
<c:userShapes xmlns:c="http://schemas.openxmlformats.org/drawingml/2006/chart"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0.27379</cdr:x>
      <cdr:y>0.17247</cdr:y>
    </cdr:from>
    <cdr:to>
      <cdr:x>0.84029</cdr:x>
      <cdr:y>0.25735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2880377" y="1542054"/>
          <a:ext cx="5959785" cy="7589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algn="l"/>
          <a:r>
            <a:rPr lang="ru-RU" sz="2000" b="1">
              <a:latin typeface="Arial" pitchFamily="34" charset="0"/>
              <a:cs typeface="Arial" pitchFamily="34" charset="0"/>
            </a:rPr>
            <a:t>  ДИНАМИКА</a:t>
          </a:r>
          <a:r>
            <a:rPr lang="en-US" sz="2000" b="1">
              <a:latin typeface="Arial" pitchFamily="34" charset="0"/>
              <a:cs typeface="Arial" pitchFamily="34" charset="0"/>
            </a:rPr>
            <a:t> </a:t>
          </a:r>
          <a:r>
            <a:rPr lang="en-US" sz="2000" b="1" baseline="0">
              <a:latin typeface="Arial" pitchFamily="34" charset="0"/>
              <a:cs typeface="Arial" pitchFamily="34" charset="0"/>
            </a:rPr>
            <a:t> </a:t>
          </a:r>
          <a:r>
            <a:rPr lang="ru-RU" sz="2000" b="1" baseline="0">
              <a:latin typeface="Arial" pitchFamily="34" charset="0"/>
              <a:cs typeface="Arial" pitchFamily="34" charset="0"/>
            </a:rPr>
            <a:t>ГОДОВОГО ТЕМПА</a:t>
          </a:r>
          <a:endParaRPr lang="ru-RU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pPr algn="l"/>
          <a:r>
            <a:rPr lang="ru-RU" sz="2000" b="1">
              <a:latin typeface="Arial" pitchFamily="34" charset="0"/>
              <a:cs typeface="Arial" pitchFamily="34" charset="0"/>
            </a:rPr>
            <a:t>  ВАЛОВОГО ВНУТРЕННЕГО ПРОДУКТА</a:t>
          </a:r>
        </a:p>
        <a:p xmlns:a="http://schemas.openxmlformats.org/drawingml/2006/main">
          <a:pPr algn="l"/>
          <a:r>
            <a:rPr lang="ru-RU" sz="2000" b="1">
              <a:latin typeface="Arial" pitchFamily="34" charset="0"/>
              <a:cs typeface="Arial" pitchFamily="34" charset="0"/>
            </a:rPr>
            <a:t>  </a:t>
          </a:r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pPr algn="l"/>
          <a:r>
            <a:rPr lang="en-US" sz="2000" b="1">
              <a:latin typeface="Arial" pitchFamily="34" charset="0"/>
              <a:cs typeface="Arial" pitchFamily="34" charset="0"/>
            </a:rPr>
            <a:t> </a:t>
          </a:r>
          <a:r>
            <a:rPr lang="en-US" sz="2000" b="1" baseline="0">
              <a:latin typeface="Arial" pitchFamily="34" charset="0"/>
              <a:cs typeface="Arial" pitchFamily="34" charset="0"/>
            </a:rPr>
            <a:t> </a:t>
          </a:r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en-US" sz="2000" b="1">
              <a:latin typeface="Arial" pitchFamily="34" charset="0"/>
              <a:cs typeface="Arial" pitchFamily="34" charset="0"/>
            </a:rPr>
            <a:t>                     </a:t>
          </a:r>
          <a:endParaRPr lang="ru-RU" sz="20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0.8174</cdr:x>
      <cdr:y>0.86917</cdr:y>
    </cdr:from>
    <cdr:to>
      <cdr:x>0.93843</cdr:x>
      <cdr:y>0.90896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C62E565B-F758-4D5E-85D4-ACC5727F5068}"/>
            </a:ext>
          </a:extLst>
        </cdr:cNvPr>
        <cdr:cNvSpPr txBox="1"/>
      </cdr:nvSpPr>
      <cdr:spPr>
        <a:xfrm xmlns:a="http://schemas.openxmlformats.org/drawingml/2006/main">
          <a:off x="8599316" y="7820774"/>
          <a:ext cx="1273346" cy="35802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baseline="0">
              <a:latin typeface="Arial" pitchFamily="34" charset="0"/>
              <a:cs typeface="Arial" pitchFamily="34" charset="0"/>
            </a:rPr>
            <a:t>  </a:t>
          </a:r>
          <a:r>
            <a:rPr lang="ru-RU" sz="1800" b="1" baseline="0">
              <a:latin typeface="Arial" pitchFamily="34" charset="0"/>
              <a:cs typeface="Arial" pitchFamily="34" charset="0"/>
            </a:rPr>
            <a:t> ВРЕМЯ</a:t>
          </a:r>
          <a:endParaRPr lang="ru-RU" sz="18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C05C57E-6B9F-4CA9-9390-B31B20F966A5}"/>
            </a:ext>
          </a:extLst>
        </cdr:cNvPr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0.19707</cdr:x>
      <cdr:y>0.87383</cdr:y>
    </cdr:from>
    <cdr:to>
      <cdr:x>0.30757</cdr:x>
      <cdr:y>0.92145</cdr:y>
    </cdr:to>
    <cdr:sp macro="" textlink="">
      <cdr:nvSpPr>
        <cdr:cNvPr id="9" name="TextBox 5">
          <a:extLst xmlns:a="http://schemas.openxmlformats.org/drawingml/2006/main">
            <a:ext uri="{FF2B5EF4-FFF2-40B4-BE49-F238E27FC236}">
              <a16:creationId xmlns:a16="http://schemas.microsoft.com/office/drawing/2014/main" id="{71F1EE7D-ED1E-453C-A8EA-CE26BCBCF352}"/>
            </a:ext>
          </a:extLst>
        </cdr:cNvPr>
        <cdr:cNvSpPr txBox="1"/>
      </cdr:nvSpPr>
      <cdr:spPr>
        <a:xfrm xmlns:a="http://schemas.openxmlformats.org/drawingml/2006/main">
          <a:off x="1669045" y="7621270"/>
          <a:ext cx="935859" cy="41532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400">
              <a:latin typeface="Arial" pitchFamily="34" charset="0"/>
              <a:cs typeface="Arial" pitchFamily="34" charset="0"/>
            </a:rPr>
            <a:t>Тренд1   </a:t>
          </a:r>
        </a:p>
      </cdr:txBody>
    </cdr:sp>
  </cdr:relSizeAnchor>
</c:userShapes>
</file>

<file path=xl/drawings/drawing25.xml><?xml version="1.0" encoding="utf-8"?>
<c:userShapes xmlns:c="http://schemas.openxmlformats.org/drawingml/2006/chart"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0.19861</cdr:x>
      <cdr:y>0.07238</cdr:y>
    </cdr:from>
    <cdr:to>
      <cdr:x>0.85586</cdr:x>
      <cdr:y>0.19715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1994861" y="728487"/>
          <a:ext cx="6601452" cy="125577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algn="l"/>
          <a:r>
            <a:rPr lang="ru-RU" sz="2400" b="1">
              <a:latin typeface="Arial" pitchFamily="34" charset="0"/>
              <a:cs typeface="Arial" pitchFamily="34" charset="0"/>
            </a:rPr>
            <a:t>  ГРАНИЦА ОТЕЧЕСТВЕННОГО ВЫПУСКА</a:t>
          </a:r>
        </a:p>
        <a:p xmlns:a="http://schemas.openxmlformats.org/drawingml/2006/main">
          <a:pPr algn="l"/>
          <a:r>
            <a:rPr lang="ru-RU" sz="2400" b="1">
              <a:latin typeface="Arial" pitchFamily="34" charset="0"/>
              <a:cs typeface="Arial" pitchFamily="34" charset="0"/>
            </a:rPr>
            <a:t>  РОССИЙСКОЙ ЭКОНОМИКИ</a:t>
          </a:r>
        </a:p>
        <a:p xmlns:a="http://schemas.openxmlformats.org/drawingml/2006/main">
          <a:pPr algn="l"/>
          <a:r>
            <a:rPr lang="ru-RU" sz="2000" b="1">
              <a:latin typeface="Arial" pitchFamily="34" charset="0"/>
              <a:cs typeface="Arial" pitchFamily="34" charset="0"/>
            </a:rPr>
            <a:t>  в сопоставимых ценах 1995 года</a:t>
          </a:r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pPr algn="l"/>
          <a:r>
            <a:rPr lang="en-US" sz="2000" b="1">
              <a:latin typeface="Arial" pitchFamily="34" charset="0"/>
              <a:cs typeface="Arial" pitchFamily="34" charset="0"/>
            </a:rPr>
            <a:t> </a:t>
          </a:r>
          <a:r>
            <a:rPr lang="en-US" sz="2000" b="1" baseline="0">
              <a:latin typeface="Arial" pitchFamily="34" charset="0"/>
              <a:cs typeface="Arial" pitchFamily="34" charset="0"/>
            </a:rPr>
            <a:t> </a:t>
          </a:r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en-US" sz="2000" b="1">
              <a:latin typeface="Arial" pitchFamily="34" charset="0"/>
              <a:cs typeface="Arial" pitchFamily="34" charset="0"/>
            </a:rPr>
            <a:t>                     </a:t>
          </a:r>
          <a:endParaRPr lang="ru-RU" sz="20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0.81277</cdr:x>
      <cdr:y>0.87341</cdr:y>
    </cdr:from>
    <cdr:to>
      <cdr:x>0.9366</cdr:x>
      <cdr:y>0.91531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C62E565B-F758-4D5E-85D4-ACC5727F5068}"/>
            </a:ext>
          </a:extLst>
        </cdr:cNvPr>
        <cdr:cNvSpPr txBox="1"/>
      </cdr:nvSpPr>
      <cdr:spPr>
        <a:xfrm xmlns:a="http://schemas.openxmlformats.org/drawingml/2006/main">
          <a:off x="8302941" y="7858874"/>
          <a:ext cx="1264921" cy="3770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baseline="0">
              <a:latin typeface="Arial" pitchFamily="34" charset="0"/>
              <a:cs typeface="Arial" pitchFamily="34" charset="0"/>
            </a:rPr>
            <a:t>  </a:t>
          </a:r>
          <a:r>
            <a:rPr lang="ru-RU" sz="1800" b="1" baseline="0">
              <a:latin typeface="Arial" pitchFamily="34" charset="0"/>
              <a:cs typeface="Arial" pitchFamily="34" charset="0"/>
            </a:rPr>
            <a:t> ВРЕМЯ</a:t>
          </a:r>
          <a:endParaRPr lang="ru-RU" sz="18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C05C57E-6B9F-4CA9-9390-B31B20F966A5}"/>
            </a:ext>
          </a:extLst>
        </cdr:cNvPr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0.17714</cdr:x>
      <cdr:y>0.41622</cdr:y>
    </cdr:from>
    <cdr:to>
      <cdr:x>0.47578</cdr:x>
      <cdr:y>0.4762</cdr:y>
    </cdr:to>
    <cdr:sp macro="" textlink="">
      <cdr:nvSpPr>
        <cdr:cNvPr id="9" name="TextBox 5">
          <a:extLst xmlns:a="http://schemas.openxmlformats.org/drawingml/2006/main">
            <a:ext uri="{FF2B5EF4-FFF2-40B4-BE49-F238E27FC236}">
              <a16:creationId xmlns:a16="http://schemas.microsoft.com/office/drawing/2014/main" id="{71F1EE7D-ED1E-453C-A8EA-CE26BCBCF352}"/>
            </a:ext>
          </a:extLst>
        </cdr:cNvPr>
        <cdr:cNvSpPr txBox="1"/>
      </cdr:nvSpPr>
      <cdr:spPr>
        <a:xfrm xmlns:a="http://schemas.openxmlformats.org/drawingml/2006/main">
          <a:off x="1779170" y="4189166"/>
          <a:ext cx="2999574" cy="60368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400">
              <a:latin typeface="Arial" pitchFamily="34" charset="0"/>
              <a:cs typeface="Arial" pitchFamily="34" charset="0"/>
            </a:rPr>
            <a:t>ПРЕДЕЛЬНЫЙ ВЫПУСК </a:t>
          </a:r>
          <a:r>
            <a:rPr lang="en-US" sz="1400">
              <a:latin typeface="Arial" pitchFamily="34" charset="0"/>
              <a:cs typeface="Arial" pitchFamily="34" charset="0"/>
            </a:rPr>
            <a:t> </a:t>
          </a:r>
          <a:r>
            <a:rPr lang="en-US" sz="2000">
              <a:latin typeface="Arial" pitchFamily="34" charset="0"/>
              <a:cs typeface="Arial" pitchFamily="34" charset="0"/>
            </a:rPr>
            <a:t>^XOS</a:t>
          </a:r>
          <a:r>
            <a:rPr lang="ru-RU" sz="2000">
              <a:latin typeface="Arial" pitchFamily="34" charset="0"/>
              <a:cs typeface="Arial" pitchFamily="34" charset="0"/>
            </a:rPr>
            <a:t>  </a:t>
          </a:r>
          <a:endParaRPr lang="ru-RU" sz="1400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0.78189</cdr:x>
      <cdr:y>0.43218</cdr:y>
    </cdr:from>
    <cdr:to>
      <cdr:x>0.92414</cdr:x>
      <cdr:y>0.48517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7853386" y="4349781"/>
          <a:ext cx="1428775" cy="53333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2400">
              <a:latin typeface="Arial" panose="020B0604020202020204" pitchFamily="34" charset="0"/>
              <a:cs typeface="Arial" panose="020B0604020202020204" pitchFamily="34" charset="0"/>
            </a:rPr>
            <a:t>прогноз</a:t>
          </a:r>
        </a:p>
      </cdr:txBody>
    </cdr:sp>
  </cdr:relSizeAnchor>
</c:userShapes>
</file>

<file path=xl/drawings/drawing26.xml><?xml version="1.0" encoding="utf-8"?>
<c:userShapes xmlns:c="http://schemas.openxmlformats.org/drawingml/2006/chart"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0.23513</cdr:x>
      <cdr:y>0.10053</cdr:y>
    </cdr:from>
    <cdr:to>
      <cdr:x>0.80163</cdr:x>
      <cdr:y>0.18541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2433379" y="985020"/>
          <a:ext cx="5862658" cy="8316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algn="l"/>
          <a:r>
            <a:rPr lang="ru-RU" sz="2000" b="1">
              <a:latin typeface="Arial" pitchFamily="34" charset="0"/>
              <a:cs typeface="Arial" pitchFamily="34" charset="0"/>
            </a:rPr>
            <a:t>  </a:t>
          </a:r>
          <a:r>
            <a:rPr lang="ru-RU" sz="2000" b="0">
              <a:latin typeface="Arial" pitchFamily="34" charset="0"/>
              <a:cs typeface="Arial" pitchFamily="34" charset="0"/>
            </a:rPr>
            <a:t>ДИНАМИКА</a:t>
          </a:r>
          <a:r>
            <a:rPr lang="en-US" sz="2000" b="1">
              <a:latin typeface="Arial" pitchFamily="34" charset="0"/>
              <a:cs typeface="Arial" pitchFamily="34" charset="0"/>
            </a:rPr>
            <a:t> </a:t>
          </a:r>
          <a:r>
            <a:rPr lang="ru-RU" sz="2000" b="1" baseline="0">
              <a:latin typeface="Arial" pitchFamily="34" charset="0"/>
              <a:cs typeface="Arial" pitchFamily="34" charset="0"/>
            </a:rPr>
            <a:t>ВВОДОВ ОСНОВНЫХ</a:t>
          </a:r>
          <a:endParaRPr lang="ru-RU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pPr algn="l"/>
          <a:r>
            <a:rPr lang="ru-RU" sz="2000" b="1">
              <a:latin typeface="Arial" pitchFamily="34" charset="0"/>
              <a:cs typeface="Arial" pitchFamily="34" charset="0"/>
            </a:rPr>
            <a:t>  ФОНДОВ в сопоставимых ценах 1995 года</a:t>
          </a:r>
        </a:p>
        <a:p xmlns:a="http://schemas.openxmlformats.org/drawingml/2006/main">
          <a:pPr algn="l"/>
          <a:r>
            <a:rPr lang="ru-RU" sz="2000" b="1">
              <a:latin typeface="Arial" pitchFamily="34" charset="0"/>
              <a:cs typeface="Arial" pitchFamily="34" charset="0"/>
            </a:rPr>
            <a:t>  </a:t>
          </a:r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pPr algn="l"/>
          <a:r>
            <a:rPr lang="en-US" sz="2000" b="1">
              <a:latin typeface="Arial" pitchFamily="34" charset="0"/>
              <a:cs typeface="Arial" pitchFamily="34" charset="0"/>
            </a:rPr>
            <a:t> </a:t>
          </a:r>
          <a:r>
            <a:rPr lang="en-US" sz="2000" b="1" baseline="0">
              <a:latin typeface="Arial" pitchFamily="34" charset="0"/>
              <a:cs typeface="Arial" pitchFamily="34" charset="0"/>
            </a:rPr>
            <a:t> </a:t>
          </a:r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en-US" sz="2000" b="1">
              <a:latin typeface="Arial" pitchFamily="34" charset="0"/>
              <a:cs typeface="Arial" pitchFamily="34" charset="0"/>
            </a:rPr>
            <a:t>                     </a:t>
          </a:r>
          <a:endParaRPr lang="ru-RU" sz="20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0.8174</cdr:x>
      <cdr:y>0.86917</cdr:y>
    </cdr:from>
    <cdr:to>
      <cdr:x>0.93843</cdr:x>
      <cdr:y>0.90896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C62E565B-F758-4D5E-85D4-ACC5727F5068}"/>
            </a:ext>
          </a:extLst>
        </cdr:cNvPr>
        <cdr:cNvSpPr txBox="1"/>
      </cdr:nvSpPr>
      <cdr:spPr>
        <a:xfrm xmlns:a="http://schemas.openxmlformats.org/drawingml/2006/main">
          <a:off x="8599316" y="7820774"/>
          <a:ext cx="1273346" cy="35802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baseline="0">
              <a:latin typeface="Arial" pitchFamily="34" charset="0"/>
              <a:cs typeface="Arial" pitchFamily="34" charset="0"/>
            </a:rPr>
            <a:t>  </a:t>
          </a:r>
          <a:r>
            <a:rPr lang="ru-RU" sz="1800" b="1" baseline="0">
              <a:latin typeface="Arial" pitchFamily="34" charset="0"/>
              <a:cs typeface="Arial" pitchFamily="34" charset="0"/>
            </a:rPr>
            <a:t> ВРЕМЯ</a:t>
          </a:r>
          <a:endParaRPr lang="ru-RU" sz="18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C05C57E-6B9F-4CA9-9390-B31B20F966A5}"/>
            </a:ext>
          </a:extLst>
        </cdr:cNvPr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0.58951</cdr:x>
      <cdr:y>0.58587</cdr:y>
    </cdr:from>
    <cdr:to>
      <cdr:x>0.67786</cdr:x>
      <cdr:y>0.6792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100762" y="57404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2000">
              <a:latin typeface="Arial" panose="020B0604020202020204" pitchFamily="34" charset="0"/>
              <a:cs typeface="Arial" panose="020B0604020202020204" pitchFamily="34" charset="0"/>
            </a:rPr>
            <a:t>Тренд</a:t>
          </a:r>
        </a:p>
      </cdr:txBody>
    </cdr:sp>
  </cdr:relSizeAnchor>
</c:userShapes>
</file>

<file path=xl/drawings/drawing27.xml><?xml version="1.0" encoding="utf-8"?>
<c:userShapes xmlns:c="http://schemas.openxmlformats.org/drawingml/2006/chart"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0.28176</cdr:x>
      <cdr:y>0.05316</cdr:y>
    </cdr:from>
    <cdr:to>
      <cdr:x>0.89371</cdr:x>
      <cdr:y>0.18146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2878336" y="520864"/>
          <a:ext cx="6251375" cy="12571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algn="l"/>
          <a:r>
            <a:rPr lang="ru-RU" sz="2000" b="1">
              <a:latin typeface="Arial" pitchFamily="34" charset="0"/>
              <a:cs typeface="Arial" pitchFamily="34" charset="0"/>
            </a:rPr>
            <a:t>  КОЭФИЦИЕНТ</a:t>
          </a:r>
          <a:r>
            <a:rPr lang="ru-RU" sz="2000" b="1" baseline="0">
              <a:latin typeface="Arial" pitchFamily="34" charset="0"/>
              <a:cs typeface="Arial" pitchFamily="34" charset="0"/>
            </a:rPr>
            <a:t> ПЕРЕВОДА</a:t>
          </a:r>
          <a:r>
            <a:rPr lang="ru-RU" sz="2000" b="1">
              <a:latin typeface="Arial" pitchFamily="34" charset="0"/>
              <a:cs typeface="Arial" pitchFamily="34" charset="0"/>
            </a:rPr>
            <a:t> ИНВЕСТИЦИЙ В ОК</a:t>
          </a:r>
        </a:p>
        <a:p xmlns:a="http://schemas.openxmlformats.org/drawingml/2006/main">
          <a:pPr algn="l"/>
          <a:r>
            <a:rPr lang="ru-RU" sz="2000" b="1" baseline="0">
              <a:latin typeface="Arial" pitchFamily="34" charset="0"/>
              <a:cs typeface="Arial" pitchFamily="34" charset="0"/>
            </a:rPr>
            <a:t>  ВО ВВОДЫ </a:t>
          </a:r>
        </a:p>
        <a:p xmlns:a="http://schemas.openxmlformats.org/drawingml/2006/main">
          <a:pPr algn="l"/>
          <a:r>
            <a:rPr lang="ru-RU" sz="2000" b="1" baseline="0">
              <a:latin typeface="Arial" pitchFamily="34" charset="0"/>
              <a:cs typeface="Arial" pitchFamily="34" charset="0"/>
            </a:rPr>
            <a:t> в сопоставимых ценах 1995 года</a:t>
          </a:r>
          <a:endParaRPr lang="ru-RU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pPr algn="l"/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pPr algn="l"/>
          <a:r>
            <a:rPr lang="en-US" sz="2000" b="1">
              <a:latin typeface="Arial" pitchFamily="34" charset="0"/>
              <a:cs typeface="Arial" pitchFamily="34" charset="0"/>
            </a:rPr>
            <a:t> </a:t>
          </a:r>
          <a:r>
            <a:rPr lang="en-US" sz="2000" b="1" baseline="0">
              <a:latin typeface="Arial" pitchFamily="34" charset="0"/>
              <a:cs typeface="Arial" pitchFamily="34" charset="0"/>
            </a:rPr>
            <a:t> </a:t>
          </a:r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en-US" sz="2000" b="1">
              <a:latin typeface="Arial" pitchFamily="34" charset="0"/>
              <a:cs typeface="Arial" pitchFamily="34" charset="0"/>
            </a:rPr>
            <a:t>                     </a:t>
          </a:r>
          <a:endParaRPr lang="ru-RU" sz="20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0.81277</cdr:x>
      <cdr:y>0.87341</cdr:y>
    </cdr:from>
    <cdr:to>
      <cdr:x>0.9366</cdr:x>
      <cdr:y>0.91531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C62E565B-F758-4D5E-85D4-ACC5727F5068}"/>
            </a:ext>
          </a:extLst>
        </cdr:cNvPr>
        <cdr:cNvSpPr txBox="1"/>
      </cdr:nvSpPr>
      <cdr:spPr>
        <a:xfrm xmlns:a="http://schemas.openxmlformats.org/drawingml/2006/main">
          <a:off x="8302941" y="7858874"/>
          <a:ext cx="1264921" cy="3770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baseline="0">
              <a:latin typeface="Arial" pitchFamily="34" charset="0"/>
              <a:cs typeface="Arial" pitchFamily="34" charset="0"/>
            </a:rPr>
            <a:t>  </a:t>
          </a:r>
          <a:r>
            <a:rPr lang="ru-RU" sz="1800" b="1" baseline="0">
              <a:latin typeface="Arial" pitchFamily="34" charset="0"/>
              <a:cs typeface="Arial" pitchFamily="34" charset="0"/>
            </a:rPr>
            <a:t> ВРЕМЯ</a:t>
          </a:r>
          <a:endParaRPr lang="ru-RU" sz="18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C05C57E-6B9F-4CA9-9390-B31B20F966A5}"/>
            </a:ext>
          </a:extLst>
        </cdr:cNvPr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0.19964</cdr:x>
      <cdr:y>0.77058</cdr:y>
    </cdr:from>
    <cdr:to>
      <cdr:x>0.75917</cdr:x>
      <cdr:y>0.8639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2100262" y="7550150"/>
          <a:ext cx="588645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2400" b="1">
              <a:latin typeface="Arial" panose="020B0604020202020204" pitchFamily="34" charset="0"/>
              <a:cs typeface="Arial" panose="020B0604020202020204" pitchFamily="34" charset="0"/>
            </a:rPr>
            <a:t>WWSt</a:t>
          </a:r>
          <a:r>
            <a:rPr lang="en-US" sz="2400" b="1" baseline="0">
              <a:latin typeface="Arial" panose="020B0604020202020204" pitchFamily="34" charset="0"/>
              <a:cs typeface="Arial" panose="020B0604020202020204" pitchFamily="34" charset="0"/>
            </a:rPr>
            <a:t> = kSt*( 0,7*INSt +0,2*INSt-1 + 0,1*INSt-2)</a:t>
          </a:r>
          <a:endParaRPr lang="ru-RU" sz="2400" b="1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</c:userShapes>
</file>

<file path=xl/drawings/drawing28.xml><?xml version="1.0" encoding="utf-8"?>
<c:userShapes xmlns:c="http://schemas.openxmlformats.org/drawingml/2006/chart"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0.27379</cdr:x>
      <cdr:y>0.17247</cdr:y>
    </cdr:from>
    <cdr:to>
      <cdr:x>0.84029</cdr:x>
      <cdr:y>0.31673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2833429" y="1538734"/>
          <a:ext cx="5862658" cy="128701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algn="l"/>
          <a:r>
            <a:rPr lang="ru-RU" sz="2000" b="1">
              <a:latin typeface="Arial" pitchFamily="34" charset="0"/>
              <a:cs typeface="Arial" pitchFamily="34" charset="0"/>
            </a:rPr>
            <a:t> </a:t>
          </a:r>
        </a:p>
        <a:p xmlns:a="http://schemas.openxmlformats.org/drawingml/2006/main">
          <a:pPr algn="l"/>
          <a:r>
            <a:rPr lang="ru-RU" sz="2000" b="1">
              <a:latin typeface="Arial" pitchFamily="34" charset="0"/>
              <a:cs typeface="Arial" pitchFamily="34" charset="0"/>
            </a:rPr>
            <a:t>  </a:t>
          </a:r>
        </a:p>
        <a:p xmlns:a="http://schemas.openxmlformats.org/drawingml/2006/main">
          <a:pPr algn="l"/>
          <a:r>
            <a:rPr lang="ru-RU" sz="2000" b="1">
              <a:latin typeface="Arial" pitchFamily="34" charset="0"/>
              <a:cs typeface="Arial" pitchFamily="34" charset="0"/>
            </a:rPr>
            <a:t>  </a:t>
          </a:r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pPr algn="l"/>
          <a:r>
            <a:rPr lang="en-US" sz="2000" b="1">
              <a:latin typeface="Arial" pitchFamily="34" charset="0"/>
              <a:cs typeface="Arial" pitchFamily="34" charset="0"/>
            </a:rPr>
            <a:t> </a:t>
          </a:r>
          <a:r>
            <a:rPr lang="en-US" sz="2000" b="1" baseline="0">
              <a:latin typeface="Arial" pitchFamily="34" charset="0"/>
              <a:cs typeface="Arial" pitchFamily="34" charset="0"/>
            </a:rPr>
            <a:t> </a:t>
          </a:r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en-US" sz="2000" b="1">
              <a:latin typeface="Arial" pitchFamily="34" charset="0"/>
              <a:cs typeface="Arial" pitchFamily="34" charset="0"/>
            </a:rPr>
            <a:t>                     </a:t>
          </a:r>
          <a:endParaRPr lang="ru-RU" sz="20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0.8174</cdr:x>
      <cdr:y>0.86917</cdr:y>
    </cdr:from>
    <cdr:to>
      <cdr:x>0.93843</cdr:x>
      <cdr:y>0.90896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C62E565B-F758-4D5E-85D4-ACC5727F5068}"/>
            </a:ext>
          </a:extLst>
        </cdr:cNvPr>
        <cdr:cNvSpPr txBox="1"/>
      </cdr:nvSpPr>
      <cdr:spPr>
        <a:xfrm xmlns:a="http://schemas.openxmlformats.org/drawingml/2006/main">
          <a:off x="8599316" y="7820774"/>
          <a:ext cx="1273346" cy="35802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baseline="0">
              <a:latin typeface="Arial" pitchFamily="34" charset="0"/>
              <a:cs typeface="Arial" pitchFamily="34" charset="0"/>
            </a:rPr>
            <a:t>  </a:t>
          </a:r>
          <a:r>
            <a:rPr lang="ru-RU" sz="1800" b="1" baseline="0">
              <a:latin typeface="Arial" pitchFamily="34" charset="0"/>
              <a:cs typeface="Arial" pitchFamily="34" charset="0"/>
            </a:rPr>
            <a:t> ВРЕМЯ</a:t>
          </a:r>
          <a:endParaRPr lang="ru-RU" sz="18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0.21767</cdr:x>
      <cdr:y>0.04243</cdr:y>
    </cdr:from>
    <cdr:to>
      <cdr:x>0.89692</cdr:x>
      <cdr:y>0.18873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2252662" y="425450"/>
          <a:ext cx="7029450" cy="14668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2800">
              <a:latin typeface="Arial" panose="020B0604020202020204" pitchFamily="34" charset="0"/>
              <a:cs typeface="Arial" panose="020B0604020202020204" pitchFamily="34" charset="0"/>
            </a:rPr>
            <a:t>ДОЛЯ ИМПОРТА В ОТЕЧЕСТВЕННОМ </a:t>
          </a:r>
        </a:p>
        <a:p xmlns:a="http://schemas.openxmlformats.org/drawingml/2006/main">
          <a:r>
            <a:rPr lang="ru-RU" sz="2800">
              <a:latin typeface="Arial" panose="020B0604020202020204" pitchFamily="34" charset="0"/>
              <a:cs typeface="Arial" panose="020B0604020202020204" pitchFamily="34" charset="0"/>
            </a:rPr>
            <a:t>                         ВЫПУСКЕ</a:t>
          </a:r>
        </a:p>
      </cdr:txBody>
    </cdr:sp>
  </cdr:relSizeAnchor>
</c:userShapes>
</file>

<file path=xl/drawings/drawing29.xml><?xml version="1.0" encoding="utf-8"?>
<c:userShapes xmlns:c="http://schemas.openxmlformats.org/drawingml/2006/chart"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0.19695</cdr:x>
      <cdr:y>0.10591</cdr:y>
    </cdr:from>
    <cdr:to>
      <cdr:x>0.84095</cdr:x>
      <cdr:y>0.1929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2050751" y="914953"/>
          <a:ext cx="6705593" cy="75152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algn="l"/>
          <a:r>
            <a:rPr lang="ru-RU" sz="2000" b="1">
              <a:latin typeface="Arial" pitchFamily="34" charset="0"/>
              <a:cs typeface="Arial" pitchFamily="34" charset="0"/>
            </a:rPr>
            <a:t>  РЕГРЕССИЯ ВВОДОВ ОФ ОТ ИНВЕСТИЦИЙ В ОК</a:t>
          </a:r>
        </a:p>
        <a:p xmlns:a="http://schemas.openxmlformats.org/drawingml/2006/main">
          <a:pPr algn="l"/>
          <a:r>
            <a:rPr lang="ru-RU" sz="2000" b="1">
              <a:latin typeface="Arial" pitchFamily="34" charset="0"/>
              <a:cs typeface="Arial" pitchFamily="34" charset="0"/>
            </a:rPr>
            <a:t>                      в текущих рыночных ценах</a:t>
          </a:r>
        </a:p>
        <a:p xmlns:a="http://schemas.openxmlformats.org/drawingml/2006/main">
          <a:pPr algn="l"/>
          <a:r>
            <a:rPr lang="ru-RU" sz="2000" b="1">
              <a:latin typeface="Arial" pitchFamily="34" charset="0"/>
              <a:cs typeface="Arial" pitchFamily="34" charset="0"/>
            </a:rPr>
            <a:t>  </a:t>
          </a:r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pPr algn="l"/>
          <a:r>
            <a:rPr lang="en-US" sz="2000" b="1">
              <a:latin typeface="Arial" pitchFamily="34" charset="0"/>
              <a:cs typeface="Arial" pitchFamily="34" charset="0"/>
            </a:rPr>
            <a:t> </a:t>
          </a:r>
          <a:r>
            <a:rPr lang="en-US" sz="2000" b="1" baseline="0">
              <a:latin typeface="Arial" pitchFamily="34" charset="0"/>
              <a:cs typeface="Arial" pitchFamily="34" charset="0"/>
            </a:rPr>
            <a:t> </a:t>
          </a:r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en-US" sz="2000" b="1">
              <a:latin typeface="Arial" pitchFamily="34" charset="0"/>
              <a:cs typeface="Arial" pitchFamily="34" charset="0"/>
            </a:rPr>
            <a:t>                     </a:t>
          </a:r>
          <a:endParaRPr lang="ru-RU" sz="20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0.81277</cdr:x>
      <cdr:y>0.87341</cdr:y>
    </cdr:from>
    <cdr:to>
      <cdr:x>0.89591</cdr:x>
      <cdr:y>0.92313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C62E565B-F758-4D5E-85D4-ACC5727F5068}"/>
            </a:ext>
          </a:extLst>
        </cdr:cNvPr>
        <cdr:cNvSpPr txBox="1"/>
      </cdr:nvSpPr>
      <cdr:spPr>
        <a:xfrm xmlns:a="http://schemas.openxmlformats.org/drawingml/2006/main">
          <a:off x="9371249" y="7792346"/>
          <a:ext cx="958614" cy="44360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baseline="0">
              <a:latin typeface="Arial" pitchFamily="34" charset="0"/>
              <a:cs typeface="Arial" pitchFamily="34" charset="0"/>
            </a:rPr>
            <a:t>  </a:t>
          </a:r>
          <a:r>
            <a:rPr lang="ru-RU" sz="1800" b="1" baseline="0">
              <a:latin typeface="Arial" pitchFamily="34" charset="0"/>
              <a:cs typeface="Arial" pitchFamily="34" charset="0"/>
            </a:rPr>
            <a:t> </a:t>
          </a:r>
          <a:r>
            <a:rPr lang="en-US" sz="2400" b="1" baseline="0">
              <a:latin typeface="Arial" pitchFamily="34" charset="0"/>
              <a:cs typeface="Arial" pitchFamily="34" charset="0"/>
            </a:rPr>
            <a:t>FA</a:t>
          </a:r>
          <a:endParaRPr lang="ru-RU" sz="24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C05C57E-6B9F-4CA9-9390-B31B20F966A5}"/>
            </a:ext>
          </a:extLst>
        </cdr:cNvPr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0.73847</cdr:x>
      <cdr:y>0.34427</cdr:y>
    </cdr:from>
    <cdr:to>
      <cdr:x>0.84897</cdr:x>
      <cdr:y>0.39189</cdr:y>
    </cdr:to>
    <cdr:sp macro="" textlink="">
      <cdr:nvSpPr>
        <cdr:cNvPr id="9" name="TextBox 5">
          <a:extLst xmlns:a="http://schemas.openxmlformats.org/drawingml/2006/main">
            <a:ext uri="{FF2B5EF4-FFF2-40B4-BE49-F238E27FC236}">
              <a16:creationId xmlns:a16="http://schemas.microsoft.com/office/drawing/2014/main" id="{71F1EE7D-ED1E-453C-A8EA-CE26BCBCF352}"/>
            </a:ext>
          </a:extLst>
        </cdr:cNvPr>
        <cdr:cNvSpPr txBox="1"/>
      </cdr:nvSpPr>
      <cdr:spPr>
        <a:xfrm xmlns:a="http://schemas.openxmlformats.org/drawingml/2006/main">
          <a:off x="7689221" y="2974185"/>
          <a:ext cx="1150572" cy="41139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2000">
              <a:latin typeface="Arial" pitchFamily="34" charset="0"/>
              <a:cs typeface="Arial" pitchFamily="34" charset="0"/>
            </a:rPr>
            <a:t>Тренд </a:t>
          </a:r>
          <a:r>
            <a:rPr lang="ru-RU" sz="1400">
              <a:latin typeface="Arial" pitchFamily="34" charset="0"/>
              <a:cs typeface="Arial" pitchFamily="34" charset="0"/>
            </a:rPr>
            <a:t>  </a:t>
          </a:r>
        </a:p>
      </cdr:txBody>
    </cdr:sp>
  </cdr:relSizeAnchor>
</c:userShapes>
</file>

<file path=xl/drawings/drawing30.xml><?xml version="1.0" encoding="utf-8"?>
<c:userShapes xmlns:c="http://schemas.openxmlformats.org/drawingml/2006/chart"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0.29315</cdr:x>
      <cdr:y>0.66144</cdr:y>
    </cdr:from>
    <cdr:to>
      <cdr:x>0.99632</cdr:x>
      <cdr:y>0.79289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3033745" y="5901165"/>
          <a:ext cx="7277045" cy="117276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algn="l"/>
          <a:r>
            <a:rPr lang="ru-RU" sz="2000" b="1">
              <a:latin typeface="Arial" pitchFamily="34" charset="0"/>
              <a:cs typeface="Arial" pitchFamily="34" charset="0"/>
            </a:rPr>
            <a:t>  ДИНАМИКА</a:t>
          </a:r>
          <a:r>
            <a:rPr lang="en-US" sz="2000" b="1">
              <a:latin typeface="Arial" pitchFamily="34" charset="0"/>
              <a:cs typeface="Arial" pitchFamily="34" charset="0"/>
            </a:rPr>
            <a:t> </a:t>
          </a:r>
          <a:r>
            <a:rPr lang="en-US" sz="2000" b="1" baseline="0">
              <a:latin typeface="Arial" pitchFamily="34" charset="0"/>
              <a:cs typeface="Arial" pitchFamily="34" charset="0"/>
            </a:rPr>
            <a:t> </a:t>
          </a:r>
          <a:r>
            <a:rPr lang="ru-RU" sz="2000" b="1" baseline="0">
              <a:latin typeface="Arial" pitchFamily="34" charset="0"/>
              <a:cs typeface="Arial" pitchFamily="34" charset="0"/>
            </a:rPr>
            <a:t>ПРОИЗВОДИТЕЛЬНОСТИ ТРУДА</a:t>
          </a:r>
        </a:p>
        <a:p xmlns:a="http://schemas.openxmlformats.org/drawingml/2006/main">
          <a:pPr algn="l"/>
          <a:r>
            <a:rPr lang="ru-RU" sz="4400" b="1">
              <a:latin typeface="Arial" pitchFamily="34" charset="0"/>
              <a:cs typeface="Arial" pitchFamily="34" charset="0"/>
            </a:rPr>
            <a:t> </a:t>
          </a:r>
          <a:r>
            <a:rPr lang="ru-RU" sz="2400" b="1">
              <a:effectLst/>
              <a:latin typeface="+mn-lt"/>
              <a:ea typeface="+mn-ea"/>
              <a:cs typeface="+mn-cs"/>
            </a:rPr>
            <a:t>в</a:t>
          </a:r>
          <a:r>
            <a:rPr lang="ru-RU" sz="2400" b="1" baseline="0">
              <a:effectLst/>
              <a:latin typeface="+mn-lt"/>
              <a:ea typeface="+mn-ea"/>
              <a:cs typeface="+mn-cs"/>
            </a:rPr>
            <a:t> сопоставимых ценах 1995 года (тыс руб / чел)</a:t>
          </a:r>
          <a:endParaRPr lang="en-US" sz="4400" b="1">
            <a:latin typeface="Arial" pitchFamily="34" charset="0"/>
            <a:cs typeface="Arial" pitchFamily="34" charset="0"/>
          </a:endParaRPr>
        </a:p>
        <a:p xmlns:a="http://schemas.openxmlformats.org/drawingml/2006/main">
          <a:pPr algn="l"/>
          <a:r>
            <a:rPr lang="en-US" sz="2000" b="1">
              <a:latin typeface="Arial" pitchFamily="34" charset="0"/>
              <a:cs typeface="Arial" pitchFamily="34" charset="0"/>
            </a:rPr>
            <a:t> </a:t>
          </a:r>
          <a:r>
            <a:rPr lang="en-US" sz="2000" b="1" baseline="0">
              <a:latin typeface="Arial" pitchFamily="34" charset="0"/>
              <a:cs typeface="Arial" pitchFamily="34" charset="0"/>
            </a:rPr>
            <a:t> </a:t>
          </a:r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en-US" sz="2000" b="1">
              <a:latin typeface="Arial" pitchFamily="34" charset="0"/>
              <a:cs typeface="Arial" pitchFamily="34" charset="0"/>
            </a:rPr>
            <a:t>                     </a:t>
          </a:r>
          <a:endParaRPr lang="ru-RU" sz="20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0.8174</cdr:x>
      <cdr:y>0.86917</cdr:y>
    </cdr:from>
    <cdr:to>
      <cdr:x>0.93843</cdr:x>
      <cdr:y>0.90896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C62E565B-F758-4D5E-85D4-ACC5727F5068}"/>
            </a:ext>
          </a:extLst>
        </cdr:cNvPr>
        <cdr:cNvSpPr txBox="1"/>
      </cdr:nvSpPr>
      <cdr:spPr>
        <a:xfrm xmlns:a="http://schemas.openxmlformats.org/drawingml/2006/main">
          <a:off x="8599316" y="7820774"/>
          <a:ext cx="1273346" cy="35802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baseline="0">
              <a:latin typeface="Arial" pitchFamily="34" charset="0"/>
              <a:cs typeface="Arial" pitchFamily="34" charset="0"/>
            </a:rPr>
            <a:t>  </a:t>
          </a:r>
          <a:r>
            <a:rPr lang="ru-RU" sz="1800" b="1" baseline="0">
              <a:latin typeface="Arial" pitchFamily="34" charset="0"/>
              <a:cs typeface="Arial" pitchFamily="34" charset="0"/>
            </a:rPr>
            <a:t> ВРЕМЯ</a:t>
          </a:r>
          <a:endParaRPr lang="ru-RU" sz="18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C05C57E-6B9F-4CA9-9390-B31B20F966A5}"/>
            </a:ext>
          </a:extLst>
        </cdr:cNvPr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0.31672</cdr:x>
      <cdr:y>0.28664</cdr:y>
    </cdr:from>
    <cdr:to>
      <cdr:x>0.42722</cdr:x>
      <cdr:y>0.33426</cdr:y>
    </cdr:to>
    <cdr:sp macro="" textlink="">
      <cdr:nvSpPr>
        <cdr:cNvPr id="9" name="TextBox 5">
          <a:extLst xmlns:a="http://schemas.openxmlformats.org/drawingml/2006/main">
            <a:ext uri="{FF2B5EF4-FFF2-40B4-BE49-F238E27FC236}">
              <a16:creationId xmlns:a16="http://schemas.microsoft.com/office/drawing/2014/main" id="{71F1EE7D-ED1E-453C-A8EA-CE26BCBCF352}"/>
            </a:ext>
          </a:extLst>
        </cdr:cNvPr>
        <cdr:cNvSpPr txBox="1"/>
      </cdr:nvSpPr>
      <cdr:spPr>
        <a:xfrm xmlns:a="http://schemas.openxmlformats.org/drawingml/2006/main">
          <a:off x="3277710" y="2557343"/>
          <a:ext cx="1143555" cy="42485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Тренд  </a:t>
          </a:r>
          <a:r>
            <a:rPr lang="ru-RU" sz="1400">
              <a:latin typeface="Arial" pitchFamily="34" charset="0"/>
              <a:cs typeface="Arial" pitchFamily="34" charset="0"/>
            </a:rPr>
            <a:t> </a:t>
          </a:r>
        </a:p>
      </cdr:txBody>
    </cdr:sp>
  </cdr:relSizeAnchor>
  <cdr:relSizeAnchor xmlns:cdr="http://schemas.openxmlformats.org/drawingml/2006/chartDrawing">
    <cdr:from>
      <cdr:x>0.76254</cdr:x>
      <cdr:y>0.28467</cdr:y>
    </cdr:from>
    <cdr:to>
      <cdr:x>0.87298</cdr:x>
      <cdr:y>0.32951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7891494" y="2528881"/>
          <a:ext cx="1142934" cy="39834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anose="020B0604020202020204" pitchFamily="34" charset="0"/>
              <a:cs typeface="Arial" panose="020B0604020202020204" pitchFamily="34" charset="0"/>
            </a:rPr>
            <a:t>прогноз</a:t>
          </a:r>
        </a:p>
      </cdr:txBody>
    </cdr:sp>
  </cdr:relSizeAnchor>
</c:userShapes>
</file>

<file path=xl/drawings/drawing31.xml><?xml version="1.0" encoding="utf-8"?>
<c:userShapes xmlns:c="http://schemas.openxmlformats.org/drawingml/2006/chart"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0.28176</cdr:x>
      <cdr:y>0.05316</cdr:y>
    </cdr:from>
    <cdr:to>
      <cdr:x>0.88288</cdr:x>
      <cdr:y>0.15018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2978978" y="474280"/>
          <a:ext cx="6355522" cy="86557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algn="l"/>
          <a:r>
            <a:rPr lang="ru-RU" sz="2000" b="1">
              <a:latin typeface="Arial" pitchFamily="34" charset="0"/>
              <a:cs typeface="Arial" pitchFamily="34" charset="0"/>
            </a:rPr>
            <a:t> </a:t>
          </a:r>
          <a:r>
            <a:rPr lang="en-US" sz="2000" b="1" baseline="0">
              <a:latin typeface="Arial" pitchFamily="34" charset="0"/>
              <a:cs typeface="Arial" pitchFamily="34" charset="0"/>
            </a:rPr>
            <a:t> </a:t>
          </a:r>
          <a:r>
            <a:rPr lang="ru-RU" sz="2000" b="1" baseline="0">
              <a:latin typeface="Arial" pitchFamily="34" charset="0"/>
              <a:cs typeface="Arial" pitchFamily="34" charset="0"/>
            </a:rPr>
            <a:t>БАЗИСНЫЕ ДЕФЛЯТОРЫ ВВОДОВ ОФ</a:t>
          </a:r>
        </a:p>
        <a:p xmlns:a="http://schemas.openxmlformats.org/drawingml/2006/main">
          <a:pPr algn="l"/>
          <a:r>
            <a:rPr lang="ru-RU" sz="2000" b="1" baseline="0">
              <a:latin typeface="Arial" pitchFamily="34" charset="0"/>
              <a:cs typeface="Arial" pitchFamily="34" charset="0"/>
            </a:rPr>
            <a:t>  </a:t>
          </a:r>
          <a:r>
            <a:rPr lang="ru-RU" sz="2000" b="1">
              <a:latin typeface="Arial" pitchFamily="34" charset="0"/>
              <a:cs typeface="Arial" pitchFamily="34" charset="0"/>
            </a:rPr>
            <a:t>ИНВЕСТИЦИЙ в ОК</a:t>
          </a:r>
          <a:r>
            <a:rPr lang="en-US" sz="2000" b="1">
              <a:latin typeface="Arial" pitchFamily="34" charset="0"/>
              <a:cs typeface="Arial" pitchFamily="34" charset="0"/>
            </a:rPr>
            <a:t> </a:t>
          </a:r>
          <a:r>
            <a:rPr lang="ru-RU" sz="2000" b="1">
              <a:latin typeface="Arial" pitchFamily="34" charset="0"/>
              <a:cs typeface="Arial" pitchFamily="34" charset="0"/>
            </a:rPr>
            <a:t>и</a:t>
          </a:r>
          <a:r>
            <a:rPr lang="ru-RU" sz="2000" b="1" baseline="0">
              <a:latin typeface="Arial" pitchFamily="34" charset="0"/>
              <a:cs typeface="Arial" pitchFamily="34" charset="0"/>
            </a:rPr>
            <a:t> ОСНОВЫНЫХ ФОНДОВ</a:t>
          </a:r>
          <a:endParaRPr lang="ru-RU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pPr algn="l"/>
          <a:r>
            <a:rPr lang="ru-RU" sz="2000" b="1">
              <a:latin typeface="Arial" pitchFamily="34" charset="0"/>
              <a:cs typeface="Arial" pitchFamily="34" charset="0"/>
            </a:rPr>
            <a:t>  </a:t>
          </a:r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pPr algn="l"/>
          <a:r>
            <a:rPr lang="en-US" sz="2000" b="1">
              <a:latin typeface="Arial" pitchFamily="34" charset="0"/>
              <a:cs typeface="Arial" pitchFamily="34" charset="0"/>
            </a:rPr>
            <a:t> </a:t>
          </a:r>
          <a:r>
            <a:rPr lang="en-US" sz="2000" b="1" baseline="0">
              <a:latin typeface="Arial" pitchFamily="34" charset="0"/>
              <a:cs typeface="Arial" pitchFamily="34" charset="0"/>
            </a:rPr>
            <a:t> </a:t>
          </a:r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en-US" sz="2000" b="1">
              <a:latin typeface="Arial" pitchFamily="34" charset="0"/>
              <a:cs typeface="Arial" pitchFamily="34" charset="0"/>
            </a:rPr>
            <a:t>                     </a:t>
          </a:r>
          <a:endParaRPr lang="ru-RU" sz="20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0.81277</cdr:x>
      <cdr:y>0.87341</cdr:y>
    </cdr:from>
    <cdr:to>
      <cdr:x>0.9366</cdr:x>
      <cdr:y>0.91531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C62E565B-F758-4D5E-85D4-ACC5727F5068}"/>
            </a:ext>
          </a:extLst>
        </cdr:cNvPr>
        <cdr:cNvSpPr txBox="1"/>
      </cdr:nvSpPr>
      <cdr:spPr>
        <a:xfrm xmlns:a="http://schemas.openxmlformats.org/drawingml/2006/main">
          <a:off x="8302941" y="7858874"/>
          <a:ext cx="1264921" cy="3770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baseline="0">
              <a:latin typeface="Arial" pitchFamily="34" charset="0"/>
              <a:cs typeface="Arial" pitchFamily="34" charset="0"/>
            </a:rPr>
            <a:t>  </a:t>
          </a:r>
          <a:r>
            <a:rPr lang="ru-RU" sz="1800" b="1" baseline="0">
              <a:latin typeface="Arial" pitchFamily="34" charset="0"/>
              <a:cs typeface="Arial" pitchFamily="34" charset="0"/>
            </a:rPr>
            <a:t> ВРЕМЯ</a:t>
          </a:r>
          <a:endParaRPr lang="ru-RU" sz="18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C05C57E-6B9F-4CA9-9390-B31B20F966A5}"/>
            </a:ext>
          </a:extLst>
        </cdr:cNvPr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0.60901</cdr:x>
      <cdr:y>0.2484</cdr:y>
    </cdr:from>
    <cdr:to>
      <cdr:x>0.6955</cdr:x>
      <cdr:y>0.30391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438900" y="2216150"/>
          <a:ext cx="914400" cy="4953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2000" b="1">
              <a:latin typeface="Arial" panose="020B0604020202020204" pitchFamily="34" charset="0"/>
              <a:cs typeface="Arial" panose="020B0604020202020204" pitchFamily="34" charset="0"/>
            </a:rPr>
            <a:t>Dn</a:t>
          </a:r>
          <a:endParaRPr lang="ru-RU" sz="2000" b="1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</c:userShapes>
</file>

<file path=xl/drawings/drawing32.xml><?xml version="1.0" encoding="utf-8"?>
<c:userShapes xmlns:c="http://schemas.openxmlformats.org/drawingml/2006/chart"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0.39612</cdr:x>
      <cdr:y>0.21934</cdr:y>
    </cdr:from>
    <cdr:to>
      <cdr:x>0.91901</cdr:x>
      <cdr:y>0.31234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4099384" y="2211750"/>
          <a:ext cx="5411328" cy="9378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ru-RU" sz="2000" b="1">
              <a:latin typeface="Arial" pitchFamily="34" charset="0"/>
              <a:cs typeface="Arial" pitchFamily="34" charset="0"/>
            </a:rPr>
            <a:t>  </a:t>
          </a:r>
          <a:r>
            <a:rPr kumimoji="0" lang="ru-RU" sz="24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ДИНАМИКА ФОНДООТДАЧИ</a:t>
          </a:r>
          <a:endParaRPr kumimoji="0" lang="ru-RU" sz="40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20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 </a:t>
          </a:r>
          <a:r>
            <a:rPr kumimoji="0" lang="ru-RU" sz="24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в сопоставимых ценах 1995 года</a:t>
          </a:r>
          <a:endParaRPr kumimoji="0" lang="ru-RU" sz="44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  <a:p xmlns:a="http://schemas.openxmlformats.org/drawingml/2006/main">
          <a:pPr algn="l"/>
          <a:endParaRPr lang="ru-RU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pPr algn="l"/>
          <a:r>
            <a:rPr lang="ru-RU" sz="2000" b="1">
              <a:latin typeface="Arial" pitchFamily="34" charset="0"/>
              <a:cs typeface="Arial" pitchFamily="34" charset="0"/>
            </a:rPr>
            <a:t>  </a:t>
          </a:r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pPr algn="l"/>
          <a:r>
            <a:rPr lang="en-US" sz="2000" b="1">
              <a:latin typeface="Arial" pitchFamily="34" charset="0"/>
              <a:cs typeface="Arial" pitchFamily="34" charset="0"/>
            </a:rPr>
            <a:t> </a:t>
          </a:r>
          <a:r>
            <a:rPr lang="en-US" sz="2000" b="1" baseline="0">
              <a:latin typeface="Arial" pitchFamily="34" charset="0"/>
              <a:cs typeface="Arial" pitchFamily="34" charset="0"/>
            </a:rPr>
            <a:t> </a:t>
          </a:r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en-US" sz="2000" b="1">
              <a:latin typeface="Arial" pitchFamily="34" charset="0"/>
              <a:cs typeface="Arial" pitchFamily="34" charset="0"/>
            </a:rPr>
            <a:t>                     </a:t>
          </a:r>
          <a:endParaRPr lang="ru-RU" sz="20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0.8174</cdr:x>
      <cdr:y>0.86917</cdr:y>
    </cdr:from>
    <cdr:to>
      <cdr:x>0.93843</cdr:x>
      <cdr:y>0.90896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C62E565B-F758-4D5E-85D4-ACC5727F5068}"/>
            </a:ext>
          </a:extLst>
        </cdr:cNvPr>
        <cdr:cNvSpPr txBox="1"/>
      </cdr:nvSpPr>
      <cdr:spPr>
        <a:xfrm xmlns:a="http://schemas.openxmlformats.org/drawingml/2006/main">
          <a:off x="8599316" y="7820774"/>
          <a:ext cx="1273346" cy="35802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baseline="0">
              <a:latin typeface="Arial" pitchFamily="34" charset="0"/>
              <a:cs typeface="Arial" pitchFamily="34" charset="0"/>
            </a:rPr>
            <a:t>  </a:t>
          </a:r>
          <a:r>
            <a:rPr lang="ru-RU" sz="1800" b="1" baseline="0">
              <a:latin typeface="Arial" pitchFamily="34" charset="0"/>
              <a:cs typeface="Arial" pitchFamily="34" charset="0"/>
            </a:rPr>
            <a:t> ВРЕМЯ</a:t>
          </a:r>
          <a:endParaRPr lang="ru-RU" sz="18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C05C57E-6B9F-4CA9-9390-B31B20F966A5}"/>
            </a:ext>
          </a:extLst>
        </cdr:cNvPr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0.55363</cdr:x>
      <cdr:y>0.62675</cdr:y>
    </cdr:from>
    <cdr:to>
      <cdr:x>0.69812</cdr:x>
      <cdr:y>0.68262</cdr:y>
    </cdr:to>
    <cdr:sp macro="" textlink="">
      <cdr:nvSpPr>
        <cdr:cNvPr id="9" name="TextBox 5">
          <a:extLst xmlns:a="http://schemas.openxmlformats.org/drawingml/2006/main">
            <a:ext uri="{FF2B5EF4-FFF2-40B4-BE49-F238E27FC236}">
              <a16:creationId xmlns:a16="http://schemas.microsoft.com/office/drawing/2014/main" id="{71F1EE7D-ED1E-453C-A8EA-CE26BCBCF352}"/>
            </a:ext>
          </a:extLst>
        </cdr:cNvPr>
        <cdr:cNvSpPr txBox="1"/>
      </cdr:nvSpPr>
      <cdr:spPr>
        <a:xfrm xmlns:a="http://schemas.openxmlformats.org/drawingml/2006/main">
          <a:off x="5729423" y="6320054"/>
          <a:ext cx="1495315" cy="56338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2400" b="1">
              <a:latin typeface="Arial" pitchFamily="34" charset="0"/>
              <a:cs typeface="Arial" pitchFamily="34" charset="0"/>
            </a:rPr>
            <a:t>прогноз</a:t>
          </a:r>
          <a:r>
            <a:rPr lang="ru-RU" sz="2000" b="1">
              <a:latin typeface="Arial" pitchFamily="34" charset="0"/>
              <a:cs typeface="Arial" pitchFamily="34" charset="0"/>
            </a:rPr>
            <a:t> </a:t>
          </a:r>
          <a:r>
            <a:rPr lang="ru-RU" sz="1800" b="1">
              <a:latin typeface="Arial" pitchFamily="34" charset="0"/>
              <a:cs typeface="Arial" pitchFamily="34" charset="0"/>
            </a:rPr>
            <a:t>  </a:t>
          </a:r>
        </a:p>
      </cdr:txBody>
    </cdr:sp>
  </cdr:relSizeAnchor>
  <cdr:relSizeAnchor xmlns:cdr="http://schemas.openxmlformats.org/drawingml/2006/chartDrawing">
    <cdr:from>
      <cdr:x>0.42384</cdr:x>
      <cdr:y>0.11388</cdr:y>
    </cdr:from>
    <cdr:to>
      <cdr:x>0.5122</cdr:x>
      <cdr:y>0.21637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4386262" y="1016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ru-RU" sz="1100"/>
        </a:p>
      </cdr:txBody>
    </cdr:sp>
  </cdr:relSizeAnchor>
  <cdr:relSizeAnchor xmlns:cdr="http://schemas.openxmlformats.org/drawingml/2006/chartDrawing">
    <cdr:from>
      <cdr:x>0.39439</cdr:x>
      <cdr:y>0.08185</cdr:y>
    </cdr:from>
    <cdr:to>
      <cdr:x>0.5122</cdr:x>
      <cdr:y>0.15658</cdr:y>
    </cdr:to>
    <cdr:sp macro="" textlink="">
      <cdr:nvSpPr>
        <cdr:cNvPr id="6" name="TextBox 5"/>
        <cdr:cNvSpPr txBox="1"/>
      </cdr:nvSpPr>
      <cdr:spPr>
        <a:xfrm xmlns:a="http://schemas.openxmlformats.org/drawingml/2006/main">
          <a:off x="4081462" y="730250"/>
          <a:ext cx="1219200" cy="6667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2000" b="1">
              <a:latin typeface="Arial" panose="020B0604020202020204" pitchFamily="34" charset="0"/>
              <a:cs typeface="Arial" panose="020B0604020202020204" pitchFamily="34" charset="0"/>
            </a:rPr>
            <a:t>Тренд</a:t>
          </a:r>
          <a:r>
            <a:rPr lang="ru-RU" sz="2000" b="1" baseline="0">
              <a:latin typeface="Arial" panose="020B0604020202020204" pitchFamily="34" charset="0"/>
              <a:cs typeface="Arial" panose="020B0604020202020204" pitchFamily="34" charset="0"/>
            </a:rPr>
            <a:t> </a:t>
          </a:r>
          <a:endParaRPr lang="ru-RU" sz="2000" b="1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</c:userShapes>
</file>

<file path=xl/drawings/drawing33.xml><?xml version="1.0" encoding="utf-8"?>
<c:userShapes xmlns:c="http://schemas.openxmlformats.org/drawingml/2006/chart"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0.28176</cdr:x>
      <cdr:y>0.05316</cdr:y>
    </cdr:from>
    <cdr:to>
      <cdr:x>0.84826</cdr:x>
      <cdr:y>0.14015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2878377" y="475254"/>
          <a:ext cx="5787116" cy="77782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algn="l"/>
          <a:r>
            <a:rPr lang="ru-RU" sz="2000" b="1">
              <a:latin typeface="Arial" pitchFamily="34" charset="0"/>
              <a:cs typeface="Arial" pitchFamily="34" charset="0"/>
            </a:rPr>
            <a:t>  ДИНАМИКА</a:t>
          </a:r>
          <a:r>
            <a:rPr lang="en-US" sz="2000" b="1">
              <a:latin typeface="Arial" pitchFamily="34" charset="0"/>
              <a:cs typeface="Arial" pitchFamily="34" charset="0"/>
            </a:rPr>
            <a:t> </a:t>
          </a:r>
          <a:r>
            <a:rPr lang="en-US" sz="2000" b="1" baseline="0">
              <a:latin typeface="Arial" pitchFamily="34" charset="0"/>
              <a:cs typeface="Arial" pitchFamily="34" charset="0"/>
            </a:rPr>
            <a:t> </a:t>
          </a:r>
          <a:r>
            <a:rPr lang="ru-RU" sz="2000" b="1" baseline="0">
              <a:latin typeface="Arial" pitchFamily="34" charset="0"/>
              <a:cs typeface="Arial" pitchFamily="34" charset="0"/>
            </a:rPr>
            <a:t>БАЗИСНОГО ТЕМПА</a:t>
          </a:r>
          <a:endParaRPr lang="ru-RU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pPr algn="l"/>
          <a:r>
            <a:rPr lang="ru-RU" sz="2000" b="1">
              <a:latin typeface="Arial" pitchFamily="34" charset="0"/>
              <a:cs typeface="Arial" pitchFamily="34" charset="0"/>
            </a:rPr>
            <a:t>  ВАЛОВОГО ВНУТРЕННЕГО ПРОДУКТА</a:t>
          </a:r>
        </a:p>
        <a:p xmlns:a="http://schemas.openxmlformats.org/drawingml/2006/main">
          <a:pPr algn="l"/>
          <a:r>
            <a:rPr lang="ru-RU" sz="2000" b="1">
              <a:latin typeface="Arial" pitchFamily="34" charset="0"/>
              <a:cs typeface="Arial" pitchFamily="34" charset="0"/>
            </a:rPr>
            <a:t>  </a:t>
          </a:r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pPr algn="l"/>
          <a:r>
            <a:rPr lang="en-US" sz="2000" b="1">
              <a:latin typeface="Arial" pitchFamily="34" charset="0"/>
              <a:cs typeface="Arial" pitchFamily="34" charset="0"/>
            </a:rPr>
            <a:t> </a:t>
          </a:r>
          <a:r>
            <a:rPr lang="en-US" sz="2000" b="1" baseline="0">
              <a:latin typeface="Arial" pitchFamily="34" charset="0"/>
              <a:cs typeface="Arial" pitchFamily="34" charset="0"/>
            </a:rPr>
            <a:t> </a:t>
          </a:r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en-US" sz="2000" b="1">
              <a:latin typeface="Arial" pitchFamily="34" charset="0"/>
              <a:cs typeface="Arial" pitchFamily="34" charset="0"/>
            </a:rPr>
            <a:t>                     </a:t>
          </a:r>
          <a:endParaRPr lang="ru-RU" sz="20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0.81277</cdr:x>
      <cdr:y>0.87341</cdr:y>
    </cdr:from>
    <cdr:to>
      <cdr:x>0.9366</cdr:x>
      <cdr:y>0.91531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C62E565B-F758-4D5E-85D4-ACC5727F5068}"/>
            </a:ext>
          </a:extLst>
        </cdr:cNvPr>
        <cdr:cNvSpPr txBox="1"/>
      </cdr:nvSpPr>
      <cdr:spPr>
        <a:xfrm xmlns:a="http://schemas.openxmlformats.org/drawingml/2006/main">
          <a:off x="8302941" y="7858874"/>
          <a:ext cx="1264921" cy="3770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baseline="0">
              <a:latin typeface="Arial" pitchFamily="34" charset="0"/>
              <a:cs typeface="Arial" pitchFamily="34" charset="0"/>
            </a:rPr>
            <a:t>  </a:t>
          </a:r>
          <a:r>
            <a:rPr lang="ru-RU" sz="1800" b="1" baseline="0">
              <a:latin typeface="Arial" pitchFamily="34" charset="0"/>
              <a:cs typeface="Arial" pitchFamily="34" charset="0"/>
            </a:rPr>
            <a:t> ВРЕМЯ</a:t>
          </a:r>
          <a:endParaRPr lang="ru-RU" sz="18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C05C57E-6B9F-4CA9-9390-B31B20F966A5}"/>
            </a:ext>
          </a:extLst>
        </cdr:cNvPr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0.19707</cdr:x>
      <cdr:y>0.87383</cdr:y>
    </cdr:from>
    <cdr:to>
      <cdr:x>0.30757</cdr:x>
      <cdr:y>0.92145</cdr:y>
    </cdr:to>
    <cdr:sp macro="" textlink="">
      <cdr:nvSpPr>
        <cdr:cNvPr id="9" name="TextBox 5">
          <a:extLst xmlns:a="http://schemas.openxmlformats.org/drawingml/2006/main">
            <a:ext uri="{FF2B5EF4-FFF2-40B4-BE49-F238E27FC236}">
              <a16:creationId xmlns:a16="http://schemas.microsoft.com/office/drawing/2014/main" id="{71F1EE7D-ED1E-453C-A8EA-CE26BCBCF352}"/>
            </a:ext>
          </a:extLst>
        </cdr:cNvPr>
        <cdr:cNvSpPr txBox="1"/>
      </cdr:nvSpPr>
      <cdr:spPr>
        <a:xfrm xmlns:a="http://schemas.openxmlformats.org/drawingml/2006/main">
          <a:off x="1669045" y="7621270"/>
          <a:ext cx="935859" cy="41532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400">
              <a:latin typeface="Arial" pitchFamily="34" charset="0"/>
              <a:cs typeface="Arial" pitchFamily="34" charset="0"/>
            </a:rPr>
            <a:t>Тренд1   </a:t>
          </a:r>
        </a:p>
      </cdr:txBody>
    </cdr:sp>
  </cdr:relSizeAnchor>
</c:userShapes>
</file>

<file path=xl/drawings/drawing34.xml><?xml version="1.0" encoding="utf-8"?>
<c:userShapes xmlns:c="http://schemas.openxmlformats.org/drawingml/2006/chart"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0.27747</cdr:x>
      <cdr:y>0.07254</cdr:y>
    </cdr:from>
    <cdr:to>
      <cdr:x>0.84397</cdr:x>
      <cdr:y>0.15742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2871529" y="649955"/>
          <a:ext cx="5862658" cy="7605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algn="l"/>
          <a:r>
            <a:rPr lang="ru-RU" sz="2000" b="1">
              <a:latin typeface="Arial" pitchFamily="34" charset="0"/>
              <a:cs typeface="Arial" pitchFamily="34" charset="0"/>
            </a:rPr>
            <a:t>  КОЭФФИЦИЕНТ ЗАГРУЗКИ </a:t>
          </a:r>
        </a:p>
        <a:p xmlns:a="http://schemas.openxmlformats.org/drawingml/2006/main">
          <a:pPr algn="l"/>
          <a:r>
            <a:rPr lang="ru-RU" sz="2000" b="1">
              <a:latin typeface="Arial" pitchFamily="34" charset="0"/>
              <a:cs typeface="Arial" pitchFamily="34" charset="0"/>
            </a:rPr>
            <a:t>  ПРОИЗВОДСТВЕННЫХ  МОЩНОСТЕЙ</a:t>
          </a:r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pPr algn="l"/>
          <a:r>
            <a:rPr lang="en-US" sz="2000" b="1">
              <a:latin typeface="Arial" pitchFamily="34" charset="0"/>
              <a:cs typeface="Arial" pitchFamily="34" charset="0"/>
            </a:rPr>
            <a:t> </a:t>
          </a:r>
          <a:r>
            <a:rPr lang="en-US" sz="2000" b="1" baseline="0">
              <a:latin typeface="Arial" pitchFamily="34" charset="0"/>
              <a:cs typeface="Arial" pitchFamily="34" charset="0"/>
            </a:rPr>
            <a:t> </a:t>
          </a:r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en-US" sz="2000" b="1">
              <a:latin typeface="Arial" pitchFamily="34" charset="0"/>
              <a:cs typeface="Arial" pitchFamily="34" charset="0"/>
            </a:rPr>
            <a:t>                     </a:t>
          </a:r>
          <a:endParaRPr lang="ru-RU" sz="20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0.8174</cdr:x>
      <cdr:y>0.86917</cdr:y>
    </cdr:from>
    <cdr:to>
      <cdr:x>0.93843</cdr:x>
      <cdr:y>0.90896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C62E565B-F758-4D5E-85D4-ACC5727F5068}"/>
            </a:ext>
          </a:extLst>
        </cdr:cNvPr>
        <cdr:cNvSpPr txBox="1"/>
      </cdr:nvSpPr>
      <cdr:spPr>
        <a:xfrm xmlns:a="http://schemas.openxmlformats.org/drawingml/2006/main">
          <a:off x="8599316" y="7820774"/>
          <a:ext cx="1273346" cy="35802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baseline="0">
              <a:latin typeface="Arial" pitchFamily="34" charset="0"/>
              <a:cs typeface="Arial" pitchFamily="34" charset="0"/>
            </a:rPr>
            <a:t>  </a:t>
          </a:r>
          <a:r>
            <a:rPr lang="ru-RU" sz="1800" b="1" baseline="0">
              <a:latin typeface="Arial" pitchFamily="34" charset="0"/>
              <a:cs typeface="Arial" pitchFamily="34" charset="0"/>
            </a:rPr>
            <a:t> ВРЕМЯ</a:t>
          </a:r>
          <a:endParaRPr lang="ru-RU" sz="18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C05C57E-6B9F-4CA9-9390-B31B20F966A5}"/>
            </a:ext>
          </a:extLst>
        </cdr:cNvPr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0.16025</cdr:x>
      <cdr:y>0.27762</cdr:y>
    </cdr:from>
    <cdr:to>
      <cdr:x>0.27075</cdr:x>
      <cdr:y>0.32524</cdr:y>
    </cdr:to>
    <cdr:sp macro="" textlink="">
      <cdr:nvSpPr>
        <cdr:cNvPr id="9" name="TextBox 5">
          <a:extLst xmlns:a="http://schemas.openxmlformats.org/drawingml/2006/main">
            <a:ext uri="{FF2B5EF4-FFF2-40B4-BE49-F238E27FC236}">
              <a16:creationId xmlns:a16="http://schemas.microsoft.com/office/drawing/2014/main" id="{71F1EE7D-ED1E-453C-A8EA-CE26BCBCF352}"/>
            </a:ext>
          </a:extLst>
        </cdr:cNvPr>
        <cdr:cNvSpPr txBox="1"/>
      </cdr:nvSpPr>
      <cdr:spPr>
        <a:xfrm xmlns:a="http://schemas.openxmlformats.org/drawingml/2006/main">
          <a:off x="1658460" y="2794130"/>
          <a:ext cx="1143555" cy="47928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400">
              <a:latin typeface="Arial" pitchFamily="34" charset="0"/>
              <a:cs typeface="Arial" pitchFamily="34" charset="0"/>
            </a:rPr>
            <a:t>Тренд1   </a:t>
          </a:r>
        </a:p>
      </cdr:txBody>
    </cdr:sp>
  </cdr:relSizeAnchor>
</c:userShapes>
</file>

<file path=xl/drawings/drawing35.xml><?xml version="1.0" encoding="utf-8"?>
<c:userShapes xmlns:c="http://schemas.openxmlformats.org/drawingml/2006/chart"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0.28176</cdr:x>
      <cdr:y>0.05316</cdr:y>
    </cdr:from>
    <cdr:to>
      <cdr:x>0.84826</cdr:x>
      <cdr:y>0.14015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2878377" y="475254"/>
          <a:ext cx="5787116" cy="77782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algn="l"/>
          <a:r>
            <a:rPr lang="ru-RU" sz="2000" b="1">
              <a:latin typeface="Arial" pitchFamily="34" charset="0"/>
              <a:cs typeface="Arial" pitchFamily="34" charset="0"/>
            </a:rPr>
            <a:t>  ДИНАМИКА</a:t>
          </a:r>
          <a:r>
            <a:rPr lang="en-US" sz="2000" b="1">
              <a:latin typeface="Arial" pitchFamily="34" charset="0"/>
              <a:cs typeface="Arial" pitchFamily="34" charset="0"/>
            </a:rPr>
            <a:t> </a:t>
          </a:r>
          <a:r>
            <a:rPr lang="en-US" sz="2000" b="1" baseline="0">
              <a:latin typeface="Arial" pitchFamily="34" charset="0"/>
              <a:cs typeface="Arial" pitchFamily="34" charset="0"/>
            </a:rPr>
            <a:t> </a:t>
          </a:r>
          <a:r>
            <a:rPr lang="ru-RU" sz="2000" b="1" baseline="0">
              <a:latin typeface="Arial" pitchFamily="34" charset="0"/>
              <a:cs typeface="Arial" pitchFamily="34" charset="0"/>
            </a:rPr>
            <a:t>БАЗИСНОГО ТЕМПА</a:t>
          </a:r>
          <a:endParaRPr lang="ru-RU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pPr algn="l"/>
          <a:r>
            <a:rPr lang="ru-RU" sz="2000" b="1">
              <a:latin typeface="Arial" pitchFamily="34" charset="0"/>
              <a:cs typeface="Arial" pitchFamily="34" charset="0"/>
            </a:rPr>
            <a:t>  ВАЛОВОГО ВНУТРЕННЕГО ПРОДУКТА</a:t>
          </a:r>
        </a:p>
        <a:p xmlns:a="http://schemas.openxmlformats.org/drawingml/2006/main">
          <a:pPr algn="l"/>
          <a:r>
            <a:rPr lang="ru-RU" sz="2000" b="1">
              <a:latin typeface="Arial" pitchFamily="34" charset="0"/>
              <a:cs typeface="Arial" pitchFamily="34" charset="0"/>
            </a:rPr>
            <a:t>  </a:t>
          </a:r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pPr algn="l"/>
          <a:r>
            <a:rPr lang="en-US" sz="2000" b="1">
              <a:latin typeface="Arial" pitchFamily="34" charset="0"/>
              <a:cs typeface="Arial" pitchFamily="34" charset="0"/>
            </a:rPr>
            <a:t> </a:t>
          </a:r>
          <a:r>
            <a:rPr lang="en-US" sz="2000" b="1" baseline="0">
              <a:latin typeface="Arial" pitchFamily="34" charset="0"/>
              <a:cs typeface="Arial" pitchFamily="34" charset="0"/>
            </a:rPr>
            <a:t> </a:t>
          </a:r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en-US" sz="2000" b="1">
              <a:latin typeface="Arial" pitchFamily="34" charset="0"/>
              <a:cs typeface="Arial" pitchFamily="34" charset="0"/>
            </a:rPr>
            <a:t>                     </a:t>
          </a:r>
          <a:endParaRPr lang="ru-RU" sz="20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0.81277</cdr:x>
      <cdr:y>0.87341</cdr:y>
    </cdr:from>
    <cdr:to>
      <cdr:x>0.9366</cdr:x>
      <cdr:y>0.91531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C62E565B-F758-4D5E-85D4-ACC5727F5068}"/>
            </a:ext>
          </a:extLst>
        </cdr:cNvPr>
        <cdr:cNvSpPr txBox="1"/>
      </cdr:nvSpPr>
      <cdr:spPr>
        <a:xfrm xmlns:a="http://schemas.openxmlformats.org/drawingml/2006/main">
          <a:off x="8302941" y="7858874"/>
          <a:ext cx="1264921" cy="3770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baseline="0">
              <a:latin typeface="Arial" pitchFamily="34" charset="0"/>
              <a:cs typeface="Arial" pitchFamily="34" charset="0"/>
            </a:rPr>
            <a:t>  </a:t>
          </a:r>
          <a:r>
            <a:rPr lang="ru-RU" sz="1800" b="1" baseline="0">
              <a:latin typeface="Arial" pitchFamily="34" charset="0"/>
              <a:cs typeface="Arial" pitchFamily="34" charset="0"/>
            </a:rPr>
            <a:t> ВРЕМЯ</a:t>
          </a:r>
          <a:endParaRPr lang="ru-RU" sz="18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C05C57E-6B9F-4CA9-9390-B31B20F966A5}"/>
            </a:ext>
          </a:extLst>
        </cdr:cNvPr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0.19707</cdr:x>
      <cdr:y>0.87383</cdr:y>
    </cdr:from>
    <cdr:to>
      <cdr:x>0.30757</cdr:x>
      <cdr:y>0.92145</cdr:y>
    </cdr:to>
    <cdr:sp macro="" textlink="">
      <cdr:nvSpPr>
        <cdr:cNvPr id="9" name="TextBox 5">
          <a:extLst xmlns:a="http://schemas.openxmlformats.org/drawingml/2006/main">
            <a:ext uri="{FF2B5EF4-FFF2-40B4-BE49-F238E27FC236}">
              <a16:creationId xmlns:a16="http://schemas.microsoft.com/office/drawing/2014/main" id="{71F1EE7D-ED1E-453C-A8EA-CE26BCBCF352}"/>
            </a:ext>
          </a:extLst>
        </cdr:cNvPr>
        <cdr:cNvSpPr txBox="1"/>
      </cdr:nvSpPr>
      <cdr:spPr>
        <a:xfrm xmlns:a="http://schemas.openxmlformats.org/drawingml/2006/main">
          <a:off x="1669045" y="7621270"/>
          <a:ext cx="935859" cy="41532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400">
              <a:latin typeface="Arial" pitchFamily="34" charset="0"/>
              <a:cs typeface="Arial" pitchFamily="34" charset="0"/>
            </a:rPr>
            <a:t>Тренд1   </a:t>
          </a:r>
        </a:p>
      </cdr:txBody>
    </cdr:sp>
  </cdr:relSizeAnchor>
</c:userShapes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159</xdr:col>
      <xdr:colOff>83343</xdr:colOff>
      <xdr:row>135</xdr:row>
      <xdr:rowOff>35718</xdr:rowOff>
    </xdr:from>
    <xdr:to>
      <xdr:col>173</xdr:col>
      <xdr:colOff>583405</xdr:colOff>
      <xdr:row>173</xdr:row>
      <xdr:rowOff>-1</xdr:rowOff>
    </xdr:to>
    <xdr:graphicFrame macro="">
      <xdr:nvGraphicFramePr>
        <xdr:cNvPr id="29" name="Диаграмма 28">
          <a:extLst>
            <a:ext uri="{FF2B5EF4-FFF2-40B4-BE49-F238E27FC236}">
              <a16:creationId xmlns:a16="http://schemas.microsoft.com/office/drawing/2014/main" id="{00000000-0008-0000-0100-00001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170</xdr:col>
      <xdr:colOff>0</xdr:colOff>
      <xdr:row>142</xdr:row>
      <xdr:rowOff>142875</xdr:rowOff>
    </xdr:from>
    <xdr:ext cx="934808" cy="298800"/>
    <xdr:sp macro="" textlink="">
      <xdr:nvSpPr>
        <xdr:cNvPr id="55" name="TextBox 54">
          <a:extLst>
            <a:ext uri="{FF2B5EF4-FFF2-40B4-BE49-F238E27FC236}">
              <a16:creationId xmlns:a16="http://schemas.microsoft.com/office/drawing/2014/main" id="{00000000-0008-0000-0100-000037000000}"/>
            </a:ext>
          </a:extLst>
        </xdr:cNvPr>
        <xdr:cNvSpPr txBox="1"/>
      </xdr:nvSpPr>
      <xdr:spPr>
        <a:xfrm>
          <a:off x="143351250" y="33385125"/>
          <a:ext cx="934808" cy="2988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ru-RU" sz="1400">
              <a:latin typeface="Arial" pitchFamily="34" charset="0"/>
              <a:cs typeface="Arial" pitchFamily="34" charset="0"/>
            </a:rPr>
            <a:t>ТРЕНД</a:t>
          </a:r>
          <a:r>
            <a:rPr lang="ru-RU" sz="1400" baseline="0">
              <a:latin typeface="Arial" pitchFamily="34" charset="0"/>
              <a:cs typeface="Arial" pitchFamily="34" charset="0"/>
            </a:rPr>
            <a:t> 1</a:t>
          </a:r>
          <a:endParaRPr lang="ru-RU" sz="1400">
            <a:latin typeface="Arial" pitchFamily="34" charset="0"/>
            <a:cs typeface="Arial" pitchFamily="34" charset="0"/>
          </a:endParaRPr>
        </a:p>
      </xdr:txBody>
    </xdr:sp>
    <xdr:clientData/>
  </xdr:oneCellAnchor>
  <xdr:twoCellAnchor>
    <xdr:from>
      <xdr:col>102</xdr:col>
      <xdr:colOff>66903</xdr:colOff>
      <xdr:row>6</xdr:row>
      <xdr:rowOff>12701</xdr:rowOff>
    </xdr:from>
    <xdr:to>
      <xdr:col>113</xdr:col>
      <xdr:colOff>590550</xdr:colOff>
      <xdr:row>44</xdr:row>
      <xdr:rowOff>22112</xdr:rowOff>
    </xdr:to>
    <xdr:graphicFrame macro="">
      <xdr:nvGraphicFramePr>
        <xdr:cNvPr id="63" name="Диаграмма 62">
          <a:extLst>
            <a:ext uri="{FF2B5EF4-FFF2-40B4-BE49-F238E27FC236}">
              <a16:creationId xmlns:a16="http://schemas.microsoft.com/office/drawing/2014/main" id="{00000000-0008-0000-0100-00003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100</xdr:col>
      <xdr:colOff>79375</xdr:colOff>
      <xdr:row>49</xdr:row>
      <xdr:rowOff>15874</xdr:rowOff>
    </xdr:from>
    <xdr:to>
      <xdr:col>111</xdr:col>
      <xdr:colOff>63500</xdr:colOff>
      <xdr:row>86</xdr:row>
      <xdr:rowOff>222250</xdr:rowOff>
    </xdr:to>
    <xdr:graphicFrame macro="">
      <xdr:nvGraphicFramePr>
        <xdr:cNvPr id="62" name="Диаграмма 61">
          <a:extLst>
            <a:ext uri="{FF2B5EF4-FFF2-40B4-BE49-F238E27FC236}">
              <a16:creationId xmlns:a16="http://schemas.microsoft.com/office/drawing/2014/main" id="{00000000-0008-0000-0100-00003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115</xdr:col>
      <xdr:colOff>55562</xdr:colOff>
      <xdr:row>48</xdr:row>
      <xdr:rowOff>190500</xdr:rowOff>
    </xdr:from>
    <xdr:to>
      <xdr:col>127</xdr:col>
      <xdr:colOff>587374</xdr:colOff>
      <xdr:row>87</xdr:row>
      <xdr:rowOff>3174</xdr:rowOff>
    </xdr:to>
    <xdr:graphicFrame macro="">
      <xdr:nvGraphicFramePr>
        <xdr:cNvPr id="64" name="Диаграмма 63">
          <a:extLst>
            <a:ext uri="{FF2B5EF4-FFF2-40B4-BE49-F238E27FC236}">
              <a16:creationId xmlns:a16="http://schemas.microsoft.com/office/drawing/2014/main" id="{00000000-0008-0000-0100-00004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101</xdr:col>
      <xdr:colOff>20410</xdr:colOff>
      <xdr:row>91</xdr:row>
      <xdr:rowOff>32846</xdr:rowOff>
    </xdr:from>
    <xdr:to>
      <xdr:col>111</xdr:col>
      <xdr:colOff>698500</xdr:colOff>
      <xdr:row>127</xdr:row>
      <xdr:rowOff>222251</xdr:rowOff>
    </xdr:to>
    <xdr:graphicFrame macro="">
      <xdr:nvGraphicFramePr>
        <xdr:cNvPr id="65" name="Диаграмма 64">
          <a:extLst>
            <a:ext uri="{FF2B5EF4-FFF2-40B4-BE49-F238E27FC236}">
              <a16:creationId xmlns:a16="http://schemas.microsoft.com/office/drawing/2014/main" id="{00000000-0008-0000-0100-00004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118</xdr:col>
      <xdr:colOff>71438</xdr:colOff>
      <xdr:row>91</xdr:row>
      <xdr:rowOff>49268</xdr:rowOff>
    </xdr:from>
    <xdr:to>
      <xdr:col>131</xdr:col>
      <xdr:colOff>730250</xdr:colOff>
      <xdr:row>129</xdr:row>
      <xdr:rowOff>228600</xdr:rowOff>
    </xdr:to>
    <xdr:graphicFrame macro="">
      <xdr:nvGraphicFramePr>
        <xdr:cNvPr id="66" name="Диаграмма 65">
          <a:extLst>
            <a:ext uri="{FF2B5EF4-FFF2-40B4-BE49-F238E27FC236}">
              <a16:creationId xmlns:a16="http://schemas.microsoft.com/office/drawing/2014/main" id="{00000000-0008-0000-0100-00004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102</xdr:col>
      <xdr:colOff>95250</xdr:colOff>
      <xdr:row>134</xdr:row>
      <xdr:rowOff>190500</xdr:rowOff>
    </xdr:from>
    <xdr:to>
      <xdr:col>114</xdr:col>
      <xdr:colOff>666750</xdr:colOff>
      <xdr:row>172</xdr:row>
      <xdr:rowOff>200024</xdr:rowOff>
    </xdr:to>
    <xdr:graphicFrame macro="">
      <xdr:nvGraphicFramePr>
        <xdr:cNvPr id="67" name="Диаграмма 66">
          <a:extLst>
            <a:ext uri="{FF2B5EF4-FFF2-40B4-BE49-F238E27FC236}">
              <a16:creationId xmlns:a16="http://schemas.microsoft.com/office/drawing/2014/main" id="{00000000-0008-0000-0100-00004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121</xdr:col>
      <xdr:colOff>127000</xdr:colOff>
      <xdr:row>135</xdr:row>
      <xdr:rowOff>31750</xdr:rowOff>
    </xdr:from>
    <xdr:to>
      <xdr:col>133</xdr:col>
      <xdr:colOff>714375</xdr:colOff>
      <xdr:row>173</xdr:row>
      <xdr:rowOff>73024</xdr:rowOff>
    </xdr:to>
    <xdr:graphicFrame macro="">
      <xdr:nvGraphicFramePr>
        <xdr:cNvPr id="68" name="Диаграмма 67">
          <a:extLst>
            <a:ext uri="{FF2B5EF4-FFF2-40B4-BE49-F238E27FC236}">
              <a16:creationId xmlns:a16="http://schemas.microsoft.com/office/drawing/2014/main" id="{00000000-0008-0000-0100-00004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104</xdr:col>
      <xdr:colOff>127000</xdr:colOff>
      <xdr:row>181</xdr:row>
      <xdr:rowOff>15875</xdr:rowOff>
    </xdr:from>
    <xdr:to>
      <xdr:col>116</xdr:col>
      <xdr:colOff>669926</xdr:colOff>
      <xdr:row>218</xdr:row>
      <xdr:rowOff>231775</xdr:rowOff>
    </xdr:to>
    <xdr:graphicFrame macro="">
      <xdr:nvGraphicFramePr>
        <xdr:cNvPr id="69" name="Диаграмма 68">
          <a:extLst>
            <a:ext uri="{FF2B5EF4-FFF2-40B4-BE49-F238E27FC236}">
              <a16:creationId xmlns:a16="http://schemas.microsoft.com/office/drawing/2014/main" id="{00000000-0008-0000-0100-00004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103</xdr:col>
      <xdr:colOff>63502</xdr:colOff>
      <xdr:row>225</xdr:row>
      <xdr:rowOff>15875</xdr:rowOff>
    </xdr:from>
    <xdr:to>
      <xdr:col>115</xdr:col>
      <xdr:colOff>1</xdr:colOff>
      <xdr:row>263</xdr:row>
      <xdr:rowOff>222250</xdr:rowOff>
    </xdr:to>
    <xdr:graphicFrame macro="">
      <xdr:nvGraphicFramePr>
        <xdr:cNvPr id="71" name="Диаграмма 70">
          <a:extLst>
            <a:ext uri="{FF2B5EF4-FFF2-40B4-BE49-F238E27FC236}">
              <a16:creationId xmlns:a16="http://schemas.microsoft.com/office/drawing/2014/main" id="{00000000-0008-0000-0100-00004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122</xdr:col>
      <xdr:colOff>95250</xdr:colOff>
      <xdr:row>226</xdr:row>
      <xdr:rowOff>33565</xdr:rowOff>
    </xdr:from>
    <xdr:to>
      <xdr:col>135</xdr:col>
      <xdr:colOff>762000</xdr:colOff>
      <xdr:row>264</xdr:row>
      <xdr:rowOff>33451</xdr:rowOff>
    </xdr:to>
    <xdr:graphicFrame macro="">
      <xdr:nvGraphicFramePr>
        <xdr:cNvPr id="72" name="Диаграмма 71">
          <a:extLst>
            <a:ext uri="{FF2B5EF4-FFF2-40B4-BE49-F238E27FC236}">
              <a16:creationId xmlns:a16="http://schemas.microsoft.com/office/drawing/2014/main" id="{00000000-0008-0000-0100-00004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122</xdr:col>
      <xdr:colOff>79374</xdr:colOff>
      <xdr:row>317</xdr:row>
      <xdr:rowOff>158750</xdr:rowOff>
    </xdr:from>
    <xdr:to>
      <xdr:col>134</xdr:col>
      <xdr:colOff>539749</xdr:colOff>
      <xdr:row>355</xdr:row>
      <xdr:rowOff>196850</xdr:rowOff>
    </xdr:to>
    <xdr:graphicFrame macro="">
      <xdr:nvGraphicFramePr>
        <xdr:cNvPr id="73" name="Диаграмма 72">
          <a:extLst>
            <a:ext uri="{FF2B5EF4-FFF2-40B4-BE49-F238E27FC236}">
              <a16:creationId xmlns:a16="http://schemas.microsoft.com/office/drawing/2014/main" id="{00000000-0008-0000-0100-00004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132</xdr:col>
      <xdr:colOff>87314</xdr:colOff>
      <xdr:row>49</xdr:row>
      <xdr:rowOff>15875</xdr:rowOff>
    </xdr:from>
    <xdr:to>
      <xdr:col>146</xdr:col>
      <xdr:colOff>587375</xdr:colOff>
      <xdr:row>86</xdr:row>
      <xdr:rowOff>171450</xdr:rowOff>
    </xdr:to>
    <xdr:graphicFrame macro="">
      <xdr:nvGraphicFramePr>
        <xdr:cNvPr id="74" name="Диаграмма 73">
          <a:extLst>
            <a:ext uri="{FF2B5EF4-FFF2-40B4-BE49-F238E27FC236}">
              <a16:creationId xmlns:a16="http://schemas.microsoft.com/office/drawing/2014/main" id="{00000000-0008-0000-0100-00004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136</xdr:col>
      <xdr:colOff>134938</xdr:colOff>
      <xdr:row>92</xdr:row>
      <xdr:rowOff>0</xdr:rowOff>
    </xdr:from>
    <xdr:to>
      <xdr:col>149</xdr:col>
      <xdr:colOff>15875</xdr:colOff>
      <xdr:row>130</xdr:row>
      <xdr:rowOff>15874</xdr:rowOff>
    </xdr:to>
    <xdr:graphicFrame macro="">
      <xdr:nvGraphicFramePr>
        <xdr:cNvPr id="75" name="Диаграмма 74">
          <a:extLst>
            <a:ext uri="{FF2B5EF4-FFF2-40B4-BE49-F238E27FC236}">
              <a16:creationId xmlns:a16="http://schemas.microsoft.com/office/drawing/2014/main" id="{00000000-0008-0000-0100-00004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138</xdr:col>
      <xdr:colOff>71438</xdr:colOff>
      <xdr:row>135</xdr:row>
      <xdr:rowOff>15875</xdr:rowOff>
    </xdr:from>
    <xdr:to>
      <xdr:col>152</xdr:col>
      <xdr:colOff>492125</xdr:colOff>
      <xdr:row>173</xdr:row>
      <xdr:rowOff>31749</xdr:rowOff>
    </xdr:to>
    <xdr:graphicFrame macro="">
      <xdr:nvGraphicFramePr>
        <xdr:cNvPr id="76" name="Диаграмма 75">
          <a:extLst>
            <a:ext uri="{FF2B5EF4-FFF2-40B4-BE49-F238E27FC236}">
              <a16:creationId xmlns:a16="http://schemas.microsoft.com/office/drawing/2014/main" id="{00000000-0008-0000-0100-00004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124</xdr:col>
      <xdr:colOff>95250</xdr:colOff>
      <xdr:row>181</xdr:row>
      <xdr:rowOff>15875</xdr:rowOff>
    </xdr:from>
    <xdr:to>
      <xdr:col>138</xdr:col>
      <xdr:colOff>0</xdr:colOff>
      <xdr:row>219</xdr:row>
      <xdr:rowOff>31749</xdr:rowOff>
    </xdr:to>
    <xdr:graphicFrame macro="">
      <xdr:nvGraphicFramePr>
        <xdr:cNvPr id="77" name="Диаграмма 76">
          <a:extLst>
            <a:ext uri="{FF2B5EF4-FFF2-40B4-BE49-F238E27FC236}">
              <a16:creationId xmlns:a16="http://schemas.microsoft.com/office/drawing/2014/main" id="{00000000-0008-0000-0100-00004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144</xdr:col>
      <xdr:colOff>126999</xdr:colOff>
      <xdr:row>226</xdr:row>
      <xdr:rowOff>15875</xdr:rowOff>
    </xdr:from>
    <xdr:to>
      <xdr:col>158</xdr:col>
      <xdr:colOff>587375</xdr:colOff>
      <xdr:row>264</xdr:row>
      <xdr:rowOff>31749</xdr:rowOff>
    </xdr:to>
    <xdr:graphicFrame macro="">
      <xdr:nvGraphicFramePr>
        <xdr:cNvPr id="78" name="Диаграмма 77">
          <a:extLst>
            <a:ext uri="{FF2B5EF4-FFF2-40B4-BE49-F238E27FC236}">
              <a16:creationId xmlns:a16="http://schemas.microsoft.com/office/drawing/2014/main" id="{00000000-0008-0000-0100-00004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oneCellAnchor>
    <xdr:from>
      <xdr:col>140</xdr:col>
      <xdr:colOff>412750</xdr:colOff>
      <xdr:row>120</xdr:row>
      <xdr:rowOff>47625</xdr:rowOff>
    </xdr:from>
    <xdr:ext cx="3429000" cy="523875"/>
    <xdr:sp macro="" textlink="">
      <xdr:nvSpPr>
        <xdr:cNvPr id="79" name="TextBox 78">
          <a:extLst>
            <a:ext uri="{FF2B5EF4-FFF2-40B4-BE49-F238E27FC236}">
              <a16:creationId xmlns:a16="http://schemas.microsoft.com/office/drawing/2014/main" id="{00000000-0008-0000-0100-00004F000000}"/>
            </a:ext>
          </a:extLst>
        </xdr:cNvPr>
        <xdr:cNvSpPr txBox="1"/>
      </xdr:nvSpPr>
      <xdr:spPr>
        <a:xfrm>
          <a:off x="99790250" y="27368500"/>
          <a:ext cx="3429000" cy="52387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US" sz="2000" b="1">
              <a:latin typeface="Arial" panose="020B0604020202020204" pitchFamily="34" charset="0"/>
              <a:cs typeface="Arial" panose="020B0604020202020204" pitchFamily="34" charset="0"/>
            </a:rPr>
            <a:t>YG</a:t>
          </a:r>
          <a:r>
            <a:rPr lang="en-US" sz="2000" b="1" baseline="0">
              <a:latin typeface="Arial" panose="020B0604020202020204" pitchFamily="34" charset="0"/>
              <a:cs typeface="Arial" panose="020B0604020202020204" pitchFamily="34" charset="0"/>
            </a:rPr>
            <a:t> = 0,1814*</a:t>
          </a:r>
          <a:r>
            <a:rPr lang="en-US" sz="2000" b="1">
              <a:latin typeface="Arial" panose="020B0604020202020204" pitchFamily="34" charset="0"/>
              <a:cs typeface="Arial" panose="020B0604020202020204" pitchFamily="34" charset="0"/>
            </a:rPr>
            <a:t>WWP - 46,206</a:t>
          </a:r>
          <a:endParaRPr lang="ru-RU" sz="2000" b="1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oneCellAnchor>
  <xdr:twoCellAnchor>
    <xdr:from>
      <xdr:col>105</xdr:col>
      <xdr:colOff>79375</xdr:colOff>
      <xdr:row>273</xdr:row>
      <xdr:rowOff>0</xdr:rowOff>
    </xdr:from>
    <xdr:to>
      <xdr:col>118</xdr:col>
      <xdr:colOff>666750</xdr:colOff>
      <xdr:row>311</xdr:row>
      <xdr:rowOff>15875</xdr:rowOff>
    </xdr:to>
    <xdr:graphicFrame macro="">
      <xdr:nvGraphicFramePr>
        <xdr:cNvPr id="80" name="Диаграмма 79">
          <a:extLst>
            <a:ext uri="{FF2B5EF4-FFF2-40B4-BE49-F238E27FC236}">
              <a16:creationId xmlns:a16="http://schemas.microsoft.com/office/drawing/2014/main" id="{00000000-0008-0000-0100-00005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126</xdr:col>
      <xdr:colOff>66903</xdr:colOff>
      <xdr:row>273</xdr:row>
      <xdr:rowOff>6351</xdr:rowOff>
    </xdr:from>
    <xdr:to>
      <xdr:col>138</xdr:col>
      <xdr:colOff>603250</xdr:colOff>
      <xdr:row>311</xdr:row>
      <xdr:rowOff>6237</xdr:rowOff>
    </xdr:to>
    <xdr:graphicFrame macro="">
      <xdr:nvGraphicFramePr>
        <xdr:cNvPr id="81" name="Диаграмма 80">
          <a:extLst>
            <a:ext uri="{FF2B5EF4-FFF2-40B4-BE49-F238E27FC236}">
              <a16:creationId xmlns:a16="http://schemas.microsoft.com/office/drawing/2014/main" id="{00000000-0008-0000-0100-00005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145</xdr:col>
      <xdr:colOff>87311</xdr:colOff>
      <xdr:row>272</xdr:row>
      <xdr:rowOff>15876</xdr:rowOff>
    </xdr:from>
    <xdr:to>
      <xdr:col>159</xdr:col>
      <xdr:colOff>492124</xdr:colOff>
      <xdr:row>310</xdr:row>
      <xdr:rowOff>238125</xdr:rowOff>
    </xdr:to>
    <xdr:graphicFrame macro="">
      <xdr:nvGraphicFramePr>
        <xdr:cNvPr id="82" name="Диаграмма 81">
          <a:extLst>
            <a:ext uri="{FF2B5EF4-FFF2-40B4-BE49-F238E27FC236}">
              <a16:creationId xmlns:a16="http://schemas.microsoft.com/office/drawing/2014/main" id="{00000000-0008-0000-0100-00005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142</xdr:col>
      <xdr:colOff>206375</xdr:colOff>
      <xdr:row>316</xdr:row>
      <xdr:rowOff>95249</xdr:rowOff>
    </xdr:from>
    <xdr:to>
      <xdr:col>156</xdr:col>
      <xdr:colOff>587375</xdr:colOff>
      <xdr:row>356</xdr:row>
      <xdr:rowOff>31749</xdr:rowOff>
    </xdr:to>
    <xdr:graphicFrame macro="">
      <xdr:nvGraphicFramePr>
        <xdr:cNvPr id="84" name="Chart 7">
          <a:extLst>
            <a:ext uri="{FF2B5EF4-FFF2-40B4-BE49-F238E27FC236}">
              <a16:creationId xmlns:a16="http://schemas.microsoft.com/office/drawing/2014/main" id="{00000000-0008-0000-0100-00005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119</xdr:col>
      <xdr:colOff>63501</xdr:colOff>
      <xdr:row>412</xdr:row>
      <xdr:rowOff>22225</xdr:rowOff>
    </xdr:from>
    <xdr:to>
      <xdr:col>130</xdr:col>
      <xdr:colOff>762000</xdr:colOff>
      <xdr:row>449</xdr:row>
      <xdr:rowOff>111125</xdr:rowOff>
    </xdr:to>
    <xdr:graphicFrame macro="">
      <xdr:nvGraphicFramePr>
        <xdr:cNvPr id="31" name="Диаграмма 30">
          <a:extLst>
            <a:ext uri="{FF2B5EF4-FFF2-40B4-BE49-F238E27FC236}">
              <a16:creationId xmlns:a16="http://schemas.microsoft.com/office/drawing/2014/main" id="{00000000-0008-0000-0100-00001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152</xdr:col>
      <xdr:colOff>23813</xdr:colOff>
      <xdr:row>369</xdr:row>
      <xdr:rowOff>63500</xdr:rowOff>
    </xdr:from>
    <xdr:to>
      <xdr:col>165</xdr:col>
      <xdr:colOff>619126</xdr:colOff>
      <xdr:row>407</xdr:row>
      <xdr:rowOff>39687</xdr:rowOff>
    </xdr:to>
    <xdr:graphicFrame macro="">
      <xdr:nvGraphicFramePr>
        <xdr:cNvPr id="36" name="Диаграмма 35">
          <a:extLst>
            <a:ext uri="{FF2B5EF4-FFF2-40B4-BE49-F238E27FC236}">
              <a16:creationId xmlns:a16="http://schemas.microsoft.com/office/drawing/2014/main" id="{00000000-0008-0000-0100-00002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167</xdr:col>
      <xdr:colOff>47625</xdr:colOff>
      <xdr:row>369</xdr:row>
      <xdr:rowOff>0</xdr:rowOff>
    </xdr:from>
    <xdr:to>
      <xdr:col>181</xdr:col>
      <xdr:colOff>31750</xdr:colOff>
      <xdr:row>406</xdr:row>
      <xdr:rowOff>214312</xdr:rowOff>
    </xdr:to>
    <xdr:graphicFrame macro="">
      <xdr:nvGraphicFramePr>
        <xdr:cNvPr id="37" name="Диаграмма 36">
          <a:extLst>
            <a:ext uri="{FF2B5EF4-FFF2-40B4-BE49-F238E27FC236}">
              <a16:creationId xmlns:a16="http://schemas.microsoft.com/office/drawing/2014/main" id="{00000000-0008-0000-0100-00002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110</xdr:col>
      <xdr:colOff>108178</xdr:colOff>
      <xdr:row>604</xdr:row>
      <xdr:rowOff>219076</xdr:rowOff>
    </xdr:from>
    <xdr:to>
      <xdr:col>123</xdr:col>
      <xdr:colOff>587375</xdr:colOff>
      <xdr:row>642</xdr:row>
      <xdr:rowOff>212612</xdr:rowOff>
    </xdr:to>
    <xdr:graphicFrame macro="">
      <xdr:nvGraphicFramePr>
        <xdr:cNvPr id="42" name="Диаграмма 41">
          <a:extLst>
            <a:ext uri="{FF2B5EF4-FFF2-40B4-BE49-F238E27FC236}">
              <a16:creationId xmlns:a16="http://schemas.microsoft.com/office/drawing/2014/main" id="{00000000-0008-0000-0100-00002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108</xdr:col>
      <xdr:colOff>66903</xdr:colOff>
      <xdr:row>647</xdr:row>
      <xdr:rowOff>28576</xdr:rowOff>
    </xdr:from>
    <xdr:to>
      <xdr:col>121</xdr:col>
      <xdr:colOff>555057</xdr:colOff>
      <xdr:row>685</xdr:row>
      <xdr:rowOff>37987</xdr:rowOff>
    </xdr:to>
    <xdr:graphicFrame macro="">
      <xdr:nvGraphicFramePr>
        <xdr:cNvPr id="44" name="Диаграмма 43">
          <a:extLst>
            <a:ext uri="{FF2B5EF4-FFF2-40B4-BE49-F238E27FC236}">
              <a16:creationId xmlns:a16="http://schemas.microsoft.com/office/drawing/2014/main" id="{00000000-0008-0000-0100-00002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110</xdr:col>
      <xdr:colOff>66904</xdr:colOff>
      <xdr:row>775</xdr:row>
      <xdr:rowOff>28576</xdr:rowOff>
    </xdr:from>
    <xdr:to>
      <xdr:col>122</xdr:col>
      <xdr:colOff>619125</xdr:colOff>
      <xdr:row>813</xdr:row>
      <xdr:rowOff>37987</xdr:rowOff>
    </xdr:to>
    <xdr:graphicFrame macro="">
      <xdr:nvGraphicFramePr>
        <xdr:cNvPr id="46" name="Диаграмма 45">
          <a:extLst>
            <a:ext uri="{FF2B5EF4-FFF2-40B4-BE49-F238E27FC236}">
              <a16:creationId xmlns:a16="http://schemas.microsoft.com/office/drawing/2014/main" id="{00000000-0008-0000-0100-00002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133</xdr:col>
      <xdr:colOff>171450</xdr:colOff>
      <xdr:row>647</xdr:row>
      <xdr:rowOff>28576</xdr:rowOff>
    </xdr:from>
    <xdr:to>
      <xdr:col>146</xdr:col>
      <xdr:colOff>19050</xdr:colOff>
      <xdr:row>685</xdr:row>
      <xdr:rowOff>37987</xdr:rowOff>
    </xdr:to>
    <xdr:graphicFrame macro="">
      <xdr:nvGraphicFramePr>
        <xdr:cNvPr id="40" name="Диаграмма 39">
          <a:extLst>
            <a:ext uri="{FF2B5EF4-FFF2-40B4-BE49-F238E27FC236}">
              <a16:creationId xmlns:a16="http://schemas.microsoft.com/office/drawing/2014/main" id="{00000000-0008-0000-0100-00002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152</xdr:col>
      <xdr:colOff>133350</xdr:colOff>
      <xdr:row>647</xdr:row>
      <xdr:rowOff>0</xdr:rowOff>
    </xdr:from>
    <xdr:to>
      <xdr:col>165</xdr:col>
      <xdr:colOff>552450</xdr:colOff>
      <xdr:row>685</xdr:row>
      <xdr:rowOff>9411</xdr:rowOff>
    </xdr:to>
    <xdr:graphicFrame macro="">
      <xdr:nvGraphicFramePr>
        <xdr:cNvPr id="43" name="Диаграмма 42">
          <a:extLst>
            <a:ext uri="{FF2B5EF4-FFF2-40B4-BE49-F238E27FC236}">
              <a16:creationId xmlns:a16="http://schemas.microsoft.com/office/drawing/2014/main" id="{00000000-0008-0000-0100-00002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110</xdr:col>
      <xdr:colOff>97662</xdr:colOff>
      <xdr:row>733</xdr:row>
      <xdr:rowOff>234951</xdr:rowOff>
    </xdr:from>
    <xdr:to>
      <xdr:col>122</xdr:col>
      <xdr:colOff>555626</xdr:colOff>
      <xdr:row>772</xdr:row>
      <xdr:rowOff>6237</xdr:rowOff>
    </xdr:to>
    <xdr:graphicFrame macro="">
      <xdr:nvGraphicFramePr>
        <xdr:cNvPr id="45" name="Диаграмма 44">
          <a:extLst>
            <a:ext uri="{FF2B5EF4-FFF2-40B4-BE49-F238E27FC236}">
              <a16:creationId xmlns:a16="http://schemas.microsoft.com/office/drawing/2014/main" id="{00000000-0008-0000-0100-00002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131</xdr:col>
      <xdr:colOff>1786</xdr:colOff>
      <xdr:row>734</xdr:row>
      <xdr:rowOff>46436</xdr:rowOff>
    </xdr:from>
    <xdr:to>
      <xdr:col>142</xdr:col>
      <xdr:colOff>698500</xdr:colOff>
      <xdr:row>772</xdr:row>
      <xdr:rowOff>55847</xdr:rowOff>
    </xdr:to>
    <xdr:graphicFrame macro="">
      <xdr:nvGraphicFramePr>
        <xdr:cNvPr id="47" name="Диаграмма 46">
          <a:extLst>
            <a:ext uri="{FF2B5EF4-FFF2-40B4-BE49-F238E27FC236}">
              <a16:creationId xmlns:a16="http://schemas.microsoft.com/office/drawing/2014/main" id="{00000000-0008-0000-0100-00002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149</xdr:col>
      <xdr:colOff>133350</xdr:colOff>
      <xdr:row>734</xdr:row>
      <xdr:rowOff>0</xdr:rowOff>
    </xdr:from>
    <xdr:to>
      <xdr:col>162</xdr:col>
      <xdr:colOff>552450</xdr:colOff>
      <xdr:row>772</xdr:row>
      <xdr:rowOff>9411</xdr:rowOff>
    </xdr:to>
    <xdr:graphicFrame macro="">
      <xdr:nvGraphicFramePr>
        <xdr:cNvPr id="50" name="Диаграмма 49">
          <a:extLst>
            <a:ext uri="{FF2B5EF4-FFF2-40B4-BE49-F238E27FC236}">
              <a16:creationId xmlns:a16="http://schemas.microsoft.com/office/drawing/2014/main" id="{00000000-0008-0000-0100-00003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133</xdr:col>
      <xdr:colOff>87965</xdr:colOff>
      <xdr:row>604</xdr:row>
      <xdr:rowOff>232401</xdr:rowOff>
    </xdr:from>
    <xdr:to>
      <xdr:col>145</xdr:col>
      <xdr:colOff>775607</xdr:colOff>
      <xdr:row>642</xdr:row>
      <xdr:rowOff>241812</xdr:rowOff>
    </xdr:to>
    <xdr:graphicFrame macro="">
      <xdr:nvGraphicFramePr>
        <xdr:cNvPr id="51" name="Диаграмма 50">
          <a:extLst>
            <a:ext uri="{FF2B5EF4-FFF2-40B4-BE49-F238E27FC236}">
              <a16:creationId xmlns:a16="http://schemas.microsoft.com/office/drawing/2014/main" id="{00000000-0008-0000-0100-00003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141</xdr:col>
      <xdr:colOff>437697</xdr:colOff>
      <xdr:row>618</xdr:row>
      <xdr:rowOff>199571</xdr:rowOff>
    </xdr:from>
    <xdr:to>
      <xdr:col>143</xdr:col>
      <xdr:colOff>246960</xdr:colOff>
      <xdr:row>620</xdr:row>
      <xdr:rowOff>159961</xdr:rowOff>
    </xdr:to>
    <xdr:sp macro="" textlink="">
      <xdr:nvSpPr>
        <xdr:cNvPr id="53" name="TextBox 5">
          <a:extLst>
            <a:ext uri="{FF2B5EF4-FFF2-40B4-BE49-F238E27FC236}">
              <a16:creationId xmlns:a16="http://schemas.microsoft.com/office/drawing/2014/main" id="{00000000-0008-0000-0100-000035000000}"/>
            </a:ext>
          </a:extLst>
        </xdr:cNvPr>
        <xdr:cNvSpPr txBox="1"/>
      </xdr:nvSpPr>
      <xdr:spPr>
        <a:xfrm>
          <a:off x="72419483" y="110294964"/>
          <a:ext cx="1169977" cy="423033"/>
        </a:xfrm>
        <a:prstGeom prst="rect">
          <a:avLst/>
        </a:prstGeom>
      </xdr:spPr>
      <xdr:txBody>
        <a:bodyPr wrap="square" rtlCol="0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r>
            <a:rPr lang="ru-RU" sz="1800">
              <a:latin typeface="Arial" pitchFamily="34" charset="0"/>
              <a:cs typeface="Arial" pitchFamily="34" charset="0"/>
            </a:rPr>
            <a:t>Тренд</a:t>
          </a:r>
          <a:r>
            <a:rPr lang="en-US" sz="1800">
              <a:latin typeface="Arial" pitchFamily="34" charset="0"/>
              <a:cs typeface="Arial" pitchFamily="34" charset="0"/>
            </a:rPr>
            <a:t> </a:t>
          </a:r>
          <a:r>
            <a:rPr lang="ru-RU" sz="1400">
              <a:latin typeface="Arial" pitchFamily="34" charset="0"/>
              <a:cs typeface="Arial" pitchFamily="34" charset="0"/>
            </a:rPr>
            <a:t> </a:t>
          </a:r>
          <a:r>
            <a:rPr lang="ru-RU" sz="1600">
              <a:latin typeface="Arial" pitchFamily="34" charset="0"/>
              <a:cs typeface="Arial" pitchFamily="34" charset="0"/>
            </a:rPr>
            <a:t>  </a:t>
          </a:r>
        </a:p>
      </xdr:txBody>
    </xdr:sp>
    <xdr:clientData/>
  </xdr:twoCellAnchor>
  <xdr:twoCellAnchor>
    <xdr:from>
      <xdr:col>154</xdr:col>
      <xdr:colOff>92528</xdr:colOff>
      <xdr:row>605</xdr:row>
      <xdr:rowOff>13607</xdr:rowOff>
    </xdr:from>
    <xdr:to>
      <xdr:col>168</xdr:col>
      <xdr:colOff>198663</xdr:colOff>
      <xdr:row>643</xdr:row>
      <xdr:rowOff>23018</xdr:rowOff>
    </xdr:to>
    <xdr:graphicFrame macro="">
      <xdr:nvGraphicFramePr>
        <xdr:cNvPr id="52" name="Диаграмма 51">
          <a:extLst>
            <a:ext uri="{FF2B5EF4-FFF2-40B4-BE49-F238E27FC236}">
              <a16:creationId xmlns:a16="http://schemas.microsoft.com/office/drawing/2014/main" id="{00000000-0008-0000-0100-00003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132</xdr:col>
      <xdr:colOff>224036</xdr:colOff>
      <xdr:row>774</xdr:row>
      <xdr:rowOff>236936</xdr:rowOff>
    </xdr:from>
    <xdr:to>
      <xdr:col>144</xdr:col>
      <xdr:colOff>788789</xdr:colOff>
      <xdr:row>813</xdr:row>
      <xdr:rowOff>8222</xdr:rowOff>
    </xdr:to>
    <xdr:graphicFrame macro="">
      <xdr:nvGraphicFramePr>
        <xdr:cNvPr id="54" name="Диаграмма 53">
          <a:extLst>
            <a:ext uri="{FF2B5EF4-FFF2-40B4-BE49-F238E27FC236}">
              <a16:creationId xmlns:a16="http://schemas.microsoft.com/office/drawing/2014/main" id="{00000000-0008-0000-0100-00003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149</xdr:col>
      <xdr:colOff>847725</xdr:colOff>
      <xdr:row>776</xdr:row>
      <xdr:rowOff>127000</xdr:rowOff>
    </xdr:from>
    <xdr:to>
      <xdr:col>163</xdr:col>
      <xdr:colOff>79375</xdr:colOff>
      <xdr:row>814</xdr:row>
      <xdr:rowOff>184036</xdr:rowOff>
    </xdr:to>
    <xdr:graphicFrame macro="">
      <xdr:nvGraphicFramePr>
        <xdr:cNvPr id="56" name="Диаграмма 55">
          <a:extLst>
            <a:ext uri="{FF2B5EF4-FFF2-40B4-BE49-F238E27FC236}">
              <a16:creationId xmlns:a16="http://schemas.microsoft.com/office/drawing/2014/main" id="{00000000-0008-0000-0100-00003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135</xdr:col>
      <xdr:colOff>74358</xdr:colOff>
      <xdr:row>814</xdr:row>
      <xdr:rowOff>181146</xdr:rowOff>
    </xdr:from>
    <xdr:to>
      <xdr:col>147</xdr:col>
      <xdr:colOff>639111</xdr:colOff>
      <xdr:row>852</xdr:row>
      <xdr:rowOff>212329</xdr:rowOff>
    </xdr:to>
    <xdr:graphicFrame macro="">
      <xdr:nvGraphicFramePr>
        <xdr:cNvPr id="57" name="Диаграмма 56">
          <a:extLst>
            <a:ext uri="{FF2B5EF4-FFF2-40B4-BE49-F238E27FC236}">
              <a16:creationId xmlns:a16="http://schemas.microsoft.com/office/drawing/2014/main" id="{00000000-0008-0000-0100-00003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105</xdr:col>
      <xdr:colOff>95250</xdr:colOff>
      <xdr:row>690</xdr:row>
      <xdr:rowOff>187326</xdr:rowOff>
    </xdr:from>
    <xdr:to>
      <xdr:col>119</xdr:col>
      <xdr:colOff>595312</xdr:colOff>
      <xdr:row>728</xdr:row>
      <xdr:rowOff>212612</xdr:rowOff>
    </xdr:to>
    <xdr:graphicFrame macro="">
      <xdr:nvGraphicFramePr>
        <xdr:cNvPr id="49" name="Диаграмма 48">
          <a:extLst>
            <a:ext uri="{FF2B5EF4-FFF2-40B4-BE49-F238E27FC236}">
              <a16:creationId xmlns:a16="http://schemas.microsoft.com/office/drawing/2014/main" id="{00000000-0008-0000-0100-00003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127</xdr:col>
      <xdr:colOff>92076</xdr:colOff>
      <xdr:row>691</xdr:row>
      <xdr:rowOff>12701</xdr:rowOff>
    </xdr:from>
    <xdr:to>
      <xdr:col>138</xdr:col>
      <xdr:colOff>590550</xdr:colOff>
      <xdr:row>729</xdr:row>
      <xdr:rowOff>22112</xdr:rowOff>
    </xdr:to>
    <xdr:graphicFrame macro="">
      <xdr:nvGraphicFramePr>
        <xdr:cNvPr id="58" name="Диаграмма 57">
          <a:extLst>
            <a:ext uri="{FF2B5EF4-FFF2-40B4-BE49-F238E27FC236}">
              <a16:creationId xmlns:a16="http://schemas.microsoft.com/office/drawing/2014/main" id="{00000000-0008-0000-0100-00003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143</xdr:col>
      <xdr:colOff>133350</xdr:colOff>
      <xdr:row>690</xdr:row>
      <xdr:rowOff>142874</xdr:rowOff>
    </xdr:from>
    <xdr:to>
      <xdr:col>155</xdr:col>
      <xdr:colOff>1</xdr:colOff>
      <xdr:row>729</xdr:row>
      <xdr:rowOff>13606</xdr:rowOff>
    </xdr:to>
    <xdr:graphicFrame macro="">
      <xdr:nvGraphicFramePr>
        <xdr:cNvPr id="59" name="Диаграмма 58">
          <a:extLst>
            <a:ext uri="{FF2B5EF4-FFF2-40B4-BE49-F238E27FC236}">
              <a16:creationId xmlns:a16="http://schemas.microsoft.com/office/drawing/2014/main" id="{00000000-0008-0000-0100-00003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189</xdr:col>
      <xdr:colOff>95251</xdr:colOff>
      <xdr:row>318</xdr:row>
      <xdr:rowOff>0</xdr:rowOff>
    </xdr:from>
    <xdr:to>
      <xdr:col>203</xdr:col>
      <xdr:colOff>523874</xdr:colOff>
      <xdr:row>355</xdr:row>
      <xdr:rowOff>237672</xdr:rowOff>
    </xdr:to>
    <xdr:graphicFrame macro="">
      <xdr:nvGraphicFramePr>
        <xdr:cNvPr id="88" name="Диаграмма 87">
          <a:extLst>
            <a:ext uri="{FF2B5EF4-FFF2-40B4-BE49-F238E27FC236}">
              <a16:creationId xmlns:a16="http://schemas.microsoft.com/office/drawing/2014/main" id="{00000000-0008-0000-0100-00005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110</xdr:col>
      <xdr:colOff>79374</xdr:colOff>
      <xdr:row>814</xdr:row>
      <xdr:rowOff>190499</xdr:rowOff>
    </xdr:from>
    <xdr:to>
      <xdr:col>123</xdr:col>
      <xdr:colOff>603249</xdr:colOff>
      <xdr:row>852</xdr:row>
      <xdr:rowOff>190499</xdr:rowOff>
    </xdr:to>
    <xdr:graphicFrame macro="">
      <xdr:nvGraphicFramePr>
        <xdr:cNvPr id="61" name="Диаграмма 60">
          <a:extLst>
            <a:ext uri="{FF2B5EF4-FFF2-40B4-BE49-F238E27FC236}">
              <a16:creationId xmlns:a16="http://schemas.microsoft.com/office/drawing/2014/main" id="{00000000-0008-0000-0100-00003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110</xdr:col>
      <xdr:colOff>79374</xdr:colOff>
      <xdr:row>854</xdr:row>
      <xdr:rowOff>190499</xdr:rowOff>
    </xdr:from>
    <xdr:to>
      <xdr:col>123</xdr:col>
      <xdr:colOff>603249</xdr:colOff>
      <xdr:row>892</xdr:row>
      <xdr:rowOff>190499</xdr:rowOff>
    </xdr:to>
    <xdr:graphicFrame macro="">
      <xdr:nvGraphicFramePr>
        <xdr:cNvPr id="83" name="Диаграмма 82">
          <a:extLst>
            <a:ext uri="{FF2B5EF4-FFF2-40B4-BE49-F238E27FC236}">
              <a16:creationId xmlns:a16="http://schemas.microsoft.com/office/drawing/2014/main" id="{00000000-0008-0000-0100-00005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xdr:twoCellAnchor>
    <xdr:from>
      <xdr:col>163</xdr:col>
      <xdr:colOff>95250</xdr:colOff>
      <xdr:row>691</xdr:row>
      <xdr:rowOff>44451</xdr:rowOff>
    </xdr:from>
    <xdr:to>
      <xdr:col>175</xdr:col>
      <xdr:colOff>714375</xdr:colOff>
      <xdr:row>729</xdr:row>
      <xdr:rowOff>53862</xdr:rowOff>
    </xdr:to>
    <xdr:graphicFrame macro="">
      <xdr:nvGraphicFramePr>
        <xdr:cNvPr id="85" name="Диаграмма 84">
          <a:extLst>
            <a:ext uri="{FF2B5EF4-FFF2-40B4-BE49-F238E27FC236}">
              <a16:creationId xmlns:a16="http://schemas.microsoft.com/office/drawing/2014/main" id="{00000000-0008-0000-0100-00005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twoCellAnchor>
  <xdr:twoCellAnchor>
    <xdr:from>
      <xdr:col>132</xdr:col>
      <xdr:colOff>79374</xdr:colOff>
      <xdr:row>854</xdr:row>
      <xdr:rowOff>190499</xdr:rowOff>
    </xdr:from>
    <xdr:to>
      <xdr:col>144</xdr:col>
      <xdr:colOff>15875</xdr:colOff>
      <xdr:row>892</xdr:row>
      <xdr:rowOff>190499</xdr:rowOff>
    </xdr:to>
    <xdr:graphicFrame macro="">
      <xdr:nvGraphicFramePr>
        <xdr:cNvPr id="86" name="Диаграмма 85">
          <a:extLst>
            <a:ext uri="{FF2B5EF4-FFF2-40B4-BE49-F238E27FC236}">
              <a16:creationId xmlns:a16="http://schemas.microsoft.com/office/drawing/2014/main" id="{00000000-0008-0000-0100-00005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xdr:graphicFrame>
    <xdr:clientData/>
  </xdr:twoCellAnchor>
  <xdr:twoCellAnchor>
    <xdr:from>
      <xdr:col>183</xdr:col>
      <xdr:colOff>68036</xdr:colOff>
      <xdr:row>691</xdr:row>
      <xdr:rowOff>12701</xdr:rowOff>
    </xdr:from>
    <xdr:to>
      <xdr:col>197</xdr:col>
      <xdr:colOff>19050</xdr:colOff>
      <xdr:row>729</xdr:row>
      <xdr:rowOff>22112</xdr:rowOff>
    </xdr:to>
    <xdr:graphicFrame macro="">
      <xdr:nvGraphicFramePr>
        <xdr:cNvPr id="87" name="Диаграмма 86">
          <a:extLst>
            <a:ext uri="{FF2B5EF4-FFF2-40B4-BE49-F238E27FC236}">
              <a16:creationId xmlns:a16="http://schemas.microsoft.com/office/drawing/2014/main" id="{00000000-0008-0000-0100-00005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xdr:graphicFrame>
    <xdr:clientData/>
  </xdr:twoCellAnchor>
  <xdr:twoCellAnchor>
    <xdr:from>
      <xdr:col>111</xdr:col>
      <xdr:colOff>15874</xdr:colOff>
      <xdr:row>896</xdr:row>
      <xdr:rowOff>15876</xdr:rowOff>
    </xdr:from>
    <xdr:to>
      <xdr:col>123</xdr:col>
      <xdr:colOff>571500</xdr:colOff>
      <xdr:row>934</xdr:row>
      <xdr:rowOff>0</xdr:rowOff>
    </xdr:to>
    <xdr:graphicFrame macro="">
      <xdr:nvGraphicFramePr>
        <xdr:cNvPr id="94" name="Диаграмма 1">
          <a:extLst>
            <a:ext uri="{FF2B5EF4-FFF2-40B4-BE49-F238E27FC236}">
              <a16:creationId xmlns:a16="http://schemas.microsoft.com/office/drawing/2014/main" id="{00000000-0008-0000-0100-00005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xdr:graphicFrame>
    <xdr:clientData/>
  </xdr:twoCellAnchor>
  <xdr:oneCellAnchor>
    <xdr:from>
      <xdr:col>111</xdr:col>
      <xdr:colOff>576262</xdr:colOff>
      <xdr:row>898</xdr:row>
      <xdr:rowOff>81984</xdr:rowOff>
    </xdr:from>
    <xdr:ext cx="4416426" cy="360249"/>
    <xdr:sp macro="" textlink="">
      <xdr:nvSpPr>
        <xdr:cNvPr id="95" name="TextBox 94">
          <a:extLst>
            <a:ext uri="{FF2B5EF4-FFF2-40B4-BE49-F238E27FC236}">
              <a16:creationId xmlns:a16="http://schemas.microsoft.com/office/drawing/2014/main" id="{00000000-0008-0000-0100-00005F000000}"/>
            </a:ext>
          </a:extLst>
        </xdr:cNvPr>
        <xdr:cNvSpPr txBox="1"/>
      </xdr:nvSpPr>
      <xdr:spPr>
        <a:xfrm>
          <a:off x="44311887" y="171468484"/>
          <a:ext cx="4416426" cy="36024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1400" b="1">
              <a:latin typeface="Arial" pitchFamily="34" charset="0"/>
              <a:cs typeface="Arial" pitchFamily="34" charset="0"/>
            </a:rPr>
            <a:t>WWPS</a:t>
          </a:r>
          <a:r>
            <a:rPr lang="en-US" sz="1400" b="1" baseline="0">
              <a:latin typeface="Arial" pitchFamily="34" charset="0"/>
              <a:cs typeface="Arial" pitchFamily="34" charset="0"/>
            </a:rPr>
            <a:t> / LZ </a:t>
          </a:r>
          <a:r>
            <a:rPr lang="en-US" sz="1600" baseline="0">
              <a:latin typeface="Arial" pitchFamily="34" charset="0"/>
              <a:cs typeface="Arial" pitchFamily="34" charset="0"/>
            </a:rPr>
            <a:t>- </a:t>
          </a:r>
          <a:r>
            <a:rPr lang="ru-RU" sz="1600">
              <a:latin typeface="Arial" pitchFamily="34" charset="0"/>
              <a:cs typeface="Arial" pitchFamily="34" charset="0"/>
            </a:rPr>
            <a:t>производительность</a:t>
          </a:r>
          <a:r>
            <a:rPr lang="en-US" sz="1600">
              <a:latin typeface="Arial" pitchFamily="34" charset="0"/>
              <a:cs typeface="Arial" pitchFamily="34" charset="0"/>
            </a:rPr>
            <a:t>   </a:t>
          </a:r>
          <a:r>
            <a:rPr lang="ru-RU" sz="1600">
              <a:latin typeface="Arial" pitchFamily="34" charset="0"/>
              <a:cs typeface="Arial" pitchFamily="34" charset="0"/>
            </a:rPr>
            <a:t>труда</a:t>
          </a:r>
          <a:endParaRPr lang="ru-RU" sz="1600" b="1">
            <a:latin typeface="Arial" pitchFamily="34" charset="0"/>
            <a:cs typeface="Arial" pitchFamily="34" charset="0"/>
          </a:endParaRPr>
        </a:p>
      </xdr:txBody>
    </xdr:sp>
    <xdr:clientData/>
  </xdr:oneCellAnchor>
  <xdr:oneCellAnchor>
    <xdr:from>
      <xdr:col>117</xdr:col>
      <xdr:colOff>14779</xdr:colOff>
      <xdr:row>909</xdr:row>
      <xdr:rowOff>102887</xdr:rowOff>
    </xdr:from>
    <xdr:ext cx="527067" cy="246363"/>
    <xdr:sp macro="" textlink="">
      <xdr:nvSpPr>
        <xdr:cNvPr id="96" name="TextBox 95">
          <a:extLst>
            <a:ext uri="{FF2B5EF4-FFF2-40B4-BE49-F238E27FC236}">
              <a16:creationId xmlns:a16="http://schemas.microsoft.com/office/drawing/2014/main" id="{00000000-0008-0000-0100-000060000000}"/>
            </a:ext>
          </a:extLst>
        </xdr:cNvPr>
        <xdr:cNvSpPr txBox="1"/>
      </xdr:nvSpPr>
      <xdr:spPr>
        <a:xfrm>
          <a:off x="47814404" y="173934137"/>
          <a:ext cx="527067" cy="2463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ru-RU" sz="1200">
              <a:latin typeface="Arial" panose="020B0604020202020204" pitchFamily="34" charset="0"/>
              <a:cs typeface="Arial" panose="020B0604020202020204" pitchFamily="34" charset="0"/>
            </a:rPr>
            <a:t>2016</a:t>
          </a:r>
        </a:p>
      </xdr:txBody>
    </xdr:sp>
    <xdr:clientData/>
  </xdr:oneCellAnchor>
  <xdr:oneCellAnchor>
    <xdr:from>
      <xdr:col>112</xdr:col>
      <xdr:colOff>529585</xdr:colOff>
      <xdr:row>924</xdr:row>
      <xdr:rowOff>30994</xdr:rowOff>
    </xdr:from>
    <xdr:ext cx="527067" cy="269369"/>
    <xdr:sp macro="" textlink="">
      <xdr:nvSpPr>
        <xdr:cNvPr id="97" name="TextBox 96">
          <a:extLst>
            <a:ext uri="{FF2B5EF4-FFF2-40B4-BE49-F238E27FC236}">
              <a16:creationId xmlns:a16="http://schemas.microsoft.com/office/drawing/2014/main" id="{00000000-0008-0000-0100-000061000000}"/>
            </a:ext>
          </a:extLst>
        </xdr:cNvPr>
        <xdr:cNvSpPr txBox="1"/>
      </xdr:nvSpPr>
      <xdr:spPr>
        <a:xfrm>
          <a:off x="44995460" y="177195994"/>
          <a:ext cx="527067" cy="26936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1200">
              <a:latin typeface="Arial" panose="020B0604020202020204" pitchFamily="34" charset="0"/>
              <a:cs typeface="Arial" panose="020B0604020202020204" pitchFamily="34" charset="0"/>
            </a:rPr>
            <a:t>2002</a:t>
          </a:r>
        </a:p>
      </xdr:txBody>
    </xdr:sp>
    <xdr:clientData/>
  </xdr:oneCellAnchor>
  <xdr:oneCellAnchor>
    <xdr:from>
      <xdr:col>113</xdr:col>
      <xdr:colOff>278151</xdr:colOff>
      <xdr:row>908</xdr:row>
      <xdr:rowOff>128436</xdr:rowOff>
    </xdr:from>
    <xdr:ext cx="527067" cy="395439"/>
    <xdr:sp macro="" textlink="">
      <xdr:nvSpPr>
        <xdr:cNvPr id="98" name="TextBox 97">
          <a:extLst>
            <a:ext uri="{FF2B5EF4-FFF2-40B4-BE49-F238E27FC236}">
              <a16:creationId xmlns:a16="http://schemas.microsoft.com/office/drawing/2014/main" id="{00000000-0008-0000-0100-000062000000}"/>
            </a:ext>
          </a:extLst>
        </xdr:cNvPr>
        <xdr:cNvSpPr txBox="1"/>
      </xdr:nvSpPr>
      <xdr:spPr>
        <a:xfrm>
          <a:off x="45363151" y="173737436"/>
          <a:ext cx="527067" cy="39543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ru-RU" sz="1200">
              <a:latin typeface="Arial" panose="020B0604020202020204" pitchFamily="34" charset="0"/>
              <a:cs typeface="Arial" panose="020B0604020202020204" pitchFamily="34" charset="0"/>
            </a:rPr>
            <a:t>2008</a:t>
          </a:r>
        </a:p>
      </xdr:txBody>
    </xdr:sp>
    <xdr:clientData/>
  </xdr:oneCellAnchor>
  <xdr:oneCellAnchor>
    <xdr:from>
      <xdr:col>113</xdr:col>
      <xdr:colOff>397442</xdr:colOff>
      <xdr:row>903</xdr:row>
      <xdr:rowOff>103566</xdr:rowOff>
    </xdr:from>
    <xdr:ext cx="827662" cy="269369"/>
    <xdr:sp macro="" textlink="">
      <xdr:nvSpPr>
        <xdr:cNvPr id="99" name="TextBox 98">
          <a:extLst>
            <a:ext uri="{FF2B5EF4-FFF2-40B4-BE49-F238E27FC236}">
              <a16:creationId xmlns:a16="http://schemas.microsoft.com/office/drawing/2014/main" id="{00000000-0008-0000-0100-000063000000}"/>
            </a:ext>
          </a:extLst>
        </xdr:cNvPr>
        <xdr:cNvSpPr txBox="1"/>
      </xdr:nvSpPr>
      <xdr:spPr>
        <a:xfrm>
          <a:off x="45482442" y="172601316"/>
          <a:ext cx="827662" cy="26936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ru-RU" sz="1200">
              <a:latin typeface="Arial" panose="020B0604020202020204" pitchFamily="34" charset="0"/>
              <a:cs typeface="Arial" panose="020B0604020202020204" pitchFamily="34" charset="0"/>
            </a:rPr>
            <a:t>ТРЕНД</a:t>
          </a:r>
          <a:r>
            <a:rPr lang="ru-RU" sz="1200" baseline="0">
              <a:latin typeface="Arial" panose="020B0604020202020204" pitchFamily="34" charset="0"/>
              <a:cs typeface="Arial" panose="020B0604020202020204" pitchFamily="34" charset="0"/>
            </a:rPr>
            <a:t> 1</a:t>
          </a:r>
          <a:endParaRPr lang="ru-RU" sz="12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oneCellAnchor>
  <xdr:oneCellAnchor>
    <xdr:from>
      <xdr:col>115</xdr:col>
      <xdr:colOff>213178</xdr:colOff>
      <xdr:row>913</xdr:row>
      <xdr:rowOff>108857</xdr:rowOff>
    </xdr:from>
    <xdr:ext cx="4012637" cy="888705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 txBox="1"/>
      </xdr:nvSpPr>
      <xdr:spPr>
        <a:xfrm>
          <a:off x="46695178" y="174829107"/>
          <a:ext cx="4012637" cy="8887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1800" b="1">
              <a:latin typeface="Arial" panose="020B0604020202020204" pitchFamily="34" charset="0"/>
              <a:cs typeface="Arial" panose="020B0604020202020204" pitchFamily="34" charset="0"/>
            </a:rPr>
            <a:t>ПРОИЗВОДСТВЕННАЯ ФУНКЦИЯ</a:t>
          </a:r>
        </a:p>
        <a:p>
          <a:r>
            <a:rPr lang="ru-RU" sz="1800" b="1">
              <a:latin typeface="Arial" panose="020B0604020202020204" pitchFamily="34" charset="0"/>
              <a:cs typeface="Arial" panose="020B0604020202020204" pitchFamily="34" charset="0"/>
            </a:rPr>
            <a:t>          </a:t>
          </a:r>
          <a:r>
            <a:rPr lang="ru-RU" sz="1600" b="0">
              <a:latin typeface="Arial" panose="020B0604020202020204" pitchFamily="34" charset="0"/>
              <a:cs typeface="Arial" panose="020B0604020202020204" pitchFamily="34" charset="0"/>
            </a:rPr>
            <a:t>(</a:t>
          </a:r>
          <a:r>
            <a:rPr lang="ru-RU" sz="1400" b="0">
              <a:latin typeface="Arial" panose="020B0604020202020204" pitchFamily="34" charset="0"/>
              <a:cs typeface="Arial" panose="020B0604020202020204" pitchFamily="34" charset="0"/>
            </a:rPr>
            <a:t>ТИПА КОББА-ДУГЛАСА</a:t>
          </a:r>
          <a:r>
            <a:rPr lang="ru-RU" sz="1600" b="0">
              <a:latin typeface="Arial" panose="020B0604020202020204" pitchFamily="34" charset="0"/>
              <a:cs typeface="Arial" panose="020B0604020202020204" pitchFamily="34" charset="0"/>
            </a:rPr>
            <a:t>)</a:t>
          </a:r>
          <a:endParaRPr lang="ru-RU" sz="1800" b="0">
            <a:latin typeface="Arial" panose="020B0604020202020204" pitchFamily="34" charset="0"/>
            <a:cs typeface="Arial" panose="020B0604020202020204" pitchFamily="34" charset="0"/>
          </a:endParaRPr>
        </a:p>
        <a:p>
          <a:r>
            <a:rPr lang="ru-RU" sz="1800" b="1">
              <a:latin typeface="Arial" panose="020B0604020202020204" pitchFamily="34" charset="0"/>
              <a:cs typeface="Arial" panose="020B0604020202020204" pitchFamily="34" charset="0"/>
            </a:rPr>
            <a:t>       ЭКОНОМИКИ РОССИИ</a:t>
          </a:r>
        </a:p>
      </xdr:txBody>
    </xdr:sp>
    <xdr:clientData/>
  </xdr:oneCellAnchor>
  <xdr:twoCellAnchor>
    <xdr:from>
      <xdr:col>132</xdr:col>
      <xdr:colOff>95250</xdr:colOff>
      <xdr:row>896</xdr:row>
      <xdr:rowOff>111125</xdr:rowOff>
    </xdr:from>
    <xdr:to>
      <xdr:col>142</xdr:col>
      <xdr:colOff>603251</xdr:colOff>
      <xdr:row>933</xdr:row>
      <xdr:rowOff>127000</xdr:rowOff>
    </xdr:to>
    <xdr:graphicFrame macro="">
      <xdr:nvGraphicFramePr>
        <xdr:cNvPr id="90" name="Диаграмма 89">
          <a:extLst>
            <a:ext uri="{FF2B5EF4-FFF2-40B4-BE49-F238E27FC236}">
              <a16:creationId xmlns:a16="http://schemas.microsoft.com/office/drawing/2014/main" id="{00000000-0008-0000-0100-00005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xdr:graphicFrame>
    <xdr:clientData/>
  </xdr:twoCellAnchor>
  <xdr:oneCellAnchor>
    <xdr:from>
      <xdr:col>134</xdr:col>
      <xdr:colOff>428626</xdr:colOff>
      <xdr:row>929</xdr:row>
      <xdr:rowOff>63500</xdr:rowOff>
    </xdr:from>
    <xdr:ext cx="927908" cy="391560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 txBox="1"/>
      </xdr:nvSpPr>
      <xdr:spPr>
        <a:xfrm>
          <a:off x="65103376" y="177974625"/>
          <a:ext cx="927908" cy="391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ru-RU" sz="1600" b="1">
              <a:latin typeface="Arial" panose="020B0604020202020204" pitchFamily="34" charset="0"/>
              <a:cs typeface="Arial" panose="020B0604020202020204" pitchFamily="34" charset="0"/>
            </a:rPr>
            <a:t>ОТЧЁТ</a:t>
          </a:r>
        </a:p>
      </xdr:txBody>
    </xdr:sp>
    <xdr:clientData/>
  </xdr:oneCellAnchor>
  <xdr:oneCellAnchor>
    <xdr:from>
      <xdr:col>138</xdr:col>
      <xdr:colOff>698500</xdr:colOff>
      <xdr:row>929</xdr:row>
      <xdr:rowOff>0</xdr:rowOff>
    </xdr:from>
    <xdr:ext cx="1181221" cy="328295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SpPr txBox="1"/>
      </xdr:nvSpPr>
      <xdr:spPr>
        <a:xfrm>
          <a:off x="68643500" y="177911125"/>
          <a:ext cx="1181221" cy="32829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1600" b="1">
              <a:latin typeface="Arial" panose="020B0604020202020204" pitchFamily="34" charset="0"/>
              <a:cs typeface="Arial" panose="020B0604020202020204" pitchFamily="34" charset="0"/>
            </a:rPr>
            <a:t>ПРОГНОЗ</a:t>
          </a:r>
        </a:p>
      </xdr:txBody>
    </xdr:sp>
    <xdr:clientData/>
  </xdr:oneCellAnchor>
  <xdr:twoCellAnchor>
    <xdr:from>
      <xdr:col>102</xdr:col>
      <xdr:colOff>63500</xdr:colOff>
      <xdr:row>411</xdr:row>
      <xdr:rowOff>222250</xdr:rowOff>
    </xdr:from>
    <xdr:to>
      <xdr:col>112</xdr:col>
      <xdr:colOff>730251</xdr:colOff>
      <xdr:row>449</xdr:row>
      <xdr:rowOff>180975</xdr:rowOff>
    </xdr:to>
    <xdr:graphicFrame macro="">
      <xdr:nvGraphicFramePr>
        <xdr:cNvPr id="100" name="Диаграмма 99">
          <a:extLst>
            <a:ext uri="{FF2B5EF4-FFF2-40B4-BE49-F238E27FC236}">
              <a16:creationId xmlns:a16="http://schemas.microsoft.com/office/drawing/2014/main" id="{00000000-0008-0000-0100-00006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xdr:graphicFrame>
    <xdr:clientData/>
  </xdr:twoCellAnchor>
  <xdr:twoCellAnchor>
    <xdr:from>
      <xdr:col>167</xdr:col>
      <xdr:colOff>99783</xdr:colOff>
      <xdr:row>180</xdr:row>
      <xdr:rowOff>190500</xdr:rowOff>
    </xdr:from>
    <xdr:to>
      <xdr:col>182</xdr:col>
      <xdr:colOff>590550</xdr:colOff>
      <xdr:row>218</xdr:row>
      <xdr:rowOff>244474</xdr:rowOff>
    </xdr:to>
    <xdr:graphicFrame macro="">
      <xdr:nvGraphicFramePr>
        <xdr:cNvPr id="101" name="Диаграмма 100">
          <a:extLst>
            <a:ext uri="{FF2B5EF4-FFF2-40B4-BE49-F238E27FC236}">
              <a16:creationId xmlns:a16="http://schemas.microsoft.com/office/drawing/2014/main" id="{00000000-0008-0000-0100-00006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xdr:graphicFrame>
    <xdr:clientData/>
  </xdr:twoCellAnchor>
  <xdr:twoCellAnchor>
    <xdr:from>
      <xdr:col>101</xdr:col>
      <xdr:colOff>111125</xdr:colOff>
      <xdr:row>317</xdr:row>
      <xdr:rowOff>35718</xdr:rowOff>
    </xdr:from>
    <xdr:to>
      <xdr:col>112</xdr:col>
      <xdr:colOff>587375</xdr:colOff>
      <xdr:row>355</xdr:row>
      <xdr:rowOff>231322</xdr:rowOff>
    </xdr:to>
    <xdr:graphicFrame macro="">
      <xdr:nvGraphicFramePr>
        <xdr:cNvPr id="103" name="Диаграмма 102">
          <a:extLst>
            <a:ext uri="{FF2B5EF4-FFF2-40B4-BE49-F238E27FC236}">
              <a16:creationId xmlns:a16="http://schemas.microsoft.com/office/drawing/2014/main" id="{00000000-0008-0000-0100-00006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xdr:graphicFrame>
    <xdr:clientData/>
  </xdr:twoCellAnchor>
  <xdr:twoCellAnchor>
    <xdr:from>
      <xdr:col>119</xdr:col>
      <xdr:colOff>95250</xdr:colOff>
      <xdr:row>5</xdr:row>
      <xdr:rowOff>190500</xdr:rowOff>
    </xdr:from>
    <xdr:to>
      <xdr:col>132</xdr:col>
      <xdr:colOff>63500</xdr:colOff>
      <xdr:row>43</xdr:row>
      <xdr:rowOff>250824</xdr:rowOff>
    </xdr:to>
    <xdr:graphicFrame macro="">
      <xdr:nvGraphicFramePr>
        <xdr:cNvPr id="89" name="Диаграмма 88">
          <a:extLst>
            <a:ext uri="{FF2B5EF4-FFF2-40B4-BE49-F238E27FC236}">
              <a16:creationId xmlns:a16="http://schemas.microsoft.com/office/drawing/2014/main" id="{00000000-0008-0000-0100-00005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xdr:graphicFrame>
    <xdr:clientData/>
  </xdr:twoCellAnchor>
  <xdr:twoCellAnchor>
    <xdr:from>
      <xdr:col>141</xdr:col>
      <xdr:colOff>54427</xdr:colOff>
      <xdr:row>5</xdr:row>
      <xdr:rowOff>190502</xdr:rowOff>
    </xdr:from>
    <xdr:to>
      <xdr:col>152</xdr:col>
      <xdr:colOff>777875</xdr:colOff>
      <xdr:row>44</xdr:row>
      <xdr:rowOff>5897</xdr:rowOff>
    </xdr:to>
    <xdr:graphicFrame macro="">
      <xdr:nvGraphicFramePr>
        <xdr:cNvPr id="105" name="Диаграмма 104">
          <a:extLst>
            <a:ext uri="{FF2B5EF4-FFF2-40B4-BE49-F238E27FC236}">
              <a16:creationId xmlns:a16="http://schemas.microsoft.com/office/drawing/2014/main" id="{00000000-0008-0000-0100-00006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xdr:graphicFrame>
    <xdr:clientData/>
  </xdr:twoCellAnchor>
  <xdr:twoCellAnchor>
    <xdr:from>
      <xdr:col>143</xdr:col>
      <xdr:colOff>68034</xdr:colOff>
      <xdr:row>179</xdr:row>
      <xdr:rowOff>0</xdr:rowOff>
    </xdr:from>
    <xdr:to>
      <xdr:col>156</xdr:col>
      <xdr:colOff>619125</xdr:colOff>
      <xdr:row>217</xdr:row>
      <xdr:rowOff>15874</xdr:rowOff>
    </xdr:to>
    <xdr:graphicFrame macro="">
      <xdr:nvGraphicFramePr>
        <xdr:cNvPr id="112" name="Диаграмма 111">
          <a:extLst>
            <a:ext uri="{FF2B5EF4-FFF2-40B4-BE49-F238E27FC236}">
              <a16:creationId xmlns:a16="http://schemas.microsoft.com/office/drawing/2014/main" id="{00000000-0008-0000-0100-00007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xdr:graphicFrame>
    <xdr:clientData/>
  </xdr:twoCellAnchor>
  <xdr:twoCellAnchor>
    <xdr:from>
      <xdr:col>143</xdr:col>
      <xdr:colOff>68034</xdr:colOff>
      <xdr:row>179</xdr:row>
      <xdr:rowOff>0</xdr:rowOff>
    </xdr:from>
    <xdr:to>
      <xdr:col>156</xdr:col>
      <xdr:colOff>619125</xdr:colOff>
      <xdr:row>217</xdr:row>
      <xdr:rowOff>15874</xdr:rowOff>
    </xdr:to>
    <xdr:graphicFrame macro="">
      <xdr:nvGraphicFramePr>
        <xdr:cNvPr id="113" name="Диаграмма 112">
          <a:extLst>
            <a:ext uri="{FF2B5EF4-FFF2-40B4-BE49-F238E27FC236}">
              <a16:creationId xmlns:a16="http://schemas.microsoft.com/office/drawing/2014/main" id="{00000000-0008-0000-0100-00007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xdr:graphicFrame>
    <xdr:clientData/>
  </xdr:twoCellAnchor>
  <xdr:twoCellAnchor>
    <xdr:from>
      <xdr:col>143</xdr:col>
      <xdr:colOff>68034</xdr:colOff>
      <xdr:row>179</xdr:row>
      <xdr:rowOff>0</xdr:rowOff>
    </xdr:from>
    <xdr:to>
      <xdr:col>156</xdr:col>
      <xdr:colOff>619125</xdr:colOff>
      <xdr:row>217</xdr:row>
      <xdr:rowOff>15874</xdr:rowOff>
    </xdr:to>
    <xdr:graphicFrame macro="">
      <xdr:nvGraphicFramePr>
        <xdr:cNvPr id="114" name="Диаграмма 113">
          <a:extLst>
            <a:ext uri="{FF2B5EF4-FFF2-40B4-BE49-F238E27FC236}">
              <a16:creationId xmlns:a16="http://schemas.microsoft.com/office/drawing/2014/main" id="{00000000-0008-0000-0100-00007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xdr:graphicFrame>
    <xdr:clientData/>
  </xdr:twoCellAnchor>
  <xdr:twoCellAnchor>
    <xdr:from>
      <xdr:col>143</xdr:col>
      <xdr:colOff>68034</xdr:colOff>
      <xdr:row>179</xdr:row>
      <xdr:rowOff>0</xdr:rowOff>
    </xdr:from>
    <xdr:to>
      <xdr:col>159</xdr:col>
      <xdr:colOff>552450</xdr:colOff>
      <xdr:row>221</xdr:row>
      <xdr:rowOff>206375</xdr:rowOff>
    </xdr:to>
    <xdr:graphicFrame macro="">
      <xdr:nvGraphicFramePr>
        <xdr:cNvPr id="115" name="Диаграмма 114">
          <a:extLst>
            <a:ext uri="{FF2B5EF4-FFF2-40B4-BE49-F238E27FC236}">
              <a16:creationId xmlns:a16="http://schemas.microsoft.com/office/drawing/2014/main" id="{00000000-0008-0000-0100-00007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xdr:graphicFrame>
    <xdr:clientData/>
  </xdr:twoCellAnchor>
  <xdr:oneCellAnchor>
    <xdr:from>
      <xdr:col>128</xdr:col>
      <xdr:colOff>685800</xdr:colOff>
      <xdr:row>209</xdr:row>
      <xdr:rowOff>266700</xdr:rowOff>
    </xdr:from>
    <xdr:ext cx="3392788" cy="446212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SpPr txBox="1"/>
      </xdr:nvSpPr>
      <xdr:spPr>
        <a:xfrm>
          <a:off x="91601925" y="49526825"/>
          <a:ext cx="3392788" cy="44621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400" b="1">
              <a:latin typeface="Arial" panose="020B0604020202020204" pitchFamily="34" charset="0"/>
              <a:cs typeface="Arial" panose="020B0604020202020204" pitchFamily="34" charset="0"/>
            </a:rPr>
            <a:t>Dn = 1,661*IPC - 7,124</a:t>
          </a:r>
          <a:endParaRPr lang="ru-RU" sz="2400" b="1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oneCellAnchor>
  <xdr:oneCellAnchor>
    <xdr:from>
      <xdr:col>111</xdr:col>
      <xdr:colOff>571500</xdr:colOff>
      <xdr:row>192</xdr:row>
      <xdr:rowOff>174625</xdr:rowOff>
    </xdr:from>
    <xdr:ext cx="584006" cy="298800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SpPr txBox="1"/>
      </xdr:nvSpPr>
      <xdr:spPr>
        <a:xfrm>
          <a:off x="79819500" y="44846875"/>
          <a:ext cx="584006" cy="2988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1400">
              <a:latin typeface="Arial" panose="020B0604020202020204" pitchFamily="34" charset="0"/>
              <a:cs typeface="Arial" panose="020B0604020202020204" pitchFamily="34" charset="0"/>
            </a:rPr>
            <a:t>2018</a:t>
          </a:r>
        </a:p>
      </xdr:txBody>
    </xdr:sp>
    <xdr:clientData/>
  </xdr:oneCellAnchor>
  <xdr:oneCellAnchor>
    <xdr:from>
      <xdr:col>102</xdr:col>
      <xdr:colOff>603250</xdr:colOff>
      <xdr:row>348</xdr:row>
      <xdr:rowOff>111125</xdr:rowOff>
    </xdr:from>
    <xdr:ext cx="584006" cy="298800"/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SpPr txBox="1"/>
      </xdr:nvSpPr>
      <xdr:spPr>
        <a:xfrm>
          <a:off x="72739250" y="82169000"/>
          <a:ext cx="584006" cy="2988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1400">
              <a:latin typeface="Arial" panose="020B0604020202020204" pitchFamily="34" charset="0"/>
              <a:cs typeface="Arial" panose="020B0604020202020204" pitchFamily="34" charset="0"/>
            </a:rPr>
            <a:t>2007</a:t>
          </a:r>
        </a:p>
      </xdr:txBody>
    </xdr:sp>
    <xdr:clientData/>
  </xdr:oneCellAnchor>
  <xdr:twoCellAnchor>
    <xdr:from>
      <xdr:col>212</xdr:col>
      <xdr:colOff>111125</xdr:colOff>
      <xdr:row>318</xdr:row>
      <xdr:rowOff>19844</xdr:rowOff>
    </xdr:from>
    <xdr:to>
      <xdr:col>225</xdr:col>
      <xdr:colOff>587375</xdr:colOff>
      <xdr:row>356</xdr:row>
      <xdr:rowOff>47626</xdr:rowOff>
    </xdr:to>
    <xdr:graphicFrame macro="">
      <xdr:nvGraphicFramePr>
        <xdr:cNvPr id="104" name="Диаграмма 103">
          <a:extLst>
            <a:ext uri="{FF2B5EF4-FFF2-40B4-BE49-F238E27FC236}">
              <a16:creationId xmlns:a16="http://schemas.microsoft.com/office/drawing/2014/main" id="{00000000-0008-0000-0100-00006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xdr:graphicFrame>
    <xdr:clientData/>
  </xdr:twoCellAnchor>
  <xdr:oneCellAnchor>
    <xdr:from>
      <xdr:col>213</xdr:col>
      <xdr:colOff>476250</xdr:colOff>
      <xdr:row>348</xdr:row>
      <xdr:rowOff>95250</xdr:rowOff>
    </xdr:from>
    <xdr:ext cx="584006" cy="298800"/>
    <xdr:sp macro="" textlink="">
      <xdr:nvSpPr>
        <xdr:cNvPr id="106" name="TextBox 105">
          <a:extLst>
            <a:ext uri="{FF2B5EF4-FFF2-40B4-BE49-F238E27FC236}">
              <a16:creationId xmlns:a16="http://schemas.microsoft.com/office/drawing/2014/main" id="{00000000-0008-0000-0100-00006A000000}"/>
            </a:ext>
          </a:extLst>
        </xdr:cNvPr>
        <xdr:cNvSpPr txBox="1"/>
      </xdr:nvSpPr>
      <xdr:spPr>
        <a:xfrm>
          <a:off x="130238500" y="82153125"/>
          <a:ext cx="584006" cy="2988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1400">
              <a:latin typeface="Arial" panose="020B0604020202020204" pitchFamily="34" charset="0"/>
              <a:cs typeface="Arial" panose="020B0604020202020204" pitchFamily="34" charset="0"/>
            </a:rPr>
            <a:t>2007</a:t>
          </a:r>
        </a:p>
      </xdr:txBody>
    </xdr:sp>
    <xdr:clientData/>
  </xdr:oneCellAnchor>
  <xdr:oneCellAnchor>
    <xdr:from>
      <xdr:col>135</xdr:col>
      <xdr:colOff>381000</xdr:colOff>
      <xdr:row>275</xdr:row>
      <xdr:rowOff>31750</xdr:rowOff>
    </xdr:from>
    <xdr:ext cx="584006" cy="298800"/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SpPr txBox="1"/>
      </xdr:nvSpPr>
      <xdr:spPr>
        <a:xfrm>
          <a:off x="96297750" y="65293875"/>
          <a:ext cx="584006" cy="2988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1400">
              <a:latin typeface="Arial" panose="020B0604020202020204" pitchFamily="34" charset="0"/>
              <a:cs typeface="Arial" panose="020B0604020202020204" pitchFamily="34" charset="0"/>
            </a:rPr>
            <a:t>2018</a:t>
          </a:r>
        </a:p>
      </xdr:txBody>
    </xdr:sp>
    <xdr:clientData/>
  </xdr:oneCellAnchor>
  <xdr:oneCellAnchor>
    <xdr:from>
      <xdr:col>134</xdr:col>
      <xdr:colOff>301625</xdr:colOff>
      <xdr:row>286</xdr:row>
      <xdr:rowOff>253999</xdr:rowOff>
    </xdr:from>
    <xdr:ext cx="587375" cy="381001"/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SpPr txBox="1"/>
      </xdr:nvSpPr>
      <xdr:spPr>
        <a:xfrm>
          <a:off x="95535750" y="68310124"/>
          <a:ext cx="587375" cy="38100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ru-RU" sz="1400">
              <a:latin typeface="Arial" panose="020B0604020202020204" pitchFamily="34" charset="0"/>
              <a:cs typeface="Arial" panose="020B0604020202020204" pitchFamily="34" charset="0"/>
            </a:rPr>
            <a:t>2016</a:t>
          </a:r>
        </a:p>
      </xdr:txBody>
    </xdr:sp>
    <xdr:clientData/>
  </xdr:oneCellAnchor>
  <xdr:oneCellAnchor>
    <xdr:from>
      <xdr:col>148</xdr:col>
      <xdr:colOff>508000</xdr:colOff>
      <xdr:row>293</xdr:row>
      <xdr:rowOff>142875</xdr:rowOff>
    </xdr:from>
    <xdr:ext cx="584006" cy="298800"/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SpPr txBox="1"/>
      </xdr:nvSpPr>
      <xdr:spPr>
        <a:xfrm>
          <a:off x="105171875" y="69500750"/>
          <a:ext cx="584006" cy="2988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1400">
              <a:latin typeface="Arial" panose="020B0604020202020204" pitchFamily="34" charset="0"/>
              <a:cs typeface="Arial" panose="020B0604020202020204" pitchFamily="34" charset="0"/>
            </a:rPr>
            <a:t>2007</a:t>
          </a:r>
        </a:p>
      </xdr:txBody>
    </xdr:sp>
    <xdr:clientData/>
  </xdr:oneCellAnchor>
  <xdr:twoCellAnchor>
    <xdr:from>
      <xdr:col>138</xdr:col>
      <xdr:colOff>63500</xdr:colOff>
      <xdr:row>411</xdr:row>
      <xdr:rowOff>222250</xdr:rowOff>
    </xdr:from>
    <xdr:to>
      <xdr:col>150</xdr:col>
      <xdr:colOff>544285</xdr:colOff>
      <xdr:row>449</xdr:row>
      <xdr:rowOff>180975</xdr:rowOff>
    </xdr:to>
    <xdr:graphicFrame macro="">
      <xdr:nvGraphicFramePr>
        <xdr:cNvPr id="91" name="Диаграмма 90">
          <a:extLst>
            <a:ext uri="{FF2B5EF4-FFF2-40B4-BE49-F238E27FC236}">
              <a16:creationId xmlns:a16="http://schemas.microsoft.com/office/drawing/2014/main" id="{00000000-0008-0000-0100-00005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xdr:graphicFrame>
    <xdr:clientData/>
  </xdr:twoCellAnchor>
  <xdr:twoCellAnchor>
    <xdr:from>
      <xdr:col>165</xdr:col>
      <xdr:colOff>111126</xdr:colOff>
      <xdr:row>226</xdr:row>
      <xdr:rowOff>15875</xdr:rowOff>
    </xdr:from>
    <xdr:to>
      <xdr:col>179</xdr:col>
      <xdr:colOff>539749</xdr:colOff>
      <xdr:row>264</xdr:row>
      <xdr:rowOff>15422</xdr:rowOff>
    </xdr:to>
    <xdr:graphicFrame macro="">
      <xdr:nvGraphicFramePr>
        <xdr:cNvPr id="92" name="Диаграмма 91">
          <a:extLst>
            <a:ext uri="{FF2B5EF4-FFF2-40B4-BE49-F238E27FC236}">
              <a16:creationId xmlns:a16="http://schemas.microsoft.com/office/drawing/2014/main" id="{00000000-0008-0000-0100-00005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xdr:graphicFrame>
    <xdr:clientData/>
  </xdr:twoCellAnchor>
  <xdr:twoCellAnchor>
    <xdr:from>
      <xdr:col>161</xdr:col>
      <xdr:colOff>114956</xdr:colOff>
      <xdr:row>92</xdr:row>
      <xdr:rowOff>32846</xdr:rowOff>
    </xdr:from>
    <xdr:to>
      <xdr:col>175</xdr:col>
      <xdr:colOff>574783</xdr:colOff>
      <xdr:row>128</xdr:row>
      <xdr:rowOff>222251</xdr:rowOff>
    </xdr:to>
    <xdr:graphicFrame macro="">
      <xdr:nvGraphicFramePr>
        <xdr:cNvPr id="93" name="Диаграмма 92">
          <a:extLst>
            <a:ext uri="{FF2B5EF4-FFF2-40B4-BE49-F238E27FC236}">
              <a16:creationId xmlns:a16="http://schemas.microsoft.com/office/drawing/2014/main" id="{00000000-0008-0000-0100-00005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xdr:graphicFrame>
    <xdr:clientData/>
  </xdr:twoCellAnchor>
</xdr:wsDr>
</file>

<file path=xl/drawings/drawing37.xml><?xml version="1.0" encoding="utf-8"?>
<c:userShapes xmlns:c="http://schemas.openxmlformats.org/drawingml/2006/chart">
  <cdr:relSizeAnchor xmlns:cdr="http://schemas.openxmlformats.org/drawingml/2006/chartDrawing">
    <cdr:from>
      <cdr:x>0.18784</cdr:x>
      <cdr:y>0.0203</cdr:y>
    </cdr:from>
    <cdr:to>
      <cdr:x>0.29162</cdr:x>
      <cdr:y>0.12422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1654969" y="178595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ru-RU" sz="1100"/>
        </a:p>
      </cdr:txBody>
    </cdr:sp>
  </cdr:relSizeAnchor>
  <cdr:relSizeAnchor xmlns:cdr="http://schemas.openxmlformats.org/drawingml/2006/chartDrawing">
    <cdr:from>
      <cdr:x>0.21081</cdr:x>
      <cdr:y>0.06495</cdr:y>
    </cdr:from>
    <cdr:to>
      <cdr:x>0.80541</cdr:x>
      <cdr:y>0.12043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1857375" y="571500"/>
          <a:ext cx="5238750" cy="48815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2000">
              <a:latin typeface="Arial" pitchFamily="34" charset="0"/>
              <a:cs typeface="Arial" pitchFamily="34" charset="0"/>
            </a:rPr>
            <a:t>ДИНАМИКА</a:t>
          </a:r>
          <a:r>
            <a:rPr lang="ru-RU" sz="2000" baseline="0">
              <a:latin typeface="Arial" pitchFamily="34" charset="0"/>
              <a:cs typeface="Arial" pitchFamily="34" charset="0"/>
            </a:rPr>
            <a:t>  ЦЕН  НА  ЦЕФТЬ   МАРКИ  </a:t>
          </a:r>
          <a:r>
            <a:rPr lang="en-US" sz="2000" baseline="0">
              <a:latin typeface="Arial" pitchFamily="34" charset="0"/>
              <a:cs typeface="Arial" pitchFamily="34" charset="0"/>
            </a:rPr>
            <a:t>BRENT</a:t>
          </a:r>
          <a:endParaRPr lang="ru-RU" sz="2000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0.75243</cdr:x>
      <cdr:y>0.65261</cdr:y>
    </cdr:from>
    <cdr:to>
      <cdr:x>0.84326</cdr:x>
      <cdr:y>0.68734</cdr:y>
    </cdr:to>
    <cdr:sp macro="" textlink="">
      <cdr:nvSpPr>
        <cdr:cNvPr id="4" name="TextBox 3"/>
        <cdr:cNvSpPr txBox="1"/>
      </cdr:nvSpPr>
      <cdr:spPr>
        <a:xfrm xmlns:a="http://schemas.openxmlformats.org/drawingml/2006/main">
          <a:off x="6957891" y="5861307"/>
          <a:ext cx="839922" cy="3119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200">
              <a:latin typeface="Arial" pitchFamily="34" charset="0"/>
              <a:cs typeface="Arial" pitchFamily="34" charset="0"/>
            </a:rPr>
            <a:t>ТРЕНД2</a:t>
          </a:r>
        </a:p>
      </cdr:txBody>
    </cdr:sp>
  </cdr:relSizeAnchor>
</c:userShapes>
</file>

<file path=xl/drawings/drawing38.xml><?xml version="1.0" encoding="utf-8"?>
<c:userShapes xmlns:c="http://schemas.openxmlformats.org/drawingml/2006/chart"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0.13515</cdr:x>
      <cdr:y>0.1303</cdr:y>
    </cdr:from>
    <cdr:to>
      <cdr:x>0.91122</cdr:x>
      <cdr:y>0.25603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1212180" y="1132746"/>
          <a:ext cx="6960686" cy="109292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РЕГРЕССИЯ</a:t>
          </a:r>
          <a:r>
            <a:rPr lang="en-US" sz="2000" b="1">
              <a:latin typeface="Arial" pitchFamily="34" charset="0"/>
              <a:cs typeface="Arial" pitchFamily="34" charset="0"/>
            </a:rPr>
            <a:t> </a:t>
          </a:r>
          <a:r>
            <a:rPr lang="ru-RU" sz="2000" b="1">
              <a:latin typeface="Arial" pitchFamily="34" charset="0"/>
              <a:cs typeface="Arial" pitchFamily="34" charset="0"/>
            </a:rPr>
            <a:t>ДОХОДОВ КОНСОЛИДИРОВАННОГО</a:t>
          </a:r>
        </a:p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БЮДЖЕТА ОТ ВВП</a:t>
          </a:r>
        </a:p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</a:t>
          </a:r>
          <a:r>
            <a:rPr lang="en-US" sz="2000" b="1">
              <a:latin typeface="Arial" pitchFamily="34" charset="0"/>
              <a:cs typeface="Arial" pitchFamily="34" charset="0"/>
            </a:rPr>
            <a:t>                      DBJ</a:t>
          </a:r>
          <a:r>
            <a:rPr lang="en-US" sz="1800" b="1">
              <a:latin typeface="Arial" pitchFamily="34" charset="0"/>
              <a:cs typeface="Arial" pitchFamily="34" charset="0"/>
            </a:rPr>
            <a:t> = </a:t>
          </a:r>
          <a:r>
            <a:rPr lang="en-US" sz="2000" b="1">
              <a:latin typeface="Arial" pitchFamily="34" charset="0"/>
              <a:ea typeface="+mn-ea"/>
              <a:cs typeface="Arial" pitchFamily="34" charset="0"/>
            </a:rPr>
            <a:t>0,</a:t>
          </a:r>
          <a:r>
            <a:rPr lang="ru-RU" sz="2000" b="1">
              <a:latin typeface="Arial" pitchFamily="34" charset="0"/>
              <a:ea typeface="+mn-ea"/>
              <a:cs typeface="Arial" pitchFamily="34" charset="0"/>
            </a:rPr>
            <a:t>5</a:t>
          </a:r>
          <a:r>
            <a:rPr lang="en-US" sz="2000" b="1">
              <a:latin typeface="Arial" pitchFamily="34" charset="0"/>
              <a:ea typeface="+mn-ea"/>
              <a:cs typeface="Arial" pitchFamily="34" charset="0"/>
            </a:rPr>
            <a:t>3</a:t>
          </a:r>
          <a:r>
            <a:rPr lang="ru-RU" sz="2000" b="1">
              <a:latin typeface="Arial" pitchFamily="34" charset="0"/>
              <a:ea typeface="+mn-ea"/>
              <a:cs typeface="Arial" pitchFamily="34" charset="0"/>
            </a:rPr>
            <a:t>55</a:t>
          </a:r>
          <a:r>
            <a:rPr lang="en-US" sz="2000" b="1">
              <a:latin typeface="Arial" pitchFamily="34" charset="0"/>
              <a:ea typeface="+mn-ea"/>
              <a:cs typeface="Arial" pitchFamily="34" charset="0"/>
            </a:rPr>
            <a:t>*WWP - 18298</a:t>
          </a:r>
        </a:p>
        <a:p xmlns:a="http://schemas.openxmlformats.org/drawingml/2006/main">
          <a:r>
            <a:rPr lang="en-US" sz="1600" b="1" baseline="0">
              <a:latin typeface="Arial" pitchFamily="34" charset="0"/>
              <a:cs typeface="Arial" pitchFamily="34" charset="0"/>
            </a:rPr>
            <a:t> </a:t>
          </a:r>
          <a:endParaRPr lang="ru-RU" sz="20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0.6838</cdr:x>
      <cdr:y>0.86675</cdr:y>
    </cdr:from>
    <cdr:to>
      <cdr:x>0.94241</cdr:x>
      <cdr:y>0.91204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C62E565B-F758-4D5E-85D4-ACC5727F5068}"/>
            </a:ext>
          </a:extLst>
        </cdr:cNvPr>
        <cdr:cNvSpPr txBox="1"/>
      </cdr:nvSpPr>
      <cdr:spPr>
        <a:xfrm xmlns:a="http://schemas.openxmlformats.org/drawingml/2006/main">
          <a:off x="5843302" y="6715987"/>
          <a:ext cx="2209858" cy="35092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baseline="0">
              <a:latin typeface="Arial" pitchFamily="34" charset="0"/>
              <a:cs typeface="Arial" pitchFamily="34" charset="0"/>
            </a:rPr>
            <a:t>  </a:t>
          </a:r>
          <a:r>
            <a:rPr lang="ru-RU" sz="1800" baseline="0">
              <a:latin typeface="Arial" pitchFamily="34" charset="0"/>
              <a:cs typeface="Arial" pitchFamily="34" charset="0"/>
            </a:rPr>
            <a:t>фактор  </a:t>
          </a:r>
          <a:r>
            <a:rPr lang="ru-RU" sz="2000" b="0" baseline="0">
              <a:latin typeface="Arial" pitchFamily="34" charset="0"/>
              <a:cs typeface="Arial" pitchFamily="34" charset="0"/>
            </a:rPr>
            <a:t>- </a:t>
          </a:r>
          <a:r>
            <a:rPr lang="en-US" sz="2000" b="0" baseline="0">
              <a:latin typeface="Arial" pitchFamily="34" charset="0"/>
              <a:cs typeface="Arial" pitchFamily="34" charset="0"/>
            </a:rPr>
            <a:t> </a:t>
          </a:r>
          <a:r>
            <a:rPr lang="en-US" sz="1800" b="0" baseline="0">
              <a:latin typeface="Arial" pitchFamily="34" charset="0"/>
              <a:cs typeface="Arial" pitchFamily="34" charset="0"/>
            </a:rPr>
            <a:t>WWP</a:t>
          </a:r>
          <a:endParaRPr lang="ru-RU" sz="1600" b="0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0.08957</cdr:x>
      <cdr:y>0.05776</cdr:y>
    </cdr:from>
    <cdr:to>
      <cdr:x>0.37394</cdr:x>
      <cdr:y>0.11351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C05C57E-6B9F-4CA9-9390-B31B20F966A5}"/>
            </a:ext>
          </a:extLst>
        </cdr:cNvPr>
        <cdr:cNvSpPr txBox="1"/>
      </cdr:nvSpPr>
      <cdr:spPr>
        <a:xfrm xmlns:a="http://schemas.openxmlformats.org/drawingml/2006/main">
          <a:off x="765400" y="447552"/>
          <a:ext cx="2430009" cy="4319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2800">
              <a:latin typeface="Arial" pitchFamily="34" charset="0"/>
              <a:cs typeface="Arial" pitchFamily="34" charset="0"/>
            </a:rPr>
            <a:t> </a:t>
          </a:r>
          <a:r>
            <a:rPr lang="en-US" sz="2000" b="0">
              <a:latin typeface="Arial" pitchFamily="34" charset="0"/>
              <a:cs typeface="Arial" pitchFamily="34" charset="0"/>
            </a:rPr>
            <a:t>DBJ (</a:t>
          </a:r>
          <a:r>
            <a:rPr lang="ru-RU" sz="2000" b="0">
              <a:latin typeface="Arial" pitchFamily="34" charset="0"/>
              <a:cs typeface="Arial" pitchFamily="34" charset="0"/>
            </a:rPr>
            <a:t>млрд руб)</a:t>
          </a:r>
          <a:r>
            <a:rPr lang="ru-RU" sz="2800" b="0">
              <a:latin typeface="Arial" pitchFamily="34" charset="0"/>
              <a:cs typeface="Arial" pitchFamily="34" charset="0"/>
            </a:rPr>
            <a:t> </a:t>
          </a:r>
          <a:r>
            <a:rPr lang="ru-RU" sz="2400" b="0">
              <a:latin typeface="Arial" pitchFamily="34" charset="0"/>
              <a:cs typeface="Arial" pitchFamily="34" charset="0"/>
            </a:rPr>
            <a:t> </a:t>
          </a:r>
          <a:r>
            <a:rPr lang="ru-RU" sz="1800" b="0">
              <a:latin typeface="Arial" pitchFamily="34" charset="0"/>
              <a:cs typeface="Arial" pitchFamily="34" charset="0"/>
            </a:rPr>
            <a:t> </a:t>
          </a:r>
        </a:p>
      </cdr:txBody>
    </cdr:sp>
  </cdr:relSizeAnchor>
  <cdr:relSizeAnchor xmlns:cdr="http://schemas.openxmlformats.org/drawingml/2006/chartDrawing">
    <cdr:from>
      <cdr:x>0.23944</cdr:x>
      <cdr:y>0.42132</cdr:y>
    </cdr:from>
    <cdr:to>
      <cdr:x>0.35736</cdr:x>
      <cdr:y>0.46894</cdr:y>
    </cdr:to>
    <cdr:sp macro="" textlink="">
      <cdr:nvSpPr>
        <cdr:cNvPr id="9" name="TextBox 5">
          <a:extLst xmlns:a="http://schemas.openxmlformats.org/drawingml/2006/main">
            <a:ext uri="{FF2B5EF4-FFF2-40B4-BE49-F238E27FC236}">
              <a16:creationId xmlns:a16="http://schemas.microsoft.com/office/drawing/2014/main" id="{71F1EE7D-ED1E-453C-A8EA-CE26BCBCF352}"/>
            </a:ext>
          </a:extLst>
        </cdr:cNvPr>
        <cdr:cNvSpPr txBox="1"/>
      </cdr:nvSpPr>
      <cdr:spPr>
        <a:xfrm xmlns:a="http://schemas.openxmlformats.org/drawingml/2006/main">
          <a:off x="2046074" y="3264553"/>
          <a:ext cx="1007660" cy="36898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Тренд 1</a:t>
          </a:r>
          <a:r>
            <a:rPr lang="ru-RU" sz="1600">
              <a:latin typeface="Arial" pitchFamily="34" charset="0"/>
              <a:cs typeface="Arial" pitchFamily="34" charset="0"/>
            </a:rPr>
            <a:t>  </a:t>
          </a:r>
        </a:p>
      </cdr:txBody>
    </cdr:sp>
  </cdr:relSizeAnchor>
  <cdr:relSizeAnchor xmlns:cdr="http://schemas.openxmlformats.org/drawingml/2006/chartDrawing">
    <cdr:from>
      <cdr:x>0.58294</cdr:x>
      <cdr:y>0.51927</cdr:y>
    </cdr:from>
    <cdr:to>
      <cdr:x>0.65678</cdr:x>
      <cdr:y>0.56075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4981348" y="4023517"/>
          <a:ext cx="631031" cy="32146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400">
              <a:latin typeface="Arial" panose="020B0604020202020204" pitchFamily="34" charset="0"/>
              <a:cs typeface="Arial" panose="020B0604020202020204" pitchFamily="34" charset="0"/>
            </a:rPr>
            <a:t>2016</a:t>
          </a:r>
          <a:endParaRPr lang="ru-RU" sz="14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0.55786</cdr:x>
      <cdr:y>0.41939</cdr:y>
    </cdr:from>
    <cdr:to>
      <cdr:x>0.62752</cdr:x>
      <cdr:y>0.4578</cdr:y>
    </cdr:to>
    <cdr:sp macro="" textlink="">
      <cdr:nvSpPr>
        <cdr:cNvPr id="6" name="TextBox 5"/>
        <cdr:cNvSpPr txBox="1"/>
      </cdr:nvSpPr>
      <cdr:spPr>
        <a:xfrm xmlns:a="http://schemas.openxmlformats.org/drawingml/2006/main">
          <a:off x="4767035" y="3249611"/>
          <a:ext cx="595312" cy="2976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400">
              <a:latin typeface="Arial" panose="020B0604020202020204" pitchFamily="34" charset="0"/>
              <a:cs typeface="Arial" panose="020B0604020202020204" pitchFamily="34" charset="0"/>
            </a:rPr>
            <a:t>2017</a:t>
          </a:r>
          <a:endParaRPr lang="ru-RU" sz="14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0.61777</cdr:x>
      <cdr:y>0.33334</cdr:y>
    </cdr:from>
    <cdr:to>
      <cdr:x>0.72477</cdr:x>
      <cdr:y>0.37175</cdr:y>
    </cdr:to>
    <cdr:sp macro="" textlink="">
      <cdr:nvSpPr>
        <cdr:cNvPr id="8" name="TextBox 7"/>
        <cdr:cNvSpPr txBox="1"/>
      </cdr:nvSpPr>
      <cdr:spPr>
        <a:xfrm xmlns:a="http://schemas.openxmlformats.org/drawingml/2006/main">
          <a:off x="5279004" y="2582862"/>
          <a:ext cx="914400" cy="2976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400">
              <a:latin typeface="Arial" panose="020B0604020202020204" pitchFamily="34" charset="0"/>
              <a:cs typeface="Arial" panose="020B0604020202020204" pitchFamily="34" charset="0"/>
            </a:rPr>
            <a:t>2018</a:t>
          </a:r>
          <a:endParaRPr lang="ru-RU" sz="14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</c:userShapes>
</file>

<file path=xl/drawings/drawing39.xml><?xml version="1.0" encoding="utf-8"?>
<c:userShapes xmlns:c="http://schemas.openxmlformats.org/drawingml/2006/chart"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0.23889</cdr:x>
      <cdr:y>0.07649</cdr:y>
    </cdr:from>
    <cdr:to>
      <cdr:x>0.83067</cdr:x>
      <cdr:y>0.25627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2218542" y="667893"/>
          <a:ext cx="5495787" cy="156970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РЕГРЕССИЯ</a:t>
          </a:r>
          <a:r>
            <a:rPr lang="en-US" sz="2000" b="1">
              <a:latin typeface="Arial" pitchFamily="34" charset="0"/>
              <a:cs typeface="Arial" pitchFamily="34" charset="0"/>
            </a:rPr>
            <a:t> </a:t>
          </a:r>
          <a:r>
            <a:rPr lang="ru-RU" sz="2000" b="1">
              <a:latin typeface="Arial" pitchFamily="34" charset="0"/>
              <a:cs typeface="Arial" pitchFamily="34" charset="0"/>
            </a:rPr>
            <a:t>БАЗИСНОГО</a:t>
          </a:r>
          <a:r>
            <a:rPr lang="ru-RU" sz="2000" b="1" baseline="0">
              <a:latin typeface="Arial" pitchFamily="34" charset="0"/>
              <a:cs typeface="Arial" pitchFamily="34" charset="0"/>
            </a:rPr>
            <a:t> ДЕФЛЯТОРА </a:t>
          </a:r>
        </a:p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КОНЕЧНОГО ПОТРЕБЛЕНИЯ</a:t>
          </a:r>
        </a:p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ДОМАШНИХ ХОЗЯЙСТВ</a:t>
          </a:r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endParaRPr lang="ru-RU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en-US" sz="2000" b="1">
              <a:latin typeface="Arial" pitchFamily="34" charset="0"/>
              <a:cs typeface="Arial" pitchFamily="34" charset="0"/>
            </a:rPr>
            <a:t> Dd = 1,26</a:t>
          </a:r>
          <a:r>
            <a:rPr lang="ru-RU" sz="2000" b="1">
              <a:latin typeface="Arial" pitchFamily="34" charset="0"/>
              <a:cs typeface="Arial" pitchFamily="34" charset="0"/>
            </a:rPr>
            <a:t>05</a:t>
          </a:r>
          <a:r>
            <a:rPr lang="en-US" sz="2000" b="1">
              <a:latin typeface="Arial" pitchFamily="34" charset="0"/>
              <a:cs typeface="Arial" pitchFamily="34" charset="0"/>
            </a:rPr>
            <a:t>*IPC</a:t>
          </a:r>
          <a:r>
            <a:rPr lang="en-US" sz="2000" b="1" baseline="0">
              <a:latin typeface="Arial" pitchFamily="34" charset="0"/>
              <a:cs typeface="Arial" pitchFamily="34" charset="0"/>
            </a:rPr>
            <a:t> - 0,4</a:t>
          </a:r>
          <a:r>
            <a:rPr lang="ru-RU" sz="2000" b="1" baseline="0">
              <a:latin typeface="Arial" pitchFamily="34" charset="0"/>
              <a:cs typeface="Arial" pitchFamily="34" charset="0"/>
            </a:rPr>
            <a:t>807</a:t>
          </a:r>
          <a:r>
            <a:rPr lang="en-US" sz="2000" b="1">
              <a:latin typeface="Arial" pitchFamily="34" charset="0"/>
              <a:cs typeface="Arial" pitchFamily="34" charset="0"/>
            </a:rPr>
            <a:t> </a:t>
          </a:r>
          <a:endParaRPr lang="ru-RU" sz="20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0.69101</cdr:x>
      <cdr:y>0.86219</cdr:y>
    </cdr:from>
    <cdr:to>
      <cdr:x>0.89956</cdr:x>
      <cdr:y>0.90582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C62E565B-F758-4D5E-85D4-ACC5727F5068}"/>
            </a:ext>
          </a:extLst>
        </cdr:cNvPr>
        <cdr:cNvSpPr txBox="1"/>
      </cdr:nvSpPr>
      <cdr:spPr>
        <a:xfrm xmlns:a="http://schemas.openxmlformats.org/drawingml/2006/main">
          <a:off x="5814020" y="7528013"/>
          <a:ext cx="1754688" cy="38094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baseline="0">
              <a:latin typeface="Arial" pitchFamily="34" charset="0"/>
              <a:cs typeface="Arial" pitchFamily="34" charset="0"/>
            </a:rPr>
            <a:t>  </a:t>
          </a:r>
          <a:r>
            <a:rPr lang="ru-RU" sz="2000" baseline="0">
              <a:latin typeface="Arial" pitchFamily="34" charset="0"/>
              <a:cs typeface="Arial" pitchFamily="34" charset="0"/>
            </a:rPr>
            <a:t>фактор  </a:t>
          </a:r>
          <a:r>
            <a:rPr lang="ru-RU" sz="2000" b="1" baseline="0">
              <a:latin typeface="Arial" pitchFamily="34" charset="0"/>
              <a:cs typeface="Arial" pitchFamily="34" charset="0"/>
            </a:rPr>
            <a:t>-  </a:t>
          </a:r>
          <a:r>
            <a:rPr lang="en-US" sz="2000" b="1" baseline="0">
              <a:latin typeface="Arial" pitchFamily="34" charset="0"/>
              <a:cs typeface="Arial" pitchFamily="34" charset="0"/>
            </a:rPr>
            <a:t>IPC</a:t>
          </a:r>
          <a:endParaRPr lang="ru-RU" sz="20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C05C57E-6B9F-4CA9-9390-B31B20F966A5}"/>
            </a:ext>
          </a:extLst>
        </cdr:cNvPr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0.48991</cdr:x>
      <cdr:y>0.51563</cdr:y>
    </cdr:from>
    <cdr:to>
      <cdr:x>0.60041</cdr:x>
      <cdr:y>0.54772</cdr:y>
    </cdr:to>
    <cdr:sp macro="" textlink="">
      <cdr:nvSpPr>
        <cdr:cNvPr id="9" name="TextBox 5">
          <a:extLst xmlns:a="http://schemas.openxmlformats.org/drawingml/2006/main">
            <a:ext uri="{FF2B5EF4-FFF2-40B4-BE49-F238E27FC236}">
              <a16:creationId xmlns:a16="http://schemas.microsoft.com/office/drawing/2014/main" id="{71F1EE7D-ED1E-453C-A8EA-CE26BCBCF352}"/>
            </a:ext>
          </a:extLst>
        </cdr:cNvPr>
        <cdr:cNvSpPr txBox="1"/>
      </cdr:nvSpPr>
      <cdr:spPr>
        <a:xfrm xmlns:a="http://schemas.openxmlformats.org/drawingml/2006/main">
          <a:off x="4464178" y="4575722"/>
          <a:ext cx="1006904" cy="28477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Тренд</a:t>
          </a:r>
        </a:p>
        <a:p xmlns:a="http://schemas.openxmlformats.org/drawingml/2006/main">
          <a:r>
            <a:rPr lang="ru-RU" sz="1400">
              <a:latin typeface="Arial" pitchFamily="34" charset="0"/>
              <a:cs typeface="Arial" pitchFamily="34" charset="0"/>
            </a:rPr>
            <a:t>   </a:t>
          </a:r>
        </a:p>
      </cdr:txBody>
    </cdr:sp>
  </cdr:relSizeAnchor>
</c:userShapes>
</file>

<file path=xl/drawings/drawing40.xml><?xml version="1.0" encoding="utf-8"?>
<c:userShapes xmlns:c="http://schemas.openxmlformats.org/drawingml/2006/chart"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0.20001</cdr:x>
      <cdr:y>0.14792</cdr:y>
    </cdr:from>
    <cdr:to>
      <cdr:x>0.8829</cdr:x>
      <cdr:y>0.26237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1697130" y="1294319"/>
          <a:ext cx="5794449" cy="100147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РЕГРЕССИЯ</a:t>
          </a:r>
          <a:r>
            <a:rPr lang="en-US" sz="2000" b="1">
              <a:latin typeface="Arial" pitchFamily="34" charset="0"/>
              <a:cs typeface="Arial" pitchFamily="34" charset="0"/>
            </a:rPr>
            <a:t> </a:t>
          </a:r>
          <a:r>
            <a:rPr lang="ru-RU" sz="2000" b="1">
              <a:latin typeface="Arial" pitchFamily="34" charset="0"/>
              <a:cs typeface="Arial" pitchFamily="34" charset="0"/>
            </a:rPr>
            <a:t> КОНЕЧНОГО ПОТРЕБЛЕНИЯ</a:t>
          </a:r>
        </a:p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ДОМАШНИХ ХОЗЯЙСТВ</a:t>
          </a:r>
          <a:r>
            <a:rPr lang="en-US" sz="2000" b="1">
              <a:latin typeface="Arial" pitchFamily="34" charset="0"/>
              <a:cs typeface="Arial" pitchFamily="34" charset="0"/>
            </a:rPr>
            <a:t> </a:t>
          </a:r>
          <a:r>
            <a:rPr lang="ru-RU" sz="2000" b="1">
              <a:latin typeface="Arial" pitchFamily="34" charset="0"/>
              <a:cs typeface="Arial" pitchFamily="34" charset="0"/>
            </a:rPr>
            <a:t>от ВВП </a:t>
          </a:r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en-US" sz="2000" b="1">
              <a:latin typeface="Arial" pitchFamily="34" charset="0"/>
              <a:cs typeface="Arial" pitchFamily="34" charset="0"/>
            </a:rPr>
            <a:t> YD = 0,5</a:t>
          </a:r>
          <a:r>
            <a:rPr lang="ru-RU" sz="2000" b="1">
              <a:latin typeface="Arial" pitchFamily="34" charset="0"/>
              <a:cs typeface="Arial" pitchFamily="34" charset="0"/>
            </a:rPr>
            <a:t>229</a:t>
          </a:r>
          <a:r>
            <a:rPr lang="en-US" sz="2000" b="1">
              <a:latin typeface="Arial" pitchFamily="34" charset="0"/>
              <a:cs typeface="Arial" pitchFamily="34" charset="0"/>
            </a:rPr>
            <a:t>*WWP</a:t>
          </a:r>
          <a:r>
            <a:rPr lang="en-US" sz="2000" b="1" baseline="0">
              <a:latin typeface="Arial" pitchFamily="34" charset="0"/>
              <a:cs typeface="Arial" pitchFamily="34" charset="0"/>
            </a:rPr>
            <a:t> - 3</a:t>
          </a:r>
          <a:r>
            <a:rPr lang="ru-RU" sz="2000" b="1" baseline="0">
              <a:latin typeface="Arial" pitchFamily="34" charset="0"/>
              <a:cs typeface="Arial" pitchFamily="34" charset="0"/>
            </a:rPr>
            <a:t>78,17</a:t>
          </a:r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en-US" sz="2000" b="1">
              <a:latin typeface="Arial" pitchFamily="34" charset="0"/>
              <a:cs typeface="Arial" pitchFamily="34" charset="0"/>
            </a:rPr>
            <a:t>                     </a:t>
          </a:r>
          <a:endParaRPr lang="ru-RU" sz="20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0.68985</cdr:x>
      <cdr:y>0.86401</cdr:y>
    </cdr:from>
    <cdr:to>
      <cdr:x>0.95781</cdr:x>
      <cdr:y>0.90764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C62E565B-F758-4D5E-85D4-ACC5727F5068}"/>
            </a:ext>
          </a:extLst>
        </cdr:cNvPr>
        <cdr:cNvSpPr txBox="1"/>
      </cdr:nvSpPr>
      <cdr:spPr>
        <a:xfrm xmlns:a="http://schemas.openxmlformats.org/drawingml/2006/main">
          <a:off x="5905500" y="6654786"/>
          <a:ext cx="2293922" cy="33604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baseline="0">
              <a:latin typeface="Arial" pitchFamily="34" charset="0"/>
              <a:cs typeface="Arial" pitchFamily="34" charset="0"/>
            </a:rPr>
            <a:t>  </a:t>
          </a:r>
          <a:r>
            <a:rPr lang="ru-RU" sz="1800" baseline="0">
              <a:latin typeface="Arial" pitchFamily="34" charset="0"/>
              <a:cs typeface="Arial" pitchFamily="34" charset="0"/>
            </a:rPr>
            <a:t>фактор  </a:t>
          </a:r>
          <a:r>
            <a:rPr lang="ru-RU" sz="1800" b="1" baseline="0">
              <a:latin typeface="Arial" pitchFamily="34" charset="0"/>
              <a:cs typeface="Arial" pitchFamily="34" charset="0"/>
            </a:rPr>
            <a:t>-  </a:t>
          </a:r>
          <a:r>
            <a:rPr lang="en-US" sz="1800" b="1" baseline="0">
              <a:latin typeface="Arial" pitchFamily="34" charset="0"/>
              <a:cs typeface="Arial" pitchFamily="34" charset="0"/>
            </a:rPr>
            <a:t>WWP</a:t>
          </a:r>
          <a:endParaRPr lang="ru-RU" sz="18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C05C57E-6B9F-4CA9-9390-B31B20F966A5}"/>
            </a:ext>
          </a:extLst>
        </cdr:cNvPr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0.57037</cdr:x>
      <cdr:y>0.59829</cdr:y>
    </cdr:from>
    <cdr:to>
      <cdr:x>0.68087</cdr:x>
      <cdr:y>0.63465</cdr:y>
    </cdr:to>
    <cdr:sp macro="" textlink="">
      <cdr:nvSpPr>
        <cdr:cNvPr id="9" name="TextBox 5">
          <a:extLst xmlns:a="http://schemas.openxmlformats.org/drawingml/2006/main">
            <a:ext uri="{FF2B5EF4-FFF2-40B4-BE49-F238E27FC236}">
              <a16:creationId xmlns:a16="http://schemas.microsoft.com/office/drawing/2014/main" id="{71F1EE7D-ED1E-453C-A8EA-CE26BCBCF352}"/>
            </a:ext>
          </a:extLst>
        </cdr:cNvPr>
        <cdr:cNvSpPr txBox="1"/>
      </cdr:nvSpPr>
      <cdr:spPr>
        <a:xfrm xmlns:a="http://schemas.openxmlformats.org/drawingml/2006/main">
          <a:off x="4850074" y="5441720"/>
          <a:ext cx="939618" cy="33071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400">
              <a:latin typeface="Arial" pitchFamily="34" charset="0"/>
              <a:cs typeface="Arial" pitchFamily="34" charset="0"/>
            </a:rPr>
            <a:t>ТРЕНД   </a:t>
          </a:r>
        </a:p>
      </cdr:txBody>
    </cdr:sp>
  </cdr:relSizeAnchor>
</c:userShapes>
</file>

<file path=xl/drawings/drawing41.xml><?xml version="1.0" encoding="utf-8"?>
<c:userShapes xmlns:c="http://schemas.openxmlformats.org/drawingml/2006/chart"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0.22988</cdr:x>
      <cdr:y>0.11013</cdr:y>
    </cdr:from>
    <cdr:to>
      <cdr:x>0.85993</cdr:x>
      <cdr:y>0.2323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1958656" y="963321"/>
          <a:ext cx="5368240" cy="106867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РЕГРЕССИЯ</a:t>
          </a:r>
          <a:r>
            <a:rPr lang="ru-RU" sz="2000" b="1" baseline="0">
              <a:latin typeface="Arial" pitchFamily="34" charset="0"/>
              <a:cs typeface="Arial" pitchFamily="34" charset="0"/>
            </a:rPr>
            <a:t> </a:t>
          </a:r>
          <a:r>
            <a:rPr lang="ru-RU" sz="2000" b="1">
              <a:latin typeface="Arial" pitchFamily="34" charset="0"/>
              <a:cs typeface="Arial" pitchFamily="34" charset="0"/>
            </a:rPr>
            <a:t>БАЗИСНОГО</a:t>
          </a:r>
          <a:r>
            <a:rPr lang="ru-RU" sz="2000" b="1" baseline="0">
              <a:latin typeface="Arial" pitchFamily="34" charset="0"/>
              <a:cs typeface="Arial" pitchFamily="34" charset="0"/>
            </a:rPr>
            <a:t>  ДЕФЛЯТОРА</a:t>
          </a:r>
        </a:p>
        <a:p xmlns:a="http://schemas.openxmlformats.org/drawingml/2006/main">
          <a:r>
            <a:rPr lang="ru-RU" sz="2000" b="1" baseline="0">
              <a:latin typeface="Arial" pitchFamily="34" charset="0"/>
              <a:cs typeface="Arial" pitchFamily="34" charset="0"/>
            </a:rPr>
            <a:t> </a:t>
          </a:r>
          <a:r>
            <a:rPr lang="ru-RU" sz="2000" b="1">
              <a:latin typeface="Arial" pitchFamily="34" charset="0"/>
              <a:cs typeface="Arial" pitchFamily="34" charset="0"/>
            </a:rPr>
            <a:t>КОНЕЧНОГО ПОТРЕБЛЕНИЯ</a:t>
          </a:r>
          <a:r>
            <a:rPr lang="en-US" sz="2000" b="1">
              <a:latin typeface="Arial" pitchFamily="34" charset="0"/>
              <a:cs typeface="Arial" pitchFamily="34" charset="0"/>
            </a:rPr>
            <a:t> </a:t>
          </a:r>
          <a:endParaRPr lang="ru-RU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ГОСУДАРСТВА</a:t>
          </a:r>
        </a:p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</a:t>
          </a:r>
          <a:r>
            <a:rPr lang="en-US" sz="2000" b="1">
              <a:latin typeface="Arial" pitchFamily="34" charset="0"/>
              <a:cs typeface="Arial" pitchFamily="34" charset="0"/>
            </a:rPr>
            <a:t> </a:t>
          </a:r>
        </a:p>
        <a:p xmlns:a="http://schemas.openxmlformats.org/drawingml/2006/main">
          <a:r>
            <a:rPr lang="en-US" sz="2000" b="1">
              <a:latin typeface="Arial" pitchFamily="34" charset="0"/>
              <a:cs typeface="Arial" pitchFamily="34" charset="0"/>
            </a:rPr>
            <a:t>  </a:t>
          </a:r>
          <a:endParaRPr lang="ru-RU" sz="20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0.69082</cdr:x>
      <cdr:y>0.86401</cdr:y>
    </cdr:from>
    <cdr:to>
      <cdr:x>0.89937</cdr:x>
      <cdr:y>0.90764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C62E565B-F758-4D5E-85D4-ACC5727F5068}"/>
            </a:ext>
          </a:extLst>
        </cdr:cNvPr>
        <cdr:cNvSpPr txBox="1"/>
      </cdr:nvSpPr>
      <cdr:spPr>
        <a:xfrm xmlns:a="http://schemas.openxmlformats.org/drawingml/2006/main">
          <a:off x="5820239" y="7543887"/>
          <a:ext cx="1757053" cy="38094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2000" baseline="0">
              <a:latin typeface="Arial" pitchFamily="34" charset="0"/>
              <a:cs typeface="Arial" pitchFamily="34" charset="0"/>
            </a:rPr>
            <a:t>  </a:t>
          </a:r>
          <a:r>
            <a:rPr lang="ru-RU" sz="2000" baseline="0">
              <a:latin typeface="Arial" pitchFamily="34" charset="0"/>
              <a:cs typeface="Arial" pitchFamily="34" charset="0"/>
            </a:rPr>
            <a:t>фактор  </a:t>
          </a:r>
          <a:r>
            <a:rPr lang="ru-RU" sz="2000" b="1" baseline="0">
              <a:latin typeface="Arial" pitchFamily="34" charset="0"/>
              <a:cs typeface="Arial" pitchFamily="34" charset="0"/>
            </a:rPr>
            <a:t>- </a:t>
          </a:r>
          <a:r>
            <a:rPr lang="en-US" sz="2000" b="1" baseline="0">
              <a:latin typeface="Arial" pitchFamily="34" charset="0"/>
              <a:cs typeface="Arial" pitchFamily="34" charset="0"/>
            </a:rPr>
            <a:t> IPC</a:t>
          </a:r>
          <a:endParaRPr lang="ru-RU" sz="20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C05C57E-6B9F-4CA9-9390-B31B20F966A5}"/>
            </a:ext>
          </a:extLst>
        </cdr:cNvPr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0.39911</cdr:x>
      <cdr:y>0.67337</cdr:y>
    </cdr:from>
    <cdr:to>
      <cdr:x>0.71121</cdr:x>
      <cdr:y>0.75357</cdr:y>
    </cdr:to>
    <cdr:sp macro="" textlink="">
      <cdr:nvSpPr>
        <cdr:cNvPr id="9" name="TextBox 5">
          <a:extLst xmlns:a="http://schemas.openxmlformats.org/drawingml/2006/main">
            <a:ext uri="{FF2B5EF4-FFF2-40B4-BE49-F238E27FC236}">
              <a16:creationId xmlns:a16="http://schemas.microsoft.com/office/drawing/2014/main" id="{71F1EE7D-ED1E-453C-A8EA-CE26BCBCF352}"/>
            </a:ext>
          </a:extLst>
        </cdr:cNvPr>
        <cdr:cNvSpPr txBox="1"/>
      </cdr:nvSpPr>
      <cdr:spPr>
        <a:xfrm xmlns:a="http://schemas.openxmlformats.org/drawingml/2006/main">
          <a:off x="3400535" y="5986220"/>
          <a:ext cx="2659180" cy="71302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2000" b="1">
              <a:latin typeface="Arial" pitchFamily="34" charset="0"/>
              <a:cs typeface="Arial" pitchFamily="34" charset="0"/>
            </a:rPr>
            <a:t>Dg = 2,581*IPC - 5,415</a:t>
          </a:r>
          <a:r>
            <a:rPr lang="ru-RU" sz="2000" b="1">
              <a:latin typeface="Arial" pitchFamily="34" charset="0"/>
              <a:cs typeface="Arial" pitchFamily="34" charset="0"/>
            </a:rPr>
            <a:t> </a:t>
          </a:r>
        </a:p>
      </cdr:txBody>
    </cdr:sp>
  </cdr:relSizeAnchor>
  <cdr:relSizeAnchor xmlns:cdr="http://schemas.openxmlformats.org/drawingml/2006/chartDrawing">
    <cdr:from>
      <cdr:x>0.37193</cdr:x>
      <cdr:y>0.42545</cdr:y>
    </cdr:from>
    <cdr:to>
      <cdr:x>0.43976</cdr:x>
      <cdr:y>0.45818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168959" y="3782251"/>
          <a:ext cx="577935" cy="29096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400">
              <a:latin typeface="Arial" panose="020B0604020202020204" pitchFamily="34" charset="0"/>
              <a:cs typeface="Arial" panose="020B0604020202020204" pitchFamily="34" charset="0"/>
            </a:rPr>
            <a:t>2018</a:t>
          </a:r>
          <a:endParaRPr lang="ru-RU" sz="14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</c:userShapes>
</file>

<file path=xl/drawings/drawing42.xml><?xml version="1.0" encoding="utf-8"?>
<c:userShapes xmlns:c="http://schemas.openxmlformats.org/drawingml/2006/chart"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0.25307</cdr:x>
      <cdr:y>0.15593</cdr:y>
    </cdr:from>
    <cdr:to>
      <cdr:x>0.92301</cdr:x>
      <cdr:y>0.25209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2452687" y="1364966"/>
          <a:ext cx="6492875" cy="8416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algn="l"/>
          <a:r>
            <a:rPr lang="ru-RU" sz="2000" b="1">
              <a:latin typeface="Arial" pitchFamily="34" charset="0"/>
              <a:cs typeface="Arial" pitchFamily="34" charset="0"/>
            </a:rPr>
            <a:t>  ДИНАМИКА</a:t>
          </a:r>
          <a:r>
            <a:rPr lang="en-US" sz="2000" b="1">
              <a:latin typeface="Arial" pitchFamily="34" charset="0"/>
              <a:cs typeface="Arial" pitchFamily="34" charset="0"/>
            </a:rPr>
            <a:t> </a:t>
          </a:r>
          <a:r>
            <a:rPr lang="en-US" sz="2000" b="1" baseline="0">
              <a:latin typeface="Arial" pitchFamily="34" charset="0"/>
              <a:cs typeface="Arial" pitchFamily="34" charset="0"/>
            </a:rPr>
            <a:t> </a:t>
          </a:r>
          <a:r>
            <a:rPr lang="ru-RU" sz="2000" b="1" baseline="0">
              <a:latin typeface="Arial" pitchFamily="34" charset="0"/>
              <a:cs typeface="Arial" pitchFamily="34" charset="0"/>
            </a:rPr>
            <a:t>БАЗИСНОГО ТЕМПА</a:t>
          </a:r>
          <a:endParaRPr lang="ru-RU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pPr algn="l"/>
          <a:r>
            <a:rPr lang="ru-RU" sz="2000" b="1">
              <a:latin typeface="Arial" pitchFamily="34" charset="0"/>
              <a:cs typeface="Arial" pitchFamily="34" charset="0"/>
            </a:rPr>
            <a:t>  КОНЕЧНОГО ПОТРЕБЛЕНИЯ</a:t>
          </a:r>
          <a:r>
            <a:rPr lang="en-US" sz="2000" b="1">
              <a:latin typeface="Arial" pitchFamily="34" charset="0"/>
              <a:cs typeface="Arial" pitchFamily="34" charset="0"/>
            </a:rPr>
            <a:t>  </a:t>
          </a:r>
          <a:r>
            <a:rPr lang="ru-RU" sz="2000" b="1">
              <a:latin typeface="Arial" pitchFamily="34" charset="0"/>
              <a:cs typeface="Arial" pitchFamily="34" charset="0"/>
            </a:rPr>
            <a:t>ГОСУДАРСТВА</a:t>
          </a:r>
        </a:p>
        <a:p xmlns:a="http://schemas.openxmlformats.org/drawingml/2006/main">
          <a:pPr algn="l"/>
          <a:r>
            <a:rPr lang="ru-RU" sz="2000" b="1">
              <a:latin typeface="Arial" pitchFamily="34" charset="0"/>
              <a:cs typeface="Arial" pitchFamily="34" charset="0"/>
            </a:rPr>
            <a:t>  </a:t>
          </a:r>
          <a:r>
            <a:rPr lang="en-US" sz="2000" b="1">
              <a:latin typeface="Arial" pitchFamily="34" charset="0"/>
              <a:cs typeface="Arial" pitchFamily="34" charset="0"/>
            </a:rPr>
            <a:t> </a:t>
          </a:r>
          <a:r>
            <a:rPr lang="en-US" sz="2000" b="1" baseline="0">
              <a:latin typeface="Arial" pitchFamily="34" charset="0"/>
              <a:cs typeface="Arial" pitchFamily="34" charset="0"/>
            </a:rPr>
            <a:t> </a:t>
          </a:r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en-US" sz="2000" b="1">
              <a:latin typeface="Arial" pitchFamily="34" charset="0"/>
              <a:cs typeface="Arial" pitchFamily="34" charset="0"/>
            </a:rPr>
            <a:t>                     </a:t>
          </a:r>
          <a:endParaRPr lang="ru-RU" sz="20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0.65986</cdr:x>
      <cdr:y>0.87129</cdr:y>
    </cdr:from>
    <cdr:to>
      <cdr:x>0.92782</cdr:x>
      <cdr:y>0.91492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C62E565B-F758-4D5E-85D4-ACC5727F5068}"/>
            </a:ext>
          </a:extLst>
        </cdr:cNvPr>
        <cdr:cNvSpPr txBox="1"/>
      </cdr:nvSpPr>
      <cdr:spPr>
        <a:xfrm xmlns:a="http://schemas.openxmlformats.org/drawingml/2006/main">
          <a:off x="5588555" y="7599157"/>
          <a:ext cx="2269437" cy="38052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baseline="0">
              <a:latin typeface="Arial" pitchFamily="34" charset="0"/>
              <a:cs typeface="Arial" pitchFamily="34" charset="0"/>
            </a:rPr>
            <a:t>  </a:t>
          </a:r>
          <a:r>
            <a:rPr lang="ru-RU" sz="1800" baseline="0">
              <a:latin typeface="Arial" pitchFamily="34" charset="0"/>
              <a:cs typeface="Arial" pitchFamily="34" charset="0"/>
            </a:rPr>
            <a:t>фактор  </a:t>
          </a:r>
          <a:r>
            <a:rPr lang="ru-RU" sz="1800" b="1" baseline="0">
              <a:latin typeface="Arial" pitchFamily="34" charset="0"/>
              <a:cs typeface="Arial" pitchFamily="34" charset="0"/>
            </a:rPr>
            <a:t>- ВРЕМЯ</a:t>
          </a:r>
          <a:endParaRPr lang="ru-RU" sz="18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C05C57E-6B9F-4CA9-9390-B31B20F966A5}"/>
            </a:ext>
          </a:extLst>
        </cdr:cNvPr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</c:userShapes>
</file>

<file path=xl/drawings/drawing43.xml><?xml version="1.0" encoding="utf-8"?>
<c:userShapes xmlns:c="http://schemas.openxmlformats.org/drawingml/2006/chart"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0.22077</cdr:x>
      <cdr:y>0.05547</cdr:y>
    </cdr:from>
    <cdr:to>
      <cdr:x>0.84369</cdr:x>
      <cdr:y>0.14904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2004738" y="496313"/>
          <a:ext cx="5656424" cy="83718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РЕГРЕССИЯ БАЗИСНОГО</a:t>
          </a:r>
          <a:r>
            <a:rPr lang="ru-RU" sz="2000" b="1" baseline="0">
              <a:latin typeface="Arial" pitchFamily="34" charset="0"/>
              <a:cs typeface="Arial" pitchFamily="34" charset="0"/>
            </a:rPr>
            <a:t> ДЕФЛЯТОРА </a:t>
          </a:r>
        </a:p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КОНЕЧНОГО ПОТРЕБЛЕНИЯ</a:t>
          </a:r>
          <a:r>
            <a:rPr lang="en-US" sz="2000" b="1">
              <a:latin typeface="Arial" pitchFamily="34" charset="0"/>
              <a:cs typeface="Arial" pitchFamily="34" charset="0"/>
            </a:rPr>
            <a:t>  </a:t>
          </a:r>
          <a:r>
            <a:rPr lang="ru-RU" sz="2000" b="1">
              <a:latin typeface="Arial" pitchFamily="34" charset="0"/>
              <a:cs typeface="Arial" pitchFamily="34" charset="0"/>
            </a:rPr>
            <a:t>НКО ДХ</a:t>
          </a:r>
        </a:p>
        <a:p xmlns:a="http://schemas.openxmlformats.org/drawingml/2006/main">
          <a:endParaRPr lang="ru-RU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en-US" sz="2000" b="1">
              <a:latin typeface="Arial" pitchFamily="34" charset="0"/>
              <a:cs typeface="Arial" pitchFamily="34" charset="0"/>
            </a:rPr>
            <a:t> </a:t>
          </a:r>
          <a:endParaRPr lang="ru-RU" sz="20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0.70239</cdr:x>
      <cdr:y>0.86401</cdr:y>
    </cdr:from>
    <cdr:to>
      <cdr:x>0.92882</cdr:x>
      <cdr:y>0.90764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C62E565B-F758-4D5E-85D4-ACC5727F5068}"/>
            </a:ext>
          </a:extLst>
        </cdr:cNvPr>
        <cdr:cNvSpPr txBox="1"/>
      </cdr:nvSpPr>
      <cdr:spPr>
        <a:xfrm xmlns:a="http://schemas.openxmlformats.org/drawingml/2006/main">
          <a:off x="6422608" y="7744142"/>
          <a:ext cx="2070516" cy="39105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baseline="0">
              <a:latin typeface="Arial" pitchFamily="34" charset="0"/>
              <a:cs typeface="Arial" pitchFamily="34" charset="0"/>
            </a:rPr>
            <a:t>  </a:t>
          </a:r>
          <a:r>
            <a:rPr lang="ru-RU" sz="2000" baseline="0">
              <a:latin typeface="Arial" pitchFamily="34" charset="0"/>
              <a:cs typeface="Arial" pitchFamily="34" charset="0"/>
            </a:rPr>
            <a:t>фактор  </a:t>
          </a:r>
          <a:r>
            <a:rPr lang="ru-RU" sz="2000" b="1" baseline="0">
              <a:latin typeface="Arial" pitchFamily="34" charset="0"/>
              <a:cs typeface="Arial" pitchFamily="34" charset="0"/>
            </a:rPr>
            <a:t>-  </a:t>
          </a:r>
          <a:r>
            <a:rPr lang="en-US" sz="2000" b="1" baseline="0">
              <a:latin typeface="Arial" pitchFamily="34" charset="0"/>
              <a:cs typeface="Arial" pitchFamily="34" charset="0"/>
            </a:rPr>
            <a:t>IPC</a:t>
          </a:r>
          <a:endParaRPr lang="ru-RU" sz="20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C05C57E-6B9F-4CA9-9390-B31B20F966A5}"/>
            </a:ext>
          </a:extLst>
        </cdr:cNvPr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</c:userShapes>
</file>

<file path=xl/drawings/drawing44.xml><?xml version="1.0" encoding="utf-8"?>
<c:userShapes xmlns:c="http://schemas.openxmlformats.org/drawingml/2006/chart">
  <cdr:relSizeAnchor xmlns:cdr="http://schemas.openxmlformats.org/drawingml/2006/chartDrawing">
    <cdr:from>
      <cdr:x>0.09768</cdr:x>
      <cdr:y>0.16731</cdr:y>
    </cdr:from>
    <cdr:to>
      <cdr:x>0.19136</cdr:x>
      <cdr:y>0.22588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90102" y="1310124"/>
          <a:ext cx="757710" cy="4586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0.19442</cdr:x>
      <cdr:y>0.15764</cdr:y>
    </cdr:from>
    <cdr:to>
      <cdr:x>0.9326</cdr:x>
      <cdr:y>0.31086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1774650" y="1432988"/>
          <a:ext cx="6738200" cy="139277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РЕГРЕССИЯ</a:t>
          </a:r>
          <a:r>
            <a:rPr lang="en-US" sz="2000" b="1">
              <a:latin typeface="Arial" pitchFamily="34" charset="0"/>
              <a:cs typeface="Arial" pitchFamily="34" charset="0"/>
            </a:rPr>
            <a:t> </a:t>
          </a:r>
          <a:r>
            <a:rPr lang="ru-RU" sz="2000" b="1">
              <a:latin typeface="Arial" pitchFamily="34" charset="0"/>
              <a:cs typeface="Arial" pitchFamily="34" charset="0"/>
            </a:rPr>
            <a:t> КОНЕЧНОГО ПОТРЕБЛЕНИЯ</a:t>
          </a:r>
        </a:p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НЕКОММЕРЧЕСКИХ ОРГАНИЗАЦИЙ</a:t>
          </a:r>
          <a:r>
            <a:rPr lang="en-US" sz="2000" b="1">
              <a:latin typeface="Arial" pitchFamily="34" charset="0"/>
              <a:cs typeface="Arial" pitchFamily="34" charset="0"/>
            </a:rPr>
            <a:t> </a:t>
          </a:r>
          <a:r>
            <a:rPr lang="ru-RU" sz="2000" b="1">
              <a:latin typeface="Arial" pitchFamily="34" charset="0"/>
              <a:cs typeface="Arial" pitchFamily="34" charset="0"/>
            </a:rPr>
            <a:t>от ВВП</a:t>
          </a:r>
        </a:p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</a:t>
          </a:r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en-US" sz="2000" b="1">
              <a:latin typeface="Arial" pitchFamily="34" charset="0"/>
              <a:cs typeface="Arial" pitchFamily="34" charset="0"/>
            </a:rPr>
            <a:t> YNK = 0,</a:t>
          </a:r>
          <a:r>
            <a:rPr lang="ru-RU" sz="2000" b="1">
              <a:latin typeface="Arial" pitchFamily="34" charset="0"/>
              <a:cs typeface="Arial" pitchFamily="34" charset="0"/>
            </a:rPr>
            <a:t>0024*</a:t>
          </a:r>
          <a:r>
            <a:rPr lang="en-US" sz="2000" b="1">
              <a:latin typeface="Arial" pitchFamily="34" charset="0"/>
              <a:cs typeface="Arial" pitchFamily="34" charset="0"/>
            </a:rPr>
            <a:t>WWP</a:t>
          </a:r>
          <a:r>
            <a:rPr lang="en-US" sz="2000" b="1" baseline="0">
              <a:latin typeface="Arial" pitchFamily="34" charset="0"/>
              <a:cs typeface="Arial" pitchFamily="34" charset="0"/>
            </a:rPr>
            <a:t> + </a:t>
          </a:r>
          <a:r>
            <a:rPr lang="ru-RU" sz="2000" b="1" baseline="0">
              <a:latin typeface="Arial" pitchFamily="34" charset="0"/>
              <a:cs typeface="Arial" pitchFamily="34" charset="0"/>
            </a:rPr>
            <a:t>1</a:t>
          </a:r>
          <a:r>
            <a:rPr lang="en-US" sz="2000" b="1" baseline="0">
              <a:latin typeface="Arial" pitchFamily="34" charset="0"/>
              <a:cs typeface="Arial" pitchFamily="34" charset="0"/>
            </a:rPr>
            <a:t>0</a:t>
          </a:r>
          <a:r>
            <a:rPr lang="ru-RU" sz="2000" b="1" baseline="0">
              <a:latin typeface="Arial" pitchFamily="34" charset="0"/>
              <a:cs typeface="Arial" pitchFamily="34" charset="0"/>
            </a:rPr>
            <a:t>5,79</a:t>
          </a:r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en-US" sz="2000" b="1">
              <a:latin typeface="Arial" pitchFamily="34" charset="0"/>
              <a:cs typeface="Arial" pitchFamily="34" charset="0"/>
            </a:rPr>
            <a:t>                     </a:t>
          </a:r>
          <a:endParaRPr lang="ru-RU" sz="20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0.68985</cdr:x>
      <cdr:y>0.86401</cdr:y>
    </cdr:from>
    <cdr:to>
      <cdr:x>0.95781</cdr:x>
      <cdr:y>0.90764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C62E565B-F758-4D5E-85D4-ACC5727F5068}"/>
            </a:ext>
          </a:extLst>
        </cdr:cNvPr>
        <cdr:cNvSpPr txBox="1"/>
      </cdr:nvSpPr>
      <cdr:spPr>
        <a:xfrm xmlns:a="http://schemas.openxmlformats.org/drawingml/2006/main">
          <a:off x="5905500" y="6654786"/>
          <a:ext cx="2293922" cy="33604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baseline="0">
              <a:latin typeface="Arial" pitchFamily="34" charset="0"/>
              <a:cs typeface="Arial" pitchFamily="34" charset="0"/>
            </a:rPr>
            <a:t>  </a:t>
          </a:r>
          <a:r>
            <a:rPr lang="ru-RU" sz="2000" baseline="0">
              <a:latin typeface="Arial" pitchFamily="34" charset="0"/>
              <a:cs typeface="Arial" pitchFamily="34" charset="0"/>
            </a:rPr>
            <a:t>фактор  </a:t>
          </a:r>
          <a:r>
            <a:rPr lang="ru-RU" sz="2000" b="1" baseline="0">
              <a:latin typeface="Arial" pitchFamily="34" charset="0"/>
              <a:cs typeface="Arial" pitchFamily="34" charset="0"/>
            </a:rPr>
            <a:t>-  </a:t>
          </a:r>
          <a:r>
            <a:rPr lang="en-US" sz="2000" b="1" baseline="0">
              <a:latin typeface="Arial" pitchFamily="34" charset="0"/>
              <a:cs typeface="Arial" pitchFamily="34" charset="0"/>
            </a:rPr>
            <a:t>WWP</a:t>
          </a:r>
          <a:endParaRPr lang="ru-RU" sz="20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0.06364</cdr:x>
      <cdr:y>0.219</cdr:y>
    </cdr:from>
    <cdr:to>
      <cdr:x>0.17912</cdr:x>
      <cdr:y>0.26225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C05C57E-6B9F-4CA9-9390-B31B20F966A5}"/>
            </a:ext>
          </a:extLst>
        </cdr:cNvPr>
        <cdr:cNvSpPr txBox="1"/>
      </cdr:nvSpPr>
      <cdr:spPr>
        <a:xfrm xmlns:a="http://schemas.openxmlformats.org/drawingml/2006/main">
          <a:off x="493551" y="1857374"/>
          <a:ext cx="895512" cy="3668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0.50564</cdr:x>
      <cdr:y>0.59176</cdr:y>
    </cdr:from>
    <cdr:to>
      <cdr:x>0.61151</cdr:x>
      <cdr:y>0.6339</cdr:y>
    </cdr:to>
    <cdr:sp macro="" textlink="">
      <cdr:nvSpPr>
        <cdr:cNvPr id="9" name="TextBox 5">
          <a:extLst xmlns:a="http://schemas.openxmlformats.org/drawingml/2006/main">
            <a:ext uri="{FF2B5EF4-FFF2-40B4-BE49-F238E27FC236}">
              <a16:creationId xmlns:a16="http://schemas.microsoft.com/office/drawing/2014/main" id="{71F1EE7D-ED1E-453C-A8EA-CE26BCBCF352}"/>
            </a:ext>
          </a:extLst>
        </cdr:cNvPr>
        <cdr:cNvSpPr txBox="1"/>
      </cdr:nvSpPr>
      <cdr:spPr>
        <a:xfrm xmlns:a="http://schemas.openxmlformats.org/drawingml/2006/main">
          <a:off x="4615573" y="5379128"/>
          <a:ext cx="966395" cy="38305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algn="l"/>
          <a:r>
            <a:rPr lang="ru-RU" sz="1800">
              <a:latin typeface="Arial" pitchFamily="34" charset="0"/>
              <a:cs typeface="Arial" pitchFamily="34" charset="0"/>
            </a:rPr>
            <a:t>Тренд  </a:t>
          </a:r>
        </a:p>
      </cdr:txBody>
    </cdr:sp>
  </cdr:relSizeAnchor>
</c:userShapes>
</file>

<file path=xl/drawings/drawing45.xml><?xml version="1.0" encoding="utf-8"?>
<c:userShapes xmlns:c="http://schemas.openxmlformats.org/drawingml/2006/chart"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0.1597</cdr:x>
      <cdr:y>0.16666</cdr:y>
    </cdr:from>
    <cdr:to>
      <cdr:x>0.86219</cdr:x>
      <cdr:y>0.27374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1541946" y="1710692"/>
          <a:ext cx="6782665" cy="109915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РЕГРЕССИЯ ИНВЕСТИЦИЙ</a:t>
          </a:r>
          <a:r>
            <a:rPr lang="ru-RU" sz="2000" b="1" baseline="0">
              <a:latin typeface="Arial" pitchFamily="34" charset="0"/>
              <a:cs typeface="Arial" pitchFamily="34" charset="0"/>
            </a:rPr>
            <a:t> В ОСНОВНОЙ КАПИТАЛ</a:t>
          </a:r>
          <a:endParaRPr lang="ru-RU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en-US" sz="2000" b="1">
              <a:latin typeface="Arial" pitchFamily="34" charset="0"/>
              <a:cs typeface="Arial" pitchFamily="34" charset="0"/>
            </a:rPr>
            <a:t> </a:t>
          </a:r>
          <a:r>
            <a:rPr lang="en-US" sz="2000" b="1" baseline="0"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INS</a:t>
          </a:r>
          <a:r>
            <a:rPr lang="en-US" sz="4400" b="1" baseline="0"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 </a:t>
          </a:r>
          <a:r>
            <a:rPr lang="en-US" sz="2000" b="1"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=</a:t>
          </a:r>
          <a:r>
            <a:rPr lang="ru-RU" sz="2000" b="1"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 </a:t>
          </a:r>
          <a:r>
            <a:rPr lang="en-US" sz="2000" b="1"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0,156*XOS - 299,7</a:t>
          </a:r>
          <a:endParaRPr lang="en-US" sz="2000" b="1" baseline="0">
            <a:effectLst/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  <a:p xmlns:a="http://schemas.openxmlformats.org/drawingml/2006/main">
          <a:endParaRPr lang="ru-RU" sz="2000">
            <a:effectLst/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ru-RU" sz="20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0.83125</cdr:x>
      <cdr:y>0.88538</cdr:y>
    </cdr:from>
    <cdr:to>
      <cdr:x>0.92568</cdr:x>
      <cdr:y>0.92638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C62E565B-F758-4D5E-85D4-ACC5727F5068}"/>
            </a:ext>
          </a:extLst>
        </cdr:cNvPr>
        <cdr:cNvSpPr txBox="1"/>
      </cdr:nvSpPr>
      <cdr:spPr>
        <a:xfrm xmlns:a="http://schemas.openxmlformats.org/drawingml/2006/main">
          <a:off x="8025858" y="9088266"/>
          <a:ext cx="911767" cy="4208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baseline="0">
              <a:latin typeface="Arial" pitchFamily="34" charset="0"/>
              <a:cs typeface="Arial" pitchFamily="34" charset="0"/>
            </a:rPr>
            <a:t>  </a:t>
          </a:r>
          <a:r>
            <a:rPr lang="en-US" sz="2000" b="1" baseline="0">
              <a:latin typeface="Arial" pitchFamily="34" charset="0"/>
              <a:cs typeface="Arial" pitchFamily="34" charset="0"/>
            </a:rPr>
            <a:t>XOS</a:t>
          </a:r>
          <a:endParaRPr lang="ru-RU" sz="20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0.13217</cdr:x>
      <cdr:y>0.05926</cdr:y>
    </cdr:from>
    <cdr:to>
      <cdr:x>0.31217</cdr:x>
      <cdr:y>0.11787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C05C57E-6B9F-4CA9-9390-B31B20F966A5}"/>
            </a:ext>
          </a:extLst>
        </cdr:cNvPr>
        <cdr:cNvSpPr txBox="1"/>
      </cdr:nvSpPr>
      <cdr:spPr>
        <a:xfrm xmlns:a="http://schemas.openxmlformats.org/drawingml/2006/main">
          <a:off x="1320198" y="608308"/>
          <a:ext cx="1797939" cy="6016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2400" b="1">
              <a:latin typeface="Arial" pitchFamily="34" charset="0"/>
              <a:cs typeface="Arial" pitchFamily="34" charset="0"/>
            </a:rPr>
            <a:t>INS</a:t>
          </a:r>
          <a:r>
            <a:rPr lang="ru-RU" sz="2000">
              <a:latin typeface="Arial" pitchFamily="34" charset="0"/>
              <a:cs typeface="Arial" pitchFamily="34" charset="0"/>
            </a:rPr>
            <a:t> (млрд</a:t>
          </a:r>
          <a:r>
            <a:rPr lang="ru-RU" sz="2000" baseline="0">
              <a:latin typeface="Arial" pitchFamily="34" charset="0"/>
              <a:cs typeface="Arial" pitchFamily="34" charset="0"/>
            </a:rPr>
            <a:t> руб)</a:t>
          </a:r>
          <a:r>
            <a:rPr lang="ru-RU" sz="2000">
              <a:latin typeface="Arial" pitchFamily="34" charset="0"/>
              <a:cs typeface="Arial" pitchFamily="34" charset="0"/>
            </a:rPr>
            <a:t>   </a:t>
          </a:r>
        </a:p>
      </cdr:txBody>
    </cdr:sp>
  </cdr:relSizeAnchor>
  <cdr:relSizeAnchor xmlns:cdr="http://schemas.openxmlformats.org/drawingml/2006/chartDrawing">
    <cdr:from>
      <cdr:x>0.51724</cdr:x>
      <cdr:y>0.64182</cdr:y>
    </cdr:from>
    <cdr:to>
      <cdr:x>0.61284</cdr:x>
      <cdr:y>0.68203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4994074" y="6588159"/>
          <a:ext cx="923035" cy="4127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 b="1">
              <a:latin typeface="Arial" panose="020B0604020202020204" pitchFamily="34" charset="0"/>
              <a:cs typeface="Arial" panose="020B0604020202020204" pitchFamily="34" charset="0"/>
            </a:rPr>
            <a:t>Тренд</a:t>
          </a:r>
        </a:p>
      </cdr:txBody>
    </cdr:sp>
  </cdr:relSizeAnchor>
  <cdr:relSizeAnchor xmlns:cdr="http://schemas.openxmlformats.org/drawingml/2006/chartDrawing">
    <cdr:from>
      <cdr:x>0.58525</cdr:x>
      <cdr:y>0.37427</cdr:y>
    </cdr:from>
    <cdr:to>
      <cdr:x>0.64565</cdr:x>
      <cdr:y>0.40829</cdr:y>
    </cdr:to>
    <cdr:sp macro="" textlink="">
      <cdr:nvSpPr>
        <cdr:cNvPr id="6" name="TextBox 5"/>
        <cdr:cNvSpPr txBox="1"/>
      </cdr:nvSpPr>
      <cdr:spPr>
        <a:xfrm xmlns:a="http://schemas.openxmlformats.org/drawingml/2006/main">
          <a:off x="5650723" y="3841797"/>
          <a:ext cx="583173" cy="3492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400">
              <a:latin typeface="Arial" panose="020B0604020202020204" pitchFamily="34" charset="0"/>
              <a:cs typeface="Arial" panose="020B0604020202020204" pitchFamily="34" charset="0"/>
            </a:rPr>
            <a:t>2015</a:t>
          </a:r>
        </a:p>
      </cdr:txBody>
    </cdr:sp>
  </cdr:relSizeAnchor>
</c:userShapes>
</file>

<file path=xl/drawings/drawing46.xml><?xml version="1.0" encoding="utf-8"?>
<c:userShapes xmlns:c="http://schemas.openxmlformats.org/drawingml/2006/chart"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0.11612</cdr:x>
      <cdr:y>0.11276</cdr:y>
    </cdr:from>
    <cdr:to>
      <cdr:x>0.80243</cdr:x>
      <cdr:y>0.194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1063623" y="1049023"/>
          <a:ext cx="6286500" cy="7557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algn="ctr"/>
          <a:r>
            <a:rPr lang="ru-RU" sz="2000" b="1">
              <a:latin typeface="Arial" pitchFamily="34" charset="0"/>
              <a:cs typeface="Arial" pitchFamily="34" charset="0"/>
            </a:rPr>
            <a:t> ДИНАМИКА</a:t>
          </a:r>
          <a:r>
            <a:rPr lang="ru-RU" sz="2000" b="1" baseline="0">
              <a:latin typeface="Arial" pitchFamily="34" charset="0"/>
              <a:cs typeface="Arial" pitchFamily="34" charset="0"/>
            </a:rPr>
            <a:t> И </a:t>
          </a:r>
          <a:r>
            <a:rPr lang="ru-RU" sz="2000" b="1">
              <a:latin typeface="Arial" pitchFamily="34" charset="0"/>
              <a:cs typeface="Arial" pitchFamily="34" charset="0"/>
            </a:rPr>
            <a:t>ПРОГНОЗ </a:t>
          </a:r>
        </a:p>
        <a:p xmlns:a="http://schemas.openxmlformats.org/drawingml/2006/main">
          <a:pPr algn="ctr"/>
          <a:r>
            <a:rPr lang="ru-RU" sz="2000" b="1">
              <a:latin typeface="Arial" pitchFamily="34" charset="0"/>
              <a:cs typeface="Arial" pitchFamily="34" charset="0"/>
            </a:rPr>
            <a:t>БАЗИСНОГО</a:t>
          </a:r>
          <a:r>
            <a:rPr lang="ru-RU" sz="2000" b="1" baseline="0">
              <a:latin typeface="Arial" pitchFamily="34" charset="0"/>
              <a:cs typeface="Arial" pitchFamily="34" charset="0"/>
            </a:rPr>
            <a:t> ДЕФЛЯТОРА </a:t>
          </a:r>
          <a:r>
            <a:rPr lang="ru-RU" sz="2000" b="1">
              <a:latin typeface="Arial" pitchFamily="34" charset="0"/>
              <a:cs typeface="Arial" pitchFamily="34" charset="0"/>
            </a:rPr>
            <a:t> ИМПОРТА</a:t>
          </a:r>
        </a:p>
        <a:p xmlns:a="http://schemas.openxmlformats.org/drawingml/2006/main">
          <a:endParaRPr lang="ru-RU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</a:t>
          </a:r>
        </a:p>
      </cdr:txBody>
    </cdr:sp>
  </cdr:relSizeAnchor>
  <cdr:relSizeAnchor xmlns:cdr="http://schemas.openxmlformats.org/drawingml/2006/chartDrawing">
    <cdr:from>
      <cdr:x>0.72712</cdr:x>
      <cdr:y>0.86576</cdr:y>
    </cdr:from>
    <cdr:to>
      <cdr:x>0.92919</cdr:x>
      <cdr:y>0.9075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C62E565B-F758-4D5E-85D4-ACC5727F5068}"/>
            </a:ext>
          </a:extLst>
        </cdr:cNvPr>
        <cdr:cNvSpPr txBox="1"/>
      </cdr:nvSpPr>
      <cdr:spPr>
        <a:xfrm xmlns:a="http://schemas.openxmlformats.org/drawingml/2006/main">
          <a:off x="6683374" y="7998973"/>
          <a:ext cx="1857392" cy="3856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baseline="0">
              <a:latin typeface="Arial" pitchFamily="34" charset="0"/>
              <a:cs typeface="Arial" pitchFamily="34" charset="0"/>
            </a:rPr>
            <a:t>  </a:t>
          </a:r>
          <a:r>
            <a:rPr lang="ru-RU" sz="2000" baseline="0">
              <a:latin typeface="Arial" pitchFamily="34" charset="0"/>
              <a:cs typeface="Arial" pitchFamily="34" charset="0"/>
            </a:rPr>
            <a:t>фактор  </a:t>
          </a:r>
          <a:r>
            <a:rPr lang="ru-RU" sz="2000" b="1" baseline="0">
              <a:latin typeface="Arial" pitchFamily="34" charset="0"/>
              <a:cs typeface="Arial" pitchFamily="34" charset="0"/>
            </a:rPr>
            <a:t>- </a:t>
          </a:r>
          <a:r>
            <a:rPr lang="en-US" sz="2000" b="1" baseline="0">
              <a:latin typeface="Arial" pitchFamily="34" charset="0"/>
              <a:cs typeface="Arial" pitchFamily="34" charset="0"/>
            </a:rPr>
            <a:t>FA</a:t>
          </a:r>
          <a:endParaRPr lang="ru-RU" sz="20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0.07648</cdr:x>
      <cdr:y>0.04286</cdr:y>
    </cdr:from>
    <cdr:to>
      <cdr:x>0.142</cdr:x>
      <cdr:y>0.09005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C05C57E-6B9F-4CA9-9390-B31B20F966A5}"/>
            </a:ext>
          </a:extLst>
        </cdr:cNvPr>
        <cdr:cNvSpPr txBox="1"/>
      </cdr:nvSpPr>
      <cdr:spPr>
        <a:xfrm xmlns:a="http://schemas.openxmlformats.org/drawingml/2006/main">
          <a:off x="812247" y="398716"/>
          <a:ext cx="695878" cy="43899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2000" b="1">
              <a:latin typeface="Arial" pitchFamily="34" charset="0"/>
              <a:cs typeface="Arial" pitchFamily="34" charset="0"/>
            </a:rPr>
            <a:t>Dm</a:t>
          </a:r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0.31196</cdr:x>
      <cdr:y>0.19113</cdr:y>
    </cdr:from>
    <cdr:to>
      <cdr:x>0.66378</cdr:x>
      <cdr:y>0.30717</cdr:y>
    </cdr:to>
    <cdr:sp macro="" textlink="">
      <cdr:nvSpPr>
        <cdr:cNvPr id="9" name="TextBox 5">
          <a:extLst xmlns:a="http://schemas.openxmlformats.org/drawingml/2006/main">
            <a:ext uri="{FF2B5EF4-FFF2-40B4-BE49-F238E27FC236}">
              <a16:creationId xmlns:a16="http://schemas.microsoft.com/office/drawing/2014/main" id="{71F1EE7D-ED1E-453C-A8EA-CE26BCBCF352}"/>
            </a:ext>
          </a:extLst>
        </cdr:cNvPr>
        <cdr:cNvSpPr txBox="1"/>
      </cdr:nvSpPr>
      <cdr:spPr>
        <a:xfrm xmlns:a="http://schemas.openxmlformats.org/drawingml/2006/main">
          <a:off x="2857498" y="1778001"/>
          <a:ext cx="3222625" cy="1079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>
              <a:latin typeface="Arial" pitchFamily="34" charset="0"/>
              <a:cs typeface="Arial" pitchFamily="34" charset="0"/>
            </a:rPr>
            <a:t> </a:t>
          </a:r>
          <a:r>
            <a:rPr lang="ru-RU" sz="1600">
              <a:latin typeface="Arial" pitchFamily="34" charset="0"/>
              <a:cs typeface="Arial" pitchFamily="34" charset="0"/>
            </a:rPr>
            <a:t> </a:t>
          </a:r>
        </a:p>
        <a:p xmlns:a="http://schemas.openxmlformats.org/drawingml/2006/main">
          <a:r>
            <a:rPr lang="en-US" sz="1800" b="1">
              <a:latin typeface="Arial" pitchFamily="34" charset="0"/>
              <a:cs typeface="Arial" pitchFamily="34" charset="0"/>
            </a:rPr>
            <a:t>FA = 0,25*WK+0,75*IPC</a:t>
          </a:r>
        </a:p>
        <a:p xmlns:a="http://schemas.openxmlformats.org/drawingml/2006/main">
          <a:r>
            <a:rPr lang="en-US" sz="1800" b="1">
              <a:latin typeface="Arial" pitchFamily="34" charset="0"/>
              <a:cs typeface="Arial" pitchFamily="34" charset="0"/>
            </a:rPr>
            <a:t>Dm</a:t>
          </a:r>
          <a:r>
            <a:rPr lang="en-US" sz="1800" b="1" baseline="0">
              <a:latin typeface="Arial" pitchFamily="34" charset="0"/>
              <a:cs typeface="Arial" pitchFamily="34" charset="0"/>
            </a:rPr>
            <a:t> = 0,6044*FA-2,3458</a:t>
          </a:r>
          <a:r>
            <a:rPr lang="ru-RU" sz="1800" b="1">
              <a:latin typeface="Arial" pitchFamily="34" charset="0"/>
              <a:cs typeface="Arial" pitchFamily="34" charset="0"/>
            </a:rPr>
            <a:t> </a:t>
          </a:r>
        </a:p>
      </cdr:txBody>
    </cdr:sp>
  </cdr:relSizeAnchor>
</c:userShapes>
</file>

<file path=xl/drawings/drawing47.xml><?xml version="1.0" encoding="utf-8"?>
<c:userShapes xmlns:c="http://schemas.openxmlformats.org/drawingml/2006/chart"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0.265</cdr:x>
      <cdr:y>0.08298</cdr:y>
    </cdr:from>
    <cdr:to>
      <cdr:x>0.84948</cdr:x>
      <cdr:y>0.23115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2623288" y="772271"/>
          <a:ext cx="5785928" cy="137904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ДОЛЯ</a:t>
          </a:r>
          <a:r>
            <a:rPr lang="ru-RU" sz="2000" b="1" baseline="0">
              <a:latin typeface="Arial" pitchFamily="34" charset="0"/>
              <a:cs typeface="Arial" pitchFamily="34" charset="0"/>
            </a:rPr>
            <a:t> </a:t>
          </a:r>
          <a:r>
            <a:rPr lang="ru-RU" sz="2000" b="1">
              <a:latin typeface="Arial" pitchFamily="34" charset="0"/>
              <a:cs typeface="Arial" pitchFamily="34" charset="0"/>
            </a:rPr>
            <a:t>ИМПОРТА</a:t>
          </a:r>
          <a:r>
            <a:rPr lang="ru-RU" sz="2000" b="1" baseline="0">
              <a:latin typeface="Arial" pitchFamily="34" charset="0"/>
              <a:cs typeface="Arial" pitchFamily="34" charset="0"/>
            </a:rPr>
            <a:t> на ВНУТРЕННЕМ РЫНКЕ</a:t>
          </a:r>
          <a:endParaRPr lang="ru-RU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</a:t>
          </a:r>
          <a:r>
            <a:rPr lang="en-US" sz="2000" b="1">
              <a:latin typeface="Arial" pitchFamily="34" charset="0"/>
              <a:cs typeface="Arial" pitchFamily="34" charset="0"/>
            </a:rPr>
            <a:t>         </a:t>
          </a:r>
          <a:r>
            <a:rPr lang="ru-RU" sz="2000" b="1">
              <a:latin typeface="Arial" pitchFamily="34" charset="0"/>
              <a:cs typeface="Arial" pitchFamily="34" charset="0"/>
            </a:rPr>
            <a:t>в сопоставимых ценах 1995 г.  </a:t>
          </a:r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en-US" sz="2000" b="1">
              <a:latin typeface="Arial" pitchFamily="34" charset="0"/>
              <a:cs typeface="Arial" pitchFamily="34" charset="0"/>
            </a:rPr>
            <a:t>  </a:t>
          </a:r>
        </a:p>
        <a:p xmlns:a="http://schemas.openxmlformats.org/drawingml/2006/main">
          <a:r>
            <a:rPr lang="en-US" sz="2000" b="1">
              <a:latin typeface="Arial" pitchFamily="34" charset="0"/>
              <a:cs typeface="Arial" pitchFamily="34" charset="0"/>
            </a:rPr>
            <a:t>                </a:t>
          </a:r>
          <a:r>
            <a:rPr lang="ru-RU" sz="2000" b="1">
              <a:latin typeface="Arial" pitchFamily="34" charset="0"/>
              <a:cs typeface="Arial" pitchFamily="34" charset="0"/>
            </a:rPr>
            <a:t>   </a:t>
          </a:r>
          <a:r>
            <a:rPr lang="en-US" sz="2000" b="1">
              <a:latin typeface="Arial" pitchFamily="34" charset="0"/>
              <a:cs typeface="Arial" pitchFamily="34" charset="0"/>
            </a:rPr>
            <a:t>  qIM = IMS / XOS</a:t>
          </a:r>
          <a:endParaRPr lang="en-US" sz="2000" b="1" baseline="0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en-US" sz="2000" b="1">
              <a:latin typeface="Arial" pitchFamily="34" charset="0"/>
              <a:cs typeface="Arial" pitchFamily="34" charset="0"/>
            </a:rPr>
            <a:t>                     </a:t>
          </a:r>
          <a:endParaRPr lang="ru-RU" sz="20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0.68985</cdr:x>
      <cdr:y>0.86401</cdr:y>
    </cdr:from>
    <cdr:to>
      <cdr:x>0.95781</cdr:x>
      <cdr:y>0.90764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C62E565B-F758-4D5E-85D4-ACC5727F5068}"/>
            </a:ext>
          </a:extLst>
        </cdr:cNvPr>
        <cdr:cNvSpPr txBox="1"/>
      </cdr:nvSpPr>
      <cdr:spPr>
        <a:xfrm xmlns:a="http://schemas.openxmlformats.org/drawingml/2006/main">
          <a:off x="5905500" y="6654786"/>
          <a:ext cx="2293922" cy="33604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baseline="0">
              <a:latin typeface="Arial" pitchFamily="34" charset="0"/>
              <a:cs typeface="Arial" pitchFamily="34" charset="0"/>
            </a:rPr>
            <a:t>  </a:t>
          </a:r>
          <a:r>
            <a:rPr lang="ru-RU" sz="1800" baseline="0">
              <a:latin typeface="Arial" pitchFamily="34" charset="0"/>
              <a:cs typeface="Arial" pitchFamily="34" charset="0"/>
            </a:rPr>
            <a:t>фактор  </a:t>
          </a:r>
          <a:r>
            <a:rPr lang="ru-RU" sz="2000" b="1" baseline="0">
              <a:latin typeface="Arial" pitchFamily="34" charset="0"/>
              <a:cs typeface="Arial" pitchFamily="34" charset="0"/>
            </a:rPr>
            <a:t>- ВРЕМЯ</a:t>
          </a:r>
          <a:endParaRPr lang="ru-RU" sz="18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0.08576</cdr:x>
      <cdr:y>0.05404</cdr:y>
    </cdr:from>
    <cdr:to>
      <cdr:x>0.30919</cdr:x>
      <cdr:y>0.10607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C05C57E-6B9F-4CA9-9390-B31B20F966A5}"/>
            </a:ext>
          </a:extLst>
        </cdr:cNvPr>
        <cdr:cNvSpPr txBox="1"/>
      </cdr:nvSpPr>
      <cdr:spPr>
        <a:xfrm xmlns:a="http://schemas.openxmlformats.org/drawingml/2006/main">
          <a:off x="781563" y="497812"/>
          <a:ext cx="2036247" cy="47929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2000" b="1">
              <a:latin typeface="Arial" pitchFamily="34" charset="0"/>
              <a:cs typeface="Arial" pitchFamily="34" charset="0"/>
            </a:rPr>
            <a:t>qIM</a:t>
          </a:r>
          <a:r>
            <a:rPr lang="ru-RU" sz="2000" b="1">
              <a:latin typeface="Arial" pitchFamily="34" charset="0"/>
              <a:cs typeface="Arial" pitchFamily="34" charset="0"/>
            </a:rPr>
            <a:t>  </a:t>
          </a:r>
          <a:r>
            <a:rPr lang="ru-RU" sz="2400">
              <a:latin typeface="Arial" pitchFamily="34" charset="0"/>
              <a:cs typeface="Arial" pitchFamily="34" charset="0"/>
            </a:rPr>
            <a:t> </a:t>
          </a:r>
          <a:r>
            <a:rPr lang="ru-RU" sz="1800">
              <a:latin typeface="Arial" pitchFamily="34" charset="0"/>
              <a:cs typeface="Arial" pitchFamily="34" charset="0"/>
            </a:rPr>
            <a:t> </a:t>
          </a:r>
        </a:p>
      </cdr:txBody>
    </cdr:sp>
  </cdr:relSizeAnchor>
</c:userShapes>
</file>

<file path=xl/drawings/drawing48.xml><?xml version="1.0" encoding="utf-8"?>
<c:userShapes xmlns:c="http://schemas.openxmlformats.org/drawingml/2006/chart"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</a:t>
          </a:r>
        </a:p>
      </cdr:txBody>
    </cdr:sp>
  </cdr:relSizeAnchor>
  <cdr:relSizeAnchor xmlns:cdr="http://schemas.openxmlformats.org/drawingml/2006/chartDrawing">
    <cdr:from>
      <cdr:x>0.21736</cdr:x>
      <cdr:y>0.11409</cdr:y>
    </cdr:from>
    <cdr:to>
      <cdr:x>0.85361</cdr:x>
      <cdr:y>0.34225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1818426" y="1028765"/>
          <a:ext cx="5322947" cy="205731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РЕГРЕССИЯ</a:t>
          </a:r>
          <a:r>
            <a:rPr lang="en-US" sz="2000" b="1">
              <a:latin typeface="Arial" pitchFamily="34" charset="0"/>
              <a:cs typeface="Arial" pitchFamily="34" charset="0"/>
            </a:rPr>
            <a:t> </a:t>
          </a:r>
          <a:r>
            <a:rPr lang="ru-RU" sz="2000" b="1">
              <a:latin typeface="Arial" pitchFamily="34" charset="0"/>
              <a:cs typeface="Arial" pitchFamily="34" charset="0"/>
            </a:rPr>
            <a:t>БАЗИСНОГО ИНДЕКСА</a:t>
          </a:r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ПОТРЕБИТЕЛЬСКИХ ЦЕН ОТ </a:t>
          </a:r>
        </a:p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ВАЛЮТНОГО КУРСА И  М2</a:t>
          </a:r>
        </a:p>
        <a:p xmlns:a="http://schemas.openxmlformats.org/drawingml/2006/main">
          <a:endParaRPr lang="ru-RU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</a:t>
          </a:r>
          <a:r>
            <a:rPr lang="en-US" sz="1800" b="1">
              <a:latin typeface="Arial" pitchFamily="34" charset="0"/>
              <a:cs typeface="Arial" pitchFamily="34" charset="0"/>
            </a:rPr>
            <a:t>IPC= 0,3345*Xf</a:t>
          </a:r>
          <a:r>
            <a:rPr lang="en-US" sz="1800" b="1" baseline="0">
              <a:latin typeface="Arial" pitchFamily="34" charset="0"/>
              <a:cs typeface="Arial" pitchFamily="34" charset="0"/>
            </a:rPr>
            <a:t> + 5,9879</a:t>
          </a:r>
          <a:endParaRPr lang="en-US" sz="18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en-US" sz="1800" b="1">
              <a:latin typeface="Arial" pitchFamily="34" charset="0"/>
              <a:cs typeface="Arial" pitchFamily="34" charset="0"/>
            </a:rPr>
            <a:t> Xf = 0,25*WK + 0,75*M2</a:t>
          </a:r>
          <a:endParaRPr lang="ru-RU" sz="18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0.74926</cdr:x>
      <cdr:y>0.86401</cdr:y>
    </cdr:from>
    <cdr:to>
      <cdr:x>0.95781</cdr:x>
      <cdr:y>0.90764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C62E565B-F758-4D5E-85D4-ACC5727F5068}"/>
            </a:ext>
          </a:extLst>
        </cdr:cNvPr>
        <cdr:cNvSpPr txBox="1"/>
      </cdr:nvSpPr>
      <cdr:spPr>
        <a:xfrm xmlns:a="http://schemas.openxmlformats.org/drawingml/2006/main">
          <a:off x="6339890" y="6654822"/>
          <a:ext cx="1764644" cy="3360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baseline="0">
              <a:latin typeface="Arial" pitchFamily="34" charset="0"/>
              <a:cs typeface="Arial" pitchFamily="34" charset="0"/>
            </a:rPr>
            <a:t>  </a:t>
          </a:r>
          <a:r>
            <a:rPr lang="ru-RU" sz="1800" baseline="0">
              <a:latin typeface="Arial" pitchFamily="34" charset="0"/>
              <a:cs typeface="Arial" pitchFamily="34" charset="0"/>
            </a:rPr>
            <a:t>фактор  </a:t>
          </a:r>
          <a:r>
            <a:rPr lang="ru-RU" sz="1800" b="1" baseline="0">
              <a:latin typeface="Arial" pitchFamily="34" charset="0"/>
              <a:cs typeface="Arial" pitchFamily="34" charset="0"/>
            </a:rPr>
            <a:t>-  </a:t>
          </a:r>
          <a:r>
            <a:rPr lang="en-US" sz="1800" b="1" baseline="0">
              <a:latin typeface="Arial" pitchFamily="34" charset="0"/>
              <a:cs typeface="Arial" pitchFamily="34" charset="0"/>
            </a:rPr>
            <a:t>Xf</a:t>
          </a:r>
          <a:endParaRPr lang="ru-RU" sz="18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0.08752</cdr:x>
      <cdr:y>0.04286</cdr:y>
    </cdr:from>
    <cdr:to>
      <cdr:x>0.15851</cdr:x>
      <cdr:y>0.09484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C05C57E-6B9F-4CA9-9390-B31B20F966A5}"/>
            </a:ext>
          </a:extLst>
        </cdr:cNvPr>
        <cdr:cNvSpPr txBox="1"/>
      </cdr:nvSpPr>
      <cdr:spPr>
        <a:xfrm xmlns:a="http://schemas.openxmlformats.org/drawingml/2006/main">
          <a:off x="745055" y="335404"/>
          <a:ext cx="604320" cy="40675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2000" b="1">
              <a:latin typeface="Arial" pitchFamily="34" charset="0"/>
              <a:cs typeface="Arial" pitchFamily="34" charset="0"/>
            </a:rPr>
            <a:t>IPC</a:t>
          </a:r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0.29547</cdr:x>
      <cdr:y>0.64473</cdr:y>
    </cdr:from>
    <cdr:to>
      <cdr:x>0.40597</cdr:x>
      <cdr:y>0.6871</cdr:y>
    </cdr:to>
    <cdr:sp macro="" textlink="">
      <cdr:nvSpPr>
        <cdr:cNvPr id="9" name="TextBox 5">
          <a:extLst xmlns:a="http://schemas.openxmlformats.org/drawingml/2006/main">
            <a:ext uri="{FF2B5EF4-FFF2-40B4-BE49-F238E27FC236}">
              <a16:creationId xmlns:a16="http://schemas.microsoft.com/office/drawing/2014/main" id="{71F1EE7D-ED1E-453C-A8EA-CE26BCBCF352}"/>
            </a:ext>
          </a:extLst>
        </cdr:cNvPr>
        <cdr:cNvSpPr txBox="1"/>
      </cdr:nvSpPr>
      <cdr:spPr>
        <a:xfrm xmlns:a="http://schemas.openxmlformats.org/drawingml/2006/main">
          <a:off x="2471949" y="5813549"/>
          <a:ext cx="924457" cy="38205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Тренд</a:t>
          </a:r>
          <a:r>
            <a:rPr lang="ru-RU" sz="1400">
              <a:latin typeface="Arial" pitchFamily="34" charset="0"/>
              <a:cs typeface="Arial" pitchFamily="34" charset="0"/>
            </a:rPr>
            <a:t> 1  </a:t>
          </a:r>
        </a:p>
      </cdr:txBody>
    </cdr:sp>
  </cdr:relSizeAnchor>
</c:userShapes>
</file>

<file path=xl/drawings/drawing49.xml><?xml version="1.0" encoding="utf-8"?>
<c:userShapes xmlns:c="http://schemas.openxmlformats.org/drawingml/2006/chart"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0.17942</cdr:x>
      <cdr:y>0.07416</cdr:y>
    </cdr:from>
    <cdr:to>
      <cdr:x>0.91495</cdr:x>
      <cdr:y>0.22384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1607454" y="666447"/>
          <a:ext cx="6589714" cy="134514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ДИНАМИКА</a:t>
          </a:r>
          <a:r>
            <a:rPr lang="en-US" sz="2000" b="1">
              <a:latin typeface="Arial" pitchFamily="34" charset="0"/>
              <a:cs typeface="Arial" pitchFamily="34" charset="0"/>
            </a:rPr>
            <a:t> </a:t>
          </a:r>
          <a:r>
            <a:rPr lang="ru-RU" sz="2000" b="1">
              <a:latin typeface="Arial" pitchFamily="34" charset="0"/>
              <a:cs typeface="Arial" pitchFamily="34" charset="0"/>
            </a:rPr>
            <a:t> КОНЕЧНОГО  ПОТРЕБЛЕНИЯ</a:t>
          </a:r>
        </a:p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ДОМАШНИХ ХОЗЯЙСТВ</a:t>
          </a:r>
          <a:r>
            <a:rPr lang="en-US" sz="2000" b="1">
              <a:latin typeface="Arial" pitchFamily="34" charset="0"/>
              <a:cs typeface="Arial" pitchFamily="34" charset="0"/>
            </a:rPr>
            <a:t> </a:t>
          </a:r>
          <a:r>
            <a:rPr lang="ru-RU" sz="2000" b="1">
              <a:latin typeface="Arial" pitchFamily="34" charset="0"/>
              <a:cs typeface="Arial" pitchFamily="34" charset="0"/>
            </a:rPr>
            <a:t> (базисный темп КП ДХ)</a:t>
          </a:r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en-US" sz="2000" b="1">
              <a:latin typeface="Arial" pitchFamily="34" charset="0"/>
              <a:cs typeface="Arial" pitchFamily="34" charset="0"/>
            </a:rPr>
            <a:t>                                Pd = YD / Dd</a:t>
          </a:r>
          <a:r>
            <a:rPr lang="ru-RU" sz="2000" b="1">
              <a:latin typeface="Arial" pitchFamily="34" charset="0"/>
              <a:cs typeface="Arial" pitchFamily="34" charset="0"/>
            </a:rPr>
            <a:t>*</a:t>
          </a:r>
          <a:r>
            <a:rPr lang="en-US" sz="2000" b="1">
              <a:latin typeface="Arial" pitchFamily="34" charset="0"/>
              <a:cs typeface="Arial" pitchFamily="34" charset="0"/>
            </a:rPr>
            <a:t>YDo</a:t>
          </a:r>
        </a:p>
        <a:p xmlns:a="http://schemas.openxmlformats.org/drawingml/2006/main"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en-US" sz="2000" b="1">
              <a:latin typeface="Arial" pitchFamily="34" charset="0"/>
              <a:cs typeface="Arial" pitchFamily="34" charset="0"/>
            </a:rPr>
            <a:t>                     </a:t>
          </a:r>
          <a:endParaRPr lang="ru-RU" sz="20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0.68985</cdr:x>
      <cdr:y>0.86401</cdr:y>
    </cdr:from>
    <cdr:to>
      <cdr:x>0.95781</cdr:x>
      <cdr:y>0.90764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C62E565B-F758-4D5E-85D4-ACC5727F5068}"/>
            </a:ext>
          </a:extLst>
        </cdr:cNvPr>
        <cdr:cNvSpPr txBox="1"/>
      </cdr:nvSpPr>
      <cdr:spPr>
        <a:xfrm xmlns:a="http://schemas.openxmlformats.org/drawingml/2006/main">
          <a:off x="5905500" y="6654786"/>
          <a:ext cx="2293922" cy="33604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baseline="0">
              <a:latin typeface="Arial" pitchFamily="34" charset="0"/>
              <a:cs typeface="Arial" pitchFamily="34" charset="0"/>
            </a:rPr>
            <a:t>  </a:t>
          </a:r>
          <a:r>
            <a:rPr lang="ru-RU" sz="1800" baseline="0">
              <a:latin typeface="Arial" pitchFamily="34" charset="0"/>
              <a:cs typeface="Arial" pitchFamily="34" charset="0"/>
            </a:rPr>
            <a:t>фактор  </a:t>
          </a:r>
          <a:r>
            <a:rPr lang="ru-RU" sz="1800" b="1" baseline="0">
              <a:latin typeface="Arial" pitchFamily="34" charset="0"/>
              <a:cs typeface="Arial" pitchFamily="34" charset="0"/>
            </a:rPr>
            <a:t>- ВРЕМЯ</a:t>
          </a:r>
          <a:endParaRPr lang="ru-RU" sz="18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C05C57E-6B9F-4CA9-9390-B31B20F966A5}"/>
            </a:ext>
          </a:extLst>
        </cdr:cNvPr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0.34794</cdr:x>
      <cdr:y>0.17146</cdr:y>
    </cdr:from>
    <cdr:to>
      <cdr:x>0.64821</cdr:x>
      <cdr:y>0.21121</cdr:y>
    </cdr:to>
    <cdr:sp macro="" textlink="">
      <cdr:nvSpPr>
        <cdr:cNvPr id="9" name="TextBox 5">
          <a:extLst xmlns:a="http://schemas.openxmlformats.org/drawingml/2006/main">
            <a:ext uri="{FF2B5EF4-FFF2-40B4-BE49-F238E27FC236}">
              <a16:creationId xmlns:a16="http://schemas.microsoft.com/office/drawing/2014/main" id="{71F1EE7D-ED1E-453C-A8EA-CE26BCBCF352}"/>
            </a:ext>
          </a:extLst>
        </cdr:cNvPr>
        <cdr:cNvSpPr txBox="1"/>
      </cdr:nvSpPr>
      <cdr:spPr>
        <a:xfrm xmlns:a="http://schemas.openxmlformats.org/drawingml/2006/main">
          <a:off x="3313582" y="1560747"/>
          <a:ext cx="2859595" cy="36183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ru-RU" sz="1600">
            <a:latin typeface="Arial" pitchFamily="34" charset="0"/>
            <a:cs typeface="Arial" pitchFamily="34" charset="0"/>
          </a:endParaRPr>
        </a:p>
      </cdr:txBody>
    </cdr:sp>
  </cdr:relSizeAnchor>
</c:userShapes>
</file>

<file path=xl/drawings/drawing50.xml><?xml version="1.0" encoding="utf-8"?>
<c:userShapes xmlns:c="http://schemas.openxmlformats.org/drawingml/2006/chart">
  <cdr:relSizeAnchor xmlns:cdr="http://schemas.openxmlformats.org/drawingml/2006/chartDrawing">
    <cdr:from>
      <cdr:x>0.08002</cdr:x>
      <cdr:y>0.04882</cdr:y>
    </cdr:from>
    <cdr:to>
      <cdr:x>0.14986</cdr:x>
      <cdr:y>0.10669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699310" y="428625"/>
          <a:ext cx="610377" cy="508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ru-RU" sz="1800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0.21954</cdr:x>
      <cdr:y>0.11746</cdr:y>
    </cdr:from>
    <cdr:to>
      <cdr:x>0.86336</cdr:x>
      <cdr:y>0.21811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1890722" y="1036747"/>
          <a:ext cx="5544698" cy="88838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РЕГРЕССИЯ КОНЕЧНОГО ПОТРЕБЛЕНИЯ</a:t>
          </a:r>
        </a:p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ГОСУДАРСТВА</a:t>
          </a:r>
          <a:r>
            <a:rPr lang="en-US" sz="2000" b="1">
              <a:latin typeface="Arial" pitchFamily="34" charset="0"/>
              <a:cs typeface="Arial" pitchFamily="34" charset="0"/>
            </a:rPr>
            <a:t> </a:t>
          </a:r>
          <a:r>
            <a:rPr lang="ru-RU" sz="2000" b="1">
              <a:latin typeface="Arial" pitchFamily="34" charset="0"/>
              <a:cs typeface="Arial" pitchFamily="34" charset="0"/>
            </a:rPr>
            <a:t>от ВВП</a:t>
          </a:r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en-US" sz="2000" b="1">
              <a:latin typeface="Arial" pitchFamily="34" charset="0"/>
              <a:cs typeface="Arial" pitchFamily="34" charset="0"/>
            </a:rPr>
            <a:t>                     </a:t>
          </a:r>
          <a:endParaRPr lang="ru-RU" sz="20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0.68985</cdr:x>
      <cdr:y>0.86401</cdr:y>
    </cdr:from>
    <cdr:to>
      <cdr:x>0.92811</cdr:x>
      <cdr:y>0.90764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C62E565B-F758-4D5E-85D4-ACC5727F5068}"/>
            </a:ext>
          </a:extLst>
        </cdr:cNvPr>
        <cdr:cNvSpPr txBox="1"/>
      </cdr:nvSpPr>
      <cdr:spPr>
        <a:xfrm xmlns:a="http://schemas.openxmlformats.org/drawingml/2006/main">
          <a:off x="5941117" y="7626183"/>
          <a:ext cx="2051945" cy="38510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baseline="0">
              <a:latin typeface="Arial" pitchFamily="34" charset="0"/>
              <a:cs typeface="Arial" pitchFamily="34" charset="0"/>
            </a:rPr>
            <a:t>  </a:t>
          </a:r>
          <a:r>
            <a:rPr lang="ru-RU" sz="1800" baseline="0">
              <a:latin typeface="Arial" pitchFamily="34" charset="0"/>
              <a:cs typeface="Arial" pitchFamily="34" charset="0"/>
            </a:rPr>
            <a:t>фактор  </a:t>
          </a:r>
          <a:r>
            <a:rPr lang="ru-RU" sz="1800" b="1" baseline="0">
              <a:latin typeface="Arial" pitchFamily="34" charset="0"/>
              <a:cs typeface="Arial" pitchFamily="34" charset="0"/>
            </a:rPr>
            <a:t>- </a:t>
          </a:r>
          <a:r>
            <a:rPr lang="en-US" sz="1800" b="1" baseline="0">
              <a:latin typeface="Arial" pitchFamily="34" charset="0"/>
              <a:cs typeface="Arial" pitchFamily="34" charset="0"/>
            </a:rPr>
            <a:t>WWP</a:t>
          </a:r>
          <a:endParaRPr lang="ru-RU" sz="18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0.06003</cdr:x>
      <cdr:y>0.04364</cdr:y>
    </cdr:from>
    <cdr:to>
      <cdr:x>0.14388</cdr:x>
      <cdr:y>0.11091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C05C57E-6B9F-4CA9-9390-B31B20F966A5}"/>
            </a:ext>
          </a:extLst>
        </cdr:cNvPr>
        <cdr:cNvSpPr txBox="1"/>
      </cdr:nvSpPr>
      <cdr:spPr>
        <a:xfrm xmlns:a="http://schemas.openxmlformats.org/drawingml/2006/main">
          <a:off x="500063" y="381000"/>
          <a:ext cx="698500" cy="5873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</a:t>
          </a:r>
        </a:p>
      </cdr:txBody>
    </cdr:sp>
  </cdr:relSizeAnchor>
  <cdr:relSizeAnchor xmlns:cdr="http://schemas.openxmlformats.org/drawingml/2006/chartDrawing">
    <cdr:from>
      <cdr:x>0.47002</cdr:x>
      <cdr:y>0.6658</cdr:y>
    </cdr:from>
    <cdr:to>
      <cdr:x>0.56799</cdr:x>
      <cdr:y>0.70942</cdr:y>
    </cdr:to>
    <cdr:sp macro="" textlink="">
      <cdr:nvSpPr>
        <cdr:cNvPr id="9" name="TextBox 5">
          <a:extLst xmlns:a="http://schemas.openxmlformats.org/drawingml/2006/main">
            <a:ext uri="{FF2B5EF4-FFF2-40B4-BE49-F238E27FC236}">
              <a16:creationId xmlns:a16="http://schemas.microsoft.com/office/drawing/2014/main" id="{71F1EE7D-ED1E-453C-A8EA-CE26BCBCF352}"/>
            </a:ext>
          </a:extLst>
        </cdr:cNvPr>
        <cdr:cNvSpPr txBox="1"/>
      </cdr:nvSpPr>
      <cdr:spPr>
        <a:xfrm xmlns:a="http://schemas.openxmlformats.org/drawingml/2006/main">
          <a:off x="4174714" y="5876718"/>
          <a:ext cx="870176" cy="3850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600" b="1">
              <a:latin typeface="Arial" pitchFamily="34" charset="0"/>
              <a:cs typeface="Arial" pitchFamily="34" charset="0"/>
            </a:rPr>
            <a:t>ТРЕНД</a:t>
          </a:r>
        </a:p>
      </cdr:txBody>
    </cdr:sp>
  </cdr:relSizeAnchor>
  <cdr:relSizeAnchor xmlns:cdr="http://schemas.openxmlformats.org/drawingml/2006/chartDrawing">
    <cdr:from>
      <cdr:x>0.11376</cdr:x>
      <cdr:y>0.05841</cdr:y>
    </cdr:from>
    <cdr:to>
      <cdr:x>0.34562</cdr:x>
      <cdr:y>0.10568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38A8820-ECCA-4904-9EAF-E6DEC5A64A64}"/>
            </a:ext>
          </a:extLst>
        </cdr:cNvPr>
        <cdr:cNvSpPr txBox="1"/>
      </cdr:nvSpPr>
      <cdr:spPr>
        <a:xfrm xmlns:a="http://schemas.openxmlformats.org/drawingml/2006/main">
          <a:off x="979722" y="515556"/>
          <a:ext cx="1996840" cy="41722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2000" b="1">
              <a:latin typeface="Arial" panose="020B0604020202020204" pitchFamily="34" charset="0"/>
              <a:cs typeface="Arial" panose="020B0604020202020204" pitchFamily="34" charset="0"/>
            </a:rPr>
            <a:t>YG</a:t>
          </a:r>
          <a:r>
            <a:rPr lang="ru-RU" sz="2000" b="1">
              <a:latin typeface="Arial" panose="020B0604020202020204" pitchFamily="34" charset="0"/>
              <a:cs typeface="Arial" panose="020B0604020202020204" pitchFamily="34" charset="0"/>
            </a:rPr>
            <a:t> </a:t>
          </a:r>
          <a:r>
            <a:rPr lang="ru-RU" sz="1800" b="0">
              <a:latin typeface="Arial" panose="020B0604020202020204" pitchFamily="34" charset="0"/>
              <a:cs typeface="Arial" panose="020B0604020202020204" pitchFamily="34" charset="0"/>
            </a:rPr>
            <a:t>(млрд</a:t>
          </a:r>
          <a:r>
            <a:rPr lang="ru-RU" sz="1800" b="0" baseline="0">
              <a:latin typeface="Arial" panose="020B0604020202020204" pitchFamily="34" charset="0"/>
              <a:cs typeface="Arial" panose="020B0604020202020204" pitchFamily="34" charset="0"/>
            </a:rPr>
            <a:t> руб)</a:t>
          </a:r>
          <a:r>
            <a:rPr lang="ru-RU" sz="1800" b="1">
              <a:latin typeface="Arial" panose="020B0604020202020204" pitchFamily="34" charset="0"/>
              <a:cs typeface="Arial" panose="020B0604020202020204" pitchFamily="34" charset="0"/>
            </a:rPr>
            <a:t> </a:t>
          </a:r>
          <a:r>
            <a:rPr lang="en-US" sz="1800" b="1">
              <a:latin typeface="Arial" panose="020B0604020202020204" pitchFamily="34" charset="0"/>
              <a:cs typeface="Arial" panose="020B0604020202020204" pitchFamily="34" charset="0"/>
            </a:rPr>
            <a:t> </a:t>
          </a:r>
          <a:r>
            <a:rPr lang="ru-RU" sz="2000" b="1">
              <a:latin typeface="Arial" panose="020B0604020202020204" pitchFamily="34" charset="0"/>
              <a:cs typeface="Arial" panose="020B0604020202020204" pitchFamily="34" charset="0"/>
            </a:rPr>
            <a:t>	</a:t>
          </a:r>
        </a:p>
      </cdr:txBody>
    </cdr:sp>
  </cdr:relSizeAnchor>
</c:userShapes>
</file>

<file path=xl/drawings/drawing51.xml><?xml version="1.0" encoding="utf-8"?>
<c:userShapes xmlns:c="http://schemas.openxmlformats.org/drawingml/2006/chart">
  <cdr:relSizeAnchor xmlns:cdr="http://schemas.openxmlformats.org/drawingml/2006/chartDrawing">
    <cdr:from>
      <cdr:x>0.22706</cdr:x>
      <cdr:y>0.07949</cdr:y>
    </cdr:from>
    <cdr:to>
      <cdr:x>0.90995</cdr:x>
      <cdr:y>0.19893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1891502" y="710452"/>
          <a:ext cx="5688750" cy="106754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ДИНАМИКА</a:t>
          </a:r>
          <a:r>
            <a:rPr lang="en-US" sz="2000" b="1">
              <a:latin typeface="Arial" pitchFamily="34" charset="0"/>
              <a:cs typeface="Arial" pitchFamily="34" charset="0"/>
            </a:rPr>
            <a:t> </a:t>
          </a:r>
          <a:r>
            <a:rPr lang="ru-RU" sz="2000" b="1">
              <a:latin typeface="Arial" pitchFamily="34" charset="0"/>
              <a:cs typeface="Arial" pitchFamily="34" charset="0"/>
            </a:rPr>
            <a:t> КОНЕЧНОГО  ПОТРЕБЛЕНИЯ</a:t>
          </a:r>
        </a:p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НЕКОММЕРЧЕСКИХ ОРГАНИЗАЦИЙ</a:t>
          </a:r>
        </a:p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(базисный темп)</a:t>
          </a:r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en-US" sz="2000" b="1">
              <a:latin typeface="Arial" pitchFamily="34" charset="0"/>
              <a:cs typeface="Arial" pitchFamily="34" charset="0"/>
            </a:rPr>
            <a:t>                     </a:t>
          </a:r>
          <a:endParaRPr lang="ru-RU" sz="20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0.68559</cdr:x>
      <cdr:y>0.88734</cdr:y>
    </cdr:from>
    <cdr:to>
      <cdr:x>0.95355</cdr:x>
      <cdr:y>0.93097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C62E565B-F758-4D5E-85D4-ACC5727F5068}"/>
            </a:ext>
          </a:extLst>
        </cdr:cNvPr>
        <cdr:cNvSpPr txBox="1"/>
      </cdr:nvSpPr>
      <cdr:spPr>
        <a:xfrm xmlns:a="http://schemas.openxmlformats.org/drawingml/2006/main">
          <a:off x="6470423" y="8015190"/>
          <a:ext cx="2528923" cy="3941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baseline="0">
              <a:latin typeface="Arial" pitchFamily="34" charset="0"/>
              <a:cs typeface="Arial" pitchFamily="34" charset="0"/>
            </a:rPr>
            <a:t>  </a:t>
          </a:r>
          <a:r>
            <a:rPr lang="ru-RU" sz="1800" baseline="0">
              <a:latin typeface="Arial" pitchFamily="34" charset="0"/>
              <a:cs typeface="Arial" pitchFamily="34" charset="0"/>
            </a:rPr>
            <a:t>фактор  </a:t>
          </a:r>
          <a:r>
            <a:rPr lang="ru-RU" sz="1800" b="1" baseline="0">
              <a:latin typeface="Arial" pitchFamily="34" charset="0"/>
              <a:cs typeface="Arial" pitchFamily="34" charset="0"/>
            </a:rPr>
            <a:t>- ВРЕМЯ</a:t>
          </a:r>
          <a:endParaRPr lang="ru-RU" sz="18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0.60696</cdr:x>
      <cdr:y>0.52914</cdr:y>
    </cdr:from>
    <cdr:to>
      <cdr:x>0.61985</cdr:x>
      <cdr:y>0.55185</cdr:y>
    </cdr:to>
    <cdr:sp macro="" textlink="">
      <cdr:nvSpPr>
        <cdr:cNvPr id="9" name="TextBox 5">
          <a:extLst xmlns:a="http://schemas.openxmlformats.org/drawingml/2006/main">
            <a:ext uri="{FF2B5EF4-FFF2-40B4-BE49-F238E27FC236}">
              <a16:creationId xmlns:a16="http://schemas.microsoft.com/office/drawing/2014/main" id="{71F1EE7D-ED1E-453C-A8EA-CE26BCBCF352}"/>
            </a:ext>
          </a:extLst>
        </cdr:cNvPr>
        <cdr:cNvSpPr txBox="1"/>
      </cdr:nvSpPr>
      <cdr:spPr>
        <a:xfrm xmlns:a="http://schemas.openxmlformats.org/drawingml/2006/main">
          <a:off x="5728299" y="4779655"/>
          <a:ext cx="121638" cy="20509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ru-RU" sz="1800">
            <a:latin typeface="Arial" pitchFamily="34" charset="0"/>
            <a:cs typeface="Arial" pitchFamily="34" charset="0"/>
          </a:endParaRPr>
        </a:p>
      </cdr:txBody>
    </cdr:sp>
  </cdr:relSizeAnchor>
</c:userShapes>
</file>

<file path=xl/drawings/drawing52.xml><?xml version="1.0" encoding="utf-8"?>
<c:userShapes xmlns:c="http://schemas.openxmlformats.org/drawingml/2006/chart">
  <cdr:relSizeAnchor xmlns:cdr="http://schemas.openxmlformats.org/drawingml/2006/chartDrawing">
    <cdr:from>
      <cdr:x>0.08002</cdr:x>
      <cdr:y>0.03148</cdr:y>
    </cdr:from>
    <cdr:to>
      <cdr:x>0.16463</cdr:x>
      <cdr:y>0.09005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675175" y="287353"/>
          <a:ext cx="713888" cy="5346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</a:t>
          </a:r>
        </a:p>
      </cdr:txBody>
    </cdr:sp>
  </cdr:relSizeAnchor>
  <cdr:relSizeAnchor xmlns:cdr="http://schemas.openxmlformats.org/drawingml/2006/chartDrawing">
    <cdr:from>
      <cdr:x>0.19699</cdr:x>
      <cdr:y>0.08876</cdr:y>
    </cdr:from>
    <cdr:to>
      <cdr:x>0.87988</cdr:x>
      <cdr:y>0.25084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1951383" y="917865"/>
          <a:ext cx="6764708" cy="167611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</a:t>
          </a:r>
          <a:r>
            <a:rPr lang="ru-RU" sz="2400" b="1">
              <a:latin typeface="Arial" pitchFamily="34" charset="0"/>
              <a:cs typeface="Arial" pitchFamily="34" charset="0"/>
            </a:rPr>
            <a:t>РЕГРЕССИЯ</a:t>
          </a:r>
          <a:r>
            <a:rPr lang="ru-RU" sz="2400" b="1" baseline="0">
              <a:latin typeface="Arial" pitchFamily="34" charset="0"/>
              <a:cs typeface="Arial" pitchFamily="34" charset="0"/>
            </a:rPr>
            <a:t> БАЗИСНОГО ДЕФЛЯТОРА </a:t>
          </a:r>
        </a:p>
        <a:p xmlns:a="http://schemas.openxmlformats.org/drawingml/2006/main">
          <a:r>
            <a:rPr lang="ru-RU" sz="2400" b="1" baseline="0">
              <a:latin typeface="Arial" pitchFamily="34" charset="0"/>
              <a:cs typeface="Arial" pitchFamily="34" charset="0"/>
            </a:rPr>
            <a:t> ИН</a:t>
          </a:r>
          <a:r>
            <a:rPr lang="ru-RU" sz="2400" b="1">
              <a:latin typeface="Arial" pitchFamily="34" charset="0"/>
              <a:cs typeface="Arial" pitchFamily="34" charset="0"/>
            </a:rPr>
            <a:t>ВЕСТИЦИЙ В ОСНОВНОЙ КАПИТАЛ</a:t>
          </a:r>
          <a:r>
            <a:rPr lang="en-US" sz="2400" b="1">
              <a:latin typeface="Arial" pitchFamily="34" charset="0"/>
              <a:cs typeface="Arial" pitchFamily="34" charset="0"/>
            </a:rPr>
            <a:t> </a:t>
          </a:r>
          <a:endParaRPr lang="ru-RU" sz="24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ru-RU" sz="2400" b="1">
              <a:latin typeface="Arial" pitchFamily="34" charset="0"/>
              <a:cs typeface="Arial" pitchFamily="34" charset="0"/>
            </a:rPr>
            <a:t> ОТ БАЗИСНОГО ИНДЕКСА</a:t>
          </a:r>
        </a:p>
        <a:p xmlns:a="http://schemas.openxmlformats.org/drawingml/2006/main">
          <a:r>
            <a:rPr lang="ru-RU" sz="2400" b="1">
              <a:latin typeface="Arial" pitchFamily="34" charset="0"/>
              <a:cs typeface="Arial" pitchFamily="34" charset="0"/>
            </a:rPr>
            <a:t> ПОТРЕБИТЕЛЬСКИХ ЦЕН</a:t>
          </a:r>
          <a:endParaRPr lang="en-US" sz="24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en-US" sz="2400" b="1">
              <a:latin typeface="Arial" pitchFamily="34" charset="0"/>
              <a:cs typeface="Arial" pitchFamily="34" charset="0"/>
            </a:rPr>
            <a:t>                     </a:t>
          </a:r>
          <a:endParaRPr lang="ru-RU" sz="24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0.72372</cdr:x>
      <cdr:y>0.87966</cdr:y>
    </cdr:from>
    <cdr:to>
      <cdr:x>0.93791</cdr:x>
      <cdr:y>0.92329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C62E565B-F758-4D5E-85D4-ACC5727F5068}"/>
            </a:ext>
          </a:extLst>
        </cdr:cNvPr>
        <cdr:cNvSpPr txBox="1"/>
      </cdr:nvSpPr>
      <cdr:spPr>
        <a:xfrm xmlns:a="http://schemas.openxmlformats.org/drawingml/2006/main">
          <a:off x="6106402" y="8029665"/>
          <a:ext cx="1807285" cy="3982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2400" baseline="0">
              <a:latin typeface="Arial" pitchFamily="34" charset="0"/>
              <a:cs typeface="Arial" pitchFamily="34" charset="0"/>
            </a:rPr>
            <a:t>  </a:t>
          </a:r>
          <a:r>
            <a:rPr lang="ru-RU" sz="2400" baseline="0">
              <a:latin typeface="Arial" pitchFamily="34" charset="0"/>
              <a:cs typeface="Arial" pitchFamily="34" charset="0"/>
            </a:rPr>
            <a:t>фактор  </a:t>
          </a:r>
          <a:r>
            <a:rPr lang="ru-RU" sz="2400" b="1" baseline="0">
              <a:latin typeface="Arial" pitchFamily="34" charset="0"/>
              <a:cs typeface="Arial" pitchFamily="34" charset="0"/>
            </a:rPr>
            <a:t>- </a:t>
          </a:r>
          <a:r>
            <a:rPr lang="en-US" sz="2400" b="1" baseline="0">
              <a:latin typeface="Arial" pitchFamily="34" charset="0"/>
              <a:cs typeface="Arial" pitchFamily="34" charset="0"/>
            </a:rPr>
            <a:t>IPC</a:t>
          </a:r>
          <a:endParaRPr lang="ru-RU" sz="24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0.68974</cdr:x>
      <cdr:y>0.44159</cdr:y>
    </cdr:from>
    <cdr:to>
      <cdr:x>0.83271</cdr:x>
      <cdr:y>0.48703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C05C57E-6B9F-4CA9-9390-B31B20F966A5}"/>
            </a:ext>
          </a:extLst>
        </cdr:cNvPr>
        <cdr:cNvSpPr txBox="1"/>
      </cdr:nvSpPr>
      <cdr:spPr>
        <a:xfrm xmlns:a="http://schemas.openxmlformats.org/drawingml/2006/main">
          <a:off x="6832542" y="4566480"/>
          <a:ext cx="1416260" cy="46989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</a:t>
          </a:r>
          <a:r>
            <a:rPr lang="ru-RU" sz="2000">
              <a:latin typeface="Arial" pitchFamily="34" charset="0"/>
              <a:cs typeface="Arial" pitchFamily="34" charset="0"/>
            </a:rPr>
            <a:t>Тренд</a:t>
          </a:r>
          <a:r>
            <a:rPr lang="ru-RU" sz="1600" b="0">
              <a:latin typeface="Arial" pitchFamily="34" charset="0"/>
              <a:cs typeface="Arial" pitchFamily="34" charset="0"/>
            </a:rPr>
            <a:t> </a:t>
          </a:r>
          <a:r>
            <a:rPr lang="ru-RU" sz="1800" b="0">
              <a:latin typeface="Arial" pitchFamily="34" charset="0"/>
              <a:cs typeface="Arial" pitchFamily="34" charset="0"/>
            </a:rPr>
            <a:t> </a:t>
          </a:r>
        </a:p>
      </cdr:txBody>
    </cdr:sp>
  </cdr:relSizeAnchor>
  <cdr:relSizeAnchor xmlns:cdr="http://schemas.openxmlformats.org/drawingml/2006/chartDrawing">
    <cdr:from>
      <cdr:x>0.0954</cdr:x>
      <cdr:y>0.04508</cdr:y>
    </cdr:from>
    <cdr:to>
      <cdr:x>0.1604</cdr:x>
      <cdr:y>0.08858</cdr:y>
    </cdr:to>
    <cdr:sp macro="" textlink="">
      <cdr:nvSpPr>
        <cdr:cNvPr id="9" name="TextBox 5">
          <a:extLst xmlns:a="http://schemas.openxmlformats.org/drawingml/2006/main">
            <a:ext uri="{FF2B5EF4-FFF2-40B4-BE49-F238E27FC236}">
              <a16:creationId xmlns:a16="http://schemas.microsoft.com/office/drawing/2014/main" id="{71F1EE7D-ED1E-453C-A8EA-CE26BCBCF352}"/>
            </a:ext>
          </a:extLst>
        </cdr:cNvPr>
        <cdr:cNvSpPr txBox="1"/>
      </cdr:nvSpPr>
      <cdr:spPr>
        <a:xfrm xmlns:a="http://schemas.openxmlformats.org/drawingml/2006/main">
          <a:off x="804946" y="411460"/>
          <a:ext cx="548442" cy="3970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2000">
              <a:latin typeface="Arial" pitchFamily="34" charset="0"/>
              <a:cs typeface="Arial" pitchFamily="34" charset="0"/>
            </a:rPr>
            <a:t> </a:t>
          </a:r>
          <a:r>
            <a:rPr lang="en-US" sz="2400" b="1">
              <a:latin typeface="Arial" pitchFamily="34" charset="0"/>
              <a:cs typeface="Arial" pitchFamily="34" charset="0"/>
            </a:rPr>
            <a:t>Dn</a:t>
          </a:r>
          <a:r>
            <a:rPr lang="ru-RU" sz="2000">
              <a:latin typeface="Arial" pitchFamily="34" charset="0"/>
              <a:cs typeface="Arial" pitchFamily="34" charset="0"/>
            </a:rPr>
            <a:t>   </a:t>
          </a:r>
        </a:p>
      </cdr:txBody>
    </cdr:sp>
  </cdr:relSizeAnchor>
  <cdr:relSizeAnchor xmlns:cdr="http://schemas.openxmlformats.org/drawingml/2006/chartDrawing">
    <cdr:from>
      <cdr:x>0.73269</cdr:x>
      <cdr:y>0.26927</cdr:y>
    </cdr:from>
    <cdr:to>
      <cdr:x>0.79615</cdr:x>
      <cdr:y>0.31164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7258050" y="2784475"/>
          <a:ext cx="628650" cy="4381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600">
              <a:latin typeface="Arial" panose="020B0604020202020204" pitchFamily="34" charset="0"/>
              <a:cs typeface="Arial" panose="020B0604020202020204" pitchFamily="34" charset="0"/>
            </a:rPr>
            <a:t>2018</a:t>
          </a:r>
        </a:p>
      </cdr:txBody>
    </cdr:sp>
  </cdr:relSizeAnchor>
  <cdr:relSizeAnchor xmlns:cdr="http://schemas.openxmlformats.org/drawingml/2006/chartDrawing">
    <cdr:from>
      <cdr:x>0.43077</cdr:x>
      <cdr:y>0.40743</cdr:y>
    </cdr:from>
    <cdr:to>
      <cdr:x>0.49808</cdr:x>
      <cdr:y>0.44612</cdr:y>
    </cdr:to>
    <cdr:sp macro="" textlink="">
      <cdr:nvSpPr>
        <cdr:cNvPr id="6" name="TextBox 5"/>
        <cdr:cNvSpPr txBox="1"/>
      </cdr:nvSpPr>
      <cdr:spPr>
        <a:xfrm xmlns:a="http://schemas.openxmlformats.org/drawingml/2006/main">
          <a:off x="4267200" y="4213225"/>
          <a:ext cx="666750" cy="4000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600">
              <a:latin typeface="Arial" panose="020B0604020202020204" pitchFamily="34" charset="0"/>
              <a:cs typeface="Arial" panose="020B0604020202020204" pitchFamily="34" charset="0"/>
            </a:rPr>
            <a:t>2013</a:t>
          </a:r>
        </a:p>
      </cdr:txBody>
    </cdr:sp>
  </cdr:relSizeAnchor>
  <cdr:relSizeAnchor xmlns:cdr="http://schemas.openxmlformats.org/drawingml/2006/chartDrawing">
    <cdr:from>
      <cdr:x>0.10769</cdr:x>
      <cdr:y>0.78692</cdr:y>
    </cdr:from>
    <cdr:to>
      <cdr:x>0.17885</cdr:x>
      <cdr:y>0.82192</cdr:y>
    </cdr:to>
    <cdr:sp macro="" textlink="">
      <cdr:nvSpPr>
        <cdr:cNvPr id="8" name="TextBox 7"/>
        <cdr:cNvSpPr txBox="1"/>
      </cdr:nvSpPr>
      <cdr:spPr>
        <a:xfrm xmlns:a="http://schemas.openxmlformats.org/drawingml/2006/main">
          <a:off x="1066800" y="8137525"/>
          <a:ext cx="704850" cy="3619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600">
              <a:latin typeface="Arial" panose="020B0604020202020204" pitchFamily="34" charset="0"/>
              <a:cs typeface="Arial" panose="020B0604020202020204" pitchFamily="34" charset="0"/>
            </a:rPr>
            <a:t>2000</a:t>
          </a:r>
        </a:p>
      </cdr:txBody>
    </cdr:sp>
  </cdr:relSizeAnchor>
  <cdr:relSizeAnchor xmlns:cdr="http://schemas.openxmlformats.org/drawingml/2006/chartDrawing">
    <cdr:from>
      <cdr:x>0.30577</cdr:x>
      <cdr:y>0.54559</cdr:y>
    </cdr:from>
    <cdr:to>
      <cdr:x>0.37692</cdr:x>
      <cdr:y>0.58796</cdr:y>
    </cdr:to>
    <cdr:sp macro="" textlink="">
      <cdr:nvSpPr>
        <cdr:cNvPr id="10" name="TextBox 9"/>
        <cdr:cNvSpPr txBox="1"/>
      </cdr:nvSpPr>
      <cdr:spPr>
        <a:xfrm xmlns:a="http://schemas.openxmlformats.org/drawingml/2006/main">
          <a:off x="3028950" y="5641975"/>
          <a:ext cx="704850" cy="4381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600">
              <a:latin typeface="Arial" panose="020B0604020202020204" pitchFamily="34" charset="0"/>
              <a:cs typeface="Arial" panose="020B0604020202020204" pitchFamily="34" charset="0"/>
            </a:rPr>
            <a:t>2008</a:t>
          </a:r>
        </a:p>
      </cdr:txBody>
    </cdr:sp>
  </cdr:relSizeAnchor>
</c:userShapes>
</file>

<file path=xl/drawings/drawing53.xml><?xml version="1.0" encoding="utf-8"?>
<c:userShapes xmlns:c="http://schemas.openxmlformats.org/drawingml/2006/chart"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0.20038</cdr:x>
      <cdr:y>0.08007</cdr:y>
    </cdr:from>
    <cdr:to>
      <cdr:x>0.88327</cdr:x>
      <cdr:y>0.12974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1669258" y="680082"/>
          <a:ext cx="5688750" cy="42185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                БАЗИСНЫЙ</a:t>
          </a:r>
          <a:r>
            <a:rPr lang="ru-RU" sz="2000" b="1" baseline="0">
              <a:latin typeface="Arial" pitchFamily="34" charset="0"/>
              <a:cs typeface="Arial" pitchFamily="34" charset="0"/>
            </a:rPr>
            <a:t> ТЕМП</a:t>
          </a:r>
          <a:r>
            <a:rPr lang="ru-RU" sz="2000" b="1">
              <a:latin typeface="Arial" pitchFamily="34" charset="0"/>
              <a:cs typeface="Arial" pitchFamily="34" charset="0"/>
            </a:rPr>
            <a:t> ИМПОРТА</a:t>
          </a:r>
          <a:r>
            <a:rPr lang="en-US" sz="2000" b="1">
              <a:latin typeface="Arial" pitchFamily="34" charset="0"/>
              <a:cs typeface="Arial" pitchFamily="34" charset="0"/>
            </a:rPr>
            <a:t> </a:t>
          </a:r>
        </a:p>
        <a:p xmlns:a="http://schemas.openxmlformats.org/drawingml/2006/main">
          <a:r>
            <a:rPr lang="en-US" sz="2000" b="1">
              <a:latin typeface="Arial" pitchFamily="34" charset="0"/>
              <a:cs typeface="Arial" pitchFamily="34" charset="0"/>
            </a:rPr>
            <a:t>                     </a:t>
          </a:r>
          <a:endParaRPr lang="ru-RU" sz="20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0.68985</cdr:x>
      <cdr:y>0.87991</cdr:y>
    </cdr:from>
    <cdr:to>
      <cdr:x>0.95781</cdr:x>
      <cdr:y>0.92354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C62E565B-F758-4D5E-85D4-ACC5727F5068}"/>
            </a:ext>
          </a:extLst>
        </cdr:cNvPr>
        <cdr:cNvSpPr txBox="1"/>
      </cdr:nvSpPr>
      <cdr:spPr>
        <a:xfrm xmlns:a="http://schemas.openxmlformats.org/drawingml/2006/main">
          <a:off x="6086222" y="7906220"/>
          <a:ext cx="2364085" cy="39202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baseline="0">
              <a:latin typeface="Arial" pitchFamily="34" charset="0"/>
              <a:cs typeface="Arial" pitchFamily="34" charset="0"/>
            </a:rPr>
            <a:t>  </a:t>
          </a:r>
          <a:r>
            <a:rPr lang="ru-RU" sz="1800" baseline="0">
              <a:latin typeface="Arial" pitchFamily="34" charset="0"/>
              <a:cs typeface="Arial" pitchFamily="34" charset="0"/>
            </a:rPr>
            <a:t>фактор  </a:t>
          </a:r>
          <a:r>
            <a:rPr lang="ru-RU" sz="1800" b="1" baseline="0">
              <a:latin typeface="Arial" pitchFamily="34" charset="0"/>
              <a:cs typeface="Arial" pitchFamily="34" charset="0"/>
            </a:rPr>
            <a:t>- ВРЕМЯ</a:t>
          </a:r>
          <a:endParaRPr lang="ru-RU" sz="18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C05C57E-6B9F-4CA9-9390-B31B20F966A5}"/>
            </a:ext>
          </a:extLst>
        </cdr:cNvPr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</c:userShapes>
</file>

<file path=xl/drawings/drawing54.xml><?xml version="1.0" encoding="utf-8"?>
<c:userShapes xmlns:c="http://schemas.openxmlformats.org/drawingml/2006/chart"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0.23575</cdr:x>
      <cdr:y>0.08448</cdr:y>
    </cdr:from>
    <cdr:to>
      <cdr:x>0.8087</cdr:x>
      <cdr:y>0.23466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2151955" y="742981"/>
          <a:ext cx="5229920" cy="132077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РЕГРЕССИЯ</a:t>
          </a:r>
          <a:r>
            <a:rPr lang="en-US" sz="2000" b="1">
              <a:latin typeface="Arial" pitchFamily="34" charset="0"/>
              <a:cs typeface="Arial" pitchFamily="34" charset="0"/>
            </a:rPr>
            <a:t> </a:t>
          </a:r>
          <a:r>
            <a:rPr lang="ru-RU" sz="2000" b="1">
              <a:latin typeface="Arial" pitchFamily="34" charset="0"/>
              <a:cs typeface="Arial" pitchFamily="34" charset="0"/>
            </a:rPr>
            <a:t>БАЗИСНОГО</a:t>
          </a:r>
          <a:r>
            <a:rPr lang="ru-RU" sz="2000" b="1" baseline="0">
              <a:latin typeface="Arial" pitchFamily="34" charset="0"/>
              <a:cs typeface="Arial" pitchFamily="34" charset="0"/>
            </a:rPr>
            <a:t> ДЕФЛЯТОРА </a:t>
          </a:r>
        </a:p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ЭКСПОРТА</a:t>
          </a:r>
        </a:p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</a:t>
          </a:r>
          <a:r>
            <a:rPr lang="en-US" sz="2000" b="1">
              <a:latin typeface="Arial" pitchFamily="34" charset="0"/>
              <a:cs typeface="Arial" pitchFamily="34" charset="0"/>
            </a:rPr>
            <a:t>De= -0,3859*X</a:t>
          </a:r>
          <a:r>
            <a:rPr lang="en-US" sz="2000" b="1" baseline="0">
              <a:latin typeface="Arial" pitchFamily="34" charset="0"/>
              <a:cs typeface="Arial" pitchFamily="34" charset="0"/>
            </a:rPr>
            <a:t> + 43,544</a:t>
          </a:r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en-US" sz="2000" b="1">
              <a:latin typeface="Arial" pitchFamily="34" charset="0"/>
              <a:cs typeface="Arial" pitchFamily="34" charset="0"/>
            </a:rPr>
            <a:t> Xf = 0,42*CNF</a:t>
          </a:r>
          <a:r>
            <a:rPr lang="en-US" sz="2000" b="1" baseline="0">
              <a:latin typeface="Arial" pitchFamily="34" charset="0"/>
              <a:cs typeface="Arial" pitchFamily="34" charset="0"/>
            </a:rPr>
            <a:t> + </a:t>
          </a:r>
          <a:r>
            <a:rPr lang="en-US" sz="2000" b="1">
              <a:latin typeface="Arial" pitchFamily="34" charset="0"/>
              <a:cs typeface="Arial" pitchFamily="34" charset="0"/>
            </a:rPr>
            <a:t>0,58*WK </a:t>
          </a:r>
          <a:endParaRPr lang="ru-RU" sz="20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0.74926</cdr:x>
      <cdr:y>0.86401</cdr:y>
    </cdr:from>
    <cdr:to>
      <cdr:x>0.95781</cdr:x>
      <cdr:y>0.90764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C62E565B-F758-4D5E-85D4-ACC5727F5068}"/>
            </a:ext>
          </a:extLst>
        </cdr:cNvPr>
        <cdr:cNvSpPr txBox="1"/>
      </cdr:nvSpPr>
      <cdr:spPr>
        <a:xfrm xmlns:a="http://schemas.openxmlformats.org/drawingml/2006/main">
          <a:off x="6339890" y="6654822"/>
          <a:ext cx="1764644" cy="3360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baseline="0">
              <a:latin typeface="Arial" pitchFamily="34" charset="0"/>
              <a:cs typeface="Arial" pitchFamily="34" charset="0"/>
            </a:rPr>
            <a:t>  </a:t>
          </a:r>
          <a:r>
            <a:rPr lang="ru-RU" sz="1800" baseline="0">
              <a:latin typeface="Arial" pitchFamily="34" charset="0"/>
              <a:cs typeface="Arial" pitchFamily="34" charset="0"/>
            </a:rPr>
            <a:t>фактор  </a:t>
          </a:r>
          <a:r>
            <a:rPr lang="ru-RU" sz="1800" b="1" baseline="0">
              <a:latin typeface="Arial" pitchFamily="34" charset="0"/>
              <a:cs typeface="Arial" pitchFamily="34" charset="0"/>
            </a:rPr>
            <a:t>-  </a:t>
          </a:r>
          <a:r>
            <a:rPr lang="en-US" sz="1800" b="1" baseline="0">
              <a:latin typeface="Arial" pitchFamily="34" charset="0"/>
              <a:cs typeface="Arial" pitchFamily="34" charset="0"/>
            </a:rPr>
            <a:t>FA</a:t>
          </a:r>
          <a:endParaRPr lang="ru-RU" sz="18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0.07648</cdr:x>
      <cdr:y>0.04286</cdr:y>
    </cdr:from>
    <cdr:to>
      <cdr:x>0.15533</cdr:x>
      <cdr:y>0.09005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C05C57E-6B9F-4CA9-9390-B31B20F966A5}"/>
            </a:ext>
          </a:extLst>
        </cdr:cNvPr>
        <cdr:cNvSpPr txBox="1"/>
      </cdr:nvSpPr>
      <cdr:spPr>
        <a:xfrm xmlns:a="http://schemas.openxmlformats.org/drawingml/2006/main">
          <a:off x="659946" y="332877"/>
          <a:ext cx="680357" cy="3665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2000" b="1">
              <a:latin typeface="Arial" pitchFamily="34" charset="0"/>
              <a:cs typeface="Arial" pitchFamily="34" charset="0"/>
            </a:rPr>
            <a:t>De</a:t>
          </a:r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0.27917</cdr:x>
      <cdr:y>0.51871</cdr:y>
    </cdr:from>
    <cdr:to>
      <cdr:x>0.39618</cdr:x>
      <cdr:y>0.5535</cdr:y>
    </cdr:to>
    <cdr:sp macro="" textlink="">
      <cdr:nvSpPr>
        <cdr:cNvPr id="9" name="TextBox 5">
          <a:extLst xmlns:a="http://schemas.openxmlformats.org/drawingml/2006/main">
            <a:ext uri="{FF2B5EF4-FFF2-40B4-BE49-F238E27FC236}">
              <a16:creationId xmlns:a16="http://schemas.microsoft.com/office/drawing/2014/main" id="{71F1EE7D-ED1E-453C-A8EA-CE26BCBCF352}"/>
            </a:ext>
          </a:extLst>
        </cdr:cNvPr>
        <cdr:cNvSpPr txBox="1"/>
      </cdr:nvSpPr>
      <cdr:spPr>
        <a:xfrm xmlns:a="http://schemas.openxmlformats.org/drawingml/2006/main">
          <a:off x="2548334" y="4561934"/>
          <a:ext cx="1068082" cy="30597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600" b="1">
              <a:latin typeface="Arial" pitchFamily="34" charset="0"/>
              <a:cs typeface="Arial" pitchFamily="34" charset="0"/>
            </a:rPr>
            <a:t>Тренд 1</a:t>
          </a:r>
          <a:endParaRPr lang="en-US" sz="1600" b="1">
            <a:latin typeface="Arial" pitchFamily="34" charset="0"/>
            <a:cs typeface="Arial" pitchFamily="34" charset="0"/>
          </a:endParaRPr>
        </a:p>
        <a:p xmlns:a="http://schemas.openxmlformats.org/drawingml/2006/main">
          <a:endParaRPr lang="ru-RU" sz="1400">
            <a:latin typeface="Arial" pitchFamily="34" charset="0"/>
            <a:cs typeface="Arial" pitchFamily="34" charset="0"/>
          </a:endParaRPr>
        </a:p>
      </cdr:txBody>
    </cdr:sp>
  </cdr:relSizeAnchor>
</c:userShapes>
</file>

<file path=xl/drawings/drawing55.xml><?xml version="1.0" encoding="utf-8"?>
<c:userShapes xmlns:c="http://schemas.openxmlformats.org/drawingml/2006/chart"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0.19884</cdr:x>
      <cdr:y>0.12162</cdr:y>
    </cdr:from>
    <cdr:to>
      <cdr:x>0.81628</cdr:x>
      <cdr:y>0.23971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1729095" y="1059932"/>
          <a:ext cx="5369318" cy="10292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РЕГРЕССИЯ</a:t>
          </a:r>
          <a:r>
            <a:rPr lang="en-US" sz="2000" b="1">
              <a:latin typeface="Arial" pitchFamily="34" charset="0"/>
              <a:cs typeface="Arial" pitchFamily="34" charset="0"/>
            </a:rPr>
            <a:t> </a:t>
          </a:r>
          <a:r>
            <a:rPr lang="ru-RU" sz="2000" b="1">
              <a:latin typeface="Arial" pitchFamily="34" charset="0"/>
              <a:cs typeface="Arial" pitchFamily="34" charset="0"/>
            </a:rPr>
            <a:t> ЭКСПОРТА от ВЫПУСКА</a:t>
          </a:r>
        </a:p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В РЫНОЧНЫХ ЦЕНАХ  (трлн руб)</a:t>
          </a:r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</a:t>
          </a:r>
          <a:r>
            <a:rPr lang="en-US" sz="2000" b="1">
              <a:latin typeface="Arial" pitchFamily="34" charset="0"/>
              <a:cs typeface="Arial" pitchFamily="34" charset="0"/>
            </a:rPr>
            <a:t>EX = 0,</a:t>
          </a:r>
          <a:r>
            <a:rPr lang="ru-RU" sz="2000" b="1">
              <a:latin typeface="Arial" pitchFamily="34" charset="0"/>
              <a:cs typeface="Arial" pitchFamily="34" charset="0"/>
            </a:rPr>
            <a:t>1447</a:t>
          </a:r>
          <a:r>
            <a:rPr lang="en-US" sz="2000" b="1">
              <a:latin typeface="Arial" pitchFamily="34" charset="0"/>
              <a:cs typeface="Arial" pitchFamily="34" charset="0"/>
            </a:rPr>
            <a:t>*X</a:t>
          </a:r>
          <a:r>
            <a:rPr lang="en-US" sz="2000" b="1" baseline="0">
              <a:latin typeface="Arial" pitchFamily="34" charset="0"/>
              <a:cs typeface="Arial" pitchFamily="34" charset="0"/>
            </a:rPr>
            <a:t> + 0,</a:t>
          </a:r>
          <a:r>
            <a:rPr lang="ru-RU" sz="2000" b="1" baseline="0">
              <a:latin typeface="Arial" pitchFamily="34" charset="0"/>
              <a:cs typeface="Arial" pitchFamily="34" charset="0"/>
            </a:rPr>
            <a:t>7427</a:t>
          </a:r>
          <a:r>
            <a:rPr lang="en-US" sz="2000" b="1" baseline="0">
              <a:latin typeface="Arial" pitchFamily="34" charset="0"/>
              <a:cs typeface="Arial" pitchFamily="34" charset="0"/>
            </a:rPr>
            <a:t> </a:t>
          </a:r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en-US" sz="2000" b="1">
              <a:latin typeface="Arial" pitchFamily="34" charset="0"/>
              <a:cs typeface="Arial" pitchFamily="34" charset="0"/>
            </a:rPr>
            <a:t>                     </a:t>
          </a:r>
          <a:endParaRPr lang="ru-RU" sz="20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0.68985</cdr:x>
      <cdr:y>0.86401</cdr:y>
    </cdr:from>
    <cdr:to>
      <cdr:x>0.95781</cdr:x>
      <cdr:y>0.90764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C62E565B-F758-4D5E-85D4-ACC5727F5068}"/>
            </a:ext>
          </a:extLst>
        </cdr:cNvPr>
        <cdr:cNvSpPr txBox="1"/>
      </cdr:nvSpPr>
      <cdr:spPr>
        <a:xfrm xmlns:a="http://schemas.openxmlformats.org/drawingml/2006/main">
          <a:off x="5905500" y="6654786"/>
          <a:ext cx="2293922" cy="33604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baseline="0">
              <a:latin typeface="Arial" pitchFamily="34" charset="0"/>
              <a:cs typeface="Arial" pitchFamily="34" charset="0"/>
            </a:rPr>
            <a:t>  </a:t>
          </a:r>
          <a:r>
            <a:rPr lang="ru-RU" sz="2000" baseline="0">
              <a:latin typeface="Arial" pitchFamily="34" charset="0"/>
              <a:cs typeface="Arial" pitchFamily="34" charset="0"/>
            </a:rPr>
            <a:t>фактор  </a:t>
          </a:r>
          <a:r>
            <a:rPr lang="ru-RU" sz="2000" b="1" baseline="0">
              <a:latin typeface="Arial" pitchFamily="34" charset="0"/>
              <a:cs typeface="Arial" pitchFamily="34" charset="0"/>
            </a:rPr>
            <a:t>- </a:t>
          </a:r>
          <a:r>
            <a:rPr lang="en-US" sz="2000" b="1" baseline="0">
              <a:latin typeface="Arial" pitchFamily="34" charset="0"/>
              <a:cs typeface="Arial" pitchFamily="34" charset="0"/>
            </a:rPr>
            <a:t> </a:t>
          </a:r>
          <a:r>
            <a:rPr lang="en-US" sz="2400" b="1" baseline="0">
              <a:latin typeface="Arial" pitchFamily="34" charset="0"/>
              <a:cs typeface="Arial" pitchFamily="34" charset="0"/>
            </a:rPr>
            <a:t>X</a:t>
          </a:r>
          <a:endParaRPr lang="ru-RU" sz="20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0.08044</cdr:x>
      <cdr:y>0.03226</cdr:y>
    </cdr:from>
    <cdr:to>
      <cdr:x>0.1643</cdr:x>
      <cdr:y>0.08801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C05C57E-6B9F-4CA9-9390-B31B20F966A5}"/>
            </a:ext>
          </a:extLst>
        </cdr:cNvPr>
        <cdr:cNvSpPr txBox="1"/>
      </cdr:nvSpPr>
      <cdr:spPr>
        <a:xfrm xmlns:a="http://schemas.openxmlformats.org/drawingml/2006/main">
          <a:off x="699534" y="281143"/>
          <a:ext cx="729255" cy="4858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2400">
              <a:latin typeface="Arial" pitchFamily="34" charset="0"/>
              <a:cs typeface="Arial" pitchFamily="34" charset="0"/>
            </a:rPr>
            <a:t> </a:t>
          </a:r>
          <a:r>
            <a:rPr lang="en-US" sz="2000" b="1">
              <a:latin typeface="Arial" pitchFamily="34" charset="0"/>
              <a:cs typeface="Arial" pitchFamily="34" charset="0"/>
            </a:rPr>
            <a:t>EX</a:t>
          </a:r>
          <a:r>
            <a:rPr lang="ru-RU" sz="2400">
              <a:latin typeface="Arial" pitchFamily="34" charset="0"/>
              <a:cs typeface="Arial" pitchFamily="34" charset="0"/>
            </a:rPr>
            <a:t>  </a:t>
          </a:r>
          <a:r>
            <a:rPr lang="ru-RU" sz="1800">
              <a:latin typeface="Arial" pitchFamily="34" charset="0"/>
              <a:cs typeface="Arial" pitchFamily="34" charset="0"/>
            </a:rPr>
            <a:t> </a:t>
          </a:r>
        </a:p>
      </cdr:txBody>
    </cdr:sp>
  </cdr:relSizeAnchor>
  <cdr:relSizeAnchor xmlns:cdr="http://schemas.openxmlformats.org/drawingml/2006/chartDrawing">
    <cdr:from>
      <cdr:x>0.29138</cdr:x>
      <cdr:y>0.38641</cdr:y>
    </cdr:from>
    <cdr:to>
      <cdr:x>0.40188</cdr:x>
      <cdr:y>0.43403</cdr:y>
    </cdr:to>
    <cdr:sp macro="" textlink="">
      <cdr:nvSpPr>
        <cdr:cNvPr id="9" name="TextBox 5">
          <a:extLst xmlns:a="http://schemas.openxmlformats.org/drawingml/2006/main">
            <a:ext uri="{FF2B5EF4-FFF2-40B4-BE49-F238E27FC236}">
              <a16:creationId xmlns:a16="http://schemas.microsoft.com/office/drawing/2014/main" id="{71F1EE7D-ED1E-453C-A8EA-CE26BCBCF352}"/>
            </a:ext>
          </a:extLst>
        </cdr:cNvPr>
        <cdr:cNvSpPr txBox="1"/>
      </cdr:nvSpPr>
      <cdr:spPr>
        <a:xfrm xmlns:a="http://schemas.openxmlformats.org/drawingml/2006/main">
          <a:off x="2427315" y="3296468"/>
          <a:ext cx="920509" cy="40625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600">
              <a:latin typeface="Arial" pitchFamily="34" charset="0"/>
              <a:cs typeface="Arial" pitchFamily="34" charset="0"/>
            </a:rPr>
            <a:t>Тренд 1  </a:t>
          </a:r>
        </a:p>
      </cdr:txBody>
    </cdr:sp>
  </cdr:relSizeAnchor>
  <cdr:relSizeAnchor xmlns:cdr="http://schemas.openxmlformats.org/drawingml/2006/chartDrawing">
    <cdr:from>
      <cdr:x>0.73896</cdr:x>
      <cdr:y>0.30484</cdr:y>
    </cdr:from>
    <cdr:to>
      <cdr:x>0.79677</cdr:x>
      <cdr:y>0.34491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695847" y="2898774"/>
          <a:ext cx="523875" cy="381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400">
              <a:latin typeface="Arial" panose="020B0604020202020204" pitchFamily="34" charset="0"/>
              <a:cs typeface="Arial" panose="020B0604020202020204" pitchFamily="34" charset="0"/>
            </a:rPr>
            <a:t>2017</a:t>
          </a:r>
        </a:p>
      </cdr:txBody>
    </cdr:sp>
  </cdr:relSizeAnchor>
  <cdr:relSizeAnchor xmlns:cdr="http://schemas.openxmlformats.org/drawingml/2006/chartDrawing">
    <cdr:from>
      <cdr:x>0.57953</cdr:x>
      <cdr:y>0.27479</cdr:y>
    </cdr:from>
    <cdr:to>
      <cdr:x>0.68044</cdr:x>
      <cdr:y>0.37096</cdr:y>
    </cdr:to>
    <cdr:sp macro="" textlink="">
      <cdr:nvSpPr>
        <cdr:cNvPr id="6" name="TextBox 5"/>
        <cdr:cNvSpPr txBox="1"/>
      </cdr:nvSpPr>
      <cdr:spPr>
        <a:xfrm xmlns:a="http://schemas.openxmlformats.org/drawingml/2006/main">
          <a:off x="5251222" y="2613024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400">
              <a:latin typeface="Arial" panose="020B0604020202020204" pitchFamily="34" charset="0"/>
              <a:cs typeface="Arial" panose="020B0604020202020204" pitchFamily="34" charset="0"/>
            </a:rPr>
            <a:t>2015</a:t>
          </a:r>
        </a:p>
      </cdr:txBody>
    </cdr:sp>
  </cdr:relSizeAnchor>
  <cdr:relSizeAnchor xmlns:cdr="http://schemas.openxmlformats.org/drawingml/2006/chartDrawing">
    <cdr:from>
      <cdr:x>0.28344</cdr:x>
      <cdr:y>0.57196</cdr:y>
    </cdr:from>
    <cdr:to>
      <cdr:x>0.35352</cdr:x>
      <cdr:y>0.60869</cdr:y>
    </cdr:to>
    <cdr:sp macro="" textlink="">
      <cdr:nvSpPr>
        <cdr:cNvPr id="8" name="TextBox 7"/>
        <cdr:cNvSpPr txBox="1"/>
      </cdr:nvSpPr>
      <cdr:spPr>
        <a:xfrm xmlns:a="http://schemas.openxmlformats.org/drawingml/2006/main">
          <a:off x="2568347" y="5438774"/>
          <a:ext cx="635000" cy="3492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400">
              <a:latin typeface="Arial" panose="020B0604020202020204" pitchFamily="34" charset="0"/>
              <a:cs typeface="Arial" panose="020B0604020202020204" pitchFamily="34" charset="0"/>
            </a:rPr>
            <a:t>2008</a:t>
          </a:r>
        </a:p>
      </cdr:txBody>
    </cdr:sp>
  </cdr:relSizeAnchor>
  <cdr:relSizeAnchor xmlns:cdr="http://schemas.openxmlformats.org/drawingml/2006/chartDrawing">
    <cdr:from>
      <cdr:x>0.36228</cdr:x>
      <cdr:y>0.66545</cdr:y>
    </cdr:from>
    <cdr:to>
      <cdr:x>0.4632</cdr:x>
      <cdr:y>0.76161</cdr:y>
    </cdr:to>
    <cdr:sp macro="" textlink="">
      <cdr:nvSpPr>
        <cdr:cNvPr id="10" name="TextBox 9"/>
        <cdr:cNvSpPr txBox="1"/>
      </cdr:nvSpPr>
      <cdr:spPr>
        <a:xfrm xmlns:a="http://schemas.openxmlformats.org/drawingml/2006/main">
          <a:off x="3282722" y="6327774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ru-RU" sz="1100"/>
        </a:p>
      </cdr:txBody>
    </cdr:sp>
  </cdr:relSizeAnchor>
  <cdr:relSizeAnchor xmlns:cdr="http://schemas.openxmlformats.org/drawingml/2006/chartDrawing">
    <cdr:from>
      <cdr:x>0.35002</cdr:x>
      <cdr:y>0.65543</cdr:y>
    </cdr:from>
    <cdr:to>
      <cdr:x>0.41309</cdr:x>
      <cdr:y>0.70218</cdr:y>
    </cdr:to>
    <cdr:sp macro="" textlink="">
      <cdr:nvSpPr>
        <cdr:cNvPr id="11" name="TextBox 10"/>
        <cdr:cNvSpPr txBox="1"/>
      </cdr:nvSpPr>
      <cdr:spPr>
        <a:xfrm xmlns:a="http://schemas.openxmlformats.org/drawingml/2006/main">
          <a:off x="3171597" y="6232524"/>
          <a:ext cx="571500" cy="444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400">
              <a:latin typeface="Arial" panose="020B0604020202020204" pitchFamily="34" charset="0"/>
              <a:cs typeface="Arial" panose="020B0604020202020204" pitchFamily="34" charset="0"/>
            </a:rPr>
            <a:t>2009</a:t>
          </a:r>
        </a:p>
      </cdr:txBody>
    </cdr:sp>
  </cdr:relSizeAnchor>
</c:userShapes>
</file>

<file path=xl/drawings/drawing56.xml><?xml version="1.0" encoding="utf-8"?>
<c:userShapes xmlns:c="http://schemas.openxmlformats.org/drawingml/2006/chart"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0.15295</cdr:x>
      <cdr:y>0.11321</cdr:y>
    </cdr:from>
    <cdr:to>
      <cdr:x>0.83584</cdr:x>
      <cdr:y>0.16288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1402176" y="1015404"/>
          <a:ext cx="6260608" cy="4455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</a:t>
          </a:r>
          <a:r>
            <a:rPr lang="ru-RU" sz="2400" b="1">
              <a:latin typeface="Arial" pitchFamily="34" charset="0"/>
              <a:cs typeface="Arial" pitchFamily="34" charset="0"/>
            </a:rPr>
            <a:t>ДИНАМИКА</a:t>
          </a:r>
          <a:r>
            <a:rPr lang="en-US" sz="2400" b="1">
              <a:latin typeface="Arial" pitchFamily="34" charset="0"/>
              <a:cs typeface="Arial" pitchFamily="34" charset="0"/>
            </a:rPr>
            <a:t> </a:t>
          </a:r>
          <a:r>
            <a:rPr lang="ru-RU" sz="2400" b="1">
              <a:latin typeface="Arial" pitchFamily="34" charset="0"/>
              <a:cs typeface="Arial" pitchFamily="34" charset="0"/>
            </a:rPr>
            <a:t> ЭКСПОРТА</a:t>
          </a:r>
          <a:r>
            <a:rPr lang="en-US" sz="2400" b="1">
              <a:latin typeface="Arial" pitchFamily="34" charset="0"/>
              <a:cs typeface="Arial" pitchFamily="34" charset="0"/>
            </a:rPr>
            <a:t> </a:t>
          </a:r>
          <a:r>
            <a:rPr lang="ru-RU" sz="2400" b="1">
              <a:latin typeface="Arial" pitchFamily="34" charset="0"/>
              <a:cs typeface="Arial" pitchFamily="34" charset="0"/>
            </a:rPr>
            <a:t> (базисный темп)</a:t>
          </a:r>
          <a:endParaRPr lang="en-US" sz="24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en-US" sz="2000" b="1">
              <a:latin typeface="Arial" pitchFamily="34" charset="0"/>
              <a:cs typeface="Arial" pitchFamily="34" charset="0"/>
            </a:rPr>
            <a:t>                     </a:t>
          </a:r>
          <a:endParaRPr lang="ru-RU" sz="20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0.68985</cdr:x>
      <cdr:y>0.86401</cdr:y>
    </cdr:from>
    <cdr:to>
      <cdr:x>0.95781</cdr:x>
      <cdr:y>0.90764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C62E565B-F758-4D5E-85D4-ACC5727F5068}"/>
            </a:ext>
          </a:extLst>
        </cdr:cNvPr>
        <cdr:cNvSpPr txBox="1"/>
      </cdr:nvSpPr>
      <cdr:spPr>
        <a:xfrm xmlns:a="http://schemas.openxmlformats.org/drawingml/2006/main">
          <a:off x="5905500" y="6654786"/>
          <a:ext cx="2293922" cy="33604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baseline="0">
              <a:latin typeface="Arial" pitchFamily="34" charset="0"/>
              <a:cs typeface="Arial" pitchFamily="34" charset="0"/>
            </a:rPr>
            <a:t>  </a:t>
          </a:r>
          <a:r>
            <a:rPr lang="ru-RU" sz="1800" baseline="0">
              <a:latin typeface="Arial" pitchFamily="34" charset="0"/>
              <a:cs typeface="Arial" pitchFamily="34" charset="0"/>
            </a:rPr>
            <a:t>фактор  </a:t>
          </a:r>
          <a:r>
            <a:rPr lang="ru-RU" sz="1800" b="1" baseline="0">
              <a:latin typeface="Arial" pitchFamily="34" charset="0"/>
              <a:cs typeface="Arial" pitchFamily="34" charset="0"/>
            </a:rPr>
            <a:t>- ВРЕМЯ</a:t>
          </a:r>
          <a:endParaRPr lang="ru-RU" sz="18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C05C57E-6B9F-4CA9-9390-B31B20F966A5}"/>
            </a:ext>
          </a:extLst>
        </cdr:cNvPr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0.271</cdr:x>
      <cdr:y>0.50796</cdr:y>
    </cdr:from>
    <cdr:to>
      <cdr:x>0.33333</cdr:x>
      <cdr:y>0.55044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2484439" y="4556124"/>
          <a:ext cx="571500" cy="381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400">
              <a:latin typeface="Arial" panose="020B0604020202020204" pitchFamily="34" charset="0"/>
              <a:cs typeface="Arial" panose="020B0604020202020204" pitchFamily="34" charset="0"/>
            </a:rPr>
            <a:t>2008</a:t>
          </a:r>
        </a:p>
      </cdr:txBody>
    </cdr:sp>
  </cdr:relSizeAnchor>
  <cdr:relSizeAnchor xmlns:cdr="http://schemas.openxmlformats.org/drawingml/2006/chartDrawing">
    <cdr:from>
      <cdr:x>0.32468</cdr:x>
      <cdr:y>0.60354</cdr:y>
    </cdr:from>
    <cdr:to>
      <cdr:x>0.38701</cdr:x>
      <cdr:y>0.65487</cdr:y>
    </cdr:to>
    <cdr:sp macro="" textlink="">
      <cdr:nvSpPr>
        <cdr:cNvPr id="6" name="TextBox 5"/>
        <cdr:cNvSpPr txBox="1"/>
      </cdr:nvSpPr>
      <cdr:spPr>
        <a:xfrm xmlns:a="http://schemas.openxmlformats.org/drawingml/2006/main">
          <a:off x="2976564" y="5413374"/>
          <a:ext cx="571500" cy="4603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400">
              <a:latin typeface="Arial" panose="020B0604020202020204" pitchFamily="34" charset="0"/>
              <a:cs typeface="Arial" panose="020B0604020202020204" pitchFamily="34" charset="0"/>
            </a:rPr>
            <a:t>2009</a:t>
          </a:r>
        </a:p>
        <a:p xmlns:a="http://schemas.openxmlformats.org/drawingml/2006/main">
          <a:endParaRPr lang="ru-RU" sz="14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0.05801</cdr:x>
      <cdr:y>0.87611</cdr:y>
    </cdr:from>
    <cdr:to>
      <cdr:x>0.1342</cdr:x>
      <cdr:y>0.92566</cdr:y>
    </cdr:to>
    <cdr:sp macro="" textlink="">
      <cdr:nvSpPr>
        <cdr:cNvPr id="8" name="TextBox 7"/>
        <cdr:cNvSpPr txBox="1"/>
      </cdr:nvSpPr>
      <cdr:spPr>
        <a:xfrm xmlns:a="http://schemas.openxmlformats.org/drawingml/2006/main">
          <a:off x="531814" y="7858124"/>
          <a:ext cx="698500" cy="444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400">
              <a:latin typeface="Arial" panose="020B0604020202020204" pitchFamily="34" charset="0"/>
              <a:cs typeface="Arial" panose="020B0604020202020204" pitchFamily="34" charset="0"/>
            </a:rPr>
            <a:t>1998</a:t>
          </a:r>
        </a:p>
      </cdr:txBody>
    </cdr:sp>
  </cdr:relSizeAnchor>
  <cdr:relSizeAnchor xmlns:cdr="http://schemas.openxmlformats.org/drawingml/2006/chartDrawing">
    <cdr:from>
      <cdr:x>0.56883</cdr:x>
      <cdr:y>0.33982</cdr:y>
    </cdr:from>
    <cdr:to>
      <cdr:x>0.63983</cdr:x>
      <cdr:y>0.37699</cdr:y>
    </cdr:to>
    <cdr:sp macro="" textlink="">
      <cdr:nvSpPr>
        <cdr:cNvPr id="10" name="TextBox 9"/>
        <cdr:cNvSpPr txBox="1"/>
      </cdr:nvSpPr>
      <cdr:spPr>
        <a:xfrm xmlns:a="http://schemas.openxmlformats.org/drawingml/2006/main">
          <a:off x="5214939" y="3047999"/>
          <a:ext cx="650875" cy="3333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400">
              <a:latin typeface="Arial" panose="020B0604020202020204" pitchFamily="34" charset="0"/>
              <a:cs typeface="Arial" panose="020B0604020202020204" pitchFamily="34" charset="0"/>
            </a:rPr>
            <a:t>2018</a:t>
          </a:r>
        </a:p>
      </cdr:txBody>
    </cdr:sp>
  </cdr:relSizeAnchor>
  <cdr:relSizeAnchor xmlns:cdr="http://schemas.openxmlformats.org/drawingml/2006/chartDrawing">
    <cdr:from>
      <cdr:x>0.55152</cdr:x>
      <cdr:y>0.38938</cdr:y>
    </cdr:from>
    <cdr:to>
      <cdr:x>0.61558</cdr:x>
      <cdr:y>0.42832</cdr:y>
    </cdr:to>
    <cdr:sp macro="" textlink="">
      <cdr:nvSpPr>
        <cdr:cNvPr id="11" name="TextBox 10"/>
        <cdr:cNvSpPr txBox="1"/>
      </cdr:nvSpPr>
      <cdr:spPr>
        <a:xfrm xmlns:a="http://schemas.openxmlformats.org/drawingml/2006/main">
          <a:off x="5056189" y="3492499"/>
          <a:ext cx="587375" cy="3492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400">
              <a:latin typeface="Arial" panose="020B0604020202020204" pitchFamily="34" charset="0"/>
              <a:cs typeface="Arial" panose="020B0604020202020204" pitchFamily="34" charset="0"/>
            </a:rPr>
            <a:t>2017</a:t>
          </a:r>
        </a:p>
      </cdr:txBody>
    </cdr:sp>
  </cdr:relSizeAnchor>
  <cdr:relSizeAnchor xmlns:cdr="http://schemas.openxmlformats.org/drawingml/2006/chartDrawing">
    <cdr:from>
      <cdr:x>0.24329</cdr:x>
      <cdr:y>0.29735</cdr:y>
    </cdr:from>
    <cdr:to>
      <cdr:x>0.34303</cdr:x>
      <cdr:y>0.33805</cdr:y>
    </cdr:to>
    <cdr:sp macro="" textlink="">
      <cdr:nvSpPr>
        <cdr:cNvPr id="12" name="TextBox 11"/>
        <cdr:cNvSpPr txBox="1"/>
      </cdr:nvSpPr>
      <cdr:spPr>
        <a:xfrm xmlns:a="http://schemas.openxmlformats.org/drawingml/2006/main">
          <a:off x="2230439" y="2666999"/>
          <a:ext cx="914400" cy="3651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anose="020B0604020202020204" pitchFamily="34" charset="0"/>
              <a:cs typeface="Arial" panose="020B0604020202020204" pitchFamily="34" charset="0"/>
            </a:rPr>
            <a:t>Тренд</a:t>
          </a:r>
        </a:p>
      </cdr:txBody>
    </cdr:sp>
  </cdr:relSizeAnchor>
</c:userShapes>
</file>

<file path=xl/drawings/drawing57.xml><?xml version="1.0" encoding="utf-8"?>
<c:userShapes xmlns:c="http://schemas.openxmlformats.org/drawingml/2006/chart">
  <cdr:relSizeAnchor xmlns:cdr="http://schemas.openxmlformats.org/drawingml/2006/chartDrawing">
    <cdr:from>
      <cdr:x>0.36456</cdr:x>
      <cdr:y>0.45318</cdr:y>
    </cdr:from>
    <cdr:to>
      <cdr:x>0.47861</cdr:x>
      <cdr:y>0.51921</cdr:y>
    </cdr:to>
    <cdr:sp macro="" textlink="">
      <cdr:nvSpPr>
        <cdr:cNvPr id="237569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47420" y="3956796"/>
          <a:ext cx="1047219" cy="57652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32004" rIns="36576" bIns="32004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en-US" sz="1800" b="1" i="0" strike="noStrike">
              <a:solidFill>
                <a:srgbClr val="000000"/>
              </a:solidFill>
              <a:latin typeface="Arial Cyr"/>
            </a:rPr>
            <a:t>^WK</a:t>
          </a:r>
          <a:endParaRPr lang="en-US" sz="1600" b="1" i="0" strike="noStrike">
            <a:solidFill>
              <a:srgbClr val="000000"/>
            </a:solidFill>
            <a:latin typeface="Arial Cyr"/>
          </a:endParaRPr>
        </a:p>
      </cdr:txBody>
    </cdr:sp>
  </cdr:relSizeAnchor>
  <cdr:relSizeAnchor xmlns:cdr="http://schemas.openxmlformats.org/drawingml/2006/chartDrawing">
    <cdr:from>
      <cdr:x>0.78613</cdr:x>
      <cdr:y>0.29247</cdr:y>
    </cdr:from>
    <cdr:to>
      <cdr:x>0.94327</cdr:x>
      <cdr:y>0.35767</cdr:y>
    </cdr:to>
    <cdr:sp macro="" textlink="">
      <cdr:nvSpPr>
        <cdr:cNvPr id="237570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818940" y="2567585"/>
          <a:ext cx="1363036" cy="57238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22860" rIns="36576" bIns="22860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ru-RU" sz="2000" b="0" i="0" strike="noStrike">
              <a:solidFill>
                <a:srgbClr val="000000"/>
              </a:solidFill>
              <a:latin typeface="Arial Cyr"/>
            </a:rPr>
            <a:t>сценарий </a:t>
          </a:r>
        </a:p>
      </cdr:txBody>
    </cdr:sp>
  </cdr:relSizeAnchor>
  <cdr:relSizeAnchor xmlns:cdr="http://schemas.openxmlformats.org/drawingml/2006/chartDrawing">
    <cdr:from>
      <cdr:x>0.82449</cdr:x>
      <cdr:y>0.86692</cdr:y>
    </cdr:from>
    <cdr:to>
      <cdr:x>0.93934</cdr:x>
      <cdr:y>0.90792</cdr:y>
    </cdr:to>
    <cdr:sp macro="" textlink="">
      <cdr:nvSpPr>
        <cdr:cNvPr id="237571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7950166" y="7918836"/>
          <a:ext cx="1107439" cy="37451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22860" rIns="36576" bIns="22860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ru-RU" sz="2000" b="1" i="0" strike="noStrike">
              <a:solidFill>
                <a:srgbClr val="000000"/>
              </a:solidFill>
              <a:latin typeface="Arial Cyr"/>
            </a:rPr>
            <a:t>время</a:t>
          </a:r>
        </a:p>
      </cdr:txBody>
    </cdr:sp>
  </cdr:relSizeAnchor>
  <cdr:relSizeAnchor xmlns:cdr="http://schemas.openxmlformats.org/drawingml/2006/chartDrawing">
    <cdr:from>
      <cdr:x>0.07605</cdr:x>
      <cdr:y>0.04012</cdr:y>
    </cdr:from>
    <cdr:to>
      <cdr:x>0.15837</cdr:x>
      <cdr:y>0.09831</cdr:y>
    </cdr:to>
    <cdr:sp macro="" textlink="">
      <cdr:nvSpPr>
        <cdr:cNvPr id="237572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733340" y="366438"/>
          <a:ext cx="793769" cy="5315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32004" rIns="36576" bIns="32004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en-US" sz="2000" b="1" i="0" strike="noStrike">
              <a:solidFill>
                <a:srgbClr val="000000"/>
              </a:solidFill>
              <a:latin typeface="Arial Cyr"/>
            </a:rPr>
            <a:t>WK</a:t>
          </a:r>
        </a:p>
      </cdr:txBody>
    </cdr:sp>
  </cdr:relSizeAnchor>
  <cdr:relSizeAnchor xmlns:cdr="http://schemas.openxmlformats.org/drawingml/2006/chartDrawing">
    <cdr:from>
      <cdr:x>0.18833</cdr:x>
      <cdr:y>0.08726</cdr:y>
    </cdr:from>
    <cdr:to>
      <cdr:x>0.94358</cdr:x>
      <cdr:y>0.16155</cdr:y>
    </cdr:to>
    <cdr:sp macro="" textlink="">
      <cdr:nvSpPr>
        <cdr:cNvPr id="237573" name="Text Box 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379465" y="677388"/>
          <a:ext cx="5531999" cy="57673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22860" rIns="36576" bIns="22860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ru-RU" sz="2400" b="1" i="0" strike="noStrike">
              <a:solidFill>
                <a:srgbClr val="000000"/>
              </a:solidFill>
              <a:latin typeface="Arial Cyr"/>
            </a:rPr>
            <a:t>ВАЛЮТНЫЙ КУРС РУБЛЯ  </a:t>
          </a:r>
          <a:r>
            <a:rPr lang="en-US" sz="2400" b="1" i="0" strike="noStrike">
              <a:solidFill>
                <a:srgbClr val="000000"/>
              </a:solidFill>
              <a:latin typeface="Arial Cyr"/>
            </a:rPr>
            <a:t>( </a:t>
          </a:r>
          <a:r>
            <a:rPr lang="ru-RU" sz="2400" b="1" i="0" strike="noStrike">
              <a:solidFill>
                <a:srgbClr val="000000"/>
              </a:solidFill>
              <a:latin typeface="Arial Cyr"/>
            </a:rPr>
            <a:t>руб/</a:t>
          </a:r>
          <a:r>
            <a:rPr lang="en-US" sz="2400" b="1" i="0" strike="noStrike">
              <a:solidFill>
                <a:srgbClr val="000000"/>
              </a:solidFill>
              <a:latin typeface="Arial Cyr"/>
            </a:rPr>
            <a:t>$ )</a:t>
          </a:r>
          <a:endParaRPr lang="ru-RU" sz="2400" b="1" i="0" strike="noStrike">
            <a:solidFill>
              <a:srgbClr val="000000"/>
            </a:solidFill>
            <a:latin typeface="Arial Cyr"/>
          </a:endParaRPr>
        </a:p>
      </cdr:txBody>
    </cdr:sp>
  </cdr:relSizeAnchor>
</c:userShapes>
</file>

<file path=xl/drawings/drawing58.xml><?xml version="1.0" encoding="utf-8"?>
<c:userShapes xmlns:c="http://schemas.openxmlformats.org/drawingml/2006/chart"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0.18155</cdr:x>
      <cdr:y>0.11433</cdr:y>
    </cdr:from>
    <cdr:to>
      <cdr:x>0.93109</cdr:x>
      <cdr:y>0.20318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1651483" y="953946"/>
          <a:ext cx="6818096" cy="7413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algn="ctr"/>
          <a:r>
            <a:rPr lang="ru-RU" sz="2000" b="1">
              <a:latin typeface="Arial" pitchFamily="34" charset="0"/>
              <a:cs typeface="Arial" pitchFamily="34" charset="0"/>
            </a:rPr>
            <a:t> ДИНАМИКА И ПРОГНОЗ</a:t>
          </a:r>
          <a:r>
            <a:rPr lang="en-US" sz="2000" b="1">
              <a:latin typeface="Arial" pitchFamily="34" charset="0"/>
              <a:cs typeface="Arial" pitchFamily="34" charset="0"/>
            </a:rPr>
            <a:t> </a:t>
          </a:r>
          <a:r>
            <a:rPr lang="ru-RU" sz="2000" b="1">
              <a:latin typeface="Arial" pitchFamily="34" charset="0"/>
              <a:cs typeface="Arial" pitchFamily="34" charset="0"/>
            </a:rPr>
            <a:t>БАЗИСНОГО</a:t>
          </a:r>
          <a:r>
            <a:rPr lang="ru-RU" sz="2000" b="1" baseline="0">
              <a:latin typeface="Arial" pitchFamily="34" charset="0"/>
              <a:cs typeface="Arial" pitchFamily="34" charset="0"/>
            </a:rPr>
            <a:t> ДЕФЛЯТОРА </a:t>
          </a:r>
        </a:p>
        <a:p xmlns:a="http://schemas.openxmlformats.org/drawingml/2006/main">
          <a:pPr algn="ctr"/>
          <a:r>
            <a:rPr lang="ru-RU" sz="2000" b="1">
              <a:latin typeface="Arial" pitchFamily="34" charset="0"/>
              <a:cs typeface="Arial" pitchFamily="34" charset="0"/>
            </a:rPr>
            <a:t> МОДИФИЦИРОВАННОГО ЭКСПОРТА</a:t>
          </a:r>
        </a:p>
        <a:p xmlns:a="http://schemas.openxmlformats.org/drawingml/2006/main">
          <a:pPr algn="ctr"/>
          <a:r>
            <a:rPr lang="ru-RU" sz="2000" b="1">
              <a:latin typeface="Arial" pitchFamily="34" charset="0"/>
              <a:cs typeface="Arial" pitchFamily="34" charset="0"/>
            </a:rPr>
            <a:t> </a:t>
          </a:r>
        </a:p>
      </cdr:txBody>
    </cdr:sp>
  </cdr:relSizeAnchor>
  <cdr:relSizeAnchor xmlns:cdr="http://schemas.openxmlformats.org/drawingml/2006/chartDrawing">
    <cdr:from>
      <cdr:x>0.75965</cdr:x>
      <cdr:y>0.86487</cdr:y>
    </cdr:from>
    <cdr:to>
      <cdr:x>0.95986</cdr:x>
      <cdr:y>0.90828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C62E565B-F758-4D5E-85D4-ACC5727F5068}"/>
            </a:ext>
          </a:extLst>
        </cdr:cNvPr>
        <cdr:cNvSpPr txBox="1"/>
      </cdr:nvSpPr>
      <cdr:spPr>
        <a:xfrm xmlns:a="http://schemas.openxmlformats.org/drawingml/2006/main">
          <a:off x="6910050" y="7216358"/>
          <a:ext cx="1821185" cy="3622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baseline="0">
              <a:latin typeface="Arial" pitchFamily="34" charset="0"/>
              <a:cs typeface="Arial" pitchFamily="34" charset="0"/>
            </a:rPr>
            <a:t>  </a:t>
          </a:r>
          <a:r>
            <a:rPr lang="ru-RU" sz="1800" baseline="0">
              <a:latin typeface="Arial" pitchFamily="34" charset="0"/>
              <a:cs typeface="Arial" pitchFamily="34" charset="0"/>
            </a:rPr>
            <a:t>фактор  </a:t>
          </a:r>
          <a:r>
            <a:rPr lang="ru-RU" sz="1800" b="1" baseline="0">
              <a:latin typeface="Arial" pitchFamily="34" charset="0"/>
              <a:cs typeface="Arial" pitchFamily="34" charset="0"/>
            </a:rPr>
            <a:t>- </a:t>
          </a:r>
          <a:r>
            <a:rPr lang="en-US" sz="1800" b="1" baseline="0">
              <a:latin typeface="Arial" pitchFamily="34" charset="0"/>
              <a:cs typeface="Arial" pitchFamily="34" charset="0"/>
            </a:rPr>
            <a:t>IPC</a:t>
          </a:r>
          <a:endParaRPr lang="ru-RU" sz="18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0.07648</cdr:x>
      <cdr:y>0.04286</cdr:y>
    </cdr:from>
    <cdr:to>
      <cdr:x>0.15533</cdr:x>
      <cdr:y>0.09005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C05C57E-6B9F-4CA9-9390-B31B20F966A5}"/>
            </a:ext>
          </a:extLst>
        </cdr:cNvPr>
        <cdr:cNvSpPr txBox="1"/>
      </cdr:nvSpPr>
      <cdr:spPr>
        <a:xfrm xmlns:a="http://schemas.openxmlformats.org/drawingml/2006/main">
          <a:off x="659946" y="332877"/>
          <a:ext cx="680357" cy="3665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2400" b="1">
              <a:latin typeface="Arial" pitchFamily="34" charset="0"/>
              <a:cs typeface="Arial" pitchFamily="34" charset="0"/>
            </a:rPr>
            <a:t>Dem</a:t>
          </a:r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0.65078</cdr:x>
      <cdr:y>0.42156</cdr:y>
    </cdr:from>
    <cdr:to>
      <cdr:x>0.76779</cdr:x>
      <cdr:y>0.45635</cdr:y>
    </cdr:to>
    <cdr:sp macro="" textlink="">
      <cdr:nvSpPr>
        <cdr:cNvPr id="9" name="TextBox 5">
          <a:extLst xmlns:a="http://schemas.openxmlformats.org/drawingml/2006/main">
            <a:ext uri="{FF2B5EF4-FFF2-40B4-BE49-F238E27FC236}">
              <a16:creationId xmlns:a16="http://schemas.microsoft.com/office/drawing/2014/main" id="{71F1EE7D-ED1E-453C-A8EA-CE26BCBCF352}"/>
            </a:ext>
          </a:extLst>
        </cdr:cNvPr>
        <cdr:cNvSpPr txBox="1"/>
      </cdr:nvSpPr>
      <cdr:spPr>
        <a:xfrm xmlns:a="http://schemas.openxmlformats.org/drawingml/2006/main">
          <a:off x="5919712" y="3517471"/>
          <a:ext cx="1064367" cy="29028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 b="1">
              <a:latin typeface="Arial" pitchFamily="34" charset="0"/>
              <a:cs typeface="Arial" pitchFamily="34" charset="0"/>
            </a:rPr>
            <a:t>Тренд </a:t>
          </a:r>
          <a:endParaRPr lang="en-US" sz="1800" b="1">
            <a:latin typeface="Arial" pitchFamily="34" charset="0"/>
            <a:cs typeface="Arial" pitchFamily="34" charset="0"/>
          </a:endParaRPr>
        </a:p>
        <a:p xmlns:a="http://schemas.openxmlformats.org/drawingml/2006/main">
          <a:endParaRPr lang="ru-RU" sz="1400">
            <a:latin typeface="Arial" pitchFamily="34" charset="0"/>
            <a:cs typeface="Arial" pitchFamily="34" charset="0"/>
          </a:endParaRPr>
        </a:p>
      </cdr:txBody>
    </cdr:sp>
  </cdr:relSizeAnchor>
</c:userShapes>
</file>

<file path=xl/drawings/drawing59.xml><?xml version="1.0" encoding="utf-8"?>
<c:userShapes xmlns:c="http://schemas.openxmlformats.org/drawingml/2006/chart"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0.18993</cdr:x>
      <cdr:y>0.13131</cdr:y>
    </cdr:from>
    <cdr:to>
      <cdr:x>0.95418</cdr:x>
      <cdr:y>0.25636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1671909" y="1105813"/>
          <a:ext cx="6727455" cy="105318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СРАВНЕНИЕ</a:t>
          </a:r>
          <a:r>
            <a:rPr lang="en-US" sz="2000" b="1">
              <a:latin typeface="Arial" pitchFamily="34" charset="0"/>
              <a:cs typeface="Arial" pitchFamily="34" charset="0"/>
            </a:rPr>
            <a:t> </a:t>
          </a:r>
          <a:r>
            <a:rPr lang="ru-RU" sz="2000" b="1">
              <a:latin typeface="Arial" pitchFamily="34" charset="0"/>
              <a:cs typeface="Arial" pitchFamily="34" charset="0"/>
            </a:rPr>
            <a:t>БАЗИСНЫХ </a:t>
          </a:r>
          <a:r>
            <a:rPr lang="ru-RU" sz="2000" b="1" baseline="0">
              <a:latin typeface="Arial" pitchFamily="34" charset="0"/>
              <a:cs typeface="Arial" pitchFamily="34" charset="0"/>
            </a:rPr>
            <a:t>ДЕФЛЯТОРОВ </a:t>
          </a:r>
        </a:p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ОФИЦИАЛЬНОГО И МОДИФИЦИРОВАННОГО</a:t>
          </a:r>
        </a:p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ЭКСПОРТА</a:t>
          </a:r>
        </a:p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</a:t>
          </a:r>
        </a:p>
      </cdr:txBody>
    </cdr:sp>
  </cdr:relSizeAnchor>
  <cdr:relSizeAnchor xmlns:cdr="http://schemas.openxmlformats.org/drawingml/2006/chartDrawing">
    <cdr:from>
      <cdr:x>0.69376</cdr:x>
      <cdr:y>0.86213</cdr:y>
    </cdr:from>
    <cdr:to>
      <cdr:x>0.90231</cdr:x>
      <cdr:y>0.90576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C62E565B-F758-4D5E-85D4-ACC5727F5068}"/>
            </a:ext>
          </a:extLst>
        </cdr:cNvPr>
        <cdr:cNvSpPr txBox="1"/>
      </cdr:nvSpPr>
      <cdr:spPr>
        <a:xfrm xmlns:a="http://schemas.openxmlformats.org/drawingml/2006/main">
          <a:off x="6106982" y="7260589"/>
          <a:ext cx="1835801" cy="36743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baseline="0">
              <a:latin typeface="Arial" pitchFamily="34" charset="0"/>
              <a:cs typeface="Arial" pitchFamily="34" charset="0"/>
            </a:rPr>
            <a:t>  </a:t>
          </a:r>
          <a:r>
            <a:rPr lang="ru-RU" sz="1800" baseline="0">
              <a:latin typeface="Arial" pitchFamily="34" charset="0"/>
              <a:cs typeface="Arial" pitchFamily="34" charset="0"/>
            </a:rPr>
            <a:t>фактор  </a:t>
          </a:r>
          <a:r>
            <a:rPr lang="ru-RU" sz="1800" b="1" baseline="0">
              <a:latin typeface="Arial" pitchFamily="34" charset="0"/>
              <a:cs typeface="Arial" pitchFamily="34" charset="0"/>
            </a:rPr>
            <a:t>- ВРЕМЯ</a:t>
          </a:r>
          <a:endParaRPr lang="ru-RU" sz="18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0.07648</cdr:x>
      <cdr:y>0.04286</cdr:y>
    </cdr:from>
    <cdr:to>
      <cdr:x>0.21731</cdr:x>
      <cdr:y>0.09802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C05C57E-6B9F-4CA9-9390-B31B20F966A5}"/>
            </a:ext>
          </a:extLst>
        </cdr:cNvPr>
        <cdr:cNvSpPr txBox="1"/>
      </cdr:nvSpPr>
      <cdr:spPr>
        <a:xfrm xmlns:a="http://schemas.openxmlformats.org/drawingml/2006/main">
          <a:off x="673229" y="360954"/>
          <a:ext cx="1239707" cy="4645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2000" b="1">
              <a:latin typeface="Arial" pitchFamily="34" charset="0"/>
              <a:cs typeface="Arial" pitchFamily="34" charset="0"/>
            </a:rPr>
            <a:t>De, Dem</a:t>
          </a:r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0.57899</cdr:x>
      <cdr:y>0.42074</cdr:y>
    </cdr:from>
    <cdr:to>
      <cdr:x>0.65194</cdr:x>
      <cdr:y>0.47691</cdr:y>
    </cdr:to>
    <cdr:sp macro="" textlink="">
      <cdr:nvSpPr>
        <cdr:cNvPr id="9" name="TextBox 5">
          <a:extLst xmlns:a="http://schemas.openxmlformats.org/drawingml/2006/main">
            <a:ext uri="{FF2B5EF4-FFF2-40B4-BE49-F238E27FC236}">
              <a16:creationId xmlns:a16="http://schemas.microsoft.com/office/drawing/2014/main" id="{71F1EE7D-ED1E-453C-A8EA-CE26BCBCF352}"/>
            </a:ext>
          </a:extLst>
        </cdr:cNvPr>
        <cdr:cNvSpPr txBox="1"/>
      </cdr:nvSpPr>
      <cdr:spPr>
        <a:xfrm xmlns:a="http://schemas.openxmlformats.org/drawingml/2006/main">
          <a:off x="5096699" y="3543348"/>
          <a:ext cx="642113" cy="47302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2400" b="1">
              <a:latin typeface="Arial" pitchFamily="34" charset="0"/>
              <a:cs typeface="Arial" pitchFamily="34" charset="0"/>
            </a:rPr>
            <a:t>De</a:t>
          </a:r>
        </a:p>
        <a:p xmlns:a="http://schemas.openxmlformats.org/drawingml/2006/main">
          <a:endParaRPr lang="ru-RU" sz="1400">
            <a:latin typeface="Arial" pitchFamily="34" charset="0"/>
            <a:cs typeface="Arial" pitchFamily="34" charset="0"/>
          </a:endParaRPr>
        </a:p>
      </cdr:txBody>
    </cdr:sp>
  </cdr:relSizeAnchor>
</c:userShapes>
</file>

<file path=xl/drawings/drawing60.xml><?xml version="1.0" encoding="utf-8"?>
<c:userShapes xmlns:c="http://schemas.openxmlformats.org/drawingml/2006/chart"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0.18283</cdr:x>
      <cdr:y>0.12783</cdr:y>
    </cdr:from>
    <cdr:to>
      <cdr:x>0.94708</cdr:x>
      <cdr:y>0.24654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1541161" y="1076547"/>
          <a:ext cx="6442341" cy="99973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СРАВНЕНИЕ</a:t>
          </a:r>
          <a:r>
            <a:rPr lang="en-US" sz="2000" b="1">
              <a:latin typeface="Arial" pitchFamily="34" charset="0"/>
              <a:cs typeface="Arial" pitchFamily="34" charset="0"/>
            </a:rPr>
            <a:t> </a:t>
          </a:r>
          <a:r>
            <a:rPr lang="ru-RU" sz="2000" b="1">
              <a:latin typeface="Arial" pitchFamily="34" charset="0"/>
              <a:cs typeface="Arial" pitchFamily="34" charset="0"/>
            </a:rPr>
            <a:t>БАЗИСНЫХ ТЕМПОВ</a:t>
          </a:r>
          <a:endParaRPr lang="ru-RU" sz="2000" b="1" baseline="0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ОФИЦИАЛЬНОГО И МОДИФИЦИРОВАННОГО</a:t>
          </a:r>
        </a:p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ЭКСПОРТА</a:t>
          </a:r>
        </a:p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</a:t>
          </a:r>
        </a:p>
      </cdr:txBody>
    </cdr:sp>
  </cdr:relSizeAnchor>
  <cdr:relSizeAnchor xmlns:cdr="http://schemas.openxmlformats.org/drawingml/2006/chartDrawing">
    <cdr:from>
      <cdr:x>0.62884</cdr:x>
      <cdr:y>0.86213</cdr:y>
    </cdr:from>
    <cdr:to>
      <cdr:x>0.83739</cdr:x>
      <cdr:y>0.90576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C62E565B-F758-4D5E-85D4-ACC5727F5068}"/>
            </a:ext>
          </a:extLst>
        </cdr:cNvPr>
        <cdr:cNvSpPr txBox="1"/>
      </cdr:nvSpPr>
      <cdr:spPr>
        <a:xfrm xmlns:a="http://schemas.openxmlformats.org/drawingml/2006/main">
          <a:off x="4973935" y="7274263"/>
          <a:ext cx="1649572" cy="36813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baseline="0">
              <a:latin typeface="Arial" pitchFamily="34" charset="0"/>
              <a:cs typeface="Arial" pitchFamily="34" charset="0"/>
            </a:rPr>
            <a:t>  </a:t>
          </a:r>
          <a:r>
            <a:rPr lang="ru-RU" sz="1800" baseline="0">
              <a:latin typeface="Arial" pitchFamily="34" charset="0"/>
              <a:cs typeface="Arial" pitchFamily="34" charset="0"/>
            </a:rPr>
            <a:t>фактор  </a:t>
          </a:r>
          <a:r>
            <a:rPr lang="ru-RU" sz="1800" b="1" baseline="0">
              <a:latin typeface="Arial" pitchFamily="34" charset="0"/>
              <a:cs typeface="Arial" pitchFamily="34" charset="0"/>
            </a:rPr>
            <a:t>- ВРЕМЯ</a:t>
          </a:r>
          <a:endParaRPr lang="ru-RU" sz="18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0.07648</cdr:x>
      <cdr:y>0.04286</cdr:y>
    </cdr:from>
    <cdr:to>
      <cdr:x>0.22599</cdr:x>
      <cdr:y>0.09237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C05C57E-6B9F-4CA9-9390-B31B20F966A5}"/>
            </a:ext>
          </a:extLst>
        </cdr:cNvPr>
        <cdr:cNvSpPr txBox="1"/>
      </cdr:nvSpPr>
      <cdr:spPr>
        <a:xfrm xmlns:a="http://schemas.openxmlformats.org/drawingml/2006/main">
          <a:off x="644698" y="360954"/>
          <a:ext cx="1260302" cy="41692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Р</a:t>
          </a:r>
          <a:r>
            <a:rPr lang="en-US" sz="2000" b="1">
              <a:latin typeface="Arial" pitchFamily="34" charset="0"/>
              <a:cs typeface="Arial" pitchFamily="34" charset="0"/>
            </a:rPr>
            <a:t>e, Pem</a:t>
          </a:r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0.59593</cdr:x>
      <cdr:y>0.26996</cdr:y>
    </cdr:from>
    <cdr:to>
      <cdr:x>0.6629</cdr:x>
      <cdr:y>0.32422</cdr:y>
    </cdr:to>
    <cdr:sp macro="" textlink="">
      <cdr:nvSpPr>
        <cdr:cNvPr id="9" name="TextBox 5">
          <a:extLst xmlns:a="http://schemas.openxmlformats.org/drawingml/2006/main">
            <a:ext uri="{FF2B5EF4-FFF2-40B4-BE49-F238E27FC236}">
              <a16:creationId xmlns:a16="http://schemas.microsoft.com/office/drawing/2014/main" id="{71F1EE7D-ED1E-453C-A8EA-CE26BCBCF352}"/>
            </a:ext>
          </a:extLst>
        </cdr:cNvPr>
        <cdr:cNvSpPr txBox="1"/>
      </cdr:nvSpPr>
      <cdr:spPr>
        <a:xfrm xmlns:a="http://schemas.openxmlformats.org/drawingml/2006/main">
          <a:off x="5023435" y="2273517"/>
          <a:ext cx="564565" cy="4569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2000" b="1">
              <a:latin typeface="Arial" pitchFamily="34" charset="0"/>
              <a:cs typeface="Arial" pitchFamily="34" charset="0"/>
            </a:rPr>
            <a:t>Pe</a:t>
          </a:r>
          <a:endParaRPr lang="ru-RU" sz="2000" b="1">
            <a:latin typeface="Arial" pitchFamily="34" charset="0"/>
            <a:cs typeface="Arial" pitchFamily="34" charset="0"/>
          </a:endParaRPr>
        </a:p>
      </cdr:txBody>
    </cdr:sp>
  </cdr:relSizeAnchor>
</c:userShapes>
</file>

<file path=xl/drawings/drawing61.xml><?xml version="1.0" encoding="utf-8"?>
<c:userShapes xmlns:c="http://schemas.openxmlformats.org/drawingml/2006/chart"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0.22677</cdr:x>
      <cdr:y>0.06671</cdr:y>
    </cdr:from>
    <cdr:to>
      <cdr:x>0.86285</cdr:x>
      <cdr:y>0.21765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1889125" y="565064"/>
          <a:ext cx="5298804" cy="12785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РЕГРЕССИЯ</a:t>
          </a:r>
          <a:r>
            <a:rPr lang="en-US" sz="2000" b="1">
              <a:latin typeface="Arial" pitchFamily="34" charset="0"/>
              <a:cs typeface="Arial" pitchFamily="34" charset="0"/>
            </a:rPr>
            <a:t> </a:t>
          </a:r>
          <a:r>
            <a:rPr lang="ru-RU" sz="2000" b="1">
              <a:latin typeface="Arial" pitchFamily="34" charset="0"/>
              <a:cs typeface="Arial" pitchFamily="34" charset="0"/>
            </a:rPr>
            <a:t> БАЗИСНОГО ДЕФЛЯТОРА </a:t>
          </a:r>
        </a:p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ВАЛОВОГО НАКОПЛЕНИЯ</a:t>
          </a:r>
          <a:r>
            <a:rPr lang="en-US" sz="2000" b="1">
              <a:latin typeface="Arial" pitchFamily="34" charset="0"/>
              <a:cs typeface="Arial" pitchFamily="34" charset="0"/>
            </a:rPr>
            <a:t> </a:t>
          </a:r>
        </a:p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</a:t>
          </a:r>
          <a:r>
            <a:rPr lang="en-US" sz="1800" b="1">
              <a:latin typeface="Arial" pitchFamily="34" charset="0"/>
              <a:cs typeface="Arial" pitchFamily="34" charset="0"/>
            </a:rPr>
            <a:t>Dk</a:t>
          </a:r>
          <a:r>
            <a:rPr lang="en-US" sz="1400" b="1">
              <a:latin typeface="Arial" pitchFamily="34" charset="0"/>
              <a:cs typeface="Arial" pitchFamily="34" charset="0"/>
            </a:rPr>
            <a:t> </a:t>
          </a:r>
          <a:r>
            <a:rPr lang="en-US" sz="1600" b="1">
              <a:latin typeface="Arial" pitchFamily="34" charset="0"/>
              <a:cs typeface="Arial" pitchFamily="34" charset="0"/>
            </a:rPr>
            <a:t>= </a:t>
          </a:r>
          <a:r>
            <a:rPr lang="ru-RU" sz="1600" b="1">
              <a:latin typeface="Arial" pitchFamily="34" charset="0"/>
              <a:cs typeface="Arial" pitchFamily="34" charset="0"/>
            </a:rPr>
            <a:t>2</a:t>
          </a:r>
          <a:r>
            <a:rPr lang="en-US" sz="1600" b="1">
              <a:latin typeface="Arial" pitchFamily="34" charset="0"/>
              <a:cs typeface="Arial" pitchFamily="34" charset="0"/>
            </a:rPr>
            <a:t>,</a:t>
          </a:r>
          <a:r>
            <a:rPr lang="ru-RU" sz="1600" b="1">
              <a:latin typeface="Arial" pitchFamily="34" charset="0"/>
              <a:cs typeface="Arial" pitchFamily="34" charset="0"/>
            </a:rPr>
            <a:t>1159</a:t>
          </a:r>
          <a:r>
            <a:rPr lang="en-US" sz="1600" b="1">
              <a:latin typeface="Arial" pitchFamily="34" charset="0"/>
              <a:cs typeface="Arial" pitchFamily="34" charset="0"/>
            </a:rPr>
            <a:t>*Dn</a:t>
          </a:r>
          <a:r>
            <a:rPr lang="en-US" sz="1600" b="1" baseline="0">
              <a:latin typeface="Arial" pitchFamily="34" charset="0"/>
              <a:cs typeface="Arial" pitchFamily="34" charset="0"/>
            </a:rPr>
            <a:t> </a:t>
          </a:r>
          <a:r>
            <a:rPr lang="ru-RU" sz="1600" b="1" baseline="0">
              <a:latin typeface="Arial" pitchFamily="34" charset="0"/>
              <a:cs typeface="Arial" pitchFamily="34" charset="0"/>
            </a:rPr>
            <a:t>-</a:t>
          </a:r>
          <a:r>
            <a:rPr lang="en-US" sz="1600" b="1" baseline="0">
              <a:latin typeface="Arial" pitchFamily="34" charset="0"/>
              <a:cs typeface="Arial" pitchFamily="34" charset="0"/>
            </a:rPr>
            <a:t> 1</a:t>
          </a:r>
          <a:r>
            <a:rPr lang="ru-RU" sz="1600" b="1" baseline="0">
              <a:latin typeface="Arial" pitchFamily="34" charset="0"/>
              <a:cs typeface="Arial" pitchFamily="34" charset="0"/>
            </a:rPr>
            <a:t>7</a:t>
          </a:r>
          <a:r>
            <a:rPr lang="en-US" sz="1600" b="1" baseline="0">
              <a:latin typeface="Arial" pitchFamily="34" charset="0"/>
              <a:cs typeface="Arial" pitchFamily="34" charset="0"/>
            </a:rPr>
            <a:t>,</a:t>
          </a:r>
          <a:r>
            <a:rPr lang="ru-RU" sz="1600" b="1" baseline="0">
              <a:latin typeface="Arial" pitchFamily="34" charset="0"/>
              <a:cs typeface="Arial" pitchFamily="34" charset="0"/>
            </a:rPr>
            <a:t>631</a:t>
          </a:r>
          <a:endParaRPr lang="en-US" sz="1600" b="1" baseline="0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en-US" sz="1600" b="1" baseline="0">
              <a:latin typeface="Arial" pitchFamily="34" charset="0"/>
              <a:cs typeface="Arial" pitchFamily="34" charset="0"/>
            </a:rPr>
            <a:t> </a:t>
          </a:r>
          <a:r>
            <a:rPr lang="en-US" sz="1800" b="1" baseline="0">
              <a:latin typeface="Arial" pitchFamily="34" charset="0"/>
              <a:cs typeface="Arial" pitchFamily="34" charset="0"/>
            </a:rPr>
            <a:t> </a:t>
          </a:r>
          <a:endParaRPr lang="en-US" sz="16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en-US" sz="2000" b="1">
              <a:latin typeface="Arial" pitchFamily="34" charset="0"/>
              <a:cs typeface="Arial" pitchFamily="34" charset="0"/>
            </a:rPr>
            <a:t>                     </a:t>
          </a:r>
          <a:endParaRPr lang="ru-RU" sz="20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0.74511</cdr:x>
      <cdr:y>0.86214</cdr:y>
    </cdr:from>
    <cdr:to>
      <cdr:x>0.95814</cdr:x>
      <cdr:y>0.90743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C62E565B-F758-4D5E-85D4-ACC5727F5068}"/>
            </a:ext>
          </a:extLst>
        </cdr:cNvPr>
        <cdr:cNvSpPr txBox="1"/>
      </cdr:nvSpPr>
      <cdr:spPr>
        <a:xfrm xmlns:a="http://schemas.openxmlformats.org/drawingml/2006/main">
          <a:off x="6207105" y="7302968"/>
          <a:ext cx="1774618" cy="3837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baseline="0">
              <a:latin typeface="Arial" pitchFamily="34" charset="0"/>
              <a:cs typeface="Arial" pitchFamily="34" charset="0"/>
            </a:rPr>
            <a:t>  </a:t>
          </a:r>
          <a:r>
            <a:rPr lang="ru-RU" sz="1800" baseline="0">
              <a:latin typeface="Arial" pitchFamily="34" charset="0"/>
              <a:cs typeface="Arial" pitchFamily="34" charset="0"/>
            </a:rPr>
            <a:t>фактор  </a:t>
          </a:r>
          <a:r>
            <a:rPr lang="ru-RU" sz="1800" b="1" baseline="0">
              <a:latin typeface="Arial" pitchFamily="34" charset="0"/>
              <a:cs typeface="Arial" pitchFamily="34" charset="0"/>
            </a:rPr>
            <a:t>- </a:t>
          </a:r>
          <a:r>
            <a:rPr lang="en-US" sz="1800" b="1" baseline="0">
              <a:latin typeface="Arial" pitchFamily="34" charset="0"/>
              <a:cs typeface="Arial" pitchFamily="34" charset="0"/>
            </a:rPr>
            <a:t> </a:t>
          </a:r>
          <a:r>
            <a:rPr lang="en-US" sz="2000" b="1" baseline="0">
              <a:latin typeface="Arial" pitchFamily="34" charset="0"/>
              <a:cs typeface="Arial" pitchFamily="34" charset="0"/>
            </a:rPr>
            <a:t>Xf</a:t>
          </a:r>
          <a:endParaRPr lang="ru-RU" sz="18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0.08957</cdr:x>
      <cdr:y>0.05776</cdr:y>
    </cdr:from>
    <cdr:to>
      <cdr:x>0.22637</cdr:x>
      <cdr:y>0.11844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C05C57E-6B9F-4CA9-9390-B31B20F966A5}"/>
            </a:ext>
          </a:extLst>
        </cdr:cNvPr>
        <cdr:cNvSpPr txBox="1"/>
      </cdr:nvSpPr>
      <cdr:spPr>
        <a:xfrm xmlns:a="http://schemas.openxmlformats.org/drawingml/2006/main">
          <a:off x="746154" y="489273"/>
          <a:ext cx="1139568" cy="51402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2400">
              <a:latin typeface="Arial" pitchFamily="34" charset="0"/>
              <a:cs typeface="Arial" pitchFamily="34" charset="0"/>
            </a:rPr>
            <a:t> </a:t>
          </a:r>
          <a:r>
            <a:rPr lang="en-US" sz="2000" b="1">
              <a:latin typeface="Arial" pitchFamily="34" charset="0"/>
              <a:cs typeface="Arial" pitchFamily="34" charset="0"/>
            </a:rPr>
            <a:t>Dk</a:t>
          </a:r>
          <a:r>
            <a:rPr lang="ru-RU" sz="2400">
              <a:latin typeface="Arial" pitchFamily="34" charset="0"/>
              <a:cs typeface="Arial" pitchFamily="34" charset="0"/>
            </a:rPr>
            <a:t>  </a:t>
          </a:r>
          <a:r>
            <a:rPr lang="ru-RU" sz="1800">
              <a:latin typeface="Arial" pitchFamily="34" charset="0"/>
              <a:cs typeface="Arial" pitchFamily="34" charset="0"/>
            </a:rPr>
            <a:t> </a:t>
          </a:r>
        </a:p>
      </cdr:txBody>
    </cdr:sp>
  </cdr:relSizeAnchor>
  <cdr:relSizeAnchor xmlns:cdr="http://schemas.openxmlformats.org/drawingml/2006/chartDrawing">
    <cdr:from>
      <cdr:x>0.1669</cdr:x>
      <cdr:y>0.70198</cdr:y>
    </cdr:from>
    <cdr:to>
      <cdr:x>0.28482</cdr:x>
      <cdr:y>0.7496</cdr:y>
    </cdr:to>
    <cdr:sp macro="" textlink="">
      <cdr:nvSpPr>
        <cdr:cNvPr id="9" name="TextBox 5">
          <a:extLst xmlns:a="http://schemas.openxmlformats.org/drawingml/2006/main">
            <a:ext uri="{FF2B5EF4-FFF2-40B4-BE49-F238E27FC236}">
              <a16:creationId xmlns:a16="http://schemas.microsoft.com/office/drawing/2014/main" id="{71F1EE7D-ED1E-453C-A8EA-CE26BCBCF352}"/>
            </a:ext>
          </a:extLst>
        </cdr:cNvPr>
        <cdr:cNvSpPr txBox="1"/>
      </cdr:nvSpPr>
      <cdr:spPr>
        <a:xfrm xmlns:a="http://schemas.openxmlformats.org/drawingml/2006/main">
          <a:off x="1481566" y="5968624"/>
          <a:ext cx="1046785" cy="4048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Тренд</a:t>
          </a:r>
          <a:r>
            <a:rPr lang="ru-RU" sz="1400">
              <a:latin typeface="Arial" pitchFamily="34" charset="0"/>
              <a:cs typeface="Arial" pitchFamily="34" charset="0"/>
            </a:rPr>
            <a:t> </a:t>
          </a:r>
          <a:r>
            <a:rPr lang="ru-RU" sz="1600">
              <a:latin typeface="Arial" pitchFamily="34" charset="0"/>
              <a:cs typeface="Arial" pitchFamily="34" charset="0"/>
            </a:rPr>
            <a:t>1  </a:t>
          </a:r>
        </a:p>
      </cdr:txBody>
    </cdr:sp>
  </cdr:relSizeAnchor>
</c:userShapes>
</file>

<file path=xl/drawings/drawing62.xml><?xml version="1.0" encoding="utf-8"?>
<c:userShapes xmlns:c="http://schemas.openxmlformats.org/drawingml/2006/chart"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0.22677</cdr:x>
      <cdr:y>0.06671</cdr:y>
    </cdr:from>
    <cdr:to>
      <cdr:x>0.86285</cdr:x>
      <cdr:y>0.21765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1889125" y="565064"/>
          <a:ext cx="5298804" cy="12785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РЕГРЕССИЯ</a:t>
          </a:r>
          <a:r>
            <a:rPr lang="en-US" sz="2000" b="1">
              <a:latin typeface="Arial" pitchFamily="34" charset="0"/>
              <a:cs typeface="Arial" pitchFamily="34" charset="0"/>
            </a:rPr>
            <a:t> </a:t>
          </a:r>
          <a:r>
            <a:rPr lang="ru-RU" sz="2000" b="1">
              <a:latin typeface="Arial" pitchFamily="34" charset="0"/>
              <a:cs typeface="Arial" pitchFamily="34" charset="0"/>
            </a:rPr>
            <a:t> БАЗИСНОГО ДЕФЛЯТОРА </a:t>
          </a:r>
        </a:p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ВВОДОВ</a:t>
          </a:r>
          <a:r>
            <a:rPr lang="ru-RU" sz="2000" b="1" baseline="0">
              <a:latin typeface="Arial" pitchFamily="34" charset="0"/>
              <a:cs typeface="Arial" pitchFamily="34" charset="0"/>
            </a:rPr>
            <a:t> </a:t>
          </a:r>
          <a:r>
            <a:rPr lang="ru-RU" sz="2000" b="1">
              <a:latin typeface="Arial" pitchFamily="34" charset="0"/>
              <a:cs typeface="Arial" pitchFamily="34" charset="0"/>
            </a:rPr>
            <a:t>ОСНОВНЫХ ФОНДОВ</a:t>
          </a:r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</a:t>
          </a:r>
          <a:r>
            <a:rPr lang="en-US" sz="1800" b="1">
              <a:latin typeface="Arial" pitchFamily="34" charset="0"/>
              <a:cs typeface="Arial" pitchFamily="34" charset="0"/>
            </a:rPr>
            <a:t>Dww</a:t>
          </a:r>
          <a:r>
            <a:rPr lang="en-US" sz="1400" b="1">
              <a:latin typeface="Arial" pitchFamily="34" charset="0"/>
              <a:cs typeface="Arial" pitchFamily="34" charset="0"/>
            </a:rPr>
            <a:t> </a:t>
          </a:r>
          <a:r>
            <a:rPr lang="en-US" sz="1600" b="1">
              <a:latin typeface="Arial" pitchFamily="34" charset="0"/>
              <a:cs typeface="Arial" pitchFamily="34" charset="0"/>
            </a:rPr>
            <a:t>= 0,5602*Dn</a:t>
          </a:r>
          <a:r>
            <a:rPr lang="en-US" sz="1600" b="1" baseline="0">
              <a:latin typeface="Arial" pitchFamily="34" charset="0"/>
              <a:cs typeface="Arial" pitchFamily="34" charset="0"/>
            </a:rPr>
            <a:t> + 1,219</a:t>
          </a:r>
        </a:p>
        <a:p xmlns:a="http://schemas.openxmlformats.org/drawingml/2006/main">
          <a:r>
            <a:rPr lang="en-US" sz="1600" b="1" baseline="0">
              <a:latin typeface="Arial" pitchFamily="34" charset="0"/>
              <a:cs typeface="Arial" pitchFamily="34" charset="0"/>
            </a:rPr>
            <a:t> Xf = </a:t>
          </a:r>
          <a:r>
            <a:rPr lang="en-US" sz="1800" b="1" baseline="0">
              <a:latin typeface="Arial" pitchFamily="34" charset="0"/>
              <a:cs typeface="Arial" pitchFamily="34" charset="0"/>
            </a:rPr>
            <a:t>Dn </a:t>
          </a:r>
          <a:endParaRPr lang="en-US" sz="16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en-US" sz="2000" b="1">
              <a:latin typeface="Arial" pitchFamily="34" charset="0"/>
              <a:cs typeface="Arial" pitchFamily="34" charset="0"/>
            </a:rPr>
            <a:t>                     </a:t>
          </a:r>
          <a:endParaRPr lang="ru-RU" sz="20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0.74511</cdr:x>
      <cdr:y>0.86214</cdr:y>
    </cdr:from>
    <cdr:to>
      <cdr:x>0.95814</cdr:x>
      <cdr:y>0.90743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C62E565B-F758-4D5E-85D4-ACC5727F5068}"/>
            </a:ext>
          </a:extLst>
        </cdr:cNvPr>
        <cdr:cNvSpPr txBox="1"/>
      </cdr:nvSpPr>
      <cdr:spPr>
        <a:xfrm xmlns:a="http://schemas.openxmlformats.org/drawingml/2006/main">
          <a:off x="6207105" y="7302968"/>
          <a:ext cx="1774618" cy="3837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baseline="0">
              <a:latin typeface="Arial" pitchFamily="34" charset="0"/>
              <a:cs typeface="Arial" pitchFamily="34" charset="0"/>
            </a:rPr>
            <a:t>  </a:t>
          </a:r>
          <a:r>
            <a:rPr lang="ru-RU" sz="1800" baseline="0">
              <a:latin typeface="Arial" pitchFamily="34" charset="0"/>
              <a:cs typeface="Arial" pitchFamily="34" charset="0"/>
            </a:rPr>
            <a:t>фактор  </a:t>
          </a:r>
          <a:r>
            <a:rPr lang="ru-RU" sz="1800" b="1" baseline="0">
              <a:latin typeface="Arial" pitchFamily="34" charset="0"/>
              <a:cs typeface="Arial" pitchFamily="34" charset="0"/>
            </a:rPr>
            <a:t>- </a:t>
          </a:r>
          <a:r>
            <a:rPr lang="en-US" sz="1800" b="1" baseline="0">
              <a:latin typeface="Arial" pitchFamily="34" charset="0"/>
              <a:cs typeface="Arial" pitchFamily="34" charset="0"/>
            </a:rPr>
            <a:t> </a:t>
          </a:r>
          <a:r>
            <a:rPr lang="en-US" sz="2000" b="1" baseline="0">
              <a:latin typeface="Arial" pitchFamily="34" charset="0"/>
              <a:cs typeface="Arial" pitchFamily="34" charset="0"/>
            </a:rPr>
            <a:t>Xf</a:t>
          </a:r>
          <a:endParaRPr lang="ru-RU" sz="18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0.08957</cdr:x>
      <cdr:y>0.05776</cdr:y>
    </cdr:from>
    <cdr:to>
      <cdr:x>0.20922</cdr:x>
      <cdr:y>0.11351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C05C57E-6B9F-4CA9-9390-B31B20F966A5}"/>
            </a:ext>
          </a:extLst>
        </cdr:cNvPr>
        <cdr:cNvSpPr txBox="1"/>
      </cdr:nvSpPr>
      <cdr:spPr>
        <a:xfrm xmlns:a="http://schemas.openxmlformats.org/drawingml/2006/main">
          <a:off x="746154" y="489273"/>
          <a:ext cx="996693" cy="4722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2400">
              <a:latin typeface="Arial" pitchFamily="34" charset="0"/>
              <a:cs typeface="Arial" pitchFamily="34" charset="0"/>
            </a:rPr>
            <a:t> </a:t>
          </a:r>
          <a:r>
            <a:rPr lang="en-US" sz="2000" b="1">
              <a:latin typeface="Arial" pitchFamily="34" charset="0"/>
              <a:cs typeface="Arial" pitchFamily="34" charset="0"/>
            </a:rPr>
            <a:t>Dww</a:t>
          </a:r>
          <a:r>
            <a:rPr lang="ru-RU" sz="2400">
              <a:latin typeface="Arial" pitchFamily="34" charset="0"/>
              <a:cs typeface="Arial" pitchFamily="34" charset="0"/>
            </a:rPr>
            <a:t>  </a:t>
          </a:r>
          <a:r>
            <a:rPr lang="ru-RU" sz="1800">
              <a:latin typeface="Arial" pitchFamily="34" charset="0"/>
              <a:cs typeface="Arial" pitchFamily="34" charset="0"/>
            </a:rPr>
            <a:t> </a:t>
          </a:r>
        </a:p>
      </cdr:txBody>
    </cdr:sp>
  </cdr:relSizeAnchor>
  <cdr:relSizeAnchor xmlns:cdr="http://schemas.openxmlformats.org/drawingml/2006/chartDrawing">
    <cdr:from>
      <cdr:x>0.66299</cdr:x>
      <cdr:y>0.29646</cdr:y>
    </cdr:from>
    <cdr:to>
      <cdr:x>0.78091</cdr:x>
      <cdr:y>0.34408</cdr:y>
    </cdr:to>
    <cdr:sp macro="" textlink="">
      <cdr:nvSpPr>
        <cdr:cNvPr id="9" name="TextBox 5">
          <a:extLst xmlns:a="http://schemas.openxmlformats.org/drawingml/2006/main">
            <a:ext uri="{FF2B5EF4-FFF2-40B4-BE49-F238E27FC236}">
              <a16:creationId xmlns:a16="http://schemas.microsoft.com/office/drawing/2014/main" id="{71F1EE7D-ED1E-453C-A8EA-CE26BCBCF352}"/>
            </a:ext>
          </a:extLst>
        </cdr:cNvPr>
        <cdr:cNvSpPr txBox="1"/>
      </cdr:nvSpPr>
      <cdr:spPr>
        <a:xfrm xmlns:a="http://schemas.openxmlformats.org/drawingml/2006/main">
          <a:off x="5522955" y="2511249"/>
          <a:ext cx="982321" cy="40337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Тренд</a:t>
          </a:r>
          <a:r>
            <a:rPr lang="ru-RU" sz="1400">
              <a:latin typeface="Arial" pitchFamily="34" charset="0"/>
              <a:cs typeface="Arial" pitchFamily="34" charset="0"/>
            </a:rPr>
            <a:t> </a:t>
          </a:r>
          <a:r>
            <a:rPr lang="ru-RU" sz="1600">
              <a:latin typeface="Arial" pitchFamily="34" charset="0"/>
              <a:cs typeface="Arial" pitchFamily="34" charset="0"/>
            </a:rPr>
            <a:t>1  </a:t>
          </a:r>
        </a:p>
      </cdr:txBody>
    </cdr:sp>
  </cdr:relSizeAnchor>
</c:userShapes>
</file>

<file path=xl/drawings/drawing63.xml><?xml version="1.0" encoding="utf-8"?>
<c:userShapes xmlns:c="http://schemas.openxmlformats.org/drawingml/2006/chart"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0.22678</cdr:x>
      <cdr:y>0.13256</cdr:y>
    </cdr:from>
    <cdr:to>
      <cdr:x>0.86286</cdr:x>
      <cdr:y>0.2835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1900103" y="1127122"/>
          <a:ext cx="5329457" cy="12833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РЕГРЕССИЯ</a:t>
          </a:r>
          <a:r>
            <a:rPr lang="en-US" sz="2000" b="1">
              <a:latin typeface="Arial" pitchFamily="34" charset="0"/>
              <a:cs typeface="Arial" pitchFamily="34" charset="0"/>
            </a:rPr>
            <a:t> </a:t>
          </a:r>
          <a:r>
            <a:rPr lang="ru-RU" sz="2000" b="1">
              <a:latin typeface="Arial" pitchFamily="34" charset="0"/>
              <a:cs typeface="Arial" pitchFamily="34" charset="0"/>
            </a:rPr>
            <a:t> БАЗИСНОГО ДЕФЛЯТОРА </a:t>
          </a:r>
        </a:p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ОСНОВНЫХ ФОНДОВ</a:t>
          </a:r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</a:t>
          </a:r>
          <a:r>
            <a:rPr lang="en-US" sz="2000" b="1">
              <a:latin typeface="Arial" pitchFamily="34" charset="0"/>
              <a:cs typeface="Arial" pitchFamily="34" charset="0"/>
            </a:rPr>
            <a:t>Dft</a:t>
          </a:r>
          <a:r>
            <a:rPr lang="en-US" sz="1800" b="1">
              <a:latin typeface="Arial" pitchFamily="34" charset="0"/>
              <a:cs typeface="Arial" pitchFamily="34" charset="0"/>
            </a:rPr>
            <a:t> = </a:t>
          </a:r>
          <a:r>
            <a:rPr lang="en-US" sz="2000" b="1">
              <a:latin typeface="Arial" pitchFamily="34" charset="0"/>
              <a:cs typeface="Arial" pitchFamily="34" charset="0"/>
            </a:rPr>
            <a:t>0</a:t>
          </a:r>
          <a:r>
            <a:rPr lang="en-US" sz="2000" b="1" baseline="0">
              <a:latin typeface="Arial" pitchFamily="34" charset="0"/>
              <a:cs typeface="Arial" pitchFamily="34" charset="0"/>
            </a:rPr>
            <a:t>,5959*IPCt + 8,664</a:t>
          </a:r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en-US" sz="2000" b="1">
              <a:latin typeface="Arial" pitchFamily="34" charset="0"/>
              <a:cs typeface="Arial" pitchFamily="34" charset="0"/>
            </a:rPr>
            <a:t>                     </a:t>
          </a:r>
          <a:endParaRPr lang="ru-RU" sz="20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0.74511</cdr:x>
      <cdr:y>0.86214</cdr:y>
    </cdr:from>
    <cdr:to>
      <cdr:x>0.95814</cdr:x>
      <cdr:y>0.90743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C62E565B-F758-4D5E-85D4-ACC5727F5068}"/>
            </a:ext>
          </a:extLst>
        </cdr:cNvPr>
        <cdr:cNvSpPr txBox="1"/>
      </cdr:nvSpPr>
      <cdr:spPr>
        <a:xfrm xmlns:a="http://schemas.openxmlformats.org/drawingml/2006/main">
          <a:off x="6207105" y="7302968"/>
          <a:ext cx="1774618" cy="3837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baseline="0">
              <a:latin typeface="Arial" pitchFamily="34" charset="0"/>
              <a:cs typeface="Arial" pitchFamily="34" charset="0"/>
            </a:rPr>
            <a:t>  </a:t>
          </a:r>
          <a:r>
            <a:rPr lang="ru-RU" sz="1800" baseline="0">
              <a:latin typeface="Arial" pitchFamily="34" charset="0"/>
              <a:cs typeface="Arial" pitchFamily="34" charset="0"/>
            </a:rPr>
            <a:t>фактор  </a:t>
          </a:r>
          <a:r>
            <a:rPr lang="ru-RU" sz="1800" b="1" baseline="0">
              <a:latin typeface="Arial" pitchFamily="34" charset="0"/>
              <a:cs typeface="Arial" pitchFamily="34" charset="0"/>
            </a:rPr>
            <a:t>- </a:t>
          </a:r>
          <a:r>
            <a:rPr lang="en-US" sz="1800" b="1" baseline="0">
              <a:latin typeface="Arial" pitchFamily="34" charset="0"/>
              <a:cs typeface="Arial" pitchFamily="34" charset="0"/>
            </a:rPr>
            <a:t>IPC</a:t>
          </a:r>
          <a:endParaRPr lang="ru-RU" sz="18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0.08957</cdr:x>
      <cdr:y>0.05776</cdr:y>
    </cdr:from>
    <cdr:to>
      <cdr:x>0.1692</cdr:x>
      <cdr:y>0.11351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C05C57E-6B9F-4CA9-9390-B31B20F966A5}"/>
            </a:ext>
          </a:extLst>
        </cdr:cNvPr>
        <cdr:cNvSpPr txBox="1"/>
      </cdr:nvSpPr>
      <cdr:spPr>
        <a:xfrm xmlns:a="http://schemas.openxmlformats.org/drawingml/2006/main">
          <a:off x="746155" y="489273"/>
          <a:ext cx="663318" cy="4722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2400">
              <a:latin typeface="Arial" pitchFamily="34" charset="0"/>
              <a:cs typeface="Arial" pitchFamily="34" charset="0"/>
            </a:rPr>
            <a:t> </a:t>
          </a:r>
          <a:r>
            <a:rPr lang="en-US" sz="2000" b="1">
              <a:latin typeface="Arial" pitchFamily="34" charset="0"/>
              <a:cs typeface="Arial" pitchFamily="34" charset="0"/>
            </a:rPr>
            <a:t>Df</a:t>
          </a:r>
          <a:r>
            <a:rPr lang="ru-RU" sz="2400">
              <a:latin typeface="Arial" pitchFamily="34" charset="0"/>
              <a:cs typeface="Arial" pitchFamily="34" charset="0"/>
            </a:rPr>
            <a:t>  </a:t>
          </a:r>
          <a:r>
            <a:rPr lang="ru-RU" sz="1800">
              <a:latin typeface="Arial" pitchFamily="34" charset="0"/>
              <a:cs typeface="Arial" pitchFamily="34" charset="0"/>
            </a:rPr>
            <a:t> </a:t>
          </a:r>
        </a:p>
      </cdr:txBody>
    </cdr:sp>
  </cdr:relSizeAnchor>
  <cdr:relSizeAnchor xmlns:cdr="http://schemas.openxmlformats.org/drawingml/2006/chartDrawing">
    <cdr:from>
      <cdr:x>0.42962</cdr:x>
      <cdr:y>0.59359</cdr:y>
    </cdr:from>
    <cdr:to>
      <cdr:x>0.54754</cdr:x>
      <cdr:y>0.64121</cdr:y>
    </cdr:to>
    <cdr:sp macro="" textlink="">
      <cdr:nvSpPr>
        <cdr:cNvPr id="9" name="TextBox 5">
          <a:extLst xmlns:a="http://schemas.openxmlformats.org/drawingml/2006/main">
            <a:ext uri="{FF2B5EF4-FFF2-40B4-BE49-F238E27FC236}">
              <a16:creationId xmlns:a16="http://schemas.microsoft.com/office/drawing/2014/main" id="{71F1EE7D-ED1E-453C-A8EA-CE26BCBCF352}"/>
            </a:ext>
          </a:extLst>
        </cdr:cNvPr>
        <cdr:cNvSpPr txBox="1"/>
      </cdr:nvSpPr>
      <cdr:spPr>
        <a:xfrm xmlns:a="http://schemas.openxmlformats.org/drawingml/2006/main">
          <a:off x="3599605" y="5046990"/>
          <a:ext cx="988004" cy="4048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Тренд</a:t>
          </a:r>
          <a:r>
            <a:rPr lang="ru-RU" sz="1400">
              <a:latin typeface="Arial" pitchFamily="34" charset="0"/>
              <a:cs typeface="Arial" pitchFamily="34" charset="0"/>
            </a:rPr>
            <a:t> </a:t>
          </a:r>
          <a:r>
            <a:rPr lang="ru-RU" sz="1600">
              <a:latin typeface="Arial" pitchFamily="34" charset="0"/>
              <a:cs typeface="Arial" pitchFamily="34" charset="0"/>
            </a:rPr>
            <a:t>1  </a:t>
          </a:r>
        </a:p>
      </cdr:txBody>
    </cdr:sp>
  </cdr:relSizeAnchor>
</c:userShapes>
</file>

<file path=xl/drawings/drawing64.xml><?xml version="1.0" encoding="utf-8"?>
<c:userShapes xmlns:c="http://schemas.openxmlformats.org/drawingml/2006/chart"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0.27885</cdr:x>
      <cdr:y>0.06671</cdr:y>
    </cdr:from>
    <cdr:to>
      <cdr:x>0.91493</cdr:x>
      <cdr:y>0.3123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2549804" y="583936"/>
          <a:ext cx="5816316" cy="21497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РЕГРЕССИЯ ВВОДОВ ОФ </a:t>
          </a:r>
        </a:p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ОТ ИНВЕСТИЦИЙ В ОК</a:t>
          </a:r>
          <a:r>
            <a:rPr lang="en-US" sz="2000" b="1">
              <a:latin typeface="Arial" pitchFamily="34" charset="0"/>
              <a:cs typeface="Arial" pitchFamily="34" charset="0"/>
            </a:rPr>
            <a:t> </a:t>
          </a:r>
          <a:r>
            <a:rPr lang="ru-RU" sz="2000" b="1">
              <a:latin typeface="Arial" pitchFamily="34" charset="0"/>
              <a:cs typeface="Arial" pitchFamily="34" charset="0"/>
            </a:rPr>
            <a:t>в</a:t>
          </a:r>
          <a:r>
            <a:rPr lang="ru-RU" sz="2000" b="1" baseline="0">
              <a:latin typeface="Arial" pitchFamily="34" charset="0"/>
              <a:cs typeface="Arial" pitchFamily="34" charset="0"/>
            </a:rPr>
            <a:t> СЦ</a:t>
          </a:r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</a:t>
          </a:r>
          <a:r>
            <a:rPr lang="en-US" sz="1800" b="1">
              <a:latin typeface="Arial" pitchFamily="34" charset="0"/>
              <a:cs typeface="Arial" pitchFamily="34" charset="0"/>
            </a:rPr>
            <a:t>WWS</a:t>
          </a:r>
          <a:r>
            <a:rPr lang="en-US" sz="1400" b="1">
              <a:latin typeface="Arial" pitchFamily="34" charset="0"/>
              <a:cs typeface="Arial" pitchFamily="34" charset="0"/>
            </a:rPr>
            <a:t> </a:t>
          </a:r>
          <a:r>
            <a:rPr lang="en-US" sz="1600" b="1">
              <a:latin typeface="Arial" pitchFamily="34" charset="0"/>
              <a:cs typeface="Arial" pitchFamily="34" charset="0"/>
            </a:rPr>
            <a:t>=1,0183*Xf</a:t>
          </a:r>
          <a:r>
            <a:rPr lang="en-US" sz="1600" b="1" baseline="0">
              <a:latin typeface="Arial" pitchFamily="34" charset="0"/>
              <a:cs typeface="Arial" pitchFamily="34" charset="0"/>
            </a:rPr>
            <a:t> + 3,6731</a:t>
          </a:r>
        </a:p>
        <a:p xmlns:a="http://schemas.openxmlformats.org/drawingml/2006/main">
          <a:r>
            <a:rPr lang="en-US" sz="1600" b="1" baseline="0">
              <a:latin typeface="Arial" pitchFamily="34" charset="0"/>
              <a:cs typeface="Arial" pitchFamily="34" charset="0"/>
            </a:rPr>
            <a:t> Xf = 0,7*INSt + 0,2*INSt-1 + 0,1*INSt-2</a:t>
          </a:r>
        </a:p>
        <a:p xmlns:a="http://schemas.openxmlformats.org/drawingml/2006/main">
          <a:r>
            <a:rPr lang="en-US" sz="2000" b="1" baseline="0">
              <a:latin typeface="Arial" pitchFamily="34" charset="0"/>
              <a:cs typeface="Arial" pitchFamily="34" charset="0"/>
            </a:rPr>
            <a:t> </a:t>
          </a:r>
          <a:endParaRPr lang="en-US" sz="18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en-US" sz="2000" b="1">
              <a:latin typeface="Arial" pitchFamily="34" charset="0"/>
              <a:cs typeface="Arial" pitchFamily="34" charset="0"/>
            </a:rPr>
            <a:t>                     </a:t>
          </a:r>
          <a:endParaRPr lang="ru-RU" sz="20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0.74511</cdr:x>
      <cdr:y>0.86214</cdr:y>
    </cdr:from>
    <cdr:to>
      <cdr:x>0.95814</cdr:x>
      <cdr:y>0.90743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C62E565B-F758-4D5E-85D4-ACC5727F5068}"/>
            </a:ext>
          </a:extLst>
        </cdr:cNvPr>
        <cdr:cNvSpPr txBox="1"/>
      </cdr:nvSpPr>
      <cdr:spPr>
        <a:xfrm xmlns:a="http://schemas.openxmlformats.org/drawingml/2006/main">
          <a:off x="6207105" y="7302968"/>
          <a:ext cx="1774618" cy="3837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baseline="0">
              <a:latin typeface="Arial" pitchFamily="34" charset="0"/>
              <a:cs typeface="Arial" pitchFamily="34" charset="0"/>
            </a:rPr>
            <a:t>  </a:t>
          </a:r>
          <a:r>
            <a:rPr lang="ru-RU" sz="1800" baseline="0">
              <a:latin typeface="Arial" pitchFamily="34" charset="0"/>
              <a:cs typeface="Arial" pitchFamily="34" charset="0"/>
            </a:rPr>
            <a:t>фактор  </a:t>
          </a:r>
          <a:r>
            <a:rPr lang="ru-RU" sz="1800" b="1" baseline="0">
              <a:latin typeface="Arial" pitchFamily="34" charset="0"/>
              <a:cs typeface="Arial" pitchFamily="34" charset="0"/>
            </a:rPr>
            <a:t>- </a:t>
          </a:r>
          <a:r>
            <a:rPr lang="en-US" sz="1800" b="1" baseline="0">
              <a:latin typeface="Arial" pitchFamily="34" charset="0"/>
              <a:cs typeface="Arial" pitchFamily="34" charset="0"/>
            </a:rPr>
            <a:t> </a:t>
          </a:r>
          <a:r>
            <a:rPr lang="en-US" sz="2000" b="1" baseline="0">
              <a:latin typeface="Arial" pitchFamily="34" charset="0"/>
              <a:cs typeface="Arial" pitchFamily="34" charset="0"/>
            </a:rPr>
            <a:t>Xf</a:t>
          </a:r>
          <a:endParaRPr lang="ru-RU" sz="18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0.08957</cdr:x>
      <cdr:y>0.05776</cdr:y>
    </cdr:from>
    <cdr:to>
      <cdr:x>0.20922</cdr:x>
      <cdr:y>0.11351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C05C57E-6B9F-4CA9-9390-B31B20F966A5}"/>
            </a:ext>
          </a:extLst>
        </cdr:cNvPr>
        <cdr:cNvSpPr txBox="1"/>
      </cdr:nvSpPr>
      <cdr:spPr>
        <a:xfrm xmlns:a="http://schemas.openxmlformats.org/drawingml/2006/main">
          <a:off x="746154" y="489273"/>
          <a:ext cx="996693" cy="4722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2400">
              <a:latin typeface="Arial" pitchFamily="34" charset="0"/>
              <a:cs typeface="Arial" pitchFamily="34" charset="0"/>
            </a:rPr>
            <a:t> </a:t>
          </a:r>
          <a:r>
            <a:rPr lang="en-US" sz="2000" b="1">
              <a:latin typeface="Arial" pitchFamily="34" charset="0"/>
              <a:cs typeface="Arial" pitchFamily="34" charset="0"/>
            </a:rPr>
            <a:t>WWS</a:t>
          </a:r>
          <a:endParaRPr lang="en-US" sz="24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ru-RU" sz="2400">
              <a:latin typeface="Arial" pitchFamily="34" charset="0"/>
              <a:cs typeface="Arial" pitchFamily="34" charset="0"/>
            </a:rPr>
            <a:t>  </a:t>
          </a:r>
          <a:r>
            <a:rPr lang="ru-RU" sz="1800">
              <a:latin typeface="Arial" pitchFamily="34" charset="0"/>
              <a:cs typeface="Arial" pitchFamily="34" charset="0"/>
            </a:rPr>
            <a:t> </a:t>
          </a:r>
        </a:p>
      </cdr:txBody>
    </cdr:sp>
  </cdr:relSizeAnchor>
  <cdr:relSizeAnchor xmlns:cdr="http://schemas.openxmlformats.org/drawingml/2006/chartDrawing">
    <cdr:from>
      <cdr:x>0.67132</cdr:x>
      <cdr:y>0.5315</cdr:y>
    </cdr:from>
    <cdr:to>
      <cdr:x>0.78924</cdr:x>
      <cdr:y>0.57912</cdr:y>
    </cdr:to>
    <cdr:sp macro="" textlink="">
      <cdr:nvSpPr>
        <cdr:cNvPr id="9" name="TextBox 5">
          <a:extLst xmlns:a="http://schemas.openxmlformats.org/drawingml/2006/main">
            <a:ext uri="{FF2B5EF4-FFF2-40B4-BE49-F238E27FC236}">
              <a16:creationId xmlns:a16="http://schemas.microsoft.com/office/drawing/2014/main" id="{71F1EE7D-ED1E-453C-A8EA-CE26BCBCF352}"/>
            </a:ext>
          </a:extLst>
        </cdr:cNvPr>
        <cdr:cNvSpPr txBox="1"/>
      </cdr:nvSpPr>
      <cdr:spPr>
        <a:xfrm xmlns:a="http://schemas.openxmlformats.org/drawingml/2006/main">
          <a:off x="6138581" y="4652432"/>
          <a:ext cx="1078260" cy="4168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Тренд</a:t>
          </a:r>
          <a:r>
            <a:rPr lang="ru-RU" sz="1400">
              <a:latin typeface="Arial" pitchFamily="34" charset="0"/>
              <a:cs typeface="Arial" pitchFamily="34" charset="0"/>
            </a:rPr>
            <a:t> </a:t>
          </a:r>
          <a:r>
            <a:rPr lang="ru-RU" sz="1600">
              <a:latin typeface="Arial" pitchFamily="34" charset="0"/>
              <a:cs typeface="Arial" pitchFamily="34" charset="0"/>
            </a:rPr>
            <a:t>  </a:t>
          </a:r>
        </a:p>
      </cdr:txBody>
    </cdr:sp>
  </cdr:relSizeAnchor>
</c:userShapes>
</file>

<file path=xl/drawings/drawing65.xml><?xml version="1.0" encoding="utf-8"?>
<c:userShapes xmlns:c="http://schemas.openxmlformats.org/drawingml/2006/chart"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0.30802</cdr:x>
      <cdr:y>0.13058</cdr:y>
    </cdr:from>
    <cdr:to>
      <cdr:x>0.9441</cdr:x>
      <cdr:y>0.27421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2816504" y="1143001"/>
          <a:ext cx="5816316" cy="12573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ДИНАМИКА РОСТА ВВОДОВ</a:t>
          </a:r>
        </a:p>
        <a:p xmlns:a="http://schemas.openxmlformats.org/drawingml/2006/main">
          <a:r>
            <a:rPr lang="ru-RU" sz="2000" b="1" baseline="0">
              <a:latin typeface="Arial" pitchFamily="34" charset="0"/>
              <a:cs typeface="Arial" pitchFamily="34" charset="0"/>
            </a:rPr>
            <a:t> </a:t>
          </a:r>
          <a:r>
            <a:rPr lang="ru-RU" sz="2000" b="1">
              <a:latin typeface="Arial" pitchFamily="34" charset="0"/>
              <a:cs typeface="Arial" pitchFamily="34" charset="0"/>
            </a:rPr>
            <a:t>ОСНОВНЫХ ФОНДОВ в СЦ</a:t>
          </a:r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</a:t>
          </a:r>
          <a:r>
            <a:rPr lang="en-US" sz="2000" b="1" baseline="0">
              <a:latin typeface="Arial" pitchFamily="34" charset="0"/>
              <a:cs typeface="Arial" pitchFamily="34" charset="0"/>
            </a:rPr>
            <a:t> </a:t>
          </a:r>
          <a:endParaRPr lang="en-US" sz="18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en-US" sz="2000" b="1">
              <a:latin typeface="Arial" pitchFamily="34" charset="0"/>
              <a:cs typeface="Arial" pitchFamily="34" charset="0"/>
            </a:rPr>
            <a:t>                     </a:t>
          </a:r>
          <a:endParaRPr lang="ru-RU" sz="20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12" name="TextBox 2">
          <a:extLst xmlns:a="http://schemas.openxmlformats.org/drawingml/2006/main">
            <a:ext uri="{FF2B5EF4-FFF2-40B4-BE49-F238E27FC236}">
              <a16:creationId xmlns:a16="http://schemas.microsoft.com/office/drawing/2014/main" id="{FA1D0D4C-61F8-46F3-A436-D894CD40A228}"/>
            </a:ext>
          </a:extLst>
        </cdr:cNvPr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0.27885</cdr:x>
      <cdr:y>0.06671</cdr:y>
    </cdr:from>
    <cdr:to>
      <cdr:x>0.91493</cdr:x>
      <cdr:y>0.21545</cdr:y>
    </cdr:to>
    <cdr:sp macro="" textlink="">
      <cdr:nvSpPr>
        <cdr:cNvPr id="13" name="TextBox 4">
          <a:extLst xmlns:a="http://schemas.openxmlformats.org/drawingml/2006/main">
            <a:ext uri="{FF2B5EF4-FFF2-40B4-BE49-F238E27FC236}">
              <a16:creationId xmlns:a16="http://schemas.microsoft.com/office/drawing/2014/main" id="{017658B6-5778-4809-9AEF-FF3AAE977D9B}"/>
            </a:ext>
          </a:extLst>
        </cdr:cNvPr>
        <cdr:cNvSpPr txBox="1"/>
      </cdr:nvSpPr>
      <cdr:spPr>
        <a:xfrm xmlns:a="http://schemas.openxmlformats.org/drawingml/2006/main">
          <a:off x="2549804" y="583937"/>
          <a:ext cx="5816316" cy="13020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</a:t>
          </a:r>
          <a:endParaRPr lang="en-US" sz="18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0.70969</cdr:x>
      <cdr:y>0.87302</cdr:y>
    </cdr:from>
    <cdr:to>
      <cdr:x>0.92272</cdr:x>
      <cdr:y>0.91831</cdr:y>
    </cdr:to>
    <cdr:sp macro="" textlink="">
      <cdr:nvSpPr>
        <cdr:cNvPr id="14" name="TextBox 1">
          <a:extLst xmlns:a="http://schemas.openxmlformats.org/drawingml/2006/main">
            <a:ext uri="{FF2B5EF4-FFF2-40B4-BE49-F238E27FC236}">
              <a16:creationId xmlns:a16="http://schemas.microsoft.com/office/drawing/2014/main" id="{C62E565B-F758-4D5E-85D4-ACC5727F5068}"/>
            </a:ext>
          </a:extLst>
        </cdr:cNvPr>
        <cdr:cNvSpPr txBox="1"/>
      </cdr:nvSpPr>
      <cdr:spPr>
        <a:xfrm xmlns:a="http://schemas.openxmlformats.org/drawingml/2006/main">
          <a:off x="6489436" y="7641873"/>
          <a:ext cx="1947946" cy="3964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baseline="0">
              <a:latin typeface="Arial" pitchFamily="34" charset="0"/>
              <a:cs typeface="Arial" pitchFamily="34" charset="0"/>
            </a:rPr>
            <a:t>  </a:t>
          </a:r>
          <a:r>
            <a:rPr lang="ru-RU" sz="1800" baseline="0">
              <a:latin typeface="Arial" pitchFamily="34" charset="0"/>
              <a:cs typeface="Arial" pitchFamily="34" charset="0"/>
            </a:rPr>
            <a:t>фактор  </a:t>
          </a:r>
          <a:r>
            <a:rPr lang="ru-RU" sz="1800" b="1" baseline="0">
              <a:latin typeface="Arial" pitchFamily="34" charset="0"/>
              <a:cs typeface="Arial" pitchFamily="34" charset="0"/>
            </a:rPr>
            <a:t>- </a:t>
          </a:r>
          <a:r>
            <a:rPr lang="en-US" sz="1800" b="1" baseline="0">
              <a:latin typeface="Arial" pitchFamily="34" charset="0"/>
              <a:cs typeface="Arial" pitchFamily="34" charset="0"/>
            </a:rPr>
            <a:t> </a:t>
          </a:r>
          <a:r>
            <a:rPr lang="ru-RU" sz="1800" b="1" baseline="0">
              <a:latin typeface="Arial" pitchFamily="34" charset="0"/>
              <a:cs typeface="Arial" pitchFamily="34" charset="0"/>
            </a:rPr>
            <a:t>Время</a:t>
          </a:r>
          <a:endParaRPr lang="ru-RU" sz="18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0.09374</cdr:x>
      <cdr:y>0.06647</cdr:y>
    </cdr:from>
    <cdr:to>
      <cdr:x>0.35</cdr:x>
      <cdr:y>0.12222</cdr:y>
    </cdr:to>
    <cdr:sp macro="" textlink="">
      <cdr:nvSpPr>
        <cdr:cNvPr id="15" name="TextBox 2">
          <a:extLst xmlns:a="http://schemas.openxmlformats.org/drawingml/2006/main">
            <a:ext uri="{FF2B5EF4-FFF2-40B4-BE49-F238E27FC236}">
              <a16:creationId xmlns:a16="http://schemas.microsoft.com/office/drawing/2014/main" id="{4C05C57E-6B9F-4CA9-9390-B31B20F966A5}"/>
            </a:ext>
          </a:extLst>
        </cdr:cNvPr>
        <cdr:cNvSpPr txBox="1"/>
      </cdr:nvSpPr>
      <cdr:spPr>
        <a:xfrm xmlns:a="http://schemas.openxmlformats.org/drawingml/2006/main">
          <a:off x="857128" y="581794"/>
          <a:ext cx="2343272" cy="488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2400">
              <a:latin typeface="Arial" pitchFamily="34" charset="0"/>
              <a:cs typeface="Arial" pitchFamily="34" charset="0"/>
            </a:rPr>
            <a:t> </a:t>
          </a:r>
          <a:r>
            <a:rPr lang="en-US" sz="1800" b="1">
              <a:latin typeface="Arial" pitchFamily="34" charset="0"/>
              <a:cs typeface="Arial" pitchFamily="34" charset="0"/>
            </a:rPr>
            <a:t>WWS</a:t>
          </a:r>
          <a:r>
            <a:rPr lang="ru-RU" sz="1800" b="1">
              <a:latin typeface="Arial" pitchFamily="34" charset="0"/>
              <a:cs typeface="Arial" pitchFamily="34" charset="0"/>
            </a:rPr>
            <a:t> (млрд руб 1995 г.)</a:t>
          </a:r>
          <a:endParaRPr lang="en-US" sz="24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ru-RU" sz="2400">
              <a:latin typeface="Arial" pitchFamily="34" charset="0"/>
              <a:cs typeface="Arial" pitchFamily="34" charset="0"/>
            </a:rPr>
            <a:t>  </a:t>
          </a:r>
          <a:r>
            <a:rPr lang="ru-RU" sz="1800">
              <a:latin typeface="Arial" pitchFamily="34" charset="0"/>
              <a:cs typeface="Arial" pitchFamily="34" charset="0"/>
            </a:rPr>
            <a:t> </a:t>
          </a:r>
        </a:p>
      </cdr:txBody>
    </cdr:sp>
  </cdr:relSizeAnchor>
  <cdr:relSizeAnchor xmlns:cdr="http://schemas.openxmlformats.org/drawingml/2006/chartDrawing">
    <cdr:from>
      <cdr:x>0.27549</cdr:x>
      <cdr:y>0.85577</cdr:y>
    </cdr:from>
    <cdr:to>
      <cdr:x>0.39341</cdr:x>
      <cdr:y>0.90339</cdr:y>
    </cdr:to>
    <cdr:sp macro="" textlink="">
      <cdr:nvSpPr>
        <cdr:cNvPr id="16" name="TextBox 5">
          <a:extLst xmlns:a="http://schemas.openxmlformats.org/drawingml/2006/main">
            <a:ext uri="{FF2B5EF4-FFF2-40B4-BE49-F238E27FC236}">
              <a16:creationId xmlns:a16="http://schemas.microsoft.com/office/drawing/2014/main" id="{71F1EE7D-ED1E-453C-A8EA-CE26BCBCF352}"/>
            </a:ext>
          </a:extLst>
        </cdr:cNvPr>
        <cdr:cNvSpPr txBox="1"/>
      </cdr:nvSpPr>
      <cdr:spPr>
        <a:xfrm xmlns:a="http://schemas.openxmlformats.org/drawingml/2006/main">
          <a:off x="2519050" y="7490861"/>
          <a:ext cx="1078261" cy="4168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Тренд</a:t>
          </a:r>
          <a:r>
            <a:rPr lang="ru-RU" sz="1400">
              <a:latin typeface="Arial" pitchFamily="34" charset="0"/>
              <a:cs typeface="Arial" pitchFamily="34" charset="0"/>
            </a:rPr>
            <a:t> </a:t>
          </a:r>
          <a:r>
            <a:rPr lang="ru-RU" sz="1600">
              <a:latin typeface="Arial" pitchFamily="34" charset="0"/>
              <a:cs typeface="Arial" pitchFamily="34" charset="0"/>
            </a:rPr>
            <a:t>  </a:t>
          </a:r>
        </a:p>
      </cdr:txBody>
    </cdr:sp>
  </cdr:relSizeAnchor>
</c:userShapes>
</file>

<file path=xl/drawings/drawing66.xml><?xml version="1.0" encoding="utf-8"?>
<c:userShapes xmlns:c="http://schemas.openxmlformats.org/drawingml/2006/chart"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0.22677</cdr:x>
      <cdr:y>0.06671</cdr:y>
    </cdr:from>
    <cdr:to>
      <cdr:x>0.86285</cdr:x>
      <cdr:y>0.21765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1889125" y="565064"/>
          <a:ext cx="5298804" cy="12785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РЕГРЕССИЯ</a:t>
          </a:r>
          <a:r>
            <a:rPr lang="en-US" sz="2000" b="1">
              <a:latin typeface="Arial" pitchFamily="34" charset="0"/>
              <a:cs typeface="Arial" pitchFamily="34" charset="0"/>
            </a:rPr>
            <a:t> </a:t>
          </a:r>
          <a:r>
            <a:rPr lang="ru-RU" sz="2000" b="1">
              <a:latin typeface="Arial" pitchFamily="34" charset="0"/>
              <a:cs typeface="Arial" pitchFamily="34" charset="0"/>
            </a:rPr>
            <a:t> БАЗИСНОГО ДЕФЛЯТОРА </a:t>
          </a:r>
        </a:p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ВАЛОВОГО НАКОПЛЕНИЯ</a:t>
          </a:r>
          <a:r>
            <a:rPr lang="en-US" sz="2000" b="1">
              <a:latin typeface="Arial" pitchFamily="34" charset="0"/>
              <a:cs typeface="Arial" pitchFamily="34" charset="0"/>
            </a:rPr>
            <a:t> </a:t>
          </a:r>
          <a:r>
            <a:rPr lang="ru-RU" sz="2000" b="1">
              <a:latin typeface="Arial" pitchFamily="34" charset="0"/>
              <a:cs typeface="Arial" pitchFamily="34" charset="0"/>
            </a:rPr>
            <a:t> ОК</a:t>
          </a:r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</a:t>
          </a:r>
          <a:r>
            <a:rPr lang="en-US" sz="1800" b="1">
              <a:latin typeface="Arial" pitchFamily="34" charset="0"/>
              <a:cs typeface="Arial" pitchFamily="34" charset="0"/>
            </a:rPr>
            <a:t>D</a:t>
          </a:r>
          <a:r>
            <a:rPr lang="ru-RU" sz="1800" b="1">
              <a:latin typeface="Arial" pitchFamily="34" charset="0"/>
              <a:cs typeface="Arial" pitchFamily="34" charset="0"/>
            </a:rPr>
            <a:t>О</a:t>
          </a:r>
          <a:r>
            <a:rPr lang="en-US" sz="1800" b="1">
              <a:latin typeface="Arial" pitchFamily="34" charset="0"/>
              <a:cs typeface="Arial" pitchFamily="34" charset="0"/>
            </a:rPr>
            <a:t>k</a:t>
          </a:r>
          <a:r>
            <a:rPr lang="en-US" sz="1400" b="1">
              <a:latin typeface="Arial" pitchFamily="34" charset="0"/>
              <a:cs typeface="Arial" pitchFamily="34" charset="0"/>
            </a:rPr>
            <a:t> </a:t>
          </a:r>
          <a:r>
            <a:rPr lang="en-US" sz="1600" b="1">
              <a:latin typeface="Arial" pitchFamily="34" charset="0"/>
              <a:cs typeface="Arial" pitchFamily="34" charset="0"/>
            </a:rPr>
            <a:t>= 1,5083*Dn</a:t>
          </a:r>
          <a:r>
            <a:rPr lang="en-US" sz="1600" b="1" baseline="0">
              <a:latin typeface="Arial" pitchFamily="34" charset="0"/>
              <a:cs typeface="Arial" pitchFamily="34" charset="0"/>
            </a:rPr>
            <a:t> - 7,9857</a:t>
          </a:r>
        </a:p>
        <a:p xmlns:a="http://schemas.openxmlformats.org/drawingml/2006/main">
          <a:r>
            <a:rPr lang="en-US" sz="1600" b="1" baseline="0">
              <a:latin typeface="Arial" pitchFamily="34" charset="0"/>
              <a:cs typeface="Arial" pitchFamily="34" charset="0"/>
            </a:rPr>
            <a:t> Xf = </a:t>
          </a:r>
          <a:r>
            <a:rPr lang="en-US" sz="1800" b="1" baseline="0">
              <a:latin typeface="Arial" pitchFamily="34" charset="0"/>
              <a:cs typeface="Arial" pitchFamily="34" charset="0"/>
            </a:rPr>
            <a:t>Dn </a:t>
          </a:r>
          <a:endParaRPr lang="en-US" sz="16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en-US" sz="2000" b="1">
              <a:latin typeface="Arial" pitchFamily="34" charset="0"/>
              <a:cs typeface="Arial" pitchFamily="34" charset="0"/>
            </a:rPr>
            <a:t>                     </a:t>
          </a:r>
          <a:endParaRPr lang="ru-RU" sz="20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0.74511</cdr:x>
      <cdr:y>0.86214</cdr:y>
    </cdr:from>
    <cdr:to>
      <cdr:x>0.95814</cdr:x>
      <cdr:y>0.90743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C62E565B-F758-4D5E-85D4-ACC5727F5068}"/>
            </a:ext>
          </a:extLst>
        </cdr:cNvPr>
        <cdr:cNvSpPr txBox="1"/>
      </cdr:nvSpPr>
      <cdr:spPr>
        <a:xfrm xmlns:a="http://schemas.openxmlformats.org/drawingml/2006/main">
          <a:off x="6207105" y="7302968"/>
          <a:ext cx="1774618" cy="3837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baseline="0">
              <a:latin typeface="Arial" pitchFamily="34" charset="0"/>
              <a:cs typeface="Arial" pitchFamily="34" charset="0"/>
            </a:rPr>
            <a:t>  </a:t>
          </a:r>
          <a:r>
            <a:rPr lang="ru-RU" sz="1800" baseline="0">
              <a:latin typeface="Arial" pitchFamily="34" charset="0"/>
              <a:cs typeface="Arial" pitchFamily="34" charset="0"/>
            </a:rPr>
            <a:t>фактор  </a:t>
          </a:r>
          <a:r>
            <a:rPr lang="ru-RU" sz="1800" b="1" baseline="0">
              <a:latin typeface="Arial" pitchFamily="34" charset="0"/>
              <a:cs typeface="Arial" pitchFamily="34" charset="0"/>
            </a:rPr>
            <a:t>- </a:t>
          </a:r>
          <a:r>
            <a:rPr lang="en-US" sz="1800" b="1" baseline="0">
              <a:latin typeface="Arial" pitchFamily="34" charset="0"/>
              <a:cs typeface="Arial" pitchFamily="34" charset="0"/>
            </a:rPr>
            <a:t> </a:t>
          </a:r>
          <a:r>
            <a:rPr lang="en-US" sz="2000" b="1" baseline="0">
              <a:latin typeface="Arial" pitchFamily="34" charset="0"/>
              <a:cs typeface="Arial" pitchFamily="34" charset="0"/>
            </a:rPr>
            <a:t>Xf</a:t>
          </a:r>
          <a:endParaRPr lang="ru-RU" sz="18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0.08957</cdr:x>
      <cdr:y>0.05776</cdr:y>
    </cdr:from>
    <cdr:to>
      <cdr:x>0.22637</cdr:x>
      <cdr:y>0.11844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C05C57E-6B9F-4CA9-9390-B31B20F966A5}"/>
            </a:ext>
          </a:extLst>
        </cdr:cNvPr>
        <cdr:cNvSpPr txBox="1"/>
      </cdr:nvSpPr>
      <cdr:spPr>
        <a:xfrm xmlns:a="http://schemas.openxmlformats.org/drawingml/2006/main">
          <a:off x="746154" y="489273"/>
          <a:ext cx="1139568" cy="51402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2400">
              <a:latin typeface="Arial" pitchFamily="34" charset="0"/>
              <a:cs typeface="Arial" pitchFamily="34" charset="0"/>
            </a:rPr>
            <a:t> </a:t>
          </a:r>
          <a:r>
            <a:rPr lang="en-US" sz="2000" b="1">
              <a:latin typeface="Arial" pitchFamily="34" charset="0"/>
              <a:cs typeface="Arial" pitchFamily="34" charset="0"/>
            </a:rPr>
            <a:t>DOk</a:t>
          </a:r>
          <a:r>
            <a:rPr lang="ru-RU" sz="2400">
              <a:latin typeface="Arial" pitchFamily="34" charset="0"/>
              <a:cs typeface="Arial" pitchFamily="34" charset="0"/>
            </a:rPr>
            <a:t>  </a:t>
          </a:r>
          <a:r>
            <a:rPr lang="ru-RU" sz="1800">
              <a:latin typeface="Arial" pitchFamily="34" charset="0"/>
              <a:cs typeface="Arial" pitchFamily="34" charset="0"/>
            </a:rPr>
            <a:t> </a:t>
          </a:r>
        </a:p>
      </cdr:txBody>
    </cdr:sp>
  </cdr:relSizeAnchor>
  <cdr:relSizeAnchor xmlns:cdr="http://schemas.openxmlformats.org/drawingml/2006/chartDrawing">
    <cdr:from>
      <cdr:x>0.38844</cdr:x>
      <cdr:y>0.71054</cdr:y>
    </cdr:from>
    <cdr:to>
      <cdr:x>0.50636</cdr:x>
      <cdr:y>0.75816</cdr:y>
    </cdr:to>
    <cdr:sp macro="" textlink="">
      <cdr:nvSpPr>
        <cdr:cNvPr id="9" name="TextBox 5">
          <a:extLst xmlns:a="http://schemas.openxmlformats.org/drawingml/2006/main">
            <a:ext uri="{FF2B5EF4-FFF2-40B4-BE49-F238E27FC236}">
              <a16:creationId xmlns:a16="http://schemas.microsoft.com/office/drawing/2014/main" id="{71F1EE7D-ED1E-453C-A8EA-CE26BCBCF352}"/>
            </a:ext>
          </a:extLst>
        </cdr:cNvPr>
        <cdr:cNvSpPr txBox="1"/>
      </cdr:nvSpPr>
      <cdr:spPr>
        <a:xfrm xmlns:a="http://schemas.openxmlformats.org/drawingml/2006/main">
          <a:off x="3237332" y="6063931"/>
          <a:ext cx="982763" cy="4064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Тренд</a:t>
          </a:r>
          <a:r>
            <a:rPr lang="ru-RU" sz="1400">
              <a:latin typeface="Arial" pitchFamily="34" charset="0"/>
              <a:cs typeface="Arial" pitchFamily="34" charset="0"/>
            </a:rPr>
            <a:t> </a:t>
          </a:r>
          <a:r>
            <a:rPr lang="ru-RU" sz="1600">
              <a:latin typeface="Arial" pitchFamily="34" charset="0"/>
              <a:cs typeface="Arial" pitchFamily="34" charset="0"/>
            </a:rPr>
            <a:t>1  </a:t>
          </a:r>
        </a:p>
      </cdr:txBody>
    </cdr:sp>
  </cdr:relSizeAnchor>
</c:userShapes>
</file>

<file path=xl/drawings/drawing67.xml><?xml version="1.0" encoding="utf-8"?>
<c:userShapes xmlns:c="http://schemas.openxmlformats.org/drawingml/2006/chart"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0.28642</cdr:x>
      <cdr:y>0.0946</cdr:y>
    </cdr:from>
    <cdr:to>
      <cdr:x>0.9225</cdr:x>
      <cdr:y>0.2564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2619375" y="807627"/>
          <a:ext cx="5817073" cy="138132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РЕГРЕССИЯ ВАЛОВОГО НАКОПЛЕНИЯ ОК </a:t>
          </a:r>
        </a:p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ОТ</a:t>
          </a:r>
          <a:r>
            <a:rPr lang="ru-RU" sz="2000" b="1" baseline="0">
              <a:latin typeface="Arial" pitchFamily="34" charset="0"/>
              <a:cs typeface="Arial" pitchFamily="34" charset="0"/>
            </a:rPr>
            <a:t> </a:t>
          </a:r>
          <a:r>
            <a:rPr lang="ru-RU" sz="2000" b="1">
              <a:latin typeface="Arial" pitchFamily="34" charset="0"/>
              <a:cs typeface="Arial" pitchFamily="34" charset="0"/>
            </a:rPr>
            <a:t>ВВОДОВ</a:t>
          </a:r>
          <a:r>
            <a:rPr lang="ru-RU" sz="2000" b="1" baseline="0">
              <a:latin typeface="Arial" pitchFamily="34" charset="0"/>
              <a:cs typeface="Arial" pitchFamily="34" charset="0"/>
            </a:rPr>
            <a:t> </a:t>
          </a:r>
          <a:r>
            <a:rPr lang="ru-RU" sz="2000" b="1">
              <a:latin typeface="Arial" pitchFamily="34" charset="0"/>
              <a:cs typeface="Arial" pitchFamily="34" charset="0"/>
            </a:rPr>
            <a:t>ОСНОВНЫХ ФОНДОВ</a:t>
          </a:r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</a:t>
          </a:r>
          <a:r>
            <a:rPr lang="en-US" sz="1800" b="1">
              <a:latin typeface="Arial" pitchFamily="34" charset="0"/>
              <a:cs typeface="Arial" pitchFamily="34" charset="0"/>
            </a:rPr>
            <a:t>WNO</a:t>
          </a:r>
          <a:r>
            <a:rPr lang="en-US" sz="1400" b="1">
              <a:latin typeface="Arial" pitchFamily="34" charset="0"/>
              <a:cs typeface="Arial" pitchFamily="34" charset="0"/>
            </a:rPr>
            <a:t> </a:t>
          </a:r>
          <a:r>
            <a:rPr lang="en-US" sz="1600" b="1">
              <a:latin typeface="Arial" pitchFamily="34" charset="0"/>
              <a:cs typeface="Arial" pitchFamily="34" charset="0"/>
            </a:rPr>
            <a:t>=</a:t>
          </a:r>
          <a:r>
            <a:rPr lang="ru-RU" sz="1600" b="1">
              <a:latin typeface="Arial" pitchFamily="34" charset="0"/>
              <a:cs typeface="Arial" pitchFamily="34" charset="0"/>
            </a:rPr>
            <a:t>0</a:t>
          </a:r>
          <a:r>
            <a:rPr lang="en-US" sz="1600" b="1">
              <a:latin typeface="Arial" pitchFamily="34" charset="0"/>
              <a:cs typeface="Arial" pitchFamily="34" charset="0"/>
            </a:rPr>
            <a:t>,0</a:t>
          </a:r>
          <a:r>
            <a:rPr lang="ru-RU" sz="1600" b="1">
              <a:latin typeface="Arial" pitchFamily="34" charset="0"/>
              <a:cs typeface="Arial" pitchFamily="34" charset="0"/>
            </a:rPr>
            <a:t>0003*</a:t>
          </a:r>
          <a:r>
            <a:rPr lang="en-US" sz="1600" b="1">
              <a:latin typeface="Arial" pitchFamily="34" charset="0"/>
              <a:cs typeface="Arial" pitchFamily="34" charset="0"/>
            </a:rPr>
            <a:t>Xf*Xf</a:t>
          </a:r>
          <a:r>
            <a:rPr lang="en-US" sz="1600" b="1" baseline="0">
              <a:latin typeface="Arial" pitchFamily="34" charset="0"/>
              <a:cs typeface="Arial" pitchFamily="34" charset="0"/>
            </a:rPr>
            <a:t> + 1,7719*Xf - 364,27</a:t>
          </a:r>
        </a:p>
        <a:p xmlns:a="http://schemas.openxmlformats.org/drawingml/2006/main">
          <a:r>
            <a:rPr lang="en-US" sz="1600" b="1" baseline="0">
              <a:latin typeface="Arial" pitchFamily="34" charset="0"/>
              <a:cs typeface="Arial" pitchFamily="34" charset="0"/>
            </a:rPr>
            <a:t> Xf = WWt</a:t>
          </a:r>
        </a:p>
        <a:p xmlns:a="http://schemas.openxmlformats.org/drawingml/2006/main">
          <a:r>
            <a:rPr lang="en-US" sz="2000" b="1" baseline="0">
              <a:latin typeface="Arial" pitchFamily="34" charset="0"/>
              <a:cs typeface="Arial" pitchFamily="34" charset="0"/>
            </a:rPr>
            <a:t> </a:t>
          </a:r>
          <a:endParaRPr lang="en-US" sz="18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en-US" sz="2000" b="1">
              <a:latin typeface="Arial" pitchFamily="34" charset="0"/>
              <a:cs typeface="Arial" pitchFamily="34" charset="0"/>
            </a:rPr>
            <a:t>                     </a:t>
          </a:r>
          <a:endParaRPr lang="ru-RU" sz="20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0.74511</cdr:x>
      <cdr:y>0.86214</cdr:y>
    </cdr:from>
    <cdr:to>
      <cdr:x>0.95814</cdr:x>
      <cdr:y>0.90743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C62E565B-F758-4D5E-85D4-ACC5727F5068}"/>
            </a:ext>
          </a:extLst>
        </cdr:cNvPr>
        <cdr:cNvSpPr txBox="1"/>
      </cdr:nvSpPr>
      <cdr:spPr>
        <a:xfrm xmlns:a="http://schemas.openxmlformats.org/drawingml/2006/main">
          <a:off x="6207105" y="7302968"/>
          <a:ext cx="1774618" cy="3837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baseline="0">
              <a:latin typeface="Arial" pitchFamily="34" charset="0"/>
              <a:cs typeface="Arial" pitchFamily="34" charset="0"/>
            </a:rPr>
            <a:t>  </a:t>
          </a:r>
          <a:r>
            <a:rPr lang="ru-RU" sz="1800" baseline="0">
              <a:latin typeface="Arial" pitchFamily="34" charset="0"/>
              <a:cs typeface="Arial" pitchFamily="34" charset="0"/>
            </a:rPr>
            <a:t>фактор  </a:t>
          </a:r>
          <a:r>
            <a:rPr lang="ru-RU" sz="1800" b="1" baseline="0">
              <a:latin typeface="Arial" pitchFamily="34" charset="0"/>
              <a:cs typeface="Arial" pitchFamily="34" charset="0"/>
            </a:rPr>
            <a:t>- </a:t>
          </a:r>
          <a:r>
            <a:rPr lang="en-US" sz="1800" b="1" baseline="0">
              <a:latin typeface="Arial" pitchFamily="34" charset="0"/>
              <a:cs typeface="Arial" pitchFamily="34" charset="0"/>
            </a:rPr>
            <a:t> </a:t>
          </a:r>
          <a:r>
            <a:rPr lang="en-US" sz="2000" b="1" baseline="0">
              <a:latin typeface="Arial" pitchFamily="34" charset="0"/>
              <a:cs typeface="Arial" pitchFamily="34" charset="0"/>
            </a:rPr>
            <a:t>Xf</a:t>
          </a:r>
          <a:endParaRPr lang="ru-RU" sz="18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0.10686</cdr:x>
      <cdr:y>0.03858</cdr:y>
    </cdr:from>
    <cdr:to>
      <cdr:x>0.37076</cdr:x>
      <cdr:y>0.09433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C05C57E-6B9F-4CA9-9390-B31B20F966A5}"/>
            </a:ext>
          </a:extLst>
        </cdr:cNvPr>
        <cdr:cNvSpPr txBox="1"/>
      </cdr:nvSpPr>
      <cdr:spPr>
        <a:xfrm xmlns:a="http://schemas.openxmlformats.org/drawingml/2006/main">
          <a:off x="919972" y="329401"/>
          <a:ext cx="2272093" cy="47595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2400">
              <a:latin typeface="Arial" pitchFamily="34" charset="0"/>
              <a:cs typeface="Arial" pitchFamily="34" charset="0"/>
            </a:rPr>
            <a:t> </a:t>
          </a:r>
          <a:r>
            <a:rPr lang="en-US" sz="2000" b="1">
              <a:latin typeface="Arial" pitchFamily="34" charset="0"/>
              <a:cs typeface="Arial" pitchFamily="34" charset="0"/>
            </a:rPr>
            <a:t>WNO </a:t>
          </a:r>
          <a:r>
            <a:rPr lang="en-US" sz="1600" b="1">
              <a:latin typeface="Arial" pitchFamily="34" charset="0"/>
              <a:cs typeface="Arial" pitchFamily="34" charset="0"/>
            </a:rPr>
            <a:t>(</a:t>
          </a:r>
          <a:r>
            <a:rPr lang="ru-RU" sz="1600" b="1">
              <a:latin typeface="Arial" pitchFamily="34" charset="0"/>
              <a:cs typeface="Arial" pitchFamily="34" charset="0"/>
            </a:rPr>
            <a:t> млрд руб </a:t>
          </a:r>
          <a:r>
            <a:rPr lang="ru-RU" sz="1400" b="1">
              <a:latin typeface="Arial" pitchFamily="34" charset="0"/>
              <a:cs typeface="Arial" pitchFamily="34" charset="0"/>
            </a:rPr>
            <a:t>)</a:t>
          </a:r>
          <a:endParaRPr lang="en-US" sz="16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ru-RU" sz="2400">
              <a:latin typeface="Arial" pitchFamily="34" charset="0"/>
              <a:cs typeface="Arial" pitchFamily="34" charset="0"/>
            </a:rPr>
            <a:t>  </a:t>
          </a:r>
          <a:r>
            <a:rPr lang="ru-RU" sz="1800">
              <a:latin typeface="Arial" pitchFamily="34" charset="0"/>
              <a:cs typeface="Arial" pitchFamily="34" charset="0"/>
            </a:rPr>
            <a:t> </a:t>
          </a:r>
        </a:p>
      </cdr:txBody>
    </cdr:sp>
  </cdr:relSizeAnchor>
  <cdr:relSizeAnchor xmlns:cdr="http://schemas.openxmlformats.org/drawingml/2006/chartDrawing">
    <cdr:from>
      <cdr:x>0.57368</cdr:x>
      <cdr:y>0.45131</cdr:y>
    </cdr:from>
    <cdr:to>
      <cdr:x>0.6916</cdr:x>
      <cdr:y>0.49893</cdr:y>
    </cdr:to>
    <cdr:sp macro="" textlink="">
      <cdr:nvSpPr>
        <cdr:cNvPr id="9" name="TextBox 5">
          <a:extLst xmlns:a="http://schemas.openxmlformats.org/drawingml/2006/main">
            <a:ext uri="{FF2B5EF4-FFF2-40B4-BE49-F238E27FC236}">
              <a16:creationId xmlns:a16="http://schemas.microsoft.com/office/drawing/2014/main" id="{71F1EE7D-ED1E-453C-A8EA-CE26BCBCF352}"/>
            </a:ext>
          </a:extLst>
        </cdr:cNvPr>
        <cdr:cNvSpPr txBox="1"/>
      </cdr:nvSpPr>
      <cdr:spPr>
        <a:xfrm xmlns:a="http://schemas.openxmlformats.org/drawingml/2006/main">
          <a:off x="5246382" y="3852946"/>
          <a:ext cx="1078401" cy="40654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Тренд</a:t>
          </a:r>
          <a:r>
            <a:rPr lang="en-US" sz="1800">
              <a:latin typeface="Arial" pitchFamily="34" charset="0"/>
              <a:cs typeface="Arial" pitchFamily="34" charset="0"/>
            </a:rPr>
            <a:t> 1</a:t>
          </a:r>
          <a:r>
            <a:rPr lang="ru-RU" sz="1400">
              <a:latin typeface="Arial" pitchFamily="34" charset="0"/>
              <a:cs typeface="Arial" pitchFamily="34" charset="0"/>
            </a:rPr>
            <a:t> </a:t>
          </a:r>
          <a:r>
            <a:rPr lang="ru-RU" sz="1600">
              <a:latin typeface="Arial" pitchFamily="34" charset="0"/>
              <a:cs typeface="Arial" pitchFamily="34" charset="0"/>
            </a:rPr>
            <a:t>  </a:t>
          </a:r>
        </a:p>
      </cdr:txBody>
    </cdr:sp>
  </cdr:relSizeAnchor>
</c:userShapes>
</file>

<file path=xl/drawings/drawing68.xml><?xml version="1.0" encoding="utf-8"?>
<c:userShapes xmlns:c="http://schemas.openxmlformats.org/drawingml/2006/chart"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0.24072</cdr:x>
      <cdr:y>0.16605</cdr:y>
    </cdr:from>
    <cdr:to>
      <cdr:x>0.89683</cdr:x>
      <cdr:y>0.26326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2263776" y="1411886"/>
          <a:ext cx="6170372" cy="82648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ДИНАМИКА РОСТА ВАЛОВОГО</a:t>
          </a:r>
          <a:r>
            <a:rPr lang="ru-RU" sz="2000" b="1" baseline="0">
              <a:latin typeface="Arial" pitchFamily="34" charset="0"/>
              <a:cs typeface="Arial" pitchFamily="34" charset="0"/>
            </a:rPr>
            <a:t> НАКОПЛЕНИЯ</a:t>
          </a:r>
          <a:endParaRPr lang="ru-RU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ru-RU" sz="2000" b="1" baseline="0">
              <a:latin typeface="Arial" pitchFamily="34" charset="0"/>
              <a:cs typeface="Arial" pitchFamily="34" charset="0"/>
            </a:rPr>
            <a:t> </a:t>
          </a:r>
          <a:r>
            <a:rPr lang="ru-RU" sz="2000" b="1">
              <a:latin typeface="Arial" pitchFamily="34" charset="0"/>
              <a:cs typeface="Arial" pitchFamily="34" charset="0"/>
            </a:rPr>
            <a:t>ОСНОВНОГО КАПИТАЛА в СЦ</a:t>
          </a:r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</a:t>
          </a:r>
          <a:r>
            <a:rPr lang="en-US" sz="2000" b="1" baseline="0">
              <a:latin typeface="Arial" pitchFamily="34" charset="0"/>
              <a:cs typeface="Arial" pitchFamily="34" charset="0"/>
            </a:rPr>
            <a:t> </a:t>
          </a:r>
          <a:endParaRPr lang="en-US" sz="18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en-US" sz="2000" b="1">
              <a:latin typeface="Arial" pitchFamily="34" charset="0"/>
              <a:cs typeface="Arial" pitchFamily="34" charset="0"/>
            </a:rPr>
            <a:t>                     </a:t>
          </a:r>
          <a:endParaRPr lang="ru-RU" sz="20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12" name="TextBox 2">
          <a:extLst xmlns:a="http://schemas.openxmlformats.org/drawingml/2006/main">
            <a:ext uri="{FF2B5EF4-FFF2-40B4-BE49-F238E27FC236}">
              <a16:creationId xmlns:a16="http://schemas.microsoft.com/office/drawing/2014/main" id="{FA1D0D4C-61F8-46F3-A436-D894CD40A228}"/>
            </a:ext>
          </a:extLst>
        </cdr:cNvPr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0.27885</cdr:x>
      <cdr:y>0.06671</cdr:y>
    </cdr:from>
    <cdr:to>
      <cdr:x>0.91493</cdr:x>
      <cdr:y>0.21545</cdr:y>
    </cdr:to>
    <cdr:sp macro="" textlink="">
      <cdr:nvSpPr>
        <cdr:cNvPr id="13" name="TextBox 4">
          <a:extLst xmlns:a="http://schemas.openxmlformats.org/drawingml/2006/main">
            <a:ext uri="{FF2B5EF4-FFF2-40B4-BE49-F238E27FC236}">
              <a16:creationId xmlns:a16="http://schemas.microsoft.com/office/drawing/2014/main" id="{017658B6-5778-4809-9AEF-FF3AAE977D9B}"/>
            </a:ext>
          </a:extLst>
        </cdr:cNvPr>
        <cdr:cNvSpPr txBox="1"/>
      </cdr:nvSpPr>
      <cdr:spPr>
        <a:xfrm xmlns:a="http://schemas.openxmlformats.org/drawingml/2006/main">
          <a:off x="2549804" y="583937"/>
          <a:ext cx="5816316" cy="13020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</a:t>
          </a:r>
          <a:endParaRPr lang="en-US" sz="18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0.70969</cdr:x>
      <cdr:y>0.87302</cdr:y>
    </cdr:from>
    <cdr:to>
      <cdr:x>0.92272</cdr:x>
      <cdr:y>0.91831</cdr:y>
    </cdr:to>
    <cdr:sp macro="" textlink="">
      <cdr:nvSpPr>
        <cdr:cNvPr id="14" name="TextBox 1">
          <a:extLst xmlns:a="http://schemas.openxmlformats.org/drawingml/2006/main">
            <a:ext uri="{FF2B5EF4-FFF2-40B4-BE49-F238E27FC236}">
              <a16:creationId xmlns:a16="http://schemas.microsoft.com/office/drawing/2014/main" id="{C62E565B-F758-4D5E-85D4-ACC5727F5068}"/>
            </a:ext>
          </a:extLst>
        </cdr:cNvPr>
        <cdr:cNvSpPr txBox="1"/>
      </cdr:nvSpPr>
      <cdr:spPr>
        <a:xfrm xmlns:a="http://schemas.openxmlformats.org/drawingml/2006/main">
          <a:off x="6489436" y="7641873"/>
          <a:ext cx="1947946" cy="3964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baseline="0">
              <a:latin typeface="Arial" pitchFamily="34" charset="0"/>
              <a:cs typeface="Arial" pitchFamily="34" charset="0"/>
            </a:rPr>
            <a:t>  </a:t>
          </a:r>
          <a:r>
            <a:rPr lang="ru-RU" sz="1800" baseline="0">
              <a:latin typeface="Arial" pitchFamily="34" charset="0"/>
              <a:cs typeface="Arial" pitchFamily="34" charset="0"/>
            </a:rPr>
            <a:t>фактор  </a:t>
          </a:r>
          <a:r>
            <a:rPr lang="ru-RU" sz="1800" b="1" baseline="0">
              <a:latin typeface="Arial" pitchFamily="34" charset="0"/>
              <a:cs typeface="Arial" pitchFamily="34" charset="0"/>
            </a:rPr>
            <a:t>- </a:t>
          </a:r>
          <a:r>
            <a:rPr lang="en-US" sz="1800" b="1" baseline="0">
              <a:latin typeface="Arial" pitchFamily="34" charset="0"/>
              <a:cs typeface="Arial" pitchFamily="34" charset="0"/>
            </a:rPr>
            <a:t> </a:t>
          </a:r>
          <a:r>
            <a:rPr lang="ru-RU" sz="1800" b="1" baseline="0">
              <a:latin typeface="Arial" pitchFamily="34" charset="0"/>
              <a:cs typeface="Arial" pitchFamily="34" charset="0"/>
            </a:rPr>
            <a:t>Время</a:t>
          </a:r>
          <a:endParaRPr lang="ru-RU" sz="18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0.09374</cdr:x>
      <cdr:y>0.06647</cdr:y>
    </cdr:from>
    <cdr:to>
      <cdr:x>0.35</cdr:x>
      <cdr:y>0.12222</cdr:y>
    </cdr:to>
    <cdr:sp macro="" textlink="">
      <cdr:nvSpPr>
        <cdr:cNvPr id="15" name="TextBox 2">
          <a:extLst xmlns:a="http://schemas.openxmlformats.org/drawingml/2006/main">
            <a:ext uri="{FF2B5EF4-FFF2-40B4-BE49-F238E27FC236}">
              <a16:creationId xmlns:a16="http://schemas.microsoft.com/office/drawing/2014/main" id="{4C05C57E-6B9F-4CA9-9390-B31B20F966A5}"/>
            </a:ext>
          </a:extLst>
        </cdr:cNvPr>
        <cdr:cNvSpPr txBox="1"/>
      </cdr:nvSpPr>
      <cdr:spPr>
        <a:xfrm xmlns:a="http://schemas.openxmlformats.org/drawingml/2006/main">
          <a:off x="857128" y="581794"/>
          <a:ext cx="2343272" cy="488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2400">
              <a:latin typeface="Arial" pitchFamily="34" charset="0"/>
              <a:cs typeface="Arial" pitchFamily="34" charset="0"/>
            </a:rPr>
            <a:t> </a:t>
          </a:r>
          <a:r>
            <a:rPr lang="en-US" sz="2000" b="1">
              <a:latin typeface="Arial" pitchFamily="34" charset="0"/>
              <a:cs typeface="Arial" pitchFamily="34" charset="0"/>
            </a:rPr>
            <a:t>WNOS</a:t>
          </a:r>
          <a:r>
            <a:rPr lang="ru-RU" sz="1800" b="1">
              <a:latin typeface="Arial" pitchFamily="34" charset="0"/>
              <a:cs typeface="Arial" pitchFamily="34" charset="0"/>
            </a:rPr>
            <a:t> (млрд руб 1995 г.)</a:t>
          </a:r>
          <a:endParaRPr lang="en-US" sz="24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ru-RU" sz="2400">
              <a:latin typeface="Arial" pitchFamily="34" charset="0"/>
              <a:cs typeface="Arial" pitchFamily="34" charset="0"/>
            </a:rPr>
            <a:t>  </a:t>
          </a:r>
          <a:r>
            <a:rPr lang="ru-RU" sz="1800">
              <a:latin typeface="Arial" pitchFamily="34" charset="0"/>
              <a:cs typeface="Arial" pitchFamily="34" charset="0"/>
            </a:rPr>
            <a:t> </a:t>
          </a:r>
        </a:p>
      </cdr:txBody>
    </cdr:sp>
  </cdr:relSizeAnchor>
  <cdr:relSizeAnchor xmlns:cdr="http://schemas.openxmlformats.org/drawingml/2006/chartDrawing">
    <cdr:from>
      <cdr:x>0.27549</cdr:x>
      <cdr:y>0.85577</cdr:y>
    </cdr:from>
    <cdr:to>
      <cdr:x>0.39341</cdr:x>
      <cdr:y>0.90339</cdr:y>
    </cdr:to>
    <cdr:sp macro="" textlink="">
      <cdr:nvSpPr>
        <cdr:cNvPr id="16" name="TextBox 5">
          <a:extLst xmlns:a="http://schemas.openxmlformats.org/drawingml/2006/main">
            <a:ext uri="{FF2B5EF4-FFF2-40B4-BE49-F238E27FC236}">
              <a16:creationId xmlns:a16="http://schemas.microsoft.com/office/drawing/2014/main" id="{71F1EE7D-ED1E-453C-A8EA-CE26BCBCF352}"/>
            </a:ext>
          </a:extLst>
        </cdr:cNvPr>
        <cdr:cNvSpPr txBox="1"/>
      </cdr:nvSpPr>
      <cdr:spPr>
        <a:xfrm xmlns:a="http://schemas.openxmlformats.org/drawingml/2006/main">
          <a:off x="2519050" y="7490861"/>
          <a:ext cx="1078261" cy="4168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Тренд</a:t>
          </a:r>
          <a:r>
            <a:rPr lang="ru-RU" sz="1400">
              <a:latin typeface="Arial" pitchFamily="34" charset="0"/>
              <a:cs typeface="Arial" pitchFamily="34" charset="0"/>
            </a:rPr>
            <a:t> </a:t>
          </a:r>
          <a:r>
            <a:rPr lang="ru-RU" sz="1600">
              <a:latin typeface="Arial" pitchFamily="34" charset="0"/>
              <a:cs typeface="Arial" pitchFamily="34" charset="0"/>
            </a:rPr>
            <a:t>  </a:t>
          </a:r>
        </a:p>
      </cdr:txBody>
    </cdr:sp>
  </cdr:relSizeAnchor>
</c:userShapes>
</file>

<file path=xl/drawings/drawing69.xml><?xml version="1.0" encoding="utf-8"?>
<c:userShapes xmlns:c="http://schemas.openxmlformats.org/drawingml/2006/chart"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0.17381</cdr:x>
      <cdr:y>0.1182</cdr:y>
    </cdr:from>
    <cdr:to>
      <cdr:x>0.89778</cdr:x>
      <cdr:y>0.27804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1592912" y="1046586"/>
          <a:ext cx="6635107" cy="141522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РЕГРЕССИЯ ВАЛОВОГО НАКОПЛЕНИЯ</a:t>
          </a:r>
          <a:r>
            <a:rPr lang="en-US" sz="2000" b="1">
              <a:latin typeface="Arial" pitchFamily="34" charset="0"/>
              <a:cs typeface="Arial" pitchFamily="34" charset="0"/>
            </a:rPr>
            <a:t> </a:t>
          </a:r>
          <a:r>
            <a:rPr lang="ru-RU" sz="2000" b="1">
              <a:latin typeface="Arial" pitchFamily="34" charset="0"/>
              <a:cs typeface="Arial" pitchFamily="34" charset="0"/>
            </a:rPr>
            <a:t>ОК в СЦ</a:t>
          </a:r>
        </a:p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ОТ</a:t>
          </a:r>
          <a:r>
            <a:rPr lang="ru-RU" sz="2000" b="1" baseline="0">
              <a:latin typeface="Arial" pitchFamily="34" charset="0"/>
              <a:cs typeface="Arial" pitchFamily="34" charset="0"/>
            </a:rPr>
            <a:t> </a:t>
          </a:r>
          <a:r>
            <a:rPr lang="en-US" sz="2000" b="1" baseline="0">
              <a:latin typeface="Arial" pitchFamily="34" charset="0"/>
              <a:cs typeface="Arial" pitchFamily="34" charset="0"/>
            </a:rPr>
            <a:t> </a:t>
          </a:r>
          <a:r>
            <a:rPr lang="ru-RU" sz="2000" b="1" baseline="0">
              <a:latin typeface="Arial" pitchFamily="34" charset="0"/>
              <a:cs typeface="Arial" pitchFamily="34" charset="0"/>
            </a:rPr>
            <a:t>ИНВЕСТИЦИЙ в ОК в СЦ</a:t>
          </a:r>
          <a:endParaRPr lang="en-US" sz="2000" b="1" baseline="0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</a:t>
          </a:r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en-US" sz="2000" b="1">
              <a:latin typeface="Arial" pitchFamily="34" charset="0"/>
              <a:cs typeface="Arial" pitchFamily="34" charset="0"/>
            </a:rPr>
            <a:t> </a:t>
          </a:r>
          <a:r>
            <a:rPr lang="en-US" sz="1800" b="1">
              <a:latin typeface="Arial" pitchFamily="34" charset="0"/>
              <a:cs typeface="Arial" pitchFamily="34" charset="0"/>
            </a:rPr>
            <a:t>WNOS</a:t>
          </a:r>
          <a:r>
            <a:rPr lang="en-US" sz="1400" b="1">
              <a:latin typeface="Arial" pitchFamily="34" charset="0"/>
              <a:cs typeface="Arial" pitchFamily="34" charset="0"/>
            </a:rPr>
            <a:t> </a:t>
          </a:r>
          <a:r>
            <a:rPr lang="en-US" sz="1600" b="1">
              <a:latin typeface="Arial" pitchFamily="34" charset="0"/>
              <a:cs typeface="Arial" pitchFamily="34" charset="0"/>
            </a:rPr>
            <a:t>=</a:t>
          </a:r>
          <a:r>
            <a:rPr lang="ru-RU" sz="1600" b="1">
              <a:latin typeface="Arial" pitchFamily="34" charset="0"/>
              <a:cs typeface="Arial" pitchFamily="34" charset="0"/>
            </a:rPr>
            <a:t>1</a:t>
          </a:r>
          <a:r>
            <a:rPr lang="en-US" sz="1600" b="1">
              <a:latin typeface="Arial" pitchFamily="34" charset="0"/>
              <a:cs typeface="Arial" pitchFamily="34" charset="0"/>
            </a:rPr>
            <a:t>,0</a:t>
          </a:r>
          <a:r>
            <a:rPr lang="ru-RU" sz="1600" b="1">
              <a:latin typeface="Arial" pitchFamily="34" charset="0"/>
              <a:cs typeface="Arial" pitchFamily="34" charset="0"/>
            </a:rPr>
            <a:t>315*</a:t>
          </a:r>
          <a:r>
            <a:rPr lang="en-US" sz="1600" b="1">
              <a:latin typeface="Arial" pitchFamily="34" charset="0"/>
              <a:cs typeface="Arial" pitchFamily="34" charset="0"/>
            </a:rPr>
            <a:t>INS + 11,554</a:t>
          </a:r>
          <a:endParaRPr lang="en-US" sz="1600" b="1" baseline="0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en-US" sz="1600" b="1" baseline="0">
              <a:latin typeface="Arial" pitchFamily="34" charset="0"/>
              <a:cs typeface="Arial" pitchFamily="34" charset="0"/>
            </a:rPr>
            <a:t> </a:t>
          </a:r>
          <a:endParaRPr lang="en-US" sz="18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en-US" sz="2000" b="1">
              <a:latin typeface="Arial" pitchFamily="34" charset="0"/>
              <a:cs typeface="Arial" pitchFamily="34" charset="0"/>
            </a:rPr>
            <a:t>                     </a:t>
          </a:r>
          <a:endParaRPr lang="ru-RU" sz="20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0.74511</cdr:x>
      <cdr:y>0.86214</cdr:y>
    </cdr:from>
    <cdr:to>
      <cdr:x>0.95814</cdr:x>
      <cdr:y>0.90743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C62E565B-F758-4D5E-85D4-ACC5727F5068}"/>
            </a:ext>
          </a:extLst>
        </cdr:cNvPr>
        <cdr:cNvSpPr txBox="1"/>
      </cdr:nvSpPr>
      <cdr:spPr>
        <a:xfrm xmlns:a="http://schemas.openxmlformats.org/drawingml/2006/main">
          <a:off x="6207105" y="7302968"/>
          <a:ext cx="1774618" cy="3837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baseline="0">
              <a:latin typeface="Arial" pitchFamily="34" charset="0"/>
              <a:cs typeface="Arial" pitchFamily="34" charset="0"/>
            </a:rPr>
            <a:t>  </a:t>
          </a:r>
          <a:r>
            <a:rPr lang="ru-RU" sz="1800" baseline="0">
              <a:latin typeface="Arial" pitchFamily="34" charset="0"/>
              <a:cs typeface="Arial" pitchFamily="34" charset="0"/>
            </a:rPr>
            <a:t>фактор  </a:t>
          </a:r>
          <a:r>
            <a:rPr lang="ru-RU" sz="1800" b="1" baseline="0">
              <a:latin typeface="Arial" pitchFamily="34" charset="0"/>
              <a:cs typeface="Arial" pitchFamily="34" charset="0"/>
            </a:rPr>
            <a:t>- </a:t>
          </a:r>
          <a:r>
            <a:rPr lang="en-US" sz="1800" b="1" baseline="0">
              <a:latin typeface="Arial" pitchFamily="34" charset="0"/>
              <a:cs typeface="Arial" pitchFamily="34" charset="0"/>
            </a:rPr>
            <a:t> INS</a:t>
          </a:r>
          <a:endParaRPr lang="ru-RU" sz="18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0.10686</cdr:x>
      <cdr:y>0.03858</cdr:y>
    </cdr:from>
    <cdr:to>
      <cdr:x>0.37076</cdr:x>
      <cdr:y>0.09433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C05C57E-6B9F-4CA9-9390-B31B20F966A5}"/>
            </a:ext>
          </a:extLst>
        </cdr:cNvPr>
        <cdr:cNvSpPr txBox="1"/>
      </cdr:nvSpPr>
      <cdr:spPr>
        <a:xfrm xmlns:a="http://schemas.openxmlformats.org/drawingml/2006/main">
          <a:off x="919972" y="329401"/>
          <a:ext cx="2272093" cy="47595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2400">
              <a:latin typeface="Arial" pitchFamily="34" charset="0"/>
              <a:cs typeface="Arial" pitchFamily="34" charset="0"/>
            </a:rPr>
            <a:t> </a:t>
          </a:r>
          <a:r>
            <a:rPr lang="en-US" sz="2000" b="1">
              <a:latin typeface="Arial" pitchFamily="34" charset="0"/>
              <a:cs typeface="Arial" pitchFamily="34" charset="0"/>
            </a:rPr>
            <a:t>WNOS </a:t>
          </a:r>
          <a:r>
            <a:rPr lang="en-US" sz="1600" b="1">
              <a:latin typeface="Arial" pitchFamily="34" charset="0"/>
              <a:cs typeface="Arial" pitchFamily="34" charset="0"/>
            </a:rPr>
            <a:t>(</a:t>
          </a:r>
          <a:r>
            <a:rPr lang="ru-RU" sz="1600" b="1">
              <a:latin typeface="Arial" pitchFamily="34" charset="0"/>
              <a:cs typeface="Arial" pitchFamily="34" charset="0"/>
            </a:rPr>
            <a:t> млрд руб </a:t>
          </a:r>
          <a:r>
            <a:rPr lang="ru-RU" sz="1400" b="1">
              <a:latin typeface="Arial" pitchFamily="34" charset="0"/>
              <a:cs typeface="Arial" pitchFamily="34" charset="0"/>
            </a:rPr>
            <a:t>)</a:t>
          </a:r>
          <a:endParaRPr lang="en-US" sz="16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ru-RU" sz="2400">
              <a:latin typeface="Arial" pitchFamily="34" charset="0"/>
              <a:cs typeface="Arial" pitchFamily="34" charset="0"/>
            </a:rPr>
            <a:t>  </a:t>
          </a:r>
          <a:r>
            <a:rPr lang="ru-RU" sz="1800">
              <a:latin typeface="Arial" pitchFamily="34" charset="0"/>
              <a:cs typeface="Arial" pitchFamily="34" charset="0"/>
            </a:rPr>
            <a:t> </a:t>
          </a:r>
        </a:p>
      </cdr:txBody>
    </cdr:sp>
  </cdr:relSizeAnchor>
  <cdr:relSizeAnchor xmlns:cdr="http://schemas.openxmlformats.org/drawingml/2006/chartDrawing">
    <cdr:from>
      <cdr:x>0.19379</cdr:x>
      <cdr:y>0.84035</cdr:y>
    </cdr:from>
    <cdr:to>
      <cdr:x>0.28523</cdr:x>
      <cdr:y>0.8726</cdr:y>
    </cdr:to>
    <cdr:sp macro="" textlink="">
      <cdr:nvSpPr>
        <cdr:cNvPr id="9" name="TextBox 5">
          <a:extLst xmlns:a="http://schemas.openxmlformats.org/drawingml/2006/main">
            <a:ext uri="{FF2B5EF4-FFF2-40B4-BE49-F238E27FC236}">
              <a16:creationId xmlns:a16="http://schemas.microsoft.com/office/drawing/2014/main" id="{71F1EE7D-ED1E-453C-A8EA-CE26BCBCF352}"/>
            </a:ext>
          </a:extLst>
        </cdr:cNvPr>
        <cdr:cNvSpPr txBox="1"/>
      </cdr:nvSpPr>
      <cdr:spPr>
        <a:xfrm xmlns:a="http://schemas.openxmlformats.org/drawingml/2006/main">
          <a:off x="1752240" y="7429091"/>
          <a:ext cx="826795" cy="2850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400">
              <a:latin typeface="Arial" pitchFamily="34" charset="0"/>
              <a:cs typeface="Arial" pitchFamily="34" charset="0"/>
            </a:rPr>
            <a:t>Тренд</a:t>
          </a:r>
          <a:r>
            <a:rPr lang="en-US" sz="1400">
              <a:latin typeface="Arial" pitchFamily="34" charset="0"/>
              <a:cs typeface="Arial" pitchFamily="34" charset="0"/>
            </a:rPr>
            <a:t> </a:t>
          </a:r>
          <a:r>
            <a:rPr lang="ru-RU" sz="1100">
              <a:latin typeface="Arial" pitchFamily="34" charset="0"/>
              <a:cs typeface="Arial" pitchFamily="34" charset="0"/>
            </a:rPr>
            <a:t> </a:t>
          </a:r>
          <a:r>
            <a:rPr lang="ru-RU" sz="1200">
              <a:latin typeface="Arial" pitchFamily="34" charset="0"/>
              <a:cs typeface="Arial" pitchFamily="34" charset="0"/>
            </a:rPr>
            <a:t>  </a:t>
          </a:r>
        </a:p>
      </cdr:txBody>
    </cdr:sp>
  </cdr:relSizeAnchor>
</c:userShapes>
</file>

<file path=xl/drawings/drawing70.xml><?xml version="1.0" encoding="utf-8"?>
<c:userShapes xmlns:c="http://schemas.openxmlformats.org/drawingml/2006/chart"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0.2842</cdr:x>
      <cdr:y>0.1229</cdr:y>
    </cdr:from>
    <cdr:to>
      <cdr:x>0.83983</cdr:x>
      <cdr:y>0.24589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2597980" y="1088126"/>
          <a:ext cx="5079169" cy="10890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ДИНАМИКА ДОЛИ ИНВЕСТИЦИЙ</a:t>
          </a:r>
        </a:p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и ДОЛИ ВАЛОВОГО НАКОПЛЕНИЯ</a:t>
          </a:r>
        </a:p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в СОСТАВЕ ВВП</a:t>
          </a:r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</a:t>
          </a:r>
          <a:r>
            <a:rPr lang="en-US" sz="2000" b="1" baseline="0">
              <a:latin typeface="Arial" pitchFamily="34" charset="0"/>
              <a:cs typeface="Arial" pitchFamily="34" charset="0"/>
            </a:rPr>
            <a:t> </a:t>
          </a:r>
          <a:endParaRPr lang="en-US" sz="18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en-US" sz="2000" b="1">
              <a:latin typeface="Arial" pitchFamily="34" charset="0"/>
              <a:cs typeface="Arial" pitchFamily="34" charset="0"/>
            </a:rPr>
            <a:t>                     </a:t>
          </a:r>
          <a:endParaRPr lang="ru-RU" sz="20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12" name="TextBox 2">
          <a:extLst xmlns:a="http://schemas.openxmlformats.org/drawingml/2006/main">
            <a:ext uri="{FF2B5EF4-FFF2-40B4-BE49-F238E27FC236}">
              <a16:creationId xmlns:a16="http://schemas.microsoft.com/office/drawing/2014/main" id="{FA1D0D4C-61F8-46F3-A436-D894CD40A228}"/>
            </a:ext>
          </a:extLst>
        </cdr:cNvPr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0.27885</cdr:x>
      <cdr:y>0.06671</cdr:y>
    </cdr:from>
    <cdr:to>
      <cdr:x>0.91493</cdr:x>
      <cdr:y>0.21545</cdr:y>
    </cdr:to>
    <cdr:sp macro="" textlink="">
      <cdr:nvSpPr>
        <cdr:cNvPr id="13" name="TextBox 4">
          <a:extLst xmlns:a="http://schemas.openxmlformats.org/drawingml/2006/main">
            <a:ext uri="{FF2B5EF4-FFF2-40B4-BE49-F238E27FC236}">
              <a16:creationId xmlns:a16="http://schemas.microsoft.com/office/drawing/2014/main" id="{017658B6-5778-4809-9AEF-FF3AAE977D9B}"/>
            </a:ext>
          </a:extLst>
        </cdr:cNvPr>
        <cdr:cNvSpPr txBox="1"/>
      </cdr:nvSpPr>
      <cdr:spPr>
        <a:xfrm xmlns:a="http://schemas.openxmlformats.org/drawingml/2006/main">
          <a:off x="2549804" y="583937"/>
          <a:ext cx="5816316" cy="13020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</a:t>
          </a:r>
          <a:endParaRPr lang="en-US" sz="18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0.31523</cdr:x>
      <cdr:y>0.59178</cdr:y>
    </cdr:from>
    <cdr:to>
      <cdr:x>0.62995</cdr:x>
      <cdr:y>0.63471</cdr:y>
    </cdr:to>
    <cdr:sp macro="" textlink="">
      <cdr:nvSpPr>
        <cdr:cNvPr id="14" name="TextBox 1">
          <a:extLst xmlns:a="http://schemas.openxmlformats.org/drawingml/2006/main">
            <a:ext uri="{FF2B5EF4-FFF2-40B4-BE49-F238E27FC236}">
              <a16:creationId xmlns:a16="http://schemas.microsoft.com/office/drawing/2014/main" id="{C62E565B-F758-4D5E-85D4-ACC5727F5068}"/>
            </a:ext>
          </a:extLst>
        </cdr:cNvPr>
        <cdr:cNvSpPr txBox="1"/>
      </cdr:nvSpPr>
      <cdr:spPr>
        <a:xfrm xmlns:a="http://schemas.openxmlformats.org/drawingml/2006/main">
          <a:off x="2881581" y="5239659"/>
          <a:ext cx="2876962" cy="3800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baseline="0">
              <a:latin typeface="Arial" pitchFamily="34" charset="0"/>
              <a:cs typeface="Arial" pitchFamily="34" charset="0"/>
            </a:rPr>
            <a:t>  </a:t>
          </a:r>
          <a:r>
            <a:rPr lang="ru-RU" sz="1800" baseline="0">
              <a:latin typeface="Arial" pitchFamily="34" charset="0"/>
              <a:cs typeface="Arial" pitchFamily="34" charset="0"/>
            </a:rPr>
            <a:t>Доля инвестиций в ОК</a:t>
          </a:r>
          <a:endParaRPr lang="ru-RU" sz="18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0.09374</cdr:x>
      <cdr:y>0.06647</cdr:y>
    </cdr:from>
    <cdr:to>
      <cdr:x>0.35</cdr:x>
      <cdr:y>0.12222</cdr:y>
    </cdr:to>
    <cdr:sp macro="" textlink="">
      <cdr:nvSpPr>
        <cdr:cNvPr id="15" name="TextBox 2">
          <a:extLst xmlns:a="http://schemas.openxmlformats.org/drawingml/2006/main">
            <a:ext uri="{FF2B5EF4-FFF2-40B4-BE49-F238E27FC236}">
              <a16:creationId xmlns:a16="http://schemas.microsoft.com/office/drawing/2014/main" id="{4C05C57E-6B9F-4CA9-9390-B31B20F966A5}"/>
            </a:ext>
          </a:extLst>
        </cdr:cNvPr>
        <cdr:cNvSpPr txBox="1"/>
      </cdr:nvSpPr>
      <cdr:spPr>
        <a:xfrm xmlns:a="http://schemas.openxmlformats.org/drawingml/2006/main">
          <a:off x="857128" y="581794"/>
          <a:ext cx="2343272" cy="488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2800">
              <a:latin typeface="Arial" pitchFamily="34" charset="0"/>
              <a:cs typeface="Arial" pitchFamily="34" charset="0"/>
            </a:rPr>
            <a:t> </a:t>
          </a:r>
          <a:r>
            <a:rPr lang="en-US" sz="2400">
              <a:latin typeface="Arial" pitchFamily="34" charset="0"/>
              <a:cs typeface="Arial" pitchFamily="34" charset="0"/>
            </a:rPr>
            <a:t>k</a:t>
          </a:r>
          <a:r>
            <a:rPr lang="en-US" sz="2000" b="1">
              <a:latin typeface="Arial" pitchFamily="34" charset="0"/>
              <a:cs typeface="Arial" pitchFamily="34" charset="0"/>
            </a:rPr>
            <a:t>WN, kIN</a:t>
          </a:r>
          <a:endParaRPr lang="en-US" sz="24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ru-RU" sz="2400">
              <a:latin typeface="Arial" pitchFamily="34" charset="0"/>
              <a:cs typeface="Arial" pitchFamily="34" charset="0"/>
            </a:rPr>
            <a:t>  </a:t>
          </a:r>
          <a:r>
            <a:rPr lang="ru-RU" sz="1800">
              <a:latin typeface="Arial" pitchFamily="34" charset="0"/>
              <a:cs typeface="Arial" pitchFamily="34" charset="0"/>
            </a:rPr>
            <a:t> </a:t>
          </a:r>
        </a:p>
      </cdr:txBody>
    </cdr:sp>
  </cdr:relSizeAnchor>
  <cdr:relSizeAnchor xmlns:cdr="http://schemas.openxmlformats.org/drawingml/2006/chartDrawing">
    <cdr:from>
      <cdr:x>0.29166</cdr:x>
      <cdr:y>0.31371</cdr:y>
    </cdr:from>
    <cdr:to>
      <cdr:x>0.66567</cdr:x>
      <cdr:y>0.35808</cdr:y>
    </cdr:to>
    <cdr:sp macro="" textlink="">
      <cdr:nvSpPr>
        <cdr:cNvPr id="16" name="TextBox 5">
          <a:extLst xmlns:a="http://schemas.openxmlformats.org/drawingml/2006/main">
            <a:ext uri="{FF2B5EF4-FFF2-40B4-BE49-F238E27FC236}">
              <a16:creationId xmlns:a16="http://schemas.microsoft.com/office/drawing/2014/main" id="{71F1EE7D-ED1E-453C-A8EA-CE26BCBCF352}"/>
            </a:ext>
          </a:extLst>
        </cdr:cNvPr>
        <cdr:cNvSpPr txBox="1"/>
      </cdr:nvSpPr>
      <cdr:spPr>
        <a:xfrm xmlns:a="http://schemas.openxmlformats.org/drawingml/2006/main">
          <a:off x="2666154" y="2777628"/>
          <a:ext cx="3418961" cy="3928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Доля валового</a:t>
          </a:r>
          <a:r>
            <a:rPr lang="ru-RU" sz="1800" baseline="0">
              <a:latin typeface="Arial" pitchFamily="34" charset="0"/>
              <a:cs typeface="Arial" pitchFamily="34" charset="0"/>
            </a:rPr>
            <a:t> накопления</a:t>
          </a:r>
          <a:r>
            <a:rPr lang="ru-RU" sz="1400">
              <a:latin typeface="Arial" pitchFamily="34" charset="0"/>
              <a:cs typeface="Arial" pitchFamily="34" charset="0"/>
            </a:rPr>
            <a:t> </a:t>
          </a:r>
          <a:r>
            <a:rPr lang="ru-RU" sz="1600">
              <a:latin typeface="Arial" pitchFamily="34" charset="0"/>
              <a:cs typeface="Arial" pitchFamily="34" charset="0"/>
            </a:rPr>
            <a:t>  </a:t>
          </a:r>
        </a:p>
      </cdr:txBody>
    </cdr:sp>
  </cdr:relSizeAnchor>
</c:userShapes>
</file>

<file path=xl/drawings/drawing71.xml><?xml version="1.0" encoding="utf-8"?>
<c:userShapes xmlns:c="http://schemas.openxmlformats.org/drawingml/2006/chart"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0.30071</cdr:x>
      <cdr:y>0.09551</cdr:y>
    </cdr:from>
    <cdr:to>
      <cdr:x>0.83615</cdr:x>
      <cdr:y>0.28978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2671283" y="816625"/>
          <a:ext cx="4756449" cy="16610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РЕГРЕССИЯ</a:t>
          </a:r>
          <a:r>
            <a:rPr lang="en-US" sz="2000" b="1">
              <a:latin typeface="Arial" pitchFamily="34" charset="0"/>
              <a:cs typeface="Arial" pitchFamily="34" charset="0"/>
            </a:rPr>
            <a:t> </a:t>
          </a:r>
          <a:r>
            <a:rPr lang="ru-RU" sz="2000" b="1">
              <a:latin typeface="Arial" pitchFamily="34" charset="0"/>
              <a:cs typeface="Arial" pitchFamily="34" charset="0"/>
            </a:rPr>
            <a:t>ВЕЛИЧИНЫ </a:t>
          </a:r>
        </a:p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ОСНОВНЫХ ФОНДОВ</a:t>
          </a:r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en-US" sz="2000" b="1">
              <a:latin typeface="Arial" pitchFamily="34" charset="0"/>
              <a:cs typeface="Arial" pitchFamily="34" charset="0"/>
            </a:rPr>
            <a:t> </a:t>
          </a:r>
          <a:r>
            <a:rPr lang="ru-RU" sz="2000" b="1">
              <a:latin typeface="Arial" pitchFamily="34" charset="0"/>
              <a:cs typeface="Arial" pitchFamily="34" charset="0"/>
            </a:rPr>
            <a:t>ОТ</a:t>
          </a:r>
          <a:r>
            <a:rPr lang="en-US" sz="2000" b="1">
              <a:latin typeface="Arial" pitchFamily="34" charset="0"/>
              <a:cs typeface="Arial" pitchFamily="34" charset="0"/>
            </a:rPr>
            <a:t> </a:t>
          </a:r>
          <a:r>
            <a:rPr lang="ru-RU" sz="2000" b="1">
              <a:latin typeface="Arial" pitchFamily="34" charset="0"/>
              <a:cs typeface="Arial" pitchFamily="34" charset="0"/>
            </a:rPr>
            <a:t>ФАКТОРОВ</a:t>
          </a:r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</a:t>
          </a:r>
          <a:r>
            <a:rPr lang="en-US" sz="1800" b="1">
              <a:latin typeface="Arial" pitchFamily="34" charset="0"/>
              <a:cs typeface="Arial" pitchFamily="34" charset="0"/>
            </a:rPr>
            <a:t>F</a:t>
          </a:r>
          <a:r>
            <a:rPr lang="en-US" sz="1400" b="1">
              <a:latin typeface="Arial" pitchFamily="34" charset="0"/>
              <a:cs typeface="Arial" pitchFamily="34" charset="0"/>
            </a:rPr>
            <a:t> </a:t>
          </a:r>
          <a:r>
            <a:rPr lang="en-US" sz="1600" b="1">
              <a:latin typeface="Arial" pitchFamily="34" charset="0"/>
              <a:cs typeface="Arial" pitchFamily="34" charset="0"/>
            </a:rPr>
            <a:t>=1,2509</a:t>
          </a:r>
          <a:r>
            <a:rPr lang="ru-RU" sz="1600" b="1">
              <a:latin typeface="Arial" pitchFamily="34" charset="0"/>
              <a:cs typeface="Arial" pitchFamily="34" charset="0"/>
            </a:rPr>
            <a:t>*</a:t>
          </a:r>
          <a:r>
            <a:rPr lang="en-US" sz="1600" b="1">
              <a:latin typeface="Arial" pitchFamily="34" charset="0"/>
              <a:cs typeface="Arial" pitchFamily="34" charset="0"/>
            </a:rPr>
            <a:t>Xf</a:t>
          </a:r>
          <a:r>
            <a:rPr lang="en-US" sz="1600" b="1" baseline="0">
              <a:latin typeface="Arial" pitchFamily="34" charset="0"/>
              <a:cs typeface="Arial" pitchFamily="34" charset="0"/>
            </a:rPr>
            <a:t> + 7779,4</a:t>
          </a:r>
        </a:p>
        <a:p xmlns:a="http://schemas.openxmlformats.org/drawingml/2006/main">
          <a:r>
            <a:rPr lang="en-US" sz="1600" b="1" baseline="0">
              <a:latin typeface="Arial" pitchFamily="34" charset="0"/>
              <a:cs typeface="Arial" pitchFamily="34" charset="0"/>
            </a:rPr>
            <a:t> X</a:t>
          </a:r>
          <a:r>
            <a:rPr lang="en-US" sz="1400" b="1" baseline="0">
              <a:latin typeface="Arial" pitchFamily="34" charset="0"/>
              <a:cs typeface="Arial" pitchFamily="34" charset="0"/>
            </a:rPr>
            <a:t>f</a:t>
          </a:r>
          <a:r>
            <a:rPr lang="en-US" sz="1600" b="1" baseline="0">
              <a:latin typeface="Arial" pitchFamily="34" charset="0"/>
              <a:cs typeface="Arial" pitchFamily="34" charset="0"/>
            </a:rPr>
            <a:t> = 0,1*IN + 0,9*XO</a:t>
          </a:r>
        </a:p>
        <a:p xmlns:a="http://schemas.openxmlformats.org/drawingml/2006/main">
          <a:r>
            <a:rPr lang="en-US" sz="2000" b="1" baseline="0">
              <a:latin typeface="Arial" pitchFamily="34" charset="0"/>
              <a:cs typeface="Arial" pitchFamily="34" charset="0"/>
            </a:rPr>
            <a:t> </a:t>
          </a:r>
          <a:endParaRPr lang="en-US" sz="18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en-US" sz="2000" b="1">
              <a:latin typeface="Arial" pitchFamily="34" charset="0"/>
              <a:cs typeface="Arial" pitchFamily="34" charset="0"/>
            </a:rPr>
            <a:t>                     </a:t>
          </a:r>
          <a:endParaRPr lang="ru-RU" sz="20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0.74511</cdr:x>
      <cdr:y>0.86214</cdr:y>
    </cdr:from>
    <cdr:to>
      <cdr:x>0.95814</cdr:x>
      <cdr:y>0.90743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C62E565B-F758-4D5E-85D4-ACC5727F5068}"/>
            </a:ext>
          </a:extLst>
        </cdr:cNvPr>
        <cdr:cNvSpPr txBox="1"/>
      </cdr:nvSpPr>
      <cdr:spPr>
        <a:xfrm xmlns:a="http://schemas.openxmlformats.org/drawingml/2006/main">
          <a:off x="6207105" y="7302968"/>
          <a:ext cx="1774618" cy="3837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baseline="0">
              <a:latin typeface="Arial" pitchFamily="34" charset="0"/>
              <a:cs typeface="Arial" pitchFamily="34" charset="0"/>
            </a:rPr>
            <a:t>  </a:t>
          </a:r>
          <a:r>
            <a:rPr lang="ru-RU" sz="1800" baseline="0">
              <a:latin typeface="Arial" pitchFamily="34" charset="0"/>
              <a:cs typeface="Arial" pitchFamily="34" charset="0"/>
            </a:rPr>
            <a:t>фактор  </a:t>
          </a:r>
          <a:r>
            <a:rPr lang="ru-RU" sz="1800" b="1" baseline="0">
              <a:latin typeface="Arial" pitchFamily="34" charset="0"/>
              <a:cs typeface="Arial" pitchFamily="34" charset="0"/>
            </a:rPr>
            <a:t>- </a:t>
          </a:r>
          <a:r>
            <a:rPr lang="en-US" sz="1800" b="1" baseline="0">
              <a:latin typeface="Arial" pitchFamily="34" charset="0"/>
              <a:cs typeface="Arial" pitchFamily="34" charset="0"/>
            </a:rPr>
            <a:t> </a:t>
          </a:r>
          <a:r>
            <a:rPr lang="en-US" sz="2000" b="1" baseline="0">
              <a:latin typeface="Arial" pitchFamily="34" charset="0"/>
              <a:cs typeface="Arial" pitchFamily="34" charset="0"/>
            </a:rPr>
            <a:t>Xf</a:t>
          </a:r>
          <a:endParaRPr lang="ru-RU" sz="18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0.10686</cdr:x>
      <cdr:y>0.03858</cdr:y>
    </cdr:from>
    <cdr:to>
      <cdr:x>0.37076</cdr:x>
      <cdr:y>0.09433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C05C57E-6B9F-4CA9-9390-B31B20F966A5}"/>
            </a:ext>
          </a:extLst>
        </cdr:cNvPr>
        <cdr:cNvSpPr txBox="1"/>
      </cdr:nvSpPr>
      <cdr:spPr>
        <a:xfrm xmlns:a="http://schemas.openxmlformats.org/drawingml/2006/main">
          <a:off x="919972" y="329401"/>
          <a:ext cx="2272093" cy="47595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2400">
              <a:latin typeface="Arial" pitchFamily="34" charset="0"/>
              <a:cs typeface="Arial" pitchFamily="34" charset="0"/>
            </a:rPr>
            <a:t>   F</a:t>
          </a:r>
          <a:r>
            <a:rPr lang="en-US" sz="2000" b="1">
              <a:latin typeface="Arial" pitchFamily="34" charset="0"/>
              <a:cs typeface="Arial" pitchFamily="34" charset="0"/>
            </a:rPr>
            <a:t> </a:t>
          </a:r>
          <a:r>
            <a:rPr lang="en-US" sz="1600" b="1">
              <a:latin typeface="Arial" pitchFamily="34" charset="0"/>
              <a:cs typeface="Arial" pitchFamily="34" charset="0"/>
            </a:rPr>
            <a:t>(</a:t>
          </a:r>
          <a:r>
            <a:rPr lang="ru-RU" sz="1600" b="1">
              <a:latin typeface="Arial" pitchFamily="34" charset="0"/>
              <a:cs typeface="Arial" pitchFamily="34" charset="0"/>
            </a:rPr>
            <a:t> млрд руб </a:t>
          </a:r>
          <a:r>
            <a:rPr lang="ru-RU" sz="1400" b="1">
              <a:latin typeface="Arial" pitchFamily="34" charset="0"/>
              <a:cs typeface="Arial" pitchFamily="34" charset="0"/>
            </a:rPr>
            <a:t>)</a:t>
          </a:r>
          <a:endParaRPr lang="en-US" sz="16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ru-RU" sz="2400">
              <a:latin typeface="Arial" pitchFamily="34" charset="0"/>
              <a:cs typeface="Arial" pitchFamily="34" charset="0"/>
            </a:rPr>
            <a:t>  </a:t>
          </a:r>
          <a:r>
            <a:rPr lang="ru-RU" sz="1800">
              <a:latin typeface="Arial" pitchFamily="34" charset="0"/>
              <a:cs typeface="Arial" pitchFamily="34" charset="0"/>
            </a:rPr>
            <a:t> </a:t>
          </a:r>
        </a:p>
      </cdr:txBody>
    </cdr:sp>
  </cdr:relSizeAnchor>
  <cdr:relSizeAnchor xmlns:cdr="http://schemas.openxmlformats.org/drawingml/2006/chartDrawing">
    <cdr:from>
      <cdr:x>0.34672</cdr:x>
      <cdr:y>0.74071</cdr:y>
    </cdr:from>
    <cdr:to>
      <cdr:x>0.46464</cdr:x>
      <cdr:y>0.78833</cdr:y>
    </cdr:to>
    <cdr:sp macro="" textlink="">
      <cdr:nvSpPr>
        <cdr:cNvPr id="9" name="TextBox 5">
          <a:extLst xmlns:a="http://schemas.openxmlformats.org/drawingml/2006/main">
            <a:ext uri="{FF2B5EF4-FFF2-40B4-BE49-F238E27FC236}">
              <a16:creationId xmlns:a16="http://schemas.microsoft.com/office/drawing/2014/main" id="{71F1EE7D-ED1E-453C-A8EA-CE26BCBCF352}"/>
            </a:ext>
          </a:extLst>
        </cdr:cNvPr>
        <cdr:cNvSpPr txBox="1"/>
      </cdr:nvSpPr>
      <cdr:spPr>
        <a:xfrm xmlns:a="http://schemas.openxmlformats.org/drawingml/2006/main">
          <a:off x="3079986" y="6297892"/>
          <a:ext cx="1047513" cy="4048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2000">
              <a:latin typeface="Arial" pitchFamily="34" charset="0"/>
              <a:cs typeface="Arial" pitchFamily="34" charset="0"/>
            </a:rPr>
            <a:t>Тренд</a:t>
          </a:r>
          <a:r>
            <a:rPr lang="en-US" sz="2000">
              <a:latin typeface="Arial" pitchFamily="34" charset="0"/>
              <a:cs typeface="Arial" pitchFamily="34" charset="0"/>
            </a:rPr>
            <a:t> 1</a:t>
          </a:r>
          <a:r>
            <a:rPr lang="ru-RU" sz="1600">
              <a:latin typeface="Arial" pitchFamily="34" charset="0"/>
              <a:cs typeface="Arial" pitchFamily="34" charset="0"/>
            </a:rPr>
            <a:t> </a:t>
          </a:r>
          <a:r>
            <a:rPr lang="ru-RU" sz="1800">
              <a:latin typeface="Arial" pitchFamily="34" charset="0"/>
              <a:cs typeface="Arial" pitchFamily="34" charset="0"/>
            </a:rPr>
            <a:t>  </a:t>
          </a:r>
        </a:p>
      </cdr:txBody>
    </cdr:sp>
  </cdr:relSizeAnchor>
</c:userShapes>
</file>

<file path=xl/drawings/drawing72.xml><?xml version="1.0" encoding="utf-8"?>
<c:userShapes xmlns:c="http://schemas.openxmlformats.org/drawingml/2006/chart"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0.21018</cdr:x>
      <cdr:y>0.12706</cdr:y>
    </cdr:from>
    <cdr:to>
      <cdr:x>0.86629</cdr:x>
      <cdr:y>0.22427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1857133" y="1086379"/>
          <a:ext cx="5797404" cy="83116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algn="ctr"/>
          <a:r>
            <a:rPr lang="ru-RU" sz="2000" b="1">
              <a:latin typeface="Arial" pitchFamily="34" charset="0"/>
              <a:cs typeface="Arial" pitchFamily="34" charset="0"/>
            </a:rPr>
            <a:t> ДИНАМИКА РОСТА ОСНОВНЫХ</a:t>
          </a:r>
        </a:p>
        <a:p xmlns:a="http://schemas.openxmlformats.org/drawingml/2006/main">
          <a:pPr algn="ctr"/>
          <a:r>
            <a:rPr lang="ru-RU" sz="2000" b="1">
              <a:latin typeface="Arial" pitchFamily="34" charset="0"/>
              <a:cs typeface="Arial" pitchFamily="34" charset="0"/>
            </a:rPr>
            <a:t>ФОНДОВ в СЦ</a:t>
          </a:r>
          <a:r>
            <a:rPr lang="en-US" sz="2000" b="1">
              <a:latin typeface="Arial" pitchFamily="34" charset="0"/>
              <a:cs typeface="Arial" pitchFamily="34" charset="0"/>
            </a:rPr>
            <a:t>  1995 </a:t>
          </a:r>
          <a:r>
            <a:rPr lang="ru-RU" sz="2000" b="1">
              <a:latin typeface="Arial" pitchFamily="34" charset="0"/>
              <a:cs typeface="Arial" pitchFamily="34" charset="0"/>
            </a:rPr>
            <a:t>года</a:t>
          </a:r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</a:t>
          </a:r>
          <a:r>
            <a:rPr lang="en-US" sz="2000" b="1" baseline="0">
              <a:latin typeface="Arial" pitchFamily="34" charset="0"/>
              <a:cs typeface="Arial" pitchFamily="34" charset="0"/>
            </a:rPr>
            <a:t> </a:t>
          </a:r>
          <a:endParaRPr lang="en-US" sz="18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en-US" sz="2000" b="1">
              <a:latin typeface="Arial" pitchFamily="34" charset="0"/>
              <a:cs typeface="Arial" pitchFamily="34" charset="0"/>
            </a:rPr>
            <a:t>                     </a:t>
          </a:r>
          <a:endParaRPr lang="ru-RU" sz="20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12" name="TextBox 2">
          <a:extLst xmlns:a="http://schemas.openxmlformats.org/drawingml/2006/main">
            <a:ext uri="{FF2B5EF4-FFF2-40B4-BE49-F238E27FC236}">
              <a16:creationId xmlns:a16="http://schemas.microsoft.com/office/drawing/2014/main" id="{FA1D0D4C-61F8-46F3-A436-D894CD40A228}"/>
            </a:ext>
          </a:extLst>
        </cdr:cNvPr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0.27885</cdr:x>
      <cdr:y>0.06671</cdr:y>
    </cdr:from>
    <cdr:to>
      <cdr:x>0.91493</cdr:x>
      <cdr:y>0.21545</cdr:y>
    </cdr:to>
    <cdr:sp macro="" textlink="">
      <cdr:nvSpPr>
        <cdr:cNvPr id="13" name="TextBox 4">
          <a:extLst xmlns:a="http://schemas.openxmlformats.org/drawingml/2006/main">
            <a:ext uri="{FF2B5EF4-FFF2-40B4-BE49-F238E27FC236}">
              <a16:creationId xmlns:a16="http://schemas.microsoft.com/office/drawing/2014/main" id="{017658B6-5778-4809-9AEF-FF3AAE977D9B}"/>
            </a:ext>
          </a:extLst>
        </cdr:cNvPr>
        <cdr:cNvSpPr txBox="1"/>
      </cdr:nvSpPr>
      <cdr:spPr>
        <a:xfrm xmlns:a="http://schemas.openxmlformats.org/drawingml/2006/main">
          <a:off x="2549804" y="583937"/>
          <a:ext cx="5816316" cy="13020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</a:t>
          </a:r>
          <a:endParaRPr lang="en-US" sz="18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0.70969</cdr:x>
      <cdr:y>0.87302</cdr:y>
    </cdr:from>
    <cdr:to>
      <cdr:x>0.92272</cdr:x>
      <cdr:y>0.91831</cdr:y>
    </cdr:to>
    <cdr:sp macro="" textlink="">
      <cdr:nvSpPr>
        <cdr:cNvPr id="14" name="TextBox 1">
          <a:extLst xmlns:a="http://schemas.openxmlformats.org/drawingml/2006/main">
            <a:ext uri="{FF2B5EF4-FFF2-40B4-BE49-F238E27FC236}">
              <a16:creationId xmlns:a16="http://schemas.microsoft.com/office/drawing/2014/main" id="{C62E565B-F758-4D5E-85D4-ACC5727F5068}"/>
            </a:ext>
          </a:extLst>
        </cdr:cNvPr>
        <cdr:cNvSpPr txBox="1"/>
      </cdr:nvSpPr>
      <cdr:spPr>
        <a:xfrm xmlns:a="http://schemas.openxmlformats.org/drawingml/2006/main">
          <a:off x="6489436" y="7641873"/>
          <a:ext cx="1947946" cy="3964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baseline="0">
              <a:latin typeface="Arial" pitchFamily="34" charset="0"/>
              <a:cs typeface="Arial" pitchFamily="34" charset="0"/>
            </a:rPr>
            <a:t>  </a:t>
          </a:r>
          <a:r>
            <a:rPr lang="ru-RU" sz="1800" baseline="0">
              <a:latin typeface="Arial" pitchFamily="34" charset="0"/>
              <a:cs typeface="Arial" pitchFamily="34" charset="0"/>
            </a:rPr>
            <a:t>фактор  </a:t>
          </a:r>
          <a:r>
            <a:rPr lang="ru-RU" sz="1800" b="1" baseline="0">
              <a:latin typeface="Arial" pitchFamily="34" charset="0"/>
              <a:cs typeface="Arial" pitchFamily="34" charset="0"/>
            </a:rPr>
            <a:t>- </a:t>
          </a:r>
          <a:r>
            <a:rPr lang="en-US" sz="1800" b="1" baseline="0">
              <a:latin typeface="Arial" pitchFamily="34" charset="0"/>
              <a:cs typeface="Arial" pitchFamily="34" charset="0"/>
            </a:rPr>
            <a:t> </a:t>
          </a:r>
          <a:r>
            <a:rPr lang="ru-RU" sz="1800" b="1" baseline="0">
              <a:latin typeface="Arial" pitchFamily="34" charset="0"/>
              <a:cs typeface="Arial" pitchFamily="34" charset="0"/>
            </a:rPr>
            <a:t>Время</a:t>
          </a:r>
          <a:endParaRPr lang="ru-RU" sz="18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0.09374</cdr:x>
      <cdr:y>0.06647</cdr:y>
    </cdr:from>
    <cdr:to>
      <cdr:x>0.18613</cdr:x>
      <cdr:y>0.12222</cdr:y>
    </cdr:to>
    <cdr:sp macro="" textlink="">
      <cdr:nvSpPr>
        <cdr:cNvPr id="15" name="TextBox 2">
          <a:extLst xmlns:a="http://schemas.openxmlformats.org/drawingml/2006/main">
            <a:ext uri="{FF2B5EF4-FFF2-40B4-BE49-F238E27FC236}">
              <a16:creationId xmlns:a16="http://schemas.microsoft.com/office/drawing/2014/main" id="{4C05C57E-6B9F-4CA9-9390-B31B20F966A5}"/>
            </a:ext>
          </a:extLst>
        </cdr:cNvPr>
        <cdr:cNvSpPr txBox="1"/>
      </cdr:nvSpPr>
      <cdr:spPr>
        <a:xfrm xmlns:a="http://schemas.openxmlformats.org/drawingml/2006/main">
          <a:off x="828289" y="568329"/>
          <a:ext cx="816361" cy="47667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2400">
              <a:latin typeface="Arial" pitchFamily="34" charset="0"/>
              <a:cs typeface="Arial" pitchFamily="34" charset="0"/>
            </a:rPr>
            <a:t> </a:t>
          </a:r>
          <a:r>
            <a:rPr lang="en-US" sz="2000" b="1">
              <a:latin typeface="Arial" pitchFamily="34" charset="0"/>
              <a:cs typeface="Arial" pitchFamily="34" charset="0"/>
            </a:rPr>
            <a:t>Pf</a:t>
          </a:r>
          <a:r>
            <a:rPr lang="ru-RU" sz="2000" b="1">
              <a:latin typeface="Arial" pitchFamily="34" charset="0"/>
              <a:cs typeface="Arial" pitchFamily="34" charset="0"/>
            </a:rPr>
            <a:t> </a:t>
          </a:r>
          <a:r>
            <a:rPr lang="ru-RU" sz="2400">
              <a:latin typeface="Arial" pitchFamily="34" charset="0"/>
              <a:cs typeface="Arial" pitchFamily="34" charset="0"/>
            </a:rPr>
            <a:t> </a:t>
          </a:r>
          <a:r>
            <a:rPr lang="ru-RU" sz="1800">
              <a:latin typeface="Arial" pitchFamily="34" charset="0"/>
              <a:cs typeface="Arial" pitchFamily="34" charset="0"/>
            </a:rPr>
            <a:t> </a:t>
          </a:r>
        </a:p>
      </cdr:txBody>
    </cdr:sp>
  </cdr:relSizeAnchor>
  <cdr:relSizeAnchor xmlns:cdr="http://schemas.openxmlformats.org/drawingml/2006/chartDrawing">
    <cdr:from>
      <cdr:x>0.27549</cdr:x>
      <cdr:y>0.85577</cdr:y>
    </cdr:from>
    <cdr:to>
      <cdr:x>0.39341</cdr:x>
      <cdr:y>0.90339</cdr:y>
    </cdr:to>
    <cdr:sp macro="" textlink="">
      <cdr:nvSpPr>
        <cdr:cNvPr id="16" name="TextBox 5">
          <a:extLst xmlns:a="http://schemas.openxmlformats.org/drawingml/2006/main">
            <a:ext uri="{FF2B5EF4-FFF2-40B4-BE49-F238E27FC236}">
              <a16:creationId xmlns:a16="http://schemas.microsoft.com/office/drawing/2014/main" id="{71F1EE7D-ED1E-453C-A8EA-CE26BCBCF352}"/>
            </a:ext>
          </a:extLst>
        </cdr:cNvPr>
        <cdr:cNvSpPr txBox="1"/>
      </cdr:nvSpPr>
      <cdr:spPr>
        <a:xfrm xmlns:a="http://schemas.openxmlformats.org/drawingml/2006/main">
          <a:off x="2519050" y="7490861"/>
          <a:ext cx="1078261" cy="4168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Тренд</a:t>
          </a:r>
          <a:r>
            <a:rPr lang="ru-RU" sz="1400">
              <a:latin typeface="Arial" pitchFamily="34" charset="0"/>
              <a:cs typeface="Arial" pitchFamily="34" charset="0"/>
            </a:rPr>
            <a:t> </a:t>
          </a:r>
          <a:r>
            <a:rPr lang="ru-RU" sz="1600">
              <a:latin typeface="Arial" pitchFamily="34" charset="0"/>
              <a:cs typeface="Arial" pitchFamily="34" charset="0"/>
            </a:rPr>
            <a:t>  </a:t>
          </a:r>
        </a:p>
      </cdr:txBody>
    </cdr:sp>
  </cdr:relSizeAnchor>
</c:userShapes>
</file>

<file path=xl/drawings/drawing73.xml><?xml version="1.0" encoding="utf-8"?>
<c:userShapes xmlns:c="http://schemas.openxmlformats.org/drawingml/2006/chart"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0.30071</cdr:x>
      <cdr:y>0.09551</cdr:y>
    </cdr:from>
    <cdr:to>
      <cdr:x>0.89479</cdr:x>
      <cdr:y>0.18182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2682195" y="841232"/>
          <a:ext cx="5298876" cy="76015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ДИНАМИКА ФОНДООТДАЧИ</a:t>
          </a:r>
          <a:r>
            <a:rPr lang="ru-RU" sz="2000" b="1" baseline="0">
              <a:latin typeface="Arial" pitchFamily="34" charset="0"/>
              <a:cs typeface="Arial" pitchFamily="34" charset="0"/>
            </a:rPr>
            <a:t> В</a:t>
          </a:r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en-US" sz="2000" b="1">
              <a:latin typeface="Arial" pitchFamily="34" charset="0"/>
              <a:cs typeface="Arial" pitchFamily="34" charset="0"/>
            </a:rPr>
            <a:t> </a:t>
          </a:r>
          <a:r>
            <a:rPr lang="ru-RU" sz="2000" b="1">
              <a:latin typeface="Arial" pitchFamily="34" charset="0"/>
              <a:cs typeface="Arial" pitchFamily="34" charset="0"/>
            </a:rPr>
            <a:t>ТЕКУЩИХ И СОПОСТАВИМЫХ ЦЕНАХ</a:t>
          </a:r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</a:t>
          </a:r>
          <a:r>
            <a:rPr lang="en-US" sz="2000" b="1" baseline="0">
              <a:latin typeface="Arial" pitchFamily="34" charset="0"/>
              <a:cs typeface="Arial" pitchFamily="34" charset="0"/>
            </a:rPr>
            <a:t> </a:t>
          </a:r>
          <a:endParaRPr lang="en-US" sz="18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en-US" sz="2000" b="1">
              <a:latin typeface="Arial" pitchFamily="34" charset="0"/>
              <a:cs typeface="Arial" pitchFamily="34" charset="0"/>
            </a:rPr>
            <a:t>                     </a:t>
          </a:r>
          <a:endParaRPr lang="ru-RU" sz="20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0.65815</cdr:x>
      <cdr:y>0.85905</cdr:y>
    </cdr:from>
    <cdr:to>
      <cdr:x>0.91309</cdr:x>
      <cdr:y>0.90434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C62E565B-F758-4D5E-85D4-ACC5727F5068}"/>
            </a:ext>
          </a:extLst>
        </cdr:cNvPr>
        <cdr:cNvSpPr txBox="1"/>
      </cdr:nvSpPr>
      <cdr:spPr>
        <a:xfrm xmlns:a="http://schemas.openxmlformats.org/drawingml/2006/main">
          <a:off x="5870431" y="7566334"/>
          <a:ext cx="2273926" cy="3989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baseline="0">
              <a:latin typeface="Arial" pitchFamily="34" charset="0"/>
              <a:cs typeface="Arial" pitchFamily="34" charset="0"/>
            </a:rPr>
            <a:t>  </a:t>
          </a:r>
          <a:r>
            <a:rPr lang="ru-RU" sz="1800" baseline="0">
              <a:latin typeface="Arial" pitchFamily="34" charset="0"/>
              <a:cs typeface="Arial" pitchFamily="34" charset="0"/>
            </a:rPr>
            <a:t>фактор  </a:t>
          </a:r>
          <a:r>
            <a:rPr lang="ru-RU" sz="1800" b="1" baseline="0">
              <a:latin typeface="Arial" pitchFamily="34" charset="0"/>
              <a:cs typeface="Arial" pitchFamily="34" charset="0"/>
            </a:rPr>
            <a:t>- </a:t>
          </a:r>
          <a:r>
            <a:rPr lang="en-US" sz="1800" b="1" baseline="0">
              <a:latin typeface="Arial" pitchFamily="34" charset="0"/>
              <a:cs typeface="Arial" pitchFamily="34" charset="0"/>
            </a:rPr>
            <a:t> </a:t>
          </a:r>
          <a:r>
            <a:rPr lang="ru-RU" sz="1800" b="1" baseline="0">
              <a:latin typeface="Arial" pitchFamily="34" charset="0"/>
              <a:cs typeface="Arial" pitchFamily="34" charset="0"/>
            </a:rPr>
            <a:t>Время</a:t>
          </a:r>
          <a:endParaRPr lang="ru-RU" sz="18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0.10686</cdr:x>
      <cdr:y>0.03858</cdr:y>
    </cdr:from>
    <cdr:to>
      <cdr:x>0.2266</cdr:x>
      <cdr:y>0.09433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C05C57E-6B9F-4CA9-9390-B31B20F966A5}"/>
            </a:ext>
          </a:extLst>
        </cdr:cNvPr>
        <cdr:cNvSpPr txBox="1"/>
      </cdr:nvSpPr>
      <cdr:spPr>
        <a:xfrm xmlns:a="http://schemas.openxmlformats.org/drawingml/2006/main">
          <a:off x="953142" y="339805"/>
          <a:ext cx="1068001" cy="49103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2400">
              <a:latin typeface="Arial" pitchFamily="34" charset="0"/>
              <a:cs typeface="Arial" pitchFamily="34" charset="0"/>
            </a:rPr>
            <a:t>   </a:t>
          </a:r>
          <a:r>
            <a:rPr lang="en-US" sz="2000" b="1">
              <a:latin typeface="Arial" pitchFamily="34" charset="0"/>
              <a:cs typeface="Arial" pitchFamily="34" charset="0"/>
            </a:rPr>
            <a:t>fOS</a:t>
          </a:r>
          <a:endParaRPr lang="en-US" sz="16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ru-RU" sz="2400">
              <a:latin typeface="Arial" pitchFamily="34" charset="0"/>
              <a:cs typeface="Arial" pitchFamily="34" charset="0"/>
            </a:rPr>
            <a:t>  </a:t>
          </a:r>
          <a:r>
            <a:rPr lang="ru-RU" sz="1800">
              <a:latin typeface="Arial" pitchFamily="34" charset="0"/>
              <a:cs typeface="Arial" pitchFamily="34" charset="0"/>
            </a:rPr>
            <a:t> </a:t>
          </a:r>
        </a:p>
      </cdr:txBody>
    </cdr:sp>
  </cdr:relSizeAnchor>
  <cdr:relSizeAnchor xmlns:cdr="http://schemas.openxmlformats.org/drawingml/2006/chartDrawing">
    <cdr:from>
      <cdr:x>0.65488</cdr:x>
      <cdr:y>0.52442</cdr:y>
    </cdr:from>
    <cdr:to>
      <cdr:x>0.73765</cdr:x>
      <cdr:y>0.57204</cdr:y>
    </cdr:to>
    <cdr:sp macro="" textlink="">
      <cdr:nvSpPr>
        <cdr:cNvPr id="9" name="TextBox 5">
          <a:extLst xmlns:a="http://schemas.openxmlformats.org/drawingml/2006/main">
            <a:ext uri="{FF2B5EF4-FFF2-40B4-BE49-F238E27FC236}">
              <a16:creationId xmlns:a16="http://schemas.microsoft.com/office/drawing/2014/main" id="{71F1EE7D-ED1E-453C-A8EA-CE26BCBCF352}"/>
            </a:ext>
          </a:extLst>
        </cdr:cNvPr>
        <cdr:cNvSpPr txBox="1"/>
      </cdr:nvSpPr>
      <cdr:spPr>
        <a:xfrm xmlns:a="http://schemas.openxmlformats.org/drawingml/2006/main">
          <a:off x="5841226" y="4619017"/>
          <a:ext cx="738309" cy="41942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600">
              <a:latin typeface="Arial" pitchFamily="34" charset="0"/>
              <a:cs typeface="Arial" pitchFamily="34" charset="0"/>
            </a:rPr>
            <a:t> </a:t>
          </a:r>
          <a:r>
            <a:rPr lang="en-US" sz="1800" b="1">
              <a:latin typeface="Arial" pitchFamily="34" charset="0"/>
              <a:cs typeface="Arial" pitchFamily="34" charset="0"/>
            </a:rPr>
            <a:t>fOS</a:t>
          </a:r>
          <a:r>
            <a:rPr lang="ru-RU" sz="1800" b="1">
              <a:latin typeface="Arial" pitchFamily="34" charset="0"/>
              <a:cs typeface="Arial" pitchFamily="34" charset="0"/>
            </a:rPr>
            <a:t> </a:t>
          </a:r>
          <a:r>
            <a:rPr lang="ru-RU" sz="2000" b="1">
              <a:latin typeface="Arial" pitchFamily="34" charset="0"/>
              <a:cs typeface="Arial" pitchFamily="34" charset="0"/>
            </a:rPr>
            <a:t> </a:t>
          </a:r>
          <a:r>
            <a:rPr lang="ru-RU" sz="1800">
              <a:latin typeface="Arial" pitchFamily="34" charset="0"/>
              <a:cs typeface="Arial" pitchFamily="34" charset="0"/>
            </a:rPr>
            <a:t> </a:t>
          </a:r>
        </a:p>
      </cdr:txBody>
    </cdr:sp>
  </cdr:relSizeAnchor>
</c:userShapes>
</file>

<file path=xl/drawings/drawing74.xml><?xml version="1.0" encoding="utf-8"?>
<c:userShapes xmlns:c="http://schemas.openxmlformats.org/drawingml/2006/chart"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0.20552</cdr:x>
      <cdr:y>0.11924</cdr:y>
    </cdr:from>
    <cdr:to>
      <cdr:x>0.8416</cdr:x>
      <cdr:y>0.23653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1847464" y="1081980"/>
          <a:ext cx="5717861" cy="10643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РЕГРЕССИЯ</a:t>
          </a:r>
          <a:r>
            <a:rPr lang="en-US" sz="2000" b="1">
              <a:latin typeface="Arial" pitchFamily="34" charset="0"/>
              <a:cs typeface="Arial" pitchFamily="34" charset="0"/>
            </a:rPr>
            <a:t> </a:t>
          </a:r>
          <a:r>
            <a:rPr lang="ru-RU" sz="2000" b="1">
              <a:latin typeface="Arial" pitchFamily="34" charset="0"/>
              <a:cs typeface="Arial" pitchFamily="34" charset="0"/>
            </a:rPr>
            <a:t> ЗАНЯТЫХ (ВСЕГО)  ОТ </a:t>
          </a:r>
        </a:p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ВЫПУСКА</a:t>
          </a:r>
          <a:r>
            <a:rPr lang="ru-RU" sz="2000" b="1" baseline="0">
              <a:latin typeface="Arial" pitchFamily="34" charset="0"/>
              <a:cs typeface="Arial" pitchFamily="34" charset="0"/>
            </a:rPr>
            <a:t> В </a:t>
          </a:r>
          <a:r>
            <a:rPr lang="ru-RU" sz="2000" b="1">
              <a:latin typeface="Arial" pitchFamily="34" charset="0"/>
              <a:cs typeface="Arial" pitchFamily="34" charset="0"/>
            </a:rPr>
            <a:t>ОСЦ</a:t>
          </a:r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ru-RU" sz="2000" b="0">
              <a:latin typeface="Arial" pitchFamily="34" charset="0"/>
              <a:cs typeface="Arial" pitchFamily="34" charset="0"/>
            </a:rPr>
            <a:t> </a:t>
          </a:r>
          <a:r>
            <a:rPr lang="en-US" sz="2000" b="0">
              <a:latin typeface="Arial" pitchFamily="34" charset="0"/>
              <a:cs typeface="Arial" pitchFamily="34" charset="0"/>
            </a:rPr>
            <a:t>      LZ</a:t>
          </a:r>
          <a:r>
            <a:rPr lang="ru-RU" sz="2000" b="0" baseline="0">
              <a:effectLst/>
            </a:rPr>
            <a:t> </a:t>
          </a:r>
          <a:r>
            <a:rPr lang="ru-RU" sz="2400" b="0" baseline="0">
              <a:effectLst/>
            </a:rPr>
            <a:t>= 3,6132</a:t>
          </a:r>
          <a:r>
            <a:rPr lang="en-US" sz="2000" b="0" baseline="0">
              <a:effectLst/>
            </a:rPr>
            <a:t>*</a:t>
          </a:r>
          <a:r>
            <a:rPr lang="en-US" sz="2400" b="0" baseline="0">
              <a:effectLst/>
            </a:rPr>
            <a:t>XOS</a:t>
          </a:r>
          <a:r>
            <a:rPr lang="ru-RU" sz="2000" b="0" baseline="0">
              <a:effectLst/>
            </a:rPr>
            <a:t> </a:t>
          </a:r>
          <a:r>
            <a:rPr lang="ru-RU" sz="2400" b="0" baseline="0">
              <a:effectLst/>
            </a:rPr>
            <a:t>+ 52,885</a:t>
          </a:r>
          <a:r>
            <a:rPr lang="en-US" sz="2400" b="0">
              <a:latin typeface="Arial" pitchFamily="34" charset="0"/>
              <a:cs typeface="Arial" pitchFamily="34" charset="0"/>
            </a:rPr>
            <a:t>              </a:t>
          </a:r>
          <a:endParaRPr lang="ru-RU" sz="2000" b="0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0.62601</cdr:x>
      <cdr:y>0.86774</cdr:y>
    </cdr:from>
    <cdr:to>
      <cdr:x>0.95627</cdr:x>
      <cdr:y>0.91884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C62E565B-F758-4D5E-85D4-ACC5727F5068}"/>
            </a:ext>
          </a:extLst>
        </cdr:cNvPr>
        <cdr:cNvSpPr txBox="1"/>
      </cdr:nvSpPr>
      <cdr:spPr>
        <a:xfrm xmlns:a="http://schemas.openxmlformats.org/drawingml/2006/main">
          <a:off x="6469243" y="7873904"/>
          <a:ext cx="3412943" cy="46364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baseline="0">
              <a:latin typeface="Arial" pitchFamily="34" charset="0"/>
              <a:cs typeface="Arial" pitchFamily="34" charset="0"/>
            </a:rPr>
            <a:t>  </a:t>
          </a:r>
          <a:r>
            <a:rPr lang="ru-RU" sz="1800" baseline="0">
              <a:latin typeface="Arial" pitchFamily="34" charset="0"/>
              <a:cs typeface="Arial" pitchFamily="34" charset="0"/>
            </a:rPr>
            <a:t>фактор  </a:t>
          </a:r>
          <a:r>
            <a:rPr lang="ru-RU" sz="1800" b="1" baseline="0">
              <a:latin typeface="Arial" pitchFamily="34" charset="0"/>
              <a:cs typeface="Arial" pitchFamily="34" charset="0"/>
            </a:rPr>
            <a:t>- </a:t>
          </a:r>
          <a:r>
            <a:rPr lang="en-US" sz="1800" b="1" baseline="0">
              <a:latin typeface="Arial" pitchFamily="34" charset="0"/>
              <a:cs typeface="Arial" pitchFamily="34" charset="0"/>
            </a:rPr>
            <a:t> </a:t>
          </a:r>
          <a:r>
            <a:rPr lang="en-US" sz="2000" b="1" baseline="0">
              <a:latin typeface="Arial" pitchFamily="34" charset="0"/>
              <a:cs typeface="Arial" pitchFamily="34" charset="0"/>
            </a:rPr>
            <a:t>XOS</a:t>
          </a:r>
          <a:r>
            <a:rPr lang="ru-RU" sz="2000" b="1" baseline="0">
              <a:latin typeface="Arial" pitchFamily="34" charset="0"/>
              <a:cs typeface="Arial" pitchFamily="34" charset="0"/>
            </a:rPr>
            <a:t> (трлн руб)</a:t>
          </a:r>
          <a:endParaRPr lang="ru-RU" sz="18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0.0878</cdr:x>
      <cdr:y>0.04469</cdr:y>
    </cdr:from>
    <cdr:to>
      <cdr:x>0.30772</cdr:x>
      <cdr:y>0.10044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C05C57E-6B9F-4CA9-9390-B31B20F966A5}"/>
            </a:ext>
          </a:extLst>
        </cdr:cNvPr>
        <cdr:cNvSpPr txBox="1"/>
      </cdr:nvSpPr>
      <cdr:spPr>
        <a:xfrm xmlns:a="http://schemas.openxmlformats.org/drawingml/2006/main">
          <a:off x="787161" y="379978"/>
          <a:ext cx="1971685" cy="4740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2400">
              <a:latin typeface="Arial" pitchFamily="34" charset="0"/>
              <a:cs typeface="Arial" pitchFamily="34" charset="0"/>
            </a:rPr>
            <a:t> </a:t>
          </a:r>
          <a:r>
            <a:rPr lang="en-US" sz="2000" b="1">
              <a:latin typeface="Arial" pitchFamily="34" charset="0"/>
              <a:cs typeface="Arial" pitchFamily="34" charset="0"/>
            </a:rPr>
            <a:t>LZ </a:t>
          </a:r>
          <a:r>
            <a:rPr lang="en-US" sz="2000" b="0">
              <a:latin typeface="Arial" pitchFamily="34" charset="0"/>
              <a:cs typeface="Arial" pitchFamily="34" charset="0"/>
            </a:rPr>
            <a:t>( </a:t>
          </a:r>
          <a:r>
            <a:rPr lang="ru-RU" sz="2000" b="0">
              <a:latin typeface="Arial" pitchFamily="34" charset="0"/>
              <a:cs typeface="Arial" pitchFamily="34" charset="0"/>
            </a:rPr>
            <a:t>млн чел )</a:t>
          </a:r>
          <a:r>
            <a:rPr lang="ru-RU" sz="2400" b="0">
              <a:latin typeface="Arial" pitchFamily="34" charset="0"/>
              <a:cs typeface="Arial" pitchFamily="34" charset="0"/>
            </a:rPr>
            <a:t>  </a:t>
          </a:r>
          <a:r>
            <a:rPr lang="ru-RU" sz="1800" b="0">
              <a:latin typeface="Arial" pitchFamily="34" charset="0"/>
              <a:cs typeface="Arial" pitchFamily="34" charset="0"/>
            </a:rPr>
            <a:t> </a:t>
          </a:r>
        </a:p>
      </cdr:txBody>
    </cdr:sp>
  </cdr:relSizeAnchor>
  <cdr:relSizeAnchor xmlns:cdr="http://schemas.openxmlformats.org/drawingml/2006/chartDrawing">
    <cdr:from>
      <cdr:x>0.40978</cdr:x>
      <cdr:y>0.49811</cdr:y>
    </cdr:from>
    <cdr:to>
      <cdr:x>0.5277</cdr:x>
      <cdr:y>0.54573</cdr:y>
    </cdr:to>
    <cdr:sp macro="" textlink="">
      <cdr:nvSpPr>
        <cdr:cNvPr id="9" name="TextBox 5">
          <a:extLst xmlns:a="http://schemas.openxmlformats.org/drawingml/2006/main">
            <a:ext uri="{FF2B5EF4-FFF2-40B4-BE49-F238E27FC236}">
              <a16:creationId xmlns:a16="http://schemas.microsoft.com/office/drawing/2014/main" id="{71F1EE7D-ED1E-453C-A8EA-CE26BCBCF352}"/>
            </a:ext>
          </a:extLst>
        </cdr:cNvPr>
        <cdr:cNvSpPr txBox="1"/>
      </cdr:nvSpPr>
      <cdr:spPr>
        <a:xfrm xmlns:a="http://schemas.openxmlformats.org/drawingml/2006/main">
          <a:off x="3673824" y="4235198"/>
          <a:ext cx="1057200" cy="4048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Тренд</a:t>
          </a:r>
          <a:r>
            <a:rPr lang="ru-RU" sz="1400">
              <a:latin typeface="Arial" pitchFamily="34" charset="0"/>
              <a:cs typeface="Arial" pitchFamily="34" charset="0"/>
            </a:rPr>
            <a:t> </a:t>
          </a:r>
          <a:r>
            <a:rPr lang="ru-RU" sz="1600">
              <a:latin typeface="Arial" pitchFamily="34" charset="0"/>
              <a:cs typeface="Arial" pitchFamily="34" charset="0"/>
            </a:rPr>
            <a:t>  </a:t>
          </a:r>
        </a:p>
      </cdr:txBody>
    </cdr:sp>
  </cdr:relSizeAnchor>
</c:userShapes>
</file>

<file path=xl/drawings/drawing75.xml><?xml version="1.0" encoding="utf-8"?>
<c:userShapes xmlns:c="http://schemas.openxmlformats.org/drawingml/2006/chart"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0.27885</cdr:x>
      <cdr:y>0.06671</cdr:y>
    </cdr:from>
    <cdr:to>
      <cdr:x>0.91493</cdr:x>
      <cdr:y>0.27297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2591416" y="567204"/>
          <a:ext cx="5911233" cy="1753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РЕГРЕССИЯ ОПЛАТЫ ТРУДА </a:t>
          </a:r>
        </a:p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ОТ ВЫПУСКА В ОСНОВНЫХ ЦЕНАХ</a:t>
          </a:r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ru-RU" sz="2400" b="1">
              <a:latin typeface="Arial" pitchFamily="34" charset="0"/>
              <a:cs typeface="Arial" pitchFamily="34" charset="0"/>
            </a:rPr>
            <a:t> </a:t>
          </a:r>
        </a:p>
        <a:p xmlns:a="http://schemas.openxmlformats.org/drawingml/2006/main">
          <a:r>
            <a:rPr lang="ru-RU" sz="2400" b="1">
              <a:latin typeface="Arial" pitchFamily="34" charset="0"/>
              <a:cs typeface="Arial" pitchFamily="34" charset="0"/>
            </a:rPr>
            <a:t> </a:t>
          </a:r>
          <a:r>
            <a:rPr lang="en-US" sz="2000" b="0">
              <a:latin typeface="Arial" pitchFamily="34" charset="0"/>
              <a:cs typeface="Arial" pitchFamily="34" charset="0"/>
            </a:rPr>
            <a:t>OT</a:t>
          </a:r>
          <a:r>
            <a:rPr lang="en-US" sz="1600" b="0">
              <a:latin typeface="Arial" pitchFamily="34" charset="0"/>
              <a:cs typeface="Arial" pitchFamily="34" charset="0"/>
            </a:rPr>
            <a:t> </a:t>
          </a:r>
          <a:r>
            <a:rPr lang="en-US" sz="1800" b="0">
              <a:latin typeface="Arial" pitchFamily="34" charset="0"/>
              <a:cs typeface="Arial" pitchFamily="34" charset="0"/>
            </a:rPr>
            <a:t>=</a:t>
          </a:r>
          <a:r>
            <a:rPr lang="ru-RU" sz="2000" b="0">
              <a:latin typeface="Arial" pitchFamily="34" charset="0"/>
              <a:cs typeface="Arial" pitchFamily="34" charset="0"/>
            </a:rPr>
            <a:t>0</a:t>
          </a:r>
          <a:r>
            <a:rPr lang="en-US" sz="2000" b="0">
              <a:latin typeface="Arial" pitchFamily="34" charset="0"/>
              <a:cs typeface="Arial" pitchFamily="34" charset="0"/>
            </a:rPr>
            <a:t>,</a:t>
          </a:r>
          <a:r>
            <a:rPr lang="ru-RU" sz="2000" b="0">
              <a:latin typeface="Arial" pitchFamily="34" charset="0"/>
              <a:cs typeface="Arial" pitchFamily="34" charset="0"/>
            </a:rPr>
            <a:t>27</a:t>
          </a:r>
          <a:r>
            <a:rPr lang="en-US" sz="2000" b="0">
              <a:latin typeface="Arial" pitchFamily="34" charset="0"/>
              <a:cs typeface="Arial" pitchFamily="34" charset="0"/>
            </a:rPr>
            <a:t>18*</a:t>
          </a:r>
          <a:r>
            <a:rPr lang="ru-RU" sz="2000" b="0">
              <a:latin typeface="Arial" pitchFamily="34" charset="0"/>
              <a:cs typeface="Arial" pitchFamily="34" charset="0"/>
            </a:rPr>
            <a:t>ХО</a:t>
          </a:r>
          <a:r>
            <a:rPr lang="ru-RU" sz="2000" b="0" baseline="0">
              <a:latin typeface="Arial" pitchFamily="34" charset="0"/>
              <a:cs typeface="Arial" pitchFamily="34" charset="0"/>
            </a:rPr>
            <a:t> - 103</a:t>
          </a:r>
          <a:endParaRPr lang="en-US" sz="1800" b="0" baseline="0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en-US" sz="1800" b="0" baseline="0">
              <a:latin typeface="Arial" pitchFamily="34" charset="0"/>
              <a:cs typeface="Arial" pitchFamily="34" charset="0"/>
            </a:rPr>
            <a:t> </a:t>
          </a:r>
          <a:r>
            <a:rPr lang="ru-RU" sz="1800" b="0" baseline="0">
              <a:latin typeface="Arial" pitchFamily="34" charset="0"/>
              <a:cs typeface="Arial" pitchFamily="34" charset="0"/>
            </a:rPr>
            <a:t> </a:t>
          </a:r>
          <a:r>
            <a:rPr lang="en-US" sz="2000" b="1" baseline="0">
              <a:latin typeface="Arial" pitchFamily="34" charset="0"/>
              <a:cs typeface="Arial" pitchFamily="34" charset="0"/>
            </a:rPr>
            <a:t> </a:t>
          </a:r>
          <a:endParaRPr lang="en-US" sz="18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en-US" sz="2000" b="1">
              <a:latin typeface="Arial" pitchFamily="34" charset="0"/>
              <a:cs typeface="Arial" pitchFamily="34" charset="0"/>
            </a:rPr>
            <a:t>                     </a:t>
          </a:r>
          <a:endParaRPr lang="ru-RU" sz="20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0.74511</cdr:x>
      <cdr:y>0.86214</cdr:y>
    </cdr:from>
    <cdr:to>
      <cdr:x>0.95814</cdr:x>
      <cdr:y>0.90743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C62E565B-F758-4D5E-85D4-ACC5727F5068}"/>
            </a:ext>
          </a:extLst>
        </cdr:cNvPr>
        <cdr:cNvSpPr txBox="1"/>
      </cdr:nvSpPr>
      <cdr:spPr>
        <a:xfrm xmlns:a="http://schemas.openxmlformats.org/drawingml/2006/main">
          <a:off x="6207105" y="7302968"/>
          <a:ext cx="1774618" cy="3837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baseline="0">
              <a:latin typeface="Arial" pitchFamily="34" charset="0"/>
              <a:cs typeface="Arial" pitchFamily="34" charset="0"/>
            </a:rPr>
            <a:t>  </a:t>
          </a:r>
          <a:r>
            <a:rPr lang="ru-RU" sz="1800" baseline="0">
              <a:latin typeface="Arial" pitchFamily="34" charset="0"/>
              <a:cs typeface="Arial" pitchFamily="34" charset="0"/>
            </a:rPr>
            <a:t>фактор  </a:t>
          </a:r>
          <a:r>
            <a:rPr lang="ru-RU" sz="1800" b="1" baseline="0">
              <a:latin typeface="Arial" pitchFamily="34" charset="0"/>
              <a:cs typeface="Arial" pitchFamily="34" charset="0"/>
            </a:rPr>
            <a:t>- </a:t>
          </a:r>
          <a:r>
            <a:rPr lang="en-US" sz="1800" b="1" baseline="0">
              <a:latin typeface="Arial" pitchFamily="34" charset="0"/>
              <a:cs typeface="Arial" pitchFamily="34" charset="0"/>
            </a:rPr>
            <a:t> </a:t>
          </a:r>
          <a:r>
            <a:rPr lang="en-US" sz="2000" b="1" baseline="0">
              <a:latin typeface="Arial" pitchFamily="34" charset="0"/>
              <a:cs typeface="Arial" pitchFamily="34" charset="0"/>
            </a:rPr>
            <a:t>X</a:t>
          </a:r>
          <a:r>
            <a:rPr lang="ru-RU" sz="2000" b="1" baseline="0">
              <a:latin typeface="Arial" pitchFamily="34" charset="0"/>
              <a:cs typeface="Arial" pitchFamily="34" charset="0"/>
            </a:rPr>
            <a:t>О</a:t>
          </a:r>
          <a:endParaRPr lang="ru-RU" sz="18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0.08957</cdr:x>
      <cdr:y>0.05776</cdr:y>
    </cdr:from>
    <cdr:to>
      <cdr:x>0.20922</cdr:x>
      <cdr:y>0.11351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C05C57E-6B9F-4CA9-9390-B31B20F966A5}"/>
            </a:ext>
          </a:extLst>
        </cdr:cNvPr>
        <cdr:cNvSpPr txBox="1"/>
      </cdr:nvSpPr>
      <cdr:spPr>
        <a:xfrm xmlns:a="http://schemas.openxmlformats.org/drawingml/2006/main">
          <a:off x="746154" y="489273"/>
          <a:ext cx="996693" cy="4722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2400">
              <a:latin typeface="Arial" pitchFamily="34" charset="0"/>
              <a:cs typeface="Arial" pitchFamily="34" charset="0"/>
            </a:rPr>
            <a:t> OT</a:t>
          </a:r>
          <a:endParaRPr lang="en-US" sz="24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ru-RU" sz="2400">
              <a:latin typeface="Arial" pitchFamily="34" charset="0"/>
              <a:cs typeface="Arial" pitchFamily="34" charset="0"/>
            </a:rPr>
            <a:t>  </a:t>
          </a:r>
          <a:r>
            <a:rPr lang="ru-RU" sz="1800">
              <a:latin typeface="Arial" pitchFamily="34" charset="0"/>
              <a:cs typeface="Arial" pitchFamily="34" charset="0"/>
            </a:rPr>
            <a:t> </a:t>
          </a:r>
        </a:p>
      </cdr:txBody>
    </cdr:sp>
  </cdr:relSizeAnchor>
  <cdr:relSizeAnchor xmlns:cdr="http://schemas.openxmlformats.org/drawingml/2006/chartDrawing">
    <cdr:from>
      <cdr:x>0.55561</cdr:x>
      <cdr:y>0.44188</cdr:y>
    </cdr:from>
    <cdr:to>
      <cdr:x>0.67353</cdr:x>
      <cdr:y>0.4895</cdr:y>
    </cdr:to>
    <cdr:sp macro="" textlink="">
      <cdr:nvSpPr>
        <cdr:cNvPr id="9" name="TextBox 5">
          <a:extLst xmlns:a="http://schemas.openxmlformats.org/drawingml/2006/main">
            <a:ext uri="{FF2B5EF4-FFF2-40B4-BE49-F238E27FC236}">
              <a16:creationId xmlns:a16="http://schemas.microsoft.com/office/drawing/2014/main" id="{71F1EE7D-ED1E-453C-A8EA-CE26BCBCF352}"/>
            </a:ext>
          </a:extLst>
        </cdr:cNvPr>
        <cdr:cNvSpPr txBox="1"/>
      </cdr:nvSpPr>
      <cdr:spPr>
        <a:xfrm xmlns:a="http://schemas.openxmlformats.org/drawingml/2006/main">
          <a:off x="4650103" y="3757098"/>
          <a:ext cx="986908" cy="4048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Тренд</a:t>
          </a:r>
          <a:r>
            <a:rPr lang="ru-RU" sz="1400">
              <a:latin typeface="Arial" pitchFamily="34" charset="0"/>
              <a:cs typeface="Arial" pitchFamily="34" charset="0"/>
            </a:rPr>
            <a:t> </a:t>
          </a:r>
          <a:r>
            <a:rPr lang="ru-RU" sz="1600">
              <a:latin typeface="Arial" pitchFamily="34" charset="0"/>
              <a:cs typeface="Arial" pitchFamily="34" charset="0"/>
            </a:rPr>
            <a:t>  </a:t>
          </a:r>
        </a:p>
      </cdr:txBody>
    </cdr:sp>
  </cdr:relSizeAnchor>
</c:userShapes>
</file>

<file path=xl/drawings/drawing76.xml><?xml version="1.0" encoding="utf-8"?>
<c:userShapes xmlns:c="http://schemas.openxmlformats.org/drawingml/2006/chart"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0.26626</cdr:x>
      <cdr:y>0.14332</cdr:y>
    </cdr:from>
    <cdr:to>
      <cdr:x>0.90234</cdr:x>
      <cdr:y>0.22932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2217098" y="1265399"/>
          <a:ext cx="5296424" cy="7593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ДИНАМИКА РЕАЛЬНОЙ УДЕЛЬНОЙ</a:t>
          </a:r>
        </a:p>
        <a:p xmlns:a="http://schemas.openxmlformats.org/drawingml/2006/main">
          <a:r>
            <a:rPr lang="ru-RU" sz="2000" b="1" baseline="0">
              <a:latin typeface="Arial" pitchFamily="34" charset="0"/>
              <a:cs typeface="Arial" pitchFamily="34" charset="0"/>
            </a:rPr>
            <a:t> </a:t>
          </a:r>
          <a:r>
            <a:rPr lang="ru-RU" sz="2000" b="1">
              <a:latin typeface="Arial" pitchFamily="34" charset="0"/>
              <a:cs typeface="Arial" pitchFamily="34" charset="0"/>
            </a:rPr>
            <a:t>ОПЛАТЫ ТРУДА</a:t>
          </a:r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</a:t>
          </a:r>
          <a:r>
            <a:rPr lang="en-US" sz="2000" b="1" baseline="0">
              <a:latin typeface="Arial" pitchFamily="34" charset="0"/>
              <a:cs typeface="Arial" pitchFamily="34" charset="0"/>
            </a:rPr>
            <a:t> </a:t>
          </a:r>
          <a:endParaRPr lang="en-US" sz="18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en-US" sz="2000" b="1">
              <a:latin typeface="Arial" pitchFamily="34" charset="0"/>
              <a:cs typeface="Arial" pitchFamily="34" charset="0"/>
            </a:rPr>
            <a:t>                     </a:t>
          </a:r>
          <a:endParaRPr lang="ru-RU" sz="20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12" name="TextBox 2">
          <a:extLst xmlns:a="http://schemas.openxmlformats.org/drawingml/2006/main">
            <a:ext uri="{FF2B5EF4-FFF2-40B4-BE49-F238E27FC236}">
              <a16:creationId xmlns:a16="http://schemas.microsoft.com/office/drawing/2014/main" id="{FA1D0D4C-61F8-46F3-A436-D894CD40A228}"/>
            </a:ext>
          </a:extLst>
        </cdr:cNvPr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0.27885</cdr:x>
      <cdr:y>0.06671</cdr:y>
    </cdr:from>
    <cdr:to>
      <cdr:x>0.91493</cdr:x>
      <cdr:y>0.21545</cdr:y>
    </cdr:to>
    <cdr:sp macro="" textlink="">
      <cdr:nvSpPr>
        <cdr:cNvPr id="13" name="TextBox 4">
          <a:extLst xmlns:a="http://schemas.openxmlformats.org/drawingml/2006/main">
            <a:ext uri="{FF2B5EF4-FFF2-40B4-BE49-F238E27FC236}">
              <a16:creationId xmlns:a16="http://schemas.microsoft.com/office/drawing/2014/main" id="{017658B6-5778-4809-9AEF-FF3AAE977D9B}"/>
            </a:ext>
          </a:extLst>
        </cdr:cNvPr>
        <cdr:cNvSpPr txBox="1"/>
      </cdr:nvSpPr>
      <cdr:spPr>
        <a:xfrm xmlns:a="http://schemas.openxmlformats.org/drawingml/2006/main">
          <a:off x="2549804" y="583937"/>
          <a:ext cx="5816316" cy="13020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</a:t>
          </a:r>
          <a:endParaRPr lang="en-US" sz="18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0.67587</cdr:x>
      <cdr:y>0.87302</cdr:y>
    </cdr:from>
    <cdr:to>
      <cdr:x>0.95652</cdr:x>
      <cdr:y>0.92074</cdr:y>
    </cdr:to>
    <cdr:sp macro="" textlink="">
      <cdr:nvSpPr>
        <cdr:cNvPr id="14" name="TextBox 1">
          <a:extLst xmlns:a="http://schemas.openxmlformats.org/drawingml/2006/main">
            <a:ext uri="{FF2B5EF4-FFF2-40B4-BE49-F238E27FC236}">
              <a16:creationId xmlns:a16="http://schemas.microsoft.com/office/drawing/2014/main" id="{C62E565B-F758-4D5E-85D4-ACC5727F5068}"/>
            </a:ext>
          </a:extLst>
        </cdr:cNvPr>
        <cdr:cNvSpPr txBox="1"/>
      </cdr:nvSpPr>
      <cdr:spPr>
        <a:xfrm xmlns:a="http://schemas.openxmlformats.org/drawingml/2006/main">
          <a:off x="5330412" y="7703731"/>
          <a:ext cx="2213387" cy="42109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baseline="0">
              <a:latin typeface="Arial" pitchFamily="34" charset="0"/>
              <a:cs typeface="Arial" pitchFamily="34" charset="0"/>
            </a:rPr>
            <a:t>  </a:t>
          </a:r>
          <a:r>
            <a:rPr lang="ru-RU" sz="1800" baseline="0">
              <a:latin typeface="Arial" pitchFamily="34" charset="0"/>
              <a:cs typeface="Arial" pitchFamily="34" charset="0"/>
            </a:rPr>
            <a:t>фактор  </a:t>
          </a:r>
          <a:r>
            <a:rPr lang="ru-RU" sz="1800" b="1" baseline="0">
              <a:latin typeface="Arial" pitchFamily="34" charset="0"/>
              <a:cs typeface="Arial" pitchFamily="34" charset="0"/>
            </a:rPr>
            <a:t>- </a:t>
          </a:r>
          <a:r>
            <a:rPr lang="en-US" sz="1800" b="1" baseline="0">
              <a:latin typeface="Arial" pitchFamily="34" charset="0"/>
              <a:cs typeface="Arial" pitchFamily="34" charset="0"/>
            </a:rPr>
            <a:t> </a:t>
          </a:r>
          <a:r>
            <a:rPr lang="ru-RU" sz="1800" b="1" baseline="0">
              <a:latin typeface="Arial" pitchFamily="34" charset="0"/>
              <a:cs typeface="Arial" pitchFamily="34" charset="0"/>
            </a:rPr>
            <a:t>Время</a:t>
          </a:r>
          <a:endParaRPr lang="ru-RU" sz="18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0.0621</cdr:x>
      <cdr:y>0.04659</cdr:y>
    </cdr:from>
    <cdr:to>
      <cdr:x>0.49849</cdr:x>
      <cdr:y>0.10234</cdr:y>
    </cdr:to>
    <cdr:sp macro="" textlink="">
      <cdr:nvSpPr>
        <cdr:cNvPr id="15" name="TextBox 2">
          <a:extLst xmlns:a="http://schemas.openxmlformats.org/drawingml/2006/main">
            <a:ext uri="{FF2B5EF4-FFF2-40B4-BE49-F238E27FC236}">
              <a16:creationId xmlns:a16="http://schemas.microsoft.com/office/drawing/2014/main" id="{4C05C57E-6B9F-4CA9-9390-B31B20F966A5}"/>
            </a:ext>
          </a:extLst>
        </cdr:cNvPr>
        <cdr:cNvSpPr txBox="1"/>
      </cdr:nvSpPr>
      <cdr:spPr>
        <a:xfrm xmlns:a="http://schemas.openxmlformats.org/drawingml/2006/main">
          <a:off x="521311" y="411121"/>
          <a:ext cx="3663338" cy="49195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2400">
              <a:latin typeface="Arial" pitchFamily="34" charset="0"/>
              <a:cs typeface="Arial" pitchFamily="34" charset="0"/>
            </a:rPr>
            <a:t> RUO</a:t>
          </a:r>
          <a:r>
            <a:rPr lang="ru-RU" sz="1800" b="1">
              <a:latin typeface="Arial" pitchFamily="34" charset="0"/>
              <a:cs typeface="Arial" pitchFamily="34" charset="0"/>
            </a:rPr>
            <a:t> (тыс руб / чел )</a:t>
          </a:r>
          <a:endParaRPr lang="en-US" sz="24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ru-RU" sz="2400">
              <a:latin typeface="Arial" pitchFamily="34" charset="0"/>
              <a:cs typeface="Arial" pitchFamily="34" charset="0"/>
            </a:rPr>
            <a:t>  </a:t>
          </a:r>
          <a:r>
            <a:rPr lang="ru-RU" sz="1800">
              <a:latin typeface="Arial" pitchFamily="34" charset="0"/>
              <a:cs typeface="Arial" pitchFamily="34" charset="0"/>
            </a:rPr>
            <a:t> </a:t>
          </a:r>
        </a:p>
      </cdr:txBody>
    </cdr:sp>
  </cdr:relSizeAnchor>
  <cdr:relSizeAnchor xmlns:cdr="http://schemas.openxmlformats.org/drawingml/2006/chartDrawing">
    <cdr:from>
      <cdr:x>0.37489</cdr:x>
      <cdr:y>0.5922</cdr:y>
    </cdr:from>
    <cdr:to>
      <cdr:x>0.70265</cdr:x>
      <cdr:y>0.64571</cdr:y>
    </cdr:to>
    <cdr:sp macro="" textlink="">
      <cdr:nvSpPr>
        <cdr:cNvPr id="16" name="TextBox 5">
          <a:extLst xmlns:a="http://schemas.openxmlformats.org/drawingml/2006/main">
            <a:ext uri="{FF2B5EF4-FFF2-40B4-BE49-F238E27FC236}">
              <a16:creationId xmlns:a16="http://schemas.microsoft.com/office/drawing/2014/main" id="{71F1EE7D-ED1E-453C-A8EA-CE26BCBCF352}"/>
            </a:ext>
          </a:extLst>
        </cdr:cNvPr>
        <cdr:cNvSpPr txBox="1"/>
      </cdr:nvSpPr>
      <cdr:spPr>
        <a:xfrm xmlns:a="http://schemas.openxmlformats.org/drawingml/2006/main">
          <a:off x="3153060" y="5075266"/>
          <a:ext cx="2756650" cy="4585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2000" b="1">
              <a:latin typeface="Arial" pitchFamily="34" charset="0"/>
              <a:cs typeface="Arial" pitchFamily="34" charset="0"/>
            </a:rPr>
            <a:t>RUO</a:t>
          </a:r>
          <a:r>
            <a:rPr lang="en-US" sz="2000" b="1" baseline="0">
              <a:latin typeface="Arial" pitchFamily="34" charset="0"/>
              <a:cs typeface="Arial" pitchFamily="34" charset="0"/>
            </a:rPr>
            <a:t> = OT / ( LZ*IPC )</a:t>
          </a:r>
          <a:r>
            <a:rPr lang="ru-RU" sz="2000" b="1">
              <a:latin typeface="Arial" pitchFamily="34" charset="0"/>
              <a:cs typeface="Arial" pitchFamily="34" charset="0"/>
            </a:rPr>
            <a:t> </a:t>
          </a:r>
          <a:r>
            <a:rPr lang="ru-RU" sz="2400" b="1">
              <a:latin typeface="Arial" pitchFamily="34" charset="0"/>
              <a:cs typeface="Arial" pitchFamily="34" charset="0"/>
            </a:rPr>
            <a:t>  </a:t>
          </a:r>
        </a:p>
      </cdr:txBody>
    </cdr:sp>
  </cdr:relSizeAnchor>
  <cdr:relSizeAnchor xmlns:cdr="http://schemas.openxmlformats.org/drawingml/2006/chartDrawing">
    <cdr:from>
      <cdr:x>0.61268</cdr:x>
      <cdr:y>0.42789</cdr:y>
    </cdr:from>
    <cdr:to>
      <cdr:x>0.92978</cdr:x>
      <cdr:y>0.48161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5153024" y="3667125"/>
          <a:ext cx="2667000" cy="4603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2000">
              <a:latin typeface="Arial" panose="020B0604020202020204" pitchFamily="34" charset="0"/>
              <a:cs typeface="Arial" panose="020B0604020202020204" pitchFamily="34" charset="0"/>
            </a:rPr>
            <a:t>экспертный сценарий</a:t>
          </a:r>
        </a:p>
      </cdr:txBody>
    </cdr:sp>
  </cdr:relSizeAnchor>
</c:userShapes>
</file>

<file path=xl/drawings/drawing77.xml><?xml version="1.0" encoding="utf-8"?>
<c:userShapes xmlns:c="http://schemas.openxmlformats.org/drawingml/2006/chart"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>
              <a:latin typeface="Arial" pitchFamily="34" charset="0"/>
              <a:cs typeface="Arial" pitchFamily="34" charset="0"/>
            </a:rPr>
            <a:t> </a:t>
          </a:r>
          <a:r>
            <a:rPr lang="ru-RU" sz="1800">
              <a:latin typeface="Arial" pitchFamily="34" charset="0"/>
              <a:cs typeface="Arial" pitchFamily="34" charset="0"/>
            </a:rPr>
            <a:t> </a:t>
          </a:r>
        </a:p>
      </cdr:txBody>
    </cdr:sp>
  </cdr:relSizeAnchor>
  <cdr:relSizeAnchor xmlns:cdr="http://schemas.openxmlformats.org/drawingml/2006/chartDrawing">
    <cdr:from>
      <cdr:x>0.20307</cdr:x>
      <cdr:y>0.13746</cdr:y>
    </cdr:from>
    <cdr:to>
      <cdr:x>0.81127</cdr:x>
      <cdr:y>0.20879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1919965" y="1212356"/>
          <a:ext cx="5750347" cy="62914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                 ЦЕНА НЕФТИ МАРКИ </a:t>
          </a:r>
          <a:r>
            <a:rPr lang="en-US" sz="2000" b="1">
              <a:latin typeface="Arial" pitchFamily="34" charset="0"/>
              <a:cs typeface="Arial" pitchFamily="34" charset="0"/>
            </a:rPr>
            <a:t>BRENT</a:t>
          </a:r>
          <a:endParaRPr lang="ru-RU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</a:t>
          </a:r>
        </a:p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</a:t>
          </a:r>
          <a:endParaRPr lang="en-US" sz="2000" b="1" baseline="0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en-US" sz="2000" b="1" baseline="0">
              <a:latin typeface="Arial" pitchFamily="34" charset="0"/>
              <a:cs typeface="Arial" pitchFamily="34" charset="0"/>
            </a:rPr>
            <a:t> </a:t>
          </a:r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en-US" sz="2000" b="1">
              <a:latin typeface="Arial" pitchFamily="34" charset="0"/>
              <a:cs typeface="Arial" pitchFamily="34" charset="0"/>
            </a:rPr>
            <a:t>                     </a:t>
          </a:r>
          <a:endParaRPr lang="ru-RU" sz="20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0.68985</cdr:x>
      <cdr:y>0.86401</cdr:y>
    </cdr:from>
    <cdr:to>
      <cdr:x>0.95781</cdr:x>
      <cdr:y>0.90764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C62E565B-F758-4D5E-85D4-ACC5727F5068}"/>
            </a:ext>
          </a:extLst>
        </cdr:cNvPr>
        <cdr:cNvSpPr txBox="1"/>
      </cdr:nvSpPr>
      <cdr:spPr>
        <a:xfrm xmlns:a="http://schemas.openxmlformats.org/drawingml/2006/main">
          <a:off x="5905500" y="6654786"/>
          <a:ext cx="2293922" cy="33604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baseline="0">
              <a:latin typeface="Arial" pitchFamily="34" charset="0"/>
              <a:cs typeface="Arial" pitchFamily="34" charset="0"/>
            </a:rPr>
            <a:t>  </a:t>
          </a:r>
          <a:r>
            <a:rPr lang="ru-RU" sz="1800" baseline="0">
              <a:latin typeface="Arial" pitchFamily="34" charset="0"/>
              <a:cs typeface="Arial" pitchFamily="34" charset="0"/>
            </a:rPr>
            <a:t>фактор  </a:t>
          </a:r>
          <a:r>
            <a:rPr lang="ru-RU" sz="1800" b="1" baseline="0">
              <a:latin typeface="Arial" pitchFamily="34" charset="0"/>
              <a:cs typeface="Arial" pitchFamily="34" charset="0"/>
            </a:rPr>
            <a:t>- </a:t>
          </a:r>
          <a:r>
            <a:rPr lang="en-US" sz="1800" b="1" baseline="0">
              <a:latin typeface="Arial" pitchFamily="34" charset="0"/>
              <a:cs typeface="Arial" pitchFamily="34" charset="0"/>
            </a:rPr>
            <a:t> </a:t>
          </a:r>
          <a:r>
            <a:rPr lang="ru-RU" sz="1800" b="1" baseline="0">
              <a:latin typeface="Arial" pitchFamily="34" charset="0"/>
              <a:cs typeface="Arial" pitchFamily="34" charset="0"/>
            </a:rPr>
            <a:t>Время</a:t>
          </a:r>
          <a:endParaRPr lang="ru-RU" sz="18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0.08044</cdr:x>
      <cdr:y>0.03226</cdr:y>
    </cdr:from>
    <cdr:to>
      <cdr:x>0.27426</cdr:x>
      <cdr:y>0.08801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C05C57E-6B9F-4CA9-9390-B31B20F966A5}"/>
            </a:ext>
          </a:extLst>
        </cdr:cNvPr>
        <cdr:cNvSpPr txBox="1"/>
      </cdr:nvSpPr>
      <cdr:spPr>
        <a:xfrm xmlns:a="http://schemas.openxmlformats.org/drawingml/2006/main">
          <a:off x="778231" y="290592"/>
          <a:ext cx="1875162" cy="50218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2400">
              <a:latin typeface="Arial" pitchFamily="34" charset="0"/>
              <a:cs typeface="Arial" pitchFamily="34" charset="0"/>
            </a:rPr>
            <a:t>CNF</a:t>
          </a:r>
          <a:r>
            <a:rPr lang="ru-RU" sz="2400">
              <a:latin typeface="Arial" pitchFamily="34" charset="0"/>
              <a:cs typeface="Arial" pitchFamily="34" charset="0"/>
            </a:rPr>
            <a:t> </a:t>
          </a:r>
          <a:r>
            <a:rPr lang="ru-RU" sz="1800">
              <a:latin typeface="Arial" pitchFamily="34" charset="0"/>
              <a:cs typeface="Arial" pitchFamily="34" charset="0"/>
            </a:rPr>
            <a:t>(долл</a:t>
          </a:r>
          <a:r>
            <a:rPr lang="ru-RU" sz="1800" baseline="0">
              <a:latin typeface="Arial" pitchFamily="34" charset="0"/>
              <a:cs typeface="Arial" pitchFamily="34" charset="0"/>
            </a:rPr>
            <a:t> / бар)</a:t>
          </a:r>
          <a:r>
            <a:rPr lang="ru-RU" sz="1800">
              <a:latin typeface="Arial" pitchFamily="34" charset="0"/>
              <a:cs typeface="Arial" pitchFamily="34" charset="0"/>
            </a:rPr>
            <a:t> </a:t>
          </a:r>
          <a:r>
            <a:rPr lang="ru-RU" sz="1400">
              <a:latin typeface="Arial" pitchFamily="34" charset="0"/>
              <a:cs typeface="Arial" pitchFamily="34" charset="0"/>
            </a:rPr>
            <a:t> </a:t>
          </a:r>
          <a:endParaRPr lang="ru-RU" sz="1800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0.76082</cdr:x>
      <cdr:y>0.34132</cdr:y>
    </cdr:from>
    <cdr:to>
      <cdr:x>0.94559</cdr:x>
      <cdr:y>0.38534</cdr:y>
    </cdr:to>
    <cdr:sp macro="" textlink="">
      <cdr:nvSpPr>
        <cdr:cNvPr id="9" name="TextBox 5">
          <a:extLst xmlns:a="http://schemas.openxmlformats.org/drawingml/2006/main">
            <a:ext uri="{FF2B5EF4-FFF2-40B4-BE49-F238E27FC236}">
              <a16:creationId xmlns:a16="http://schemas.microsoft.com/office/drawing/2014/main" id="{71F1EE7D-ED1E-453C-A8EA-CE26BCBCF352}"/>
            </a:ext>
          </a:extLst>
        </cdr:cNvPr>
        <cdr:cNvSpPr txBox="1"/>
      </cdr:nvSpPr>
      <cdr:spPr>
        <a:xfrm xmlns:a="http://schemas.openxmlformats.org/drawingml/2006/main">
          <a:off x="6751602" y="2980032"/>
          <a:ext cx="1639672" cy="38432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2000">
              <a:latin typeface="Arial" pitchFamily="34" charset="0"/>
              <a:cs typeface="Arial" pitchFamily="34" charset="0"/>
            </a:rPr>
            <a:t>сценарий 1</a:t>
          </a:r>
          <a:r>
            <a:rPr lang="ru-RU" sz="2000" baseline="0">
              <a:latin typeface="Arial" pitchFamily="34" charset="0"/>
              <a:cs typeface="Arial" pitchFamily="34" charset="0"/>
            </a:rPr>
            <a:t> </a:t>
          </a:r>
        </a:p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</a:t>
          </a:r>
        </a:p>
      </cdr:txBody>
    </cdr:sp>
  </cdr:relSizeAnchor>
</c:userShapes>
</file>

<file path=xl/drawings/drawing78.xml><?xml version="1.0" encoding="utf-8"?>
<c:userShapes xmlns:c="http://schemas.openxmlformats.org/drawingml/2006/chart"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0.2442</cdr:x>
      <cdr:y>0.07588</cdr:y>
    </cdr:from>
    <cdr:to>
      <cdr:x>0.8441</cdr:x>
      <cdr:y>0.21654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2328293" y="734311"/>
          <a:ext cx="5719761" cy="136119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РЕГРЕССИЯ</a:t>
          </a:r>
          <a:r>
            <a:rPr lang="en-US" sz="2000" b="1">
              <a:latin typeface="Arial" pitchFamily="34" charset="0"/>
              <a:cs typeface="Arial" pitchFamily="34" charset="0"/>
            </a:rPr>
            <a:t> </a:t>
          </a:r>
          <a:r>
            <a:rPr lang="ru-RU" sz="2000" b="1">
              <a:latin typeface="Arial" pitchFamily="34" charset="0"/>
              <a:cs typeface="Arial" pitchFamily="34" charset="0"/>
            </a:rPr>
            <a:t> БАЗИСНОГО ДЕФЛЯТОРА </a:t>
          </a:r>
        </a:p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ПРОМЕЖУТОЧНОГО</a:t>
          </a:r>
          <a:r>
            <a:rPr lang="ru-RU" sz="2000" b="1" baseline="0">
              <a:latin typeface="Arial" pitchFamily="34" charset="0"/>
              <a:cs typeface="Arial" pitchFamily="34" charset="0"/>
            </a:rPr>
            <a:t> ПОТРЕБЛЕНИЯ</a:t>
          </a:r>
          <a:r>
            <a:rPr lang="ru-RU" sz="2000" b="1">
              <a:latin typeface="Arial" pitchFamily="34" charset="0"/>
              <a:cs typeface="Arial" pitchFamily="34" charset="0"/>
            </a:rPr>
            <a:t> от</a:t>
          </a:r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БАЗИСНОГО ДЕФЛЯТОРА ВЫПУСКА</a:t>
          </a:r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</a:t>
          </a:r>
          <a:r>
            <a:rPr lang="en-US" sz="2000" b="1">
              <a:latin typeface="Arial" pitchFamily="34" charset="0"/>
              <a:cs typeface="Arial" pitchFamily="34" charset="0"/>
            </a:rPr>
            <a:t>Dz</a:t>
          </a:r>
          <a:r>
            <a:rPr lang="en-US" sz="1600" b="1">
              <a:latin typeface="Arial" pitchFamily="34" charset="0"/>
              <a:cs typeface="Arial" pitchFamily="34" charset="0"/>
            </a:rPr>
            <a:t> = </a:t>
          </a:r>
          <a:r>
            <a:rPr lang="en-US" sz="2000" b="1">
              <a:latin typeface="Arial" pitchFamily="34" charset="0"/>
              <a:cs typeface="Arial" pitchFamily="34" charset="0"/>
            </a:rPr>
            <a:t>0,7799*Dw +0,7628</a:t>
          </a:r>
          <a:r>
            <a:rPr lang="en-US" sz="2000" b="1" baseline="0">
              <a:latin typeface="Arial" pitchFamily="34" charset="0"/>
              <a:cs typeface="Arial" pitchFamily="34" charset="0"/>
            </a:rPr>
            <a:t> </a:t>
          </a:r>
          <a:endParaRPr lang="en-US" sz="16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en-US" sz="2000" b="1">
              <a:latin typeface="Arial" pitchFamily="34" charset="0"/>
              <a:cs typeface="Arial" pitchFamily="34" charset="0"/>
            </a:rPr>
            <a:t>                     </a:t>
          </a:r>
          <a:endParaRPr lang="ru-RU" sz="20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0.74511</cdr:x>
      <cdr:y>0.86214</cdr:y>
    </cdr:from>
    <cdr:to>
      <cdr:x>0.95814</cdr:x>
      <cdr:y>0.90743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C62E565B-F758-4D5E-85D4-ACC5727F5068}"/>
            </a:ext>
          </a:extLst>
        </cdr:cNvPr>
        <cdr:cNvSpPr txBox="1"/>
      </cdr:nvSpPr>
      <cdr:spPr>
        <a:xfrm xmlns:a="http://schemas.openxmlformats.org/drawingml/2006/main">
          <a:off x="6207105" y="7302968"/>
          <a:ext cx="1774618" cy="3837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baseline="0">
              <a:latin typeface="Arial" pitchFamily="34" charset="0"/>
              <a:cs typeface="Arial" pitchFamily="34" charset="0"/>
            </a:rPr>
            <a:t>  </a:t>
          </a:r>
          <a:r>
            <a:rPr lang="ru-RU" sz="1800" baseline="0">
              <a:latin typeface="Arial" pitchFamily="34" charset="0"/>
              <a:cs typeface="Arial" pitchFamily="34" charset="0"/>
            </a:rPr>
            <a:t>фактор  </a:t>
          </a:r>
          <a:r>
            <a:rPr lang="ru-RU" sz="1800" b="1" baseline="0">
              <a:latin typeface="Arial" pitchFamily="34" charset="0"/>
              <a:cs typeface="Arial" pitchFamily="34" charset="0"/>
            </a:rPr>
            <a:t>- </a:t>
          </a:r>
          <a:r>
            <a:rPr lang="en-US" sz="1800" b="1" baseline="0">
              <a:latin typeface="Arial" pitchFamily="34" charset="0"/>
              <a:cs typeface="Arial" pitchFamily="34" charset="0"/>
            </a:rPr>
            <a:t> Dw</a:t>
          </a:r>
          <a:endParaRPr lang="ru-RU" sz="18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0.08957</cdr:x>
      <cdr:y>0.05776</cdr:y>
    </cdr:from>
    <cdr:to>
      <cdr:x>0.1692</cdr:x>
      <cdr:y>0.11351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C05C57E-6B9F-4CA9-9390-B31B20F966A5}"/>
            </a:ext>
          </a:extLst>
        </cdr:cNvPr>
        <cdr:cNvSpPr txBox="1"/>
      </cdr:nvSpPr>
      <cdr:spPr>
        <a:xfrm xmlns:a="http://schemas.openxmlformats.org/drawingml/2006/main">
          <a:off x="746155" y="489273"/>
          <a:ext cx="663318" cy="4722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2400">
              <a:latin typeface="Arial" pitchFamily="34" charset="0"/>
              <a:cs typeface="Arial" pitchFamily="34" charset="0"/>
            </a:rPr>
            <a:t> </a:t>
          </a:r>
          <a:r>
            <a:rPr lang="en-US" sz="2000" b="1">
              <a:latin typeface="Arial" pitchFamily="34" charset="0"/>
              <a:cs typeface="Arial" pitchFamily="34" charset="0"/>
            </a:rPr>
            <a:t>Dz</a:t>
          </a:r>
          <a:r>
            <a:rPr lang="ru-RU" sz="2400">
              <a:latin typeface="Arial" pitchFamily="34" charset="0"/>
              <a:cs typeface="Arial" pitchFamily="34" charset="0"/>
            </a:rPr>
            <a:t>  </a:t>
          </a:r>
          <a:r>
            <a:rPr lang="ru-RU" sz="1800">
              <a:latin typeface="Arial" pitchFamily="34" charset="0"/>
              <a:cs typeface="Arial" pitchFamily="34" charset="0"/>
            </a:rPr>
            <a:t> </a:t>
          </a:r>
        </a:p>
      </cdr:txBody>
    </cdr:sp>
  </cdr:relSizeAnchor>
  <cdr:relSizeAnchor xmlns:cdr="http://schemas.openxmlformats.org/drawingml/2006/chartDrawing">
    <cdr:from>
      <cdr:x>0.23589</cdr:x>
      <cdr:y>0.44607</cdr:y>
    </cdr:from>
    <cdr:to>
      <cdr:x>0.35381</cdr:x>
      <cdr:y>0.49369</cdr:y>
    </cdr:to>
    <cdr:sp macro="" textlink="">
      <cdr:nvSpPr>
        <cdr:cNvPr id="9" name="TextBox 5">
          <a:extLst xmlns:a="http://schemas.openxmlformats.org/drawingml/2006/main">
            <a:ext uri="{FF2B5EF4-FFF2-40B4-BE49-F238E27FC236}">
              <a16:creationId xmlns:a16="http://schemas.microsoft.com/office/drawing/2014/main" id="{71F1EE7D-ED1E-453C-A8EA-CE26BCBCF352}"/>
            </a:ext>
          </a:extLst>
        </cdr:cNvPr>
        <cdr:cNvSpPr txBox="1"/>
      </cdr:nvSpPr>
      <cdr:spPr>
        <a:xfrm xmlns:a="http://schemas.openxmlformats.org/drawingml/2006/main">
          <a:off x="2249100" y="4316805"/>
          <a:ext cx="1124311" cy="46083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Тренд</a:t>
          </a:r>
          <a:r>
            <a:rPr lang="ru-RU" sz="1400">
              <a:latin typeface="Arial" pitchFamily="34" charset="0"/>
              <a:cs typeface="Arial" pitchFamily="34" charset="0"/>
            </a:rPr>
            <a:t> </a:t>
          </a:r>
          <a:r>
            <a:rPr lang="ru-RU" sz="1600">
              <a:latin typeface="Arial" pitchFamily="34" charset="0"/>
              <a:cs typeface="Arial" pitchFamily="34" charset="0"/>
            </a:rPr>
            <a:t>1  </a:t>
          </a:r>
        </a:p>
      </cdr:txBody>
    </cdr:sp>
  </cdr:relSizeAnchor>
</c:userShapes>
</file>

<file path=xl/drawings/drawing79.xml><?xml version="1.0" encoding="utf-8"?>
<c:userShapes xmlns:c="http://schemas.openxmlformats.org/drawingml/2006/chart"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0.25019</cdr:x>
      <cdr:y>0.08769</cdr:y>
    </cdr:from>
    <cdr:to>
      <cdr:x>0.85009</cdr:x>
      <cdr:y>0.25373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2252032" y="746125"/>
          <a:ext cx="5399720" cy="14128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РЕГРЕССИЯ</a:t>
          </a:r>
          <a:r>
            <a:rPr lang="en-US" sz="2000" b="1">
              <a:latin typeface="Arial" pitchFamily="34" charset="0"/>
              <a:cs typeface="Arial" pitchFamily="34" charset="0"/>
            </a:rPr>
            <a:t> </a:t>
          </a:r>
          <a:r>
            <a:rPr lang="ru-RU" sz="2000" b="1">
              <a:latin typeface="Arial" pitchFamily="34" charset="0"/>
              <a:cs typeface="Arial" pitchFamily="34" charset="0"/>
            </a:rPr>
            <a:t> БАЗИСНОГО ДЕФЛЯТОРА </a:t>
          </a:r>
        </a:p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ВЫПУСКА в </a:t>
          </a:r>
          <a:r>
            <a:rPr lang="en-US" sz="2000" b="1">
              <a:latin typeface="Arial" pitchFamily="34" charset="0"/>
              <a:cs typeface="Arial" pitchFamily="34" charset="0"/>
            </a:rPr>
            <a:t>O</a:t>
          </a:r>
          <a:r>
            <a:rPr lang="ru-RU" sz="2000" b="1">
              <a:latin typeface="Arial" pitchFamily="34" charset="0"/>
              <a:cs typeface="Arial" pitchFamily="34" charset="0"/>
            </a:rPr>
            <a:t>Ц  от</a:t>
          </a:r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БАЗИСНОГО ДЕФЛЯТОРА ВВП</a:t>
          </a:r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</a:t>
          </a:r>
          <a:r>
            <a:rPr lang="en-US" sz="2000" b="1">
              <a:latin typeface="Arial" pitchFamily="34" charset="0"/>
              <a:cs typeface="Arial" pitchFamily="34" charset="0"/>
            </a:rPr>
            <a:t>DO</a:t>
          </a:r>
          <a:r>
            <a:rPr lang="ru-RU" sz="2000" b="1">
              <a:latin typeface="Arial" pitchFamily="34" charset="0"/>
              <a:cs typeface="Arial" pitchFamily="34" charset="0"/>
            </a:rPr>
            <a:t>х</a:t>
          </a:r>
          <a:r>
            <a:rPr lang="en-US" sz="1600" b="1">
              <a:latin typeface="Arial" pitchFamily="34" charset="0"/>
              <a:cs typeface="Arial" pitchFamily="34" charset="0"/>
            </a:rPr>
            <a:t> = </a:t>
          </a:r>
          <a:r>
            <a:rPr lang="en-US" sz="2000" b="1">
              <a:latin typeface="Arial" pitchFamily="34" charset="0"/>
              <a:cs typeface="Arial" pitchFamily="34" charset="0"/>
            </a:rPr>
            <a:t>0,8895*Dw +0,0061</a:t>
          </a:r>
          <a:r>
            <a:rPr lang="en-US" sz="2000" b="1" baseline="0">
              <a:latin typeface="Arial" pitchFamily="34" charset="0"/>
              <a:cs typeface="Arial" pitchFamily="34" charset="0"/>
            </a:rPr>
            <a:t> </a:t>
          </a:r>
          <a:endParaRPr lang="en-US" sz="16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en-US" sz="2000" b="1">
              <a:latin typeface="Arial" pitchFamily="34" charset="0"/>
              <a:cs typeface="Arial" pitchFamily="34" charset="0"/>
            </a:rPr>
            <a:t>                     </a:t>
          </a:r>
          <a:endParaRPr lang="ru-RU" sz="20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0.74511</cdr:x>
      <cdr:y>0.86214</cdr:y>
    </cdr:from>
    <cdr:to>
      <cdr:x>0.95814</cdr:x>
      <cdr:y>0.90743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C62E565B-F758-4D5E-85D4-ACC5727F5068}"/>
            </a:ext>
          </a:extLst>
        </cdr:cNvPr>
        <cdr:cNvSpPr txBox="1"/>
      </cdr:nvSpPr>
      <cdr:spPr>
        <a:xfrm xmlns:a="http://schemas.openxmlformats.org/drawingml/2006/main">
          <a:off x="6207105" y="7302968"/>
          <a:ext cx="1774618" cy="3837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baseline="0">
              <a:latin typeface="Arial" pitchFamily="34" charset="0"/>
              <a:cs typeface="Arial" pitchFamily="34" charset="0"/>
            </a:rPr>
            <a:t>  </a:t>
          </a:r>
          <a:r>
            <a:rPr lang="ru-RU" sz="1800" baseline="0">
              <a:latin typeface="Arial" pitchFamily="34" charset="0"/>
              <a:cs typeface="Arial" pitchFamily="34" charset="0"/>
            </a:rPr>
            <a:t>фактор  </a:t>
          </a:r>
          <a:r>
            <a:rPr lang="ru-RU" sz="1800" b="1" baseline="0">
              <a:latin typeface="Arial" pitchFamily="34" charset="0"/>
              <a:cs typeface="Arial" pitchFamily="34" charset="0"/>
            </a:rPr>
            <a:t>- </a:t>
          </a:r>
          <a:r>
            <a:rPr lang="en-US" sz="1800" b="1" baseline="0">
              <a:latin typeface="Arial" pitchFamily="34" charset="0"/>
              <a:cs typeface="Arial" pitchFamily="34" charset="0"/>
            </a:rPr>
            <a:t> Dw</a:t>
          </a:r>
          <a:endParaRPr lang="ru-RU" sz="18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0.08957</cdr:x>
      <cdr:y>0.05776</cdr:y>
    </cdr:from>
    <cdr:to>
      <cdr:x>0.1692</cdr:x>
      <cdr:y>0.11351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C05C57E-6B9F-4CA9-9390-B31B20F966A5}"/>
            </a:ext>
          </a:extLst>
        </cdr:cNvPr>
        <cdr:cNvSpPr txBox="1"/>
      </cdr:nvSpPr>
      <cdr:spPr>
        <a:xfrm xmlns:a="http://schemas.openxmlformats.org/drawingml/2006/main">
          <a:off x="746155" y="489273"/>
          <a:ext cx="663318" cy="4722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2400">
              <a:latin typeface="Arial" pitchFamily="34" charset="0"/>
              <a:cs typeface="Arial" pitchFamily="34" charset="0"/>
            </a:rPr>
            <a:t> </a:t>
          </a:r>
          <a:r>
            <a:rPr lang="en-US" sz="2000" b="1">
              <a:latin typeface="Arial" pitchFamily="34" charset="0"/>
              <a:cs typeface="Arial" pitchFamily="34" charset="0"/>
            </a:rPr>
            <a:t>Dx</a:t>
          </a:r>
          <a:r>
            <a:rPr lang="ru-RU" sz="2400">
              <a:latin typeface="Arial" pitchFamily="34" charset="0"/>
              <a:cs typeface="Arial" pitchFamily="34" charset="0"/>
            </a:rPr>
            <a:t>  </a:t>
          </a:r>
          <a:r>
            <a:rPr lang="ru-RU" sz="1800">
              <a:latin typeface="Arial" pitchFamily="34" charset="0"/>
              <a:cs typeface="Arial" pitchFamily="34" charset="0"/>
            </a:rPr>
            <a:t> </a:t>
          </a:r>
        </a:p>
      </cdr:txBody>
    </cdr:sp>
  </cdr:relSizeAnchor>
  <cdr:relSizeAnchor xmlns:cdr="http://schemas.openxmlformats.org/drawingml/2006/chartDrawing">
    <cdr:from>
      <cdr:x>0.17595</cdr:x>
      <cdr:y>0.55237</cdr:y>
    </cdr:from>
    <cdr:to>
      <cdr:x>0.29387</cdr:x>
      <cdr:y>0.59999</cdr:y>
    </cdr:to>
    <cdr:sp macro="" textlink="">
      <cdr:nvSpPr>
        <cdr:cNvPr id="9" name="TextBox 5">
          <a:extLst xmlns:a="http://schemas.openxmlformats.org/drawingml/2006/main">
            <a:ext uri="{FF2B5EF4-FFF2-40B4-BE49-F238E27FC236}">
              <a16:creationId xmlns:a16="http://schemas.microsoft.com/office/drawing/2014/main" id="{71F1EE7D-ED1E-453C-A8EA-CE26BCBCF352}"/>
            </a:ext>
          </a:extLst>
        </cdr:cNvPr>
        <cdr:cNvSpPr txBox="1"/>
      </cdr:nvSpPr>
      <cdr:spPr>
        <a:xfrm xmlns:a="http://schemas.openxmlformats.org/drawingml/2006/main">
          <a:off x="1583759" y="4700129"/>
          <a:ext cx="1061413" cy="40519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Тренд</a:t>
          </a:r>
          <a:r>
            <a:rPr lang="ru-RU" sz="1400">
              <a:latin typeface="Arial" pitchFamily="34" charset="0"/>
              <a:cs typeface="Arial" pitchFamily="34" charset="0"/>
            </a:rPr>
            <a:t> </a:t>
          </a:r>
          <a:r>
            <a:rPr lang="ru-RU" sz="1600">
              <a:latin typeface="Arial" pitchFamily="34" charset="0"/>
              <a:cs typeface="Arial" pitchFamily="34" charset="0"/>
            </a:rPr>
            <a:t>1  </a:t>
          </a:r>
        </a:p>
      </cdr:txBody>
    </cdr:sp>
  </cdr:relSizeAnchor>
</c:userShapes>
</file>

<file path=xl/drawings/drawing80.xml><?xml version="1.0" encoding="utf-8"?>
<c:userShapes xmlns:c="http://schemas.openxmlformats.org/drawingml/2006/chart"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0.15498</cdr:x>
      <cdr:y>0.09559</cdr:y>
    </cdr:from>
    <cdr:to>
      <cdr:x>0.9288</cdr:x>
      <cdr:y>0.2655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1331013" y="812799"/>
          <a:ext cx="6645876" cy="14446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КОЭФФИЦИЕНТ ПРОЧИХ ДОХОДОВ НАСЕЛЕНИЯ </a:t>
          </a:r>
        </a:p>
        <a:p xmlns:a="http://schemas.openxmlformats.org/drawingml/2006/main">
          <a:r>
            <a:rPr lang="ru-RU" sz="2400" b="1">
              <a:latin typeface="Arial" pitchFamily="34" charset="0"/>
              <a:cs typeface="Arial" pitchFamily="34" charset="0"/>
            </a:rPr>
            <a:t>                     </a:t>
          </a:r>
          <a:r>
            <a:rPr kumimoji="0" lang="en-US" sz="24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µ</a:t>
          </a:r>
          <a:r>
            <a:rPr lang="en-US" sz="1800" b="1">
              <a:latin typeface="Arial" pitchFamily="34" charset="0"/>
              <a:cs typeface="Arial" pitchFamily="34" charset="0"/>
            </a:rPr>
            <a:t> </a:t>
          </a:r>
          <a:r>
            <a:rPr lang="en-US" sz="2000" b="1">
              <a:latin typeface="Arial" pitchFamily="34" charset="0"/>
              <a:cs typeface="Arial" pitchFamily="34" charset="0"/>
            </a:rPr>
            <a:t>=</a:t>
          </a:r>
          <a:r>
            <a:rPr lang="ru-RU" sz="2000" b="1">
              <a:latin typeface="Arial" pitchFamily="34" charset="0"/>
              <a:cs typeface="Arial" pitchFamily="34" charset="0"/>
            </a:rPr>
            <a:t> (</a:t>
          </a:r>
          <a:r>
            <a:rPr lang="en-US" sz="2000" b="1">
              <a:latin typeface="Arial" pitchFamily="34" charset="0"/>
              <a:cs typeface="Arial" pitchFamily="34" charset="0"/>
            </a:rPr>
            <a:t>DH - O</a:t>
          </a:r>
          <a:r>
            <a:rPr lang="ru-RU" sz="2000" b="1">
              <a:latin typeface="Arial" pitchFamily="34" charset="0"/>
              <a:cs typeface="Arial" pitchFamily="34" charset="0"/>
            </a:rPr>
            <a:t>Т </a:t>
          </a:r>
          <a:r>
            <a:rPr lang="en-US" sz="2000" b="1">
              <a:latin typeface="Arial" pitchFamily="34" charset="0"/>
              <a:cs typeface="Arial" pitchFamily="34" charset="0"/>
            </a:rPr>
            <a:t>)/ WWP</a:t>
          </a:r>
          <a:endParaRPr lang="en-US" sz="1800" b="1" baseline="0">
            <a:latin typeface="Arial" pitchFamily="34" charset="0"/>
            <a:cs typeface="Arial" pitchFamily="34" charset="0"/>
          </a:endParaRPr>
        </a:p>
        <a:p xmlns:a="http://schemas.openxmlformats.org/drawingml/2006/main"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600" b="0" baseline="0">
              <a:latin typeface="Arial" pitchFamily="34" charset="0"/>
              <a:cs typeface="Arial" pitchFamily="34" charset="0"/>
            </a:rPr>
            <a:t> </a:t>
          </a:r>
          <a:r>
            <a:rPr lang="ru-RU" sz="1600" b="0" baseline="0">
              <a:latin typeface="Arial" pitchFamily="34" charset="0"/>
              <a:cs typeface="Arial" pitchFamily="34" charset="0"/>
            </a:rPr>
            <a:t>                              </a:t>
          </a:r>
          <a:r>
            <a:rPr lang="en-US" sz="1800" b="1" baseline="0">
              <a:latin typeface="Arial" pitchFamily="34" charset="0"/>
              <a:cs typeface="Arial" pitchFamily="34" charset="0"/>
            </a:rPr>
            <a:t> </a:t>
          </a:r>
          <a:r>
            <a:rPr lang="en-US" sz="2000" b="1" i="0" baseline="0"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µ</a:t>
          </a:r>
          <a:r>
            <a:rPr lang="en-US" sz="2000" b="1"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 =</a:t>
          </a:r>
          <a:r>
            <a:rPr lang="ru-RU" sz="2000" b="1"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 -</a:t>
          </a:r>
          <a:r>
            <a:rPr lang="ru-RU" sz="2000" b="1" baseline="0"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 </a:t>
          </a:r>
          <a:r>
            <a:rPr lang="ru-RU" sz="2000" b="1"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0</a:t>
          </a:r>
          <a:r>
            <a:rPr lang="en-US" sz="2000" b="1"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,</a:t>
          </a:r>
          <a:r>
            <a:rPr lang="ru-RU" sz="2000" b="1"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0013</a:t>
          </a:r>
          <a:r>
            <a:rPr lang="en-US" sz="2000" b="1"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*</a:t>
          </a:r>
          <a:r>
            <a:rPr lang="ru-RU" sz="2000" b="1"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Т +</a:t>
          </a:r>
          <a:r>
            <a:rPr lang="ru-RU" sz="2000" b="1" baseline="0"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 2,772</a:t>
          </a:r>
          <a:endParaRPr lang="ru-RU" sz="3200">
            <a:effectLst/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6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en-US" sz="2000" b="1">
              <a:latin typeface="Arial" pitchFamily="34" charset="0"/>
              <a:cs typeface="Arial" pitchFamily="34" charset="0"/>
            </a:rPr>
            <a:t>                     </a:t>
          </a:r>
          <a:endParaRPr lang="ru-RU" sz="20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0.62714</cdr:x>
      <cdr:y>0.8683</cdr:y>
    </cdr:from>
    <cdr:to>
      <cdr:x>0.9107</cdr:x>
      <cdr:y>0.91359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C62E565B-F758-4D5E-85D4-ACC5727F5068}"/>
            </a:ext>
          </a:extLst>
        </cdr:cNvPr>
        <cdr:cNvSpPr txBox="1"/>
      </cdr:nvSpPr>
      <cdr:spPr>
        <a:xfrm xmlns:a="http://schemas.openxmlformats.org/drawingml/2006/main">
          <a:off x="5313590" y="7382752"/>
          <a:ext cx="2402512" cy="3850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baseline="0">
              <a:latin typeface="Arial" pitchFamily="34" charset="0"/>
              <a:cs typeface="Arial" pitchFamily="34" charset="0"/>
            </a:rPr>
            <a:t>  </a:t>
          </a:r>
          <a:r>
            <a:rPr lang="ru-RU" sz="1800" baseline="0">
              <a:latin typeface="Arial" pitchFamily="34" charset="0"/>
              <a:cs typeface="Arial" pitchFamily="34" charset="0"/>
            </a:rPr>
            <a:t>фактор  </a:t>
          </a:r>
          <a:r>
            <a:rPr lang="ru-RU" sz="1800" b="1" baseline="0">
              <a:latin typeface="Arial" pitchFamily="34" charset="0"/>
              <a:cs typeface="Arial" pitchFamily="34" charset="0"/>
            </a:rPr>
            <a:t>- </a:t>
          </a:r>
          <a:r>
            <a:rPr lang="en-US" sz="1800" b="1" baseline="0">
              <a:latin typeface="Arial" pitchFamily="34" charset="0"/>
              <a:cs typeface="Arial" pitchFamily="34" charset="0"/>
            </a:rPr>
            <a:t> </a:t>
          </a:r>
          <a:r>
            <a:rPr lang="ru-RU" sz="1800" b="1" baseline="0">
              <a:latin typeface="Arial" pitchFamily="34" charset="0"/>
              <a:cs typeface="Arial" pitchFamily="34" charset="0"/>
            </a:rPr>
            <a:t>Время</a:t>
          </a:r>
          <a:endParaRPr lang="ru-RU" sz="18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0.07036</cdr:x>
      <cdr:y>0.01718</cdr:y>
    </cdr:from>
    <cdr:to>
      <cdr:x>0.16825</cdr:x>
      <cdr:y>0.09186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C05C57E-6B9F-4CA9-9390-B31B20F966A5}"/>
            </a:ext>
          </a:extLst>
        </cdr:cNvPr>
        <cdr:cNvSpPr txBox="1"/>
      </cdr:nvSpPr>
      <cdr:spPr>
        <a:xfrm xmlns:a="http://schemas.openxmlformats.org/drawingml/2006/main">
          <a:off x="604286" y="146050"/>
          <a:ext cx="840670" cy="63499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3200">
              <a:latin typeface="Arial" pitchFamily="34" charset="0"/>
              <a:cs typeface="Arial" pitchFamily="34" charset="0"/>
            </a:rPr>
            <a:t> </a:t>
          </a:r>
          <a:r>
            <a:rPr lang="en-US" sz="2800" b="1">
              <a:latin typeface="Arial" pitchFamily="34" charset="0"/>
              <a:cs typeface="Arial" pitchFamily="34" charset="0"/>
            </a:rPr>
            <a:t> µ</a:t>
          </a:r>
          <a:endParaRPr lang="en-US" sz="2400" b="1">
            <a:latin typeface="Arial" pitchFamily="34" charset="0"/>
            <a:cs typeface="Arial" pitchFamily="34" charset="0"/>
          </a:endParaRPr>
        </a:p>
        <a:p xmlns:a="http://schemas.openxmlformats.org/drawingml/2006/main">
          <a:endParaRPr lang="en-US" sz="2400" b="1">
            <a:latin typeface="Arial" pitchFamily="34" charset="0"/>
            <a:cs typeface="Arial" pitchFamily="34" charset="0"/>
          </a:endParaRPr>
        </a:p>
        <a:p xmlns:a="http://schemas.openxmlformats.org/drawingml/2006/main">
          <a:endParaRPr lang="en-US" sz="24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ru-RU" sz="2400">
              <a:latin typeface="Arial" pitchFamily="34" charset="0"/>
              <a:cs typeface="Arial" pitchFamily="34" charset="0"/>
            </a:rPr>
            <a:t>  </a:t>
          </a:r>
          <a:r>
            <a:rPr lang="ru-RU" sz="1800">
              <a:latin typeface="Arial" pitchFamily="34" charset="0"/>
              <a:cs typeface="Arial" pitchFamily="34" charset="0"/>
            </a:rPr>
            <a:t> </a:t>
          </a:r>
        </a:p>
      </cdr:txBody>
    </cdr:sp>
  </cdr:relSizeAnchor>
  <cdr:relSizeAnchor xmlns:cdr="http://schemas.openxmlformats.org/drawingml/2006/chartDrawing">
    <cdr:from>
      <cdr:x>0.71999</cdr:x>
      <cdr:y>0.47479</cdr:y>
    </cdr:from>
    <cdr:to>
      <cdr:x>0.83791</cdr:x>
      <cdr:y>0.52241</cdr:y>
    </cdr:to>
    <cdr:sp macro="" textlink="">
      <cdr:nvSpPr>
        <cdr:cNvPr id="9" name="TextBox 5">
          <a:extLst xmlns:a="http://schemas.openxmlformats.org/drawingml/2006/main">
            <a:ext uri="{FF2B5EF4-FFF2-40B4-BE49-F238E27FC236}">
              <a16:creationId xmlns:a16="http://schemas.microsoft.com/office/drawing/2014/main" id="{71F1EE7D-ED1E-453C-A8EA-CE26BCBCF352}"/>
            </a:ext>
          </a:extLst>
        </cdr:cNvPr>
        <cdr:cNvSpPr txBox="1"/>
      </cdr:nvSpPr>
      <cdr:spPr>
        <a:xfrm xmlns:a="http://schemas.openxmlformats.org/drawingml/2006/main">
          <a:off x="6183555" y="4036915"/>
          <a:ext cx="1012740" cy="40489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Тренд</a:t>
          </a:r>
          <a:r>
            <a:rPr lang="ru-RU" sz="1400">
              <a:latin typeface="Arial" pitchFamily="34" charset="0"/>
              <a:cs typeface="Arial" pitchFamily="34" charset="0"/>
            </a:rPr>
            <a:t> </a:t>
          </a:r>
          <a:r>
            <a:rPr lang="ru-RU" sz="1600">
              <a:latin typeface="Arial" pitchFamily="34" charset="0"/>
              <a:cs typeface="Arial" pitchFamily="34" charset="0"/>
            </a:rPr>
            <a:t>  </a:t>
          </a:r>
        </a:p>
      </cdr:txBody>
    </cdr:sp>
  </cdr:relSizeAnchor>
</c:userShapes>
</file>

<file path=xl/drawings/drawing81.xml><?xml version="1.0" encoding="utf-8"?>
<c:userShapes xmlns:c="http://schemas.openxmlformats.org/drawingml/2006/chart"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0.25019</cdr:x>
      <cdr:y>0.08769</cdr:y>
    </cdr:from>
    <cdr:to>
      <cdr:x>0.8666</cdr:x>
      <cdr:y>0.28383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2039502" y="791397"/>
          <a:ext cx="5024873" cy="177015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РЕГРЕССИЯ</a:t>
          </a:r>
          <a:r>
            <a:rPr lang="en-US" sz="2000" b="1">
              <a:latin typeface="Arial" pitchFamily="34" charset="0"/>
              <a:cs typeface="Arial" pitchFamily="34" charset="0"/>
            </a:rPr>
            <a:t> </a:t>
          </a:r>
          <a:r>
            <a:rPr lang="ru-RU" sz="2000" b="1">
              <a:latin typeface="Arial" pitchFamily="34" charset="0"/>
              <a:cs typeface="Arial" pitchFamily="34" charset="0"/>
            </a:rPr>
            <a:t> БАЗИСНОГО</a:t>
          </a:r>
          <a:r>
            <a:rPr lang="en-US" sz="2000" b="1">
              <a:latin typeface="Arial" pitchFamily="34" charset="0"/>
              <a:cs typeface="Arial" pitchFamily="34" charset="0"/>
            </a:rPr>
            <a:t>  </a:t>
          </a:r>
          <a:r>
            <a:rPr lang="ru-RU" sz="2000" b="1">
              <a:latin typeface="Arial" pitchFamily="34" charset="0"/>
              <a:cs typeface="Arial" pitchFamily="34" charset="0"/>
            </a:rPr>
            <a:t>ТЕМПА </a:t>
          </a:r>
        </a:p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ВЫПУСКА в </a:t>
          </a:r>
          <a:r>
            <a:rPr lang="en-US" sz="2000" b="1">
              <a:latin typeface="Arial" pitchFamily="34" charset="0"/>
              <a:cs typeface="Arial" pitchFamily="34" charset="0"/>
            </a:rPr>
            <a:t>O</a:t>
          </a:r>
          <a:r>
            <a:rPr lang="ru-RU" sz="2000" b="1">
              <a:latin typeface="Arial" pitchFamily="34" charset="0"/>
              <a:cs typeface="Arial" pitchFamily="34" charset="0"/>
            </a:rPr>
            <a:t>Ц  от</a:t>
          </a:r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БАЗИСНОГО ТЕМПА ВВП</a:t>
          </a:r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Р</a:t>
          </a:r>
          <a:r>
            <a:rPr lang="en-US" sz="2000" b="1">
              <a:latin typeface="Arial" pitchFamily="34" charset="0"/>
              <a:cs typeface="Arial" pitchFamily="34" charset="0"/>
            </a:rPr>
            <a:t>O</a:t>
          </a:r>
          <a:r>
            <a:rPr lang="ru-RU" sz="2000" b="1">
              <a:latin typeface="Arial" pitchFamily="34" charset="0"/>
              <a:cs typeface="Arial" pitchFamily="34" charset="0"/>
            </a:rPr>
            <a:t>х</a:t>
          </a:r>
          <a:r>
            <a:rPr lang="en-US" sz="1600" b="1">
              <a:latin typeface="Arial" pitchFamily="34" charset="0"/>
              <a:cs typeface="Arial" pitchFamily="34" charset="0"/>
            </a:rPr>
            <a:t> = </a:t>
          </a:r>
          <a:r>
            <a:rPr lang="ru-RU" sz="1800" b="1">
              <a:latin typeface="Arial" pitchFamily="34" charset="0"/>
              <a:cs typeface="Arial" pitchFamily="34" charset="0"/>
            </a:rPr>
            <a:t>1</a:t>
          </a:r>
          <a:r>
            <a:rPr lang="en-US" sz="2000" b="1">
              <a:latin typeface="Arial" pitchFamily="34" charset="0"/>
              <a:cs typeface="Arial" pitchFamily="34" charset="0"/>
            </a:rPr>
            <a:t>,</a:t>
          </a:r>
          <a:r>
            <a:rPr lang="ru-RU" sz="2000" b="1">
              <a:latin typeface="Arial" pitchFamily="34" charset="0"/>
              <a:cs typeface="Arial" pitchFamily="34" charset="0"/>
            </a:rPr>
            <a:t>0318</a:t>
          </a:r>
          <a:r>
            <a:rPr lang="en-US" sz="2000" b="1">
              <a:latin typeface="Arial" pitchFamily="34" charset="0"/>
              <a:cs typeface="Arial" pitchFamily="34" charset="0"/>
            </a:rPr>
            <a:t>*</a:t>
          </a:r>
          <a:r>
            <a:rPr lang="ru-RU" sz="2000" b="1">
              <a:latin typeface="Arial" pitchFamily="34" charset="0"/>
              <a:cs typeface="Arial" pitchFamily="34" charset="0"/>
            </a:rPr>
            <a:t>Р</a:t>
          </a:r>
          <a:r>
            <a:rPr lang="en-US" sz="2000" b="1">
              <a:latin typeface="Arial" pitchFamily="34" charset="0"/>
              <a:cs typeface="Arial" pitchFamily="34" charset="0"/>
            </a:rPr>
            <a:t>w </a:t>
          </a:r>
          <a:r>
            <a:rPr lang="ru-RU" sz="2000" b="1">
              <a:latin typeface="Arial" pitchFamily="34" charset="0"/>
              <a:cs typeface="Arial" pitchFamily="34" charset="0"/>
            </a:rPr>
            <a:t>-</a:t>
          </a:r>
          <a:r>
            <a:rPr lang="en-US" sz="2000" b="1">
              <a:latin typeface="Arial" pitchFamily="34" charset="0"/>
              <a:cs typeface="Arial" pitchFamily="34" charset="0"/>
            </a:rPr>
            <a:t>0,0</a:t>
          </a:r>
          <a:r>
            <a:rPr lang="ru-RU" sz="2000" b="1">
              <a:latin typeface="Arial" pitchFamily="34" charset="0"/>
              <a:cs typeface="Arial" pitchFamily="34" charset="0"/>
            </a:rPr>
            <a:t>328</a:t>
          </a:r>
          <a:r>
            <a:rPr lang="en-US" sz="2000" b="1" baseline="0">
              <a:latin typeface="Arial" pitchFamily="34" charset="0"/>
              <a:cs typeface="Arial" pitchFamily="34" charset="0"/>
            </a:rPr>
            <a:t> </a:t>
          </a:r>
          <a:endParaRPr lang="en-US" sz="16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en-US" sz="2000" b="1">
              <a:latin typeface="Arial" pitchFamily="34" charset="0"/>
              <a:cs typeface="Arial" pitchFamily="34" charset="0"/>
            </a:rPr>
            <a:t>                     </a:t>
          </a:r>
          <a:endParaRPr lang="ru-RU" sz="20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0.71273</cdr:x>
      <cdr:y>0.82519</cdr:y>
    </cdr:from>
    <cdr:to>
      <cdr:x>0.95814</cdr:x>
      <cdr:y>0.90743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C62E565B-F758-4D5E-85D4-ACC5727F5068}"/>
            </a:ext>
          </a:extLst>
        </cdr:cNvPr>
        <cdr:cNvSpPr txBox="1"/>
      </cdr:nvSpPr>
      <cdr:spPr>
        <a:xfrm xmlns:a="http://schemas.openxmlformats.org/drawingml/2006/main">
          <a:off x="6223002" y="6969127"/>
          <a:ext cx="2142760" cy="69457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baseline="0">
              <a:latin typeface="Arial" pitchFamily="34" charset="0"/>
              <a:cs typeface="Arial" pitchFamily="34" charset="0"/>
            </a:rPr>
            <a:t>  </a:t>
          </a:r>
          <a:r>
            <a:rPr lang="ru-RU" sz="1800" baseline="0">
              <a:latin typeface="Arial" pitchFamily="34" charset="0"/>
              <a:cs typeface="Arial" pitchFamily="34" charset="0"/>
            </a:rPr>
            <a:t>фактор  </a:t>
          </a:r>
          <a:r>
            <a:rPr lang="ru-RU" sz="2000" b="1" baseline="0">
              <a:latin typeface="Arial" pitchFamily="34" charset="0"/>
              <a:cs typeface="Arial" pitchFamily="34" charset="0"/>
            </a:rPr>
            <a:t>- </a:t>
          </a:r>
          <a:r>
            <a:rPr lang="en-US" sz="2000" b="1" baseline="0">
              <a:latin typeface="Arial" pitchFamily="34" charset="0"/>
              <a:cs typeface="Arial" pitchFamily="34" charset="0"/>
            </a:rPr>
            <a:t> Pw</a:t>
          </a:r>
          <a:endParaRPr lang="ru-RU" sz="18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0.08957</cdr:x>
      <cdr:y>0.05776</cdr:y>
    </cdr:from>
    <cdr:to>
      <cdr:x>0.18325</cdr:x>
      <cdr:y>0.11351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C05C57E-6B9F-4CA9-9390-B31B20F966A5}"/>
            </a:ext>
          </a:extLst>
        </cdr:cNvPr>
        <cdr:cNvSpPr txBox="1"/>
      </cdr:nvSpPr>
      <cdr:spPr>
        <a:xfrm xmlns:a="http://schemas.openxmlformats.org/drawingml/2006/main">
          <a:off x="900077" y="487812"/>
          <a:ext cx="941423" cy="4708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2400">
              <a:latin typeface="Arial" pitchFamily="34" charset="0"/>
              <a:cs typeface="Arial" pitchFamily="34" charset="0"/>
            </a:rPr>
            <a:t> </a:t>
          </a:r>
          <a:r>
            <a:rPr lang="en-US" sz="2400">
              <a:latin typeface="Arial" pitchFamily="34" charset="0"/>
              <a:cs typeface="Arial" pitchFamily="34" charset="0"/>
            </a:rPr>
            <a:t>PO</a:t>
          </a:r>
          <a:r>
            <a:rPr lang="en-US" sz="2000" b="1">
              <a:latin typeface="Arial" pitchFamily="34" charset="0"/>
              <a:cs typeface="Arial" pitchFamily="34" charset="0"/>
            </a:rPr>
            <a:t>x</a:t>
          </a:r>
          <a:r>
            <a:rPr lang="ru-RU" sz="2400">
              <a:latin typeface="Arial" pitchFamily="34" charset="0"/>
              <a:cs typeface="Arial" pitchFamily="34" charset="0"/>
            </a:rPr>
            <a:t>  </a:t>
          </a:r>
          <a:r>
            <a:rPr lang="ru-RU" sz="1800">
              <a:latin typeface="Arial" pitchFamily="34" charset="0"/>
              <a:cs typeface="Arial" pitchFamily="34" charset="0"/>
            </a:rPr>
            <a:t> </a:t>
          </a:r>
        </a:p>
      </cdr:txBody>
    </cdr:sp>
  </cdr:relSizeAnchor>
  <cdr:relSizeAnchor xmlns:cdr="http://schemas.openxmlformats.org/drawingml/2006/chartDrawing">
    <cdr:from>
      <cdr:x>0.60868</cdr:x>
      <cdr:y>0.49034</cdr:y>
    </cdr:from>
    <cdr:to>
      <cdr:x>0.7266</cdr:x>
      <cdr:y>0.53796</cdr:y>
    </cdr:to>
    <cdr:sp macro="" textlink="">
      <cdr:nvSpPr>
        <cdr:cNvPr id="9" name="TextBox 5">
          <a:extLst xmlns:a="http://schemas.openxmlformats.org/drawingml/2006/main">
            <a:ext uri="{FF2B5EF4-FFF2-40B4-BE49-F238E27FC236}">
              <a16:creationId xmlns:a16="http://schemas.microsoft.com/office/drawing/2014/main" id="{71F1EE7D-ED1E-453C-A8EA-CE26BCBCF352}"/>
            </a:ext>
          </a:extLst>
        </cdr:cNvPr>
        <cdr:cNvSpPr txBox="1"/>
      </cdr:nvSpPr>
      <cdr:spPr>
        <a:xfrm xmlns:a="http://schemas.openxmlformats.org/drawingml/2006/main">
          <a:off x="5314522" y="4141132"/>
          <a:ext cx="1029589" cy="40217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Тренд</a:t>
          </a:r>
          <a:r>
            <a:rPr lang="ru-RU" sz="1400">
              <a:latin typeface="Arial" pitchFamily="34" charset="0"/>
              <a:cs typeface="Arial" pitchFamily="34" charset="0"/>
            </a:rPr>
            <a:t> </a:t>
          </a:r>
          <a:r>
            <a:rPr lang="ru-RU" sz="1600">
              <a:latin typeface="Arial" pitchFamily="34" charset="0"/>
              <a:cs typeface="Arial" pitchFamily="34" charset="0"/>
            </a:rPr>
            <a:t>  </a:t>
          </a:r>
        </a:p>
      </cdr:txBody>
    </cdr:sp>
  </cdr:relSizeAnchor>
</c:userShapes>
</file>

<file path=xl/drawings/drawing82.xml><?xml version="1.0" encoding="utf-8"?>
<c:userShapes xmlns:c="http://schemas.openxmlformats.org/drawingml/2006/chart"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0.19818</cdr:x>
      <cdr:y>0.11723</cdr:y>
    </cdr:from>
    <cdr:to>
      <cdr:x>0.9099</cdr:x>
      <cdr:y>0.2823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1698665" y="996786"/>
          <a:ext cx="6100251" cy="14035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РЕГРЕССИЯ КОНЕЧНОГО ПОТРЕБЛЕНИЯ ДХ</a:t>
          </a:r>
        </a:p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ОТ ДОХОДОВ НАСЕЛЕНИЯ</a:t>
          </a:r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ru-RU" sz="2400" b="1">
              <a:latin typeface="Arial" pitchFamily="34" charset="0"/>
              <a:cs typeface="Arial" pitchFamily="34" charset="0"/>
            </a:rPr>
            <a:t> </a:t>
          </a:r>
        </a:p>
        <a:p xmlns:a="http://schemas.openxmlformats.org/drawingml/2006/main">
          <a:r>
            <a:rPr lang="ru-RU" sz="2400" b="1">
              <a:latin typeface="Arial" pitchFamily="34" charset="0"/>
              <a:cs typeface="Arial" pitchFamily="34" charset="0"/>
            </a:rPr>
            <a:t>               </a:t>
          </a:r>
          <a:r>
            <a:rPr lang="en-US" sz="2000" b="1">
              <a:latin typeface="Arial" pitchFamily="34" charset="0"/>
              <a:cs typeface="Arial" pitchFamily="34" charset="0"/>
            </a:rPr>
            <a:t>YD</a:t>
          </a:r>
          <a:r>
            <a:rPr lang="en-US" sz="1800" b="1">
              <a:latin typeface="Arial" pitchFamily="34" charset="0"/>
              <a:cs typeface="Arial" pitchFamily="34" charset="0"/>
            </a:rPr>
            <a:t> </a:t>
          </a:r>
          <a:r>
            <a:rPr lang="en-US" sz="2000" b="1">
              <a:latin typeface="Arial" pitchFamily="34" charset="0"/>
              <a:cs typeface="Arial" pitchFamily="34" charset="0"/>
            </a:rPr>
            <a:t>=</a:t>
          </a:r>
          <a:r>
            <a:rPr lang="ru-RU" sz="2000" b="1">
              <a:latin typeface="Arial" pitchFamily="34" charset="0"/>
              <a:cs typeface="Arial" pitchFamily="34" charset="0"/>
            </a:rPr>
            <a:t>0</a:t>
          </a:r>
          <a:r>
            <a:rPr lang="en-US" sz="2000" b="1">
              <a:latin typeface="Arial" pitchFamily="34" charset="0"/>
              <a:cs typeface="Arial" pitchFamily="34" charset="0"/>
            </a:rPr>
            <a:t>,8336*DH</a:t>
          </a:r>
          <a:r>
            <a:rPr lang="ru-RU" sz="2000" b="1">
              <a:latin typeface="Arial" pitchFamily="34" charset="0"/>
              <a:cs typeface="Arial" pitchFamily="34" charset="0"/>
            </a:rPr>
            <a:t> </a:t>
          </a:r>
          <a:r>
            <a:rPr lang="en-US" sz="2000" b="1">
              <a:latin typeface="Arial" pitchFamily="34" charset="0"/>
              <a:cs typeface="Arial" pitchFamily="34" charset="0"/>
            </a:rPr>
            <a:t>-</a:t>
          </a:r>
          <a:r>
            <a:rPr lang="ru-RU" sz="2000" b="1" baseline="0">
              <a:latin typeface="Arial" pitchFamily="34" charset="0"/>
              <a:cs typeface="Arial" pitchFamily="34" charset="0"/>
            </a:rPr>
            <a:t> </a:t>
          </a:r>
          <a:r>
            <a:rPr lang="en-US" sz="2000" b="1" baseline="0">
              <a:latin typeface="Arial" pitchFamily="34" charset="0"/>
              <a:cs typeface="Arial" pitchFamily="34" charset="0"/>
            </a:rPr>
            <a:t>523,88</a:t>
          </a:r>
          <a:endParaRPr lang="en-US" sz="1800" b="1" baseline="0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en-US" sz="1600" b="0" baseline="0">
              <a:latin typeface="Arial" pitchFamily="34" charset="0"/>
              <a:cs typeface="Arial" pitchFamily="34" charset="0"/>
            </a:rPr>
            <a:t> </a:t>
          </a:r>
          <a:r>
            <a:rPr lang="ru-RU" sz="1600" b="0" baseline="0">
              <a:latin typeface="Arial" pitchFamily="34" charset="0"/>
              <a:cs typeface="Arial" pitchFamily="34" charset="0"/>
            </a:rPr>
            <a:t> </a:t>
          </a:r>
          <a:r>
            <a:rPr lang="en-US" sz="1800" b="1" baseline="0">
              <a:latin typeface="Arial" pitchFamily="34" charset="0"/>
              <a:cs typeface="Arial" pitchFamily="34" charset="0"/>
            </a:rPr>
            <a:t> </a:t>
          </a:r>
          <a:endParaRPr lang="en-US" sz="16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en-US" sz="2000" b="1">
              <a:latin typeface="Arial" pitchFamily="34" charset="0"/>
              <a:cs typeface="Arial" pitchFamily="34" charset="0"/>
            </a:rPr>
            <a:t>                     </a:t>
          </a:r>
          <a:endParaRPr lang="ru-RU" sz="20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0.69767</cdr:x>
      <cdr:y>0.8683</cdr:y>
    </cdr:from>
    <cdr:to>
      <cdr:x>0.9107</cdr:x>
      <cdr:y>0.91359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C62E565B-F758-4D5E-85D4-ACC5727F5068}"/>
            </a:ext>
          </a:extLst>
        </cdr:cNvPr>
        <cdr:cNvSpPr txBox="1"/>
      </cdr:nvSpPr>
      <cdr:spPr>
        <a:xfrm xmlns:a="http://schemas.openxmlformats.org/drawingml/2006/main">
          <a:off x="6202882" y="7676132"/>
          <a:ext cx="1894030" cy="40038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baseline="0">
              <a:latin typeface="Arial" pitchFamily="34" charset="0"/>
              <a:cs typeface="Arial" pitchFamily="34" charset="0"/>
            </a:rPr>
            <a:t>  </a:t>
          </a:r>
          <a:r>
            <a:rPr lang="ru-RU" sz="1800" baseline="0">
              <a:latin typeface="Arial" pitchFamily="34" charset="0"/>
              <a:cs typeface="Arial" pitchFamily="34" charset="0"/>
            </a:rPr>
            <a:t>фактор  </a:t>
          </a:r>
          <a:r>
            <a:rPr lang="ru-RU" sz="1800" b="1" baseline="0">
              <a:latin typeface="Arial" pitchFamily="34" charset="0"/>
              <a:cs typeface="Arial" pitchFamily="34" charset="0"/>
            </a:rPr>
            <a:t>- </a:t>
          </a:r>
          <a:r>
            <a:rPr lang="en-US" sz="1800" b="1" baseline="0">
              <a:latin typeface="Arial" pitchFamily="34" charset="0"/>
              <a:cs typeface="Arial" pitchFamily="34" charset="0"/>
            </a:rPr>
            <a:t> DH</a:t>
          </a:r>
          <a:endParaRPr lang="ru-RU" sz="18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0.11143</cdr:x>
      <cdr:y>0.0509</cdr:y>
    </cdr:from>
    <cdr:to>
      <cdr:x>0.35966</cdr:x>
      <cdr:y>0.10274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C05C57E-6B9F-4CA9-9390-B31B20F966A5}"/>
            </a:ext>
          </a:extLst>
        </cdr:cNvPr>
        <cdr:cNvSpPr txBox="1"/>
      </cdr:nvSpPr>
      <cdr:spPr>
        <a:xfrm xmlns:a="http://schemas.openxmlformats.org/drawingml/2006/main">
          <a:off x="990715" y="449942"/>
          <a:ext cx="2206963" cy="45828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2400">
              <a:latin typeface="Arial" pitchFamily="34" charset="0"/>
              <a:cs typeface="Arial" pitchFamily="34" charset="0"/>
            </a:rPr>
            <a:t> </a:t>
          </a:r>
          <a:r>
            <a:rPr lang="en-US" sz="2000">
              <a:latin typeface="Arial" pitchFamily="34" charset="0"/>
              <a:cs typeface="Arial" pitchFamily="34" charset="0"/>
            </a:rPr>
            <a:t>Y</a:t>
          </a:r>
          <a:r>
            <a:rPr lang="en-US" sz="2000" b="1">
              <a:latin typeface="Arial" pitchFamily="34" charset="0"/>
              <a:cs typeface="Arial" pitchFamily="34" charset="0"/>
            </a:rPr>
            <a:t>D </a:t>
          </a:r>
          <a:r>
            <a:rPr lang="ru-RU" sz="1800" b="1">
              <a:latin typeface="Arial" pitchFamily="34" charset="0"/>
              <a:cs typeface="Arial" pitchFamily="34" charset="0"/>
            </a:rPr>
            <a:t>(млрд руб)</a:t>
          </a:r>
          <a:endParaRPr lang="en-US" sz="1800" b="1">
            <a:latin typeface="Arial" pitchFamily="34" charset="0"/>
            <a:cs typeface="Arial" pitchFamily="34" charset="0"/>
          </a:endParaRPr>
        </a:p>
        <a:p xmlns:a="http://schemas.openxmlformats.org/drawingml/2006/main">
          <a:endParaRPr lang="en-US" sz="2400" b="1">
            <a:latin typeface="Arial" pitchFamily="34" charset="0"/>
            <a:cs typeface="Arial" pitchFamily="34" charset="0"/>
          </a:endParaRPr>
        </a:p>
        <a:p xmlns:a="http://schemas.openxmlformats.org/drawingml/2006/main">
          <a:endParaRPr lang="en-US" sz="24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ru-RU" sz="2400">
              <a:latin typeface="Arial" pitchFamily="34" charset="0"/>
              <a:cs typeface="Arial" pitchFamily="34" charset="0"/>
            </a:rPr>
            <a:t>  </a:t>
          </a:r>
          <a:r>
            <a:rPr lang="ru-RU" sz="1800">
              <a:latin typeface="Arial" pitchFamily="34" charset="0"/>
              <a:cs typeface="Arial" pitchFamily="34" charset="0"/>
            </a:rPr>
            <a:t> </a:t>
          </a:r>
        </a:p>
      </cdr:txBody>
    </cdr:sp>
  </cdr:relSizeAnchor>
  <cdr:relSizeAnchor xmlns:cdr="http://schemas.openxmlformats.org/drawingml/2006/chartDrawing">
    <cdr:from>
      <cdr:x>0.55714</cdr:x>
      <cdr:y>0.50653</cdr:y>
    </cdr:from>
    <cdr:to>
      <cdr:x>0.67506</cdr:x>
      <cdr:y>0.55415</cdr:y>
    </cdr:to>
    <cdr:sp macro="" textlink="">
      <cdr:nvSpPr>
        <cdr:cNvPr id="9" name="TextBox 5">
          <a:extLst xmlns:a="http://schemas.openxmlformats.org/drawingml/2006/main">
            <a:ext uri="{FF2B5EF4-FFF2-40B4-BE49-F238E27FC236}">
              <a16:creationId xmlns:a16="http://schemas.microsoft.com/office/drawing/2014/main" id="{71F1EE7D-ED1E-453C-A8EA-CE26BCBCF352}"/>
            </a:ext>
          </a:extLst>
        </cdr:cNvPr>
        <cdr:cNvSpPr txBox="1"/>
      </cdr:nvSpPr>
      <cdr:spPr>
        <a:xfrm xmlns:a="http://schemas.openxmlformats.org/drawingml/2006/main">
          <a:off x="4953484" y="4477916"/>
          <a:ext cx="1048416" cy="42098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Тренд</a:t>
          </a:r>
          <a:r>
            <a:rPr lang="ru-RU" sz="1400">
              <a:latin typeface="Arial" pitchFamily="34" charset="0"/>
              <a:cs typeface="Arial" pitchFamily="34" charset="0"/>
            </a:rPr>
            <a:t> </a:t>
          </a:r>
          <a:r>
            <a:rPr lang="ru-RU" sz="1600">
              <a:latin typeface="Arial" pitchFamily="34" charset="0"/>
              <a:cs typeface="Arial" pitchFamily="34" charset="0"/>
            </a:rPr>
            <a:t>  </a:t>
          </a:r>
        </a:p>
      </cdr:txBody>
    </cdr:sp>
  </cdr:relSizeAnchor>
</c:userShapes>
</file>

<file path=xl/drawings/drawing83.xml><?xml version="1.0" encoding="utf-8"?>
<c:userShapes xmlns:c="http://schemas.openxmlformats.org/drawingml/2006/chart">
  <cdr:relSizeAnchor xmlns:cdr="http://schemas.openxmlformats.org/drawingml/2006/chartDrawing">
    <cdr:from>
      <cdr:x>0.65645</cdr:x>
      <cdr:y>0.84912</cdr:y>
    </cdr:from>
    <cdr:to>
      <cdr:x>0.84627</cdr:x>
      <cdr:y>0.9057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162299" y="5145882"/>
          <a:ext cx="914400" cy="34289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ru-RU"/>
        </a:p>
      </cdr:txBody>
    </cdr:sp>
  </cdr:relSizeAnchor>
  <cdr:relSizeAnchor xmlns:cdr="http://schemas.openxmlformats.org/drawingml/2006/chartDrawing">
    <cdr:from>
      <cdr:x>0.61104</cdr:x>
      <cdr:y>0.89795</cdr:y>
    </cdr:from>
    <cdr:to>
      <cdr:x>0.95308</cdr:x>
      <cdr:y>0.94471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4461935" y="6698641"/>
          <a:ext cx="2497667" cy="34882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400">
              <a:latin typeface="Arial" pitchFamily="34" charset="0"/>
              <a:cs typeface="Arial" pitchFamily="34" charset="0"/>
            </a:rPr>
            <a:t>фондовооружённость</a:t>
          </a:r>
          <a:r>
            <a:rPr lang="en-US" sz="1400">
              <a:latin typeface="Arial" pitchFamily="34" charset="0"/>
              <a:cs typeface="Arial" pitchFamily="34" charset="0"/>
            </a:rPr>
            <a:t> </a:t>
          </a:r>
          <a:r>
            <a:rPr lang="en-US" sz="1400" b="1">
              <a:latin typeface="Arial" pitchFamily="34" charset="0"/>
              <a:cs typeface="Arial" pitchFamily="34" charset="0"/>
            </a:rPr>
            <a:t>FS / LZ</a:t>
          </a:r>
          <a:endParaRPr lang="ru-RU" sz="14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0.23833</cdr:x>
      <cdr:y>0.86214</cdr:y>
    </cdr:from>
    <cdr:to>
      <cdr:x>0.30687</cdr:x>
      <cdr:y>0.89698</cdr:y>
    </cdr:to>
    <cdr:sp macro="" textlink="">
      <cdr:nvSpPr>
        <cdr:cNvPr id="4" name="TextBox 3"/>
        <cdr:cNvSpPr txBox="1"/>
      </cdr:nvSpPr>
      <cdr:spPr>
        <a:xfrm xmlns:a="http://schemas.openxmlformats.org/drawingml/2006/main">
          <a:off x="1922007" y="7109184"/>
          <a:ext cx="552741" cy="28728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200">
              <a:latin typeface="Arial" panose="020B0604020202020204" pitchFamily="34" charset="0"/>
              <a:cs typeface="Arial" panose="020B0604020202020204" pitchFamily="34" charset="0"/>
            </a:rPr>
            <a:t>1998</a:t>
          </a:r>
          <a:endParaRPr lang="ru-RU" sz="11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0.15064</cdr:x>
      <cdr:y>0.80269</cdr:y>
    </cdr:from>
    <cdr:to>
      <cdr:x>0.20053</cdr:x>
      <cdr:y>0.83176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1430660" y="7011631"/>
          <a:ext cx="473887" cy="25401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200">
              <a:latin typeface="Arial" panose="020B0604020202020204" pitchFamily="34" charset="0"/>
              <a:cs typeface="Arial" panose="020B0604020202020204" pitchFamily="34" charset="0"/>
            </a:rPr>
            <a:t>2000</a:t>
          </a:r>
        </a:p>
      </cdr:txBody>
    </cdr:sp>
  </cdr:relSizeAnchor>
  <cdr:relSizeAnchor xmlns:cdr="http://schemas.openxmlformats.org/drawingml/2006/chartDrawing">
    <cdr:from>
      <cdr:x>0.15719</cdr:x>
      <cdr:y>0.72495</cdr:y>
    </cdr:from>
    <cdr:to>
      <cdr:x>0.34701</cdr:x>
      <cdr:y>0.87583</cdr:y>
    </cdr:to>
    <cdr:sp macro="" textlink="">
      <cdr:nvSpPr>
        <cdr:cNvPr id="6" name="TextBox 5"/>
        <cdr:cNvSpPr txBox="1"/>
      </cdr:nvSpPr>
      <cdr:spPr>
        <a:xfrm xmlns:a="http://schemas.openxmlformats.org/drawingml/2006/main">
          <a:off x="757236" y="43934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ru-RU"/>
        </a:p>
      </cdr:txBody>
    </cdr:sp>
  </cdr:relSizeAnchor>
  <cdr:relSizeAnchor xmlns:cdr="http://schemas.openxmlformats.org/drawingml/2006/chartDrawing">
    <cdr:from>
      <cdr:x>0.16529</cdr:x>
      <cdr:y>0.60583</cdr:y>
    </cdr:from>
    <cdr:to>
      <cdr:x>0.22637</cdr:x>
      <cdr:y>0.63885</cdr:y>
    </cdr:to>
    <cdr:sp macro="" textlink="">
      <cdr:nvSpPr>
        <cdr:cNvPr id="7" name="TextBox 6"/>
        <cdr:cNvSpPr txBox="1"/>
      </cdr:nvSpPr>
      <cdr:spPr>
        <a:xfrm xmlns:a="http://schemas.openxmlformats.org/drawingml/2006/main">
          <a:off x="1569831" y="5292094"/>
          <a:ext cx="580097" cy="2884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200">
              <a:latin typeface="Arial" panose="020B0604020202020204" pitchFamily="34" charset="0"/>
              <a:cs typeface="Arial" panose="020B0604020202020204" pitchFamily="34" charset="0"/>
            </a:rPr>
            <a:t>2004</a:t>
          </a:r>
        </a:p>
      </cdr:txBody>
    </cdr:sp>
  </cdr:relSizeAnchor>
  <cdr:relSizeAnchor xmlns:cdr="http://schemas.openxmlformats.org/drawingml/2006/chartDrawing">
    <cdr:from>
      <cdr:x>0.18262</cdr:x>
      <cdr:y>0.47573</cdr:y>
    </cdr:from>
    <cdr:to>
      <cdr:x>0.24571</cdr:x>
      <cdr:y>0.51322</cdr:y>
    </cdr:to>
    <cdr:sp macro="" textlink="">
      <cdr:nvSpPr>
        <cdr:cNvPr id="8" name="TextBox 7"/>
        <cdr:cNvSpPr txBox="1"/>
      </cdr:nvSpPr>
      <cdr:spPr>
        <a:xfrm xmlns:a="http://schemas.openxmlformats.org/drawingml/2006/main">
          <a:off x="1734376" y="4155567"/>
          <a:ext cx="599187" cy="32748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200">
              <a:latin typeface="Arial" panose="020B0604020202020204" pitchFamily="34" charset="0"/>
              <a:cs typeface="Arial" panose="020B0604020202020204" pitchFamily="34" charset="0"/>
            </a:rPr>
            <a:t>2006</a:t>
          </a:r>
        </a:p>
      </cdr:txBody>
    </cdr:sp>
  </cdr:relSizeAnchor>
  <cdr:relSizeAnchor xmlns:cdr="http://schemas.openxmlformats.org/drawingml/2006/chartDrawing">
    <cdr:from>
      <cdr:x>0.47108</cdr:x>
      <cdr:y>0.28487</cdr:y>
    </cdr:from>
    <cdr:to>
      <cdr:x>0.6609</cdr:x>
      <cdr:y>0.43576</cdr:y>
    </cdr:to>
    <cdr:sp macro="" textlink="">
      <cdr:nvSpPr>
        <cdr:cNvPr id="9" name="TextBox 8"/>
        <cdr:cNvSpPr txBox="1"/>
      </cdr:nvSpPr>
      <cdr:spPr>
        <a:xfrm xmlns:a="http://schemas.openxmlformats.org/drawingml/2006/main">
          <a:off x="2269331" y="17264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ru-RU"/>
        </a:p>
      </cdr:txBody>
    </cdr:sp>
  </cdr:relSizeAnchor>
  <cdr:relSizeAnchor xmlns:cdr="http://schemas.openxmlformats.org/drawingml/2006/chartDrawing">
    <cdr:from>
      <cdr:x>0.25057</cdr:x>
      <cdr:y>0.44325</cdr:y>
    </cdr:from>
    <cdr:to>
      <cdr:x>0.30083</cdr:x>
      <cdr:y>0.47193</cdr:y>
    </cdr:to>
    <cdr:sp macro="" textlink="">
      <cdr:nvSpPr>
        <cdr:cNvPr id="10" name="TextBox 9"/>
        <cdr:cNvSpPr txBox="1"/>
      </cdr:nvSpPr>
      <cdr:spPr>
        <a:xfrm xmlns:a="http://schemas.openxmlformats.org/drawingml/2006/main">
          <a:off x="2379710" y="3871874"/>
          <a:ext cx="477338" cy="2505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200">
              <a:latin typeface="Arial" panose="020B0604020202020204" pitchFamily="34" charset="0"/>
              <a:cs typeface="Arial" panose="020B0604020202020204" pitchFamily="34" charset="0"/>
            </a:rPr>
            <a:t>20</a:t>
          </a:r>
          <a:r>
            <a:rPr lang="en-US" sz="1200">
              <a:latin typeface="Arial" panose="020B0604020202020204" pitchFamily="34" charset="0"/>
              <a:cs typeface="Arial" panose="020B0604020202020204" pitchFamily="34" charset="0"/>
            </a:rPr>
            <a:t>09</a:t>
          </a:r>
          <a:endParaRPr lang="ru-RU" sz="12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0.30091</cdr:x>
      <cdr:y>0.26498</cdr:y>
    </cdr:from>
    <cdr:to>
      <cdr:x>0.35295</cdr:x>
      <cdr:y>0.29297</cdr:y>
    </cdr:to>
    <cdr:sp macro="" textlink="">
      <cdr:nvSpPr>
        <cdr:cNvPr id="11" name="TextBox 10"/>
        <cdr:cNvSpPr txBox="1"/>
      </cdr:nvSpPr>
      <cdr:spPr>
        <a:xfrm xmlns:a="http://schemas.openxmlformats.org/drawingml/2006/main">
          <a:off x="2426693" y="2184993"/>
          <a:ext cx="419676" cy="23080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200">
              <a:latin typeface="Arial" panose="020B0604020202020204" pitchFamily="34" charset="0"/>
              <a:cs typeface="Arial" panose="020B0604020202020204" pitchFamily="34" charset="0"/>
            </a:rPr>
            <a:t>2012</a:t>
          </a:r>
        </a:p>
        <a:p xmlns:a="http://schemas.openxmlformats.org/drawingml/2006/main">
          <a:endParaRPr lang="ru-RU" sz="1100"/>
        </a:p>
      </cdr:txBody>
    </cdr:sp>
  </cdr:relSizeAnchor>
  <cdr:relSizeAnchor xmlns:cdr="http://schemas.openxmlformats.org/drawingml/2006/chartDrawing">
    <cdr:from>
      <cdr:x>0.36203</cdr:x>
      <cdr:y>0.24633</cdr:y>
    </cdr:from>
    <cdr:to>
      <cdr:x>0.43414</cdr:x>
      <cdr:y>0.2881</cdr:y>
    </cdr:to>
    <cdr:sp macro="" textlink="">
      <cdr:nvSpPr>
        <cdr:cNvPr id="12" name="TextBox 11"/>
        <cdr:cNvSpPr txBox="1"/>
      </cdr:nvSpPr>
      <cdr:spPr>
        <a:xfrm xmlns:a="http://schemas.openxmlformats.org/drawingml/2006/main">
          <a:off x="3438350" y="2151754"/>
          <a:ext cx="684853" cy="36487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200">
              <a:latin typeface="Arial" panose="020B0604020202020204" pitchFamily="34" charset="0"/>
              <a:cs typeface="Arial" panose="020B0604020202020204" pitchFamily="34" charset="0"/>
            </a:rPr>
            <a:t>2013</a:t>
          </a:r>
          <a:endParaRPr lang="ru-RU" sz="12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0.75004</cdr:x>
      <cdr:y>0.18138</cdr:y>
    </cdr:from>
    <cdr:to>
      <cdr:x>0.84856</cdr:x>
      <cdr:y>0.21156</cdr:y>
    </cdr:to>
    <cdr:sp macro="" textlink="">
      <cdr:nvSpPr>
        <cdr:cNvPr id="13" name="TextBox 12"/>
        <cdr:cNvSpPr txBox="1"/>
      </cdr:nvSpPr>
      <cdr:spPr>
        <a:xfrm xmlns:a="http://schemas.openxmlformats.org/drawingml/2006/main">
          <a:off x="6967216" y="1493115"/>
          <a:ext cx="915166" cy="2484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200">
              <a:latin typeface="Arial" panose="020B0604020202020204" pitchFamily="34" charset="0"/>
              <a:cs typeface="Arial" panose="020B0604020202020204" pitchFamily="34" charset="0"/>
            </a:rPr>
            <a:t>ТРЕНД 2</a:t>
          </a:r>
        </a:p>
      </cdr:txBody>
    </cdr:sp>
  </cdr:relSizeAnchor>
  <cdr:relSizeAnchor xmlns:cdr="http://schemas.openxmlformats.org/drawingml/2006/chartDrawing">
    <cdr:from>
      <cdr:x>0.42226</cdr:x>
      <cdr:y>0.23097</cdr:y>
    </cdr:from>
    <cdr:to>
      <cdr:x>0.49472</cdr:x>
      <cdr:y>0.27084</cdr:y>
    </cdr:to>
    <cdr:sp macro="" textlink="">
      <cdr:nvSpPr>
        <cdr:cNvPr id="14" name="TextBox 13"/>
        <cdr:cNvSpPr txBox="1"/>
      </cdr:nvSpPr>
      <cdr:spPr>
        <a:xfrm xmlns:a="http://schemas.openxmlformats.org/drawingml/2006/main">
          <a:off x="4010339" y="2017534"/>
          <a:ext cx="688176" cy="3482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200">
              <a:latin typeface="Arial" panose="020B0604020202020204" pitchFamily="34" charset="0"/>
              <a:cs typeface="Arial" panose="020B0604020202020204" pitchFamily="34" charset="0"/>
            </a:rPr>
            <a:t>2014</a:t>
          </a:r>
          <a:endParaRPr lang="ru-RU" sz="12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0.53286</cdr:x>
      <cdr:y>0.2539</cdr:y>
    </cdr:from>
    <cdr:to>
      <cdr:x>0.58699</cdr:x>
      <cdr:y>0.28508</cdr:y>
    </cdr:to>
    <cdr:sp macro="" textlink="">
      <cdr:nvSpPr>
        <cdr:cNvPr id="15" name="TextBox 14"/>
        <cdr:cNvSpPr txBox="1"/>
      </cdr:nvSpPr>
      <cdr:spPr>
        <a:xfrm xmlns:a="http://schemas.openxmlformats.org/drawingml/2006/main">
          <a:off x="4329853" y="2090010"/>
          <a:ext cx="439846" cy="25666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200">
              <a:latin typeface="Arial" panose="020B0604020202020204" pitchFamily="34" charset="0"/>
              <a:cs typeface="Arial" panose="020B0604020202020204" pitchFamily="34" charset="0"/>
            </a:rPr>
            <a:t>2018</a:t>
          </a:r>
          <a:endParaRPr lang="ru-RU" sz="12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</c:userShapes>
</file>

<file path=xl/drawings/drawing84.xml><?xml version="1.0" encoding="utf-8"?>
<c:userShapes xmlns:c="http://schemas.openxmlformats.org/drawingml/2006/chart"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0.28716</cdr:x>
      <cdr:y>0.14971</cdr:y>
    </cdr:from>
    <cdr:to>
      <cdr:x>0.7671</cdr:x>
      <cdr:y>0.28007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2466234" y="1264401"/>
          <a:ext cx="4121905" cy="110095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СРАВНЕНИЕ</a:t>
          </a:r>
        </a:p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БАЗИСНЫХ ДЕФЛЯТОРОВ </a:t>
          </a:r>
        </a:p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ВЫПУСКА в </a:t>
          </a:r>
          <a:r>
            <a:rPr lang="en-US" sz="2000" b="1">
              <a:latin typeface="Arial" pitchFamily="34" charset="0"/>
              <a:cs typeface="Arial" pitchFamily="34" charset="0"/>
            </a:rPr>
            <a:t>O</a:t>
          </a:r>
          <a:r>
            <a:rPr lang="ru-RU" sz="2000" b="1">
              <a:latin typeface="Arial" pitchFamily="34" charset="0"/>
              <a:cs typeface="Arial" pitchFamily="34" charset="0"/>
            </a:rPr>
            <a:t>Ц  и ИМПОРТА</a:t>
          </a:r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</a:t>
          </a:r>
          <a:endParaRPr lang="en-US" sz="16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en-US" sz="2000" b="1">
              <a:latin typeface="Arial" pitchFamily="34" charset="0"/>
              <a:cs typeface="Arial" pitchFamily="34" charset="0"/>
            </a:rPr>
            <a:t>                     </a:t>
          </a:r>
          <a:endParaRPr lang="ru-RU" sz="20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0.56951</cdr:x>
      <cdr:y>0.55199</cdr:y>
    </cdr:from>
    <cdr:to>
      <cdr:x>0.66359</cdr:x>
      <cdr:y>0.59728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C62E565B-F758-4D5E-85D4-ACC5727F5068}"/>
            </a:ext>
          </a:extLst>
        </cdr:cNvPr>
        <cdr:cNvSpPr txBox="1"/>
      </cdr:nvSpPr>
      <cdr:spPr>
        <a:xfrm xmlns:a="http://schemas.openxmlformats.org/drawingml/2006/main">
          <a:off x="4891134" y="4661813"/>
          <a:ext cx="807994" cy="38249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2000" b="1" baseline="0">
              <a:latin typeface="Arial" pitchFamily="34" charset="0"/>
              <a:cs typeface="Arial" pitchFamily="34" charset="0"/>
            </a:rPr>
            <a:t>  IPC</a:t>
          </a:r>
          <a:endParaRPr lang="ru-RU" sz="20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0.08033</cdr:x>
      <cdr:y>0.04648</cdr:y>
    </cdr:from>
    <cdr:to>
      <cdr:x>0.25323</cdr:x>
      <cdr:y>0.10223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C05C57E-6B9F-4CA9-9390-B31B20F966A5}"/>
            </a:ext>
          </a:extLst>
        </cdr:cNvPr>
        <cdr:cNvSpPr txBox="1"/>
      </cdr:nvSpPr>
      <cdr:spPr>
        <a:xfrm xmlns:a="http://schemas.openxmlformats.org/drawingml/2006/main">
          <a:off x="689886" y="392562"/>
          <a:ext cx="1484990" cy="4708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2400">
              <a:latin typeface="Arial" pitchFamily="34" charset="0"/>
              <a:cs typeface="Arial" pitchFamily="34" charset="0"/>
            </a:rPr>
            <a:t> </a:t>
          </a:r>
          <a:r>
            <a:rPr lang="en-US" sz="2000" b="1">
              <a:latin typeface="Arial" pitchFamily="34" charset="0"/>
              <a:cs typeface="Arial" pitchFamily="34" charset="0"/>
            </a:rPr>
            <a:t>D</a:t>
          </a:r>
          <a:r>
            <a:rPr lang="ru-RU" sz="2000" b="1">
              <a:latin typeface="Arial" pitchFamily="34" charset="0"/>
              <a:cs typeface="Arial" pitchFamily="34" charset="0"/>
            </a:rPr>
            <a:t>О</a:t>
          </a:r>
          <a:r>
            <a:rPr lang="en-US" sz="2000" b="1">
              <a:latin typeface="Arial" pitchFamily="34" charset="0"/>
              <a:cs typeface="Arial" pitchFamily="34" charset="0"/>
            </a:rPr>
            <a:t>x</a:t>
          </a:r>
          <a:r>
            <a:rPr lang="ru-RU" sz="2400">
              <a:latin typeface="Arial" pitchFamily="34" charset="0"/>
              <a:cs typeface="Arial" pitchFamily="34" charset="0"/>
            </a:rPr>
            <a:t>  </a:t>
          </a:r>
          <a:r>
            <a:rPr lang="en-US" sz="2000" b="1">
              <a:latin typeface="Arial" pitchFamily="34" charset="0"/>
              <a:cs typeface="Arial" pitchFamily="34" charset="0"/>
            </a:rPr>
            <a:t>Dm</a:t>
          </a:r>
          <a:r>
            <a:rPr lang="ru-RU" sz="1800">
              <a:latin typeface="Arial" pitchFamily="34" charset="0"/>
              <a:cs typeface="Arial" pitchFamily="34" charset="0"/>
            </a:rPr>
            <a:t> </a:t>
          </a:r>
        </a:p>
      </cdr:txBody>
    </cdr:sp>
  </cdr:relSizeAnchor>
  <cdr:relSizeAnchor xmlns:cdr="http://schemas.openxmlformats.org/drawingml/2006/chartDrawing">
    <cdr:from>
      <cdr:x>0.57152</cdr:x>
      <cdr:y>0.42831</cdr:y>
    </cdr:from>
    <cdr:to>
      <cdr:x>0.65434</cdr:x>
      <cdr:y>0.48309</cdr:y>
    </cdr:to>
    <cdr:sp macro="" textlink="">
      <cdr:nvSpPr>
        <cdr:cNvPr id="9" name="TextBox 5">
          <a:extLst xmlns:a="http://schemas.openxmlformats.org/drawingml/2006/main">
            <a:ext uri="{FF2B5EF4-FFF2-40B4-BE49-F238E27FC236}">
              <a16:creationId xmlns:a16="http://schemas.microsoft.com/office/drawing/2014/main" id="{71F1EE7D-ED1E-453C-A8EA-CE26BCBCF352}"/>
            </a:ext>
          </a:extLst>
        </cdr:cNvPr>
        <cdr:cNvSpPr txBox="1"/>
      </cdr:nvSpPr>
      <cdr:spPr>
        <a:xfrm xmlns:a="http://schemas.openxmlformats.org/drawingml/2006/main">
          <a:off x="4908423" y="3617261"/>
          <a:ext cx="711289" cy="46264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2000" b="1">
              <a:latin typeface="Arial" pitchFamily="34" charset="0"/>
              <a:cs typeface="Arial" pitchFamily="34" charset="0"/>
            </a:rPr>
            <a:t>DOx</a:t>
          </a:r>
          <a:r>
            <a:rPr lang="ru-RU" sz="2000" b="1">
              <a:latin typeface="Arial" pitchFamily="34" charset="0"/>
              <a:cs typeface="Arial" pitchFamily="34" charset="0"/>
            </a:rPr>
            <a:t> </a:t>
          </a:r>
          <a:r>
            <a:rPr lang="ru-RU" sz="1600">
              <a:latin typeface="Arial" pitchFamily="34" charset="0"/>
              <a:cs typeface="Arial" pitchFamily="34" charset="0"/>
            </a:rPr>
            <a:t> </a:t>
          </a:r>
        </a:p>
      </cdr:txBody>
    </cdr:sp>
  </cdr:relSizeAnchor>
</c:userShapes>
</file>

<file path=xl/drawings/drawing85.xml><?xml version="1.0" encoding="utf-8"?>
<c:userShapes xmlns:c="http://schemas.openxmlformats.org/drawingml/2006/chart"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0.17908</cdr:x>
      <cdr:y>0.13239</cdr:y>
    </cdr:from>
    <cdr:to>
      <cdr:x>0.92862</cdr:x>
      <cdr:y>0.22124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1502959" y="1163637"/>
          <a:ext cx="6290804" cy="78097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algn="ctr"/>
          <a:r>
            <a:rPr lang="ru-RU" sz="2000" b="1">
              <a:latin typeface="Arial" pitchFamily="34" charset="0"/>
              <a:cs typeface="Arial" pitchFamily="34" charset="0"/>
            </a:rPr>
            <a:t> ДИНАМИКА И ПРОГНОЗ</a:t>
          </a:r>
          <a:r>
            <a:rPr lang="en-US" sz="2000" b="1">
              <a:latin typeface="Arial" pitchFamily="34" charset="0"/>
              <a:cs typeface="Arial" pitchFamily="34" charset="0"/>
            </a:rPr>
            <a:t> </a:t>
          </a:r>
          <a:r>
            <a:rPr lang="ru-RU" sz="2000" b="1">
              <a:latin typeface="Arial" pitchFamily="34" charset="0"/>
              <a:cs typeface="Arial" pitchFamily="34" charset="0"/>
            </a:rPr>
            <a:t>ДОЛИ</a:t>
          </a:r>
          <a:endParaRPr lang="ru-RU" sz="2000" b="1" baseline="0">
            <a:latin typeface="Arial" pitchFamily="34" charset="0"/>
            <a:cs typeface="Arial" pitchFamily="34" charset="0"/>
          </a:endParaRPr>
        </a:p>
        <a:p xmlns:a="http://schemas.openxmlformats.org/drawingml/2006/main">
          <a:pPr algn="ctr"/>
          <a:r>
            <a:rPr lang="ru-RU" sz="2000" b="1">
              <a:latin typeface="Arial" pitchFamily="34" charset="0"/>
              <a:cs typeface="Arial" pitchFamily="34" charset="0"/>
            </a:rPr>
            <a:t> МОДИФИЦИРОВАННОГО ЭКСПОРТА</a:t>
          </a:r>
        </a:p>
        <a:p xmlns:a="http://schemas.openxmlformats.org/drawingml/2006/main">
          <a:pPr algn="ctr"/>
          <a:r>
            <a:rPr lang="ru-RU" sz="2000" b="1">
              <a:latin typeface="Arial" pitchFamily="34" charset="0"/>
              <a:cs typeface="Arial" pitchFamily="34" charset="0"/>
            </a:rPr>
            <a:t> </a:t>
          </a:r>
        </a:p>
      </cdr:txBody>
    </cdr:sp>
  </cdr:relSizeAnchor>
  <cdr:relSizeAnchor xmlns:cdr="http://schemas.openxmlformats.org/drawingml/2006/chartDrawing">
    <cdr:from>
      <cdr:x>0.67517</cdr:x>
      <cdr:y>0.86176</cdr:y>
    </cdr:from>
    <cdr:to>
      <cdr:x>0.96282</cdr:x>
      <cdr:y>0.90249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C62E565B-F758-4D5E-85D4-ACC5727F5068}"/>
            </a:ext>
          </a:extLst>
        </cdr:cNvPr>
        <cdr:cNvSpPr txBox="1"/>
      </cdr:nvSpPr>
      <cdr:spPr>
        <a:xfrm xmlns:a="http://schemas.openxmlformats.org/drawingml/2006/main">
          <a:off x="5477054" y="7351834"/>
          <a:ext cx="2333446" cy="34754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baseline="0">
              <a:latin typeface="Arial" pitchFamily="34" charset="0"/>
              <a:cs typeface="Arial" pitchFamily="34" charset="0"/>
            </a:rPr>
            <a:t>  </a:t>
          </a:r>
          <a:r>
            <a:rPr lang="ru-RU" sz="1800" baseline="0">
              <a:latin typeface="Arial" pitchFamily="34" charset="0"/>
              <a:cs typeface="Arial" pitchFamily="34" charset="0"/>
            </a:rPr>
            <a:t>фактор  </a:t>
          </a:r>
          <a:r>
            <a:rPr lang="ru-RU" sz="1800" b="1" baseline="0">
              <a:latin typeface="Arial" pitchFamily="34" charset="0"/>
              <a:cs typeface="Arial" pitchFamily="34" charset="0"/>
            </a:rPr>
            <a:t>- Время</a:t>
          </a:r>
          <a:endParaRPr lang="ru-RU" sz="18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0.09594</cdr:x>
      <cdr:y>0.04286</cdr:y>
    </cdr:from>
    <cdr:to>
      <cdr:x>0.23238</cdr:x>
      <cdr:y>0.10479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C05C57E-6B9F-4CA9-9390-B31B20F966A5}"/>
            </a:ext>
          </a:extLst>
        </cdr:cNvPr>
        <cdr:cNvSpPr txBox="1"/>
      </cdr:nvSpPr>
      <cdr:spPr>
        <a:xfrm xmlns:a="http://schemas.openxmlformats.org/drawingml/2006/main">
          <a:off x="805173" y="376729"/>
          <a:ext cx="1145184" cy="5443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2400" b="0">
              <a:latin typeface="Arial" pitchFamily="34" charset="0"/>
              <a:cs typeface="Arial" pitchFamily="34" charset="0"/>
            </a:rPr>
            <a:t>qEXM</a:t>
          </a:r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0.38802</cdr:x>
      <cdr:y>0.27349</cdr:y>
    </cdr:from>
    <cdr:to>
      <cdr:x>0.72849</cdr:x>
      <cdr:y>0.34161</cdr:y>
    </cdr:to>
    <cdr:sp macro="" textlink="">
      <cdr:nvSpPr>
        <cdr:cNvPr id="6" name="TextBox 5"/>
        <cdr:cNvSpPr txBox="1"/>
      </cdr:nvSpPr>
      <cdr:spPr>
        <a:xfrm xmlns:a="http://schemas.openxmlformats.org/drawingml/2006/main">
          <a:off x="3256641" y="2403929"/>
          <a:ext cx="2857501" cy="5987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/>
        <a:p xmlns:a="http://schemas.openxmlformats.org/drawingml/2006/main">
          <a:r>
            <a:rPr lang="en-US" sz="2000">
              <a:latin typeface="Arial" pitchFamily="34" charset="0"/>
              <a:cs typeface="Arial" pitchFamily="34" charset="0"/>
            </a:rPr>
            <a:t>qEXMS</a:t>
          </a:r>
          <a:r>
            <a:rPr lang="en-US" sz="2000" baseline="0">
              <a:latin typeface="Arial" pitchFamily="34" charset="0"/>
              <a:cs typeface="Arial" pitchFamily="34" charset="0"/>
            </a:rPr>
            <a:t> = EXMS / XOS</a:t>
          </a:r>
          <a:endParaRPr lang="ru-RU" sz="2000">
            <a:latin typeface="Arial" pitchFamily="34" charset="0"/>
            <a:cs typeface="Arial" pitchFamily="34" charset="0"/>
          </a:endParaRPr>
        </a:p>
      </cdr:txBody>
    </cdr:sp>
  </cdr:relSizeAnchor>
</c:userShapes>
</file>

<file path=xl/drawings/drawing86.xml><?xml version="1.0" encoding="utf-8"?>
<c:userShapes xmlns:c="http://schemas.openxmlformats.org/drawingml/2006/chart">
  <cdr:relSizeAnchor xmlns:cdr="http://schemas.openxmlformats.org/drawingml/2006/chartDrawing">
    <cdr:from>
      <cdr:x>0.08002</cdr:x>
      <cdr:y>0.03148</cdr:y>
    </cdr:from>
    <cdr:to>
      <cdr:x>0.16463</cdr:x>
      <cdr:y>0.09005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675175" y="287353"/>
          <a:ext cx="713888" cy="5346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</a:t>
          </a:r>
        </a:p>
      </cdr:txBody>
    </cdr:sp>
  </cdr:relSizeAnchor>
  <cdr:relSizeAnchor xmlns:cdr="http://schemas.openxmlformats.org/drawingml/2006/chartDrawing">
    <cdr:from>
      <cdr:x>0.24753</cdr:x>
      <cdr:y>0.04849</cdr:y>
    </cdr:from>
    <cdr:to>
      <cdr:x>0.90118</cdr:x>
      <cdr:y>0.22042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2226936" y="464466"/>
          <a:ext cx="5880656" cy="16469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ФАЗОВЫЙ</a:t>
          </a:r>
          <a:r>
            <a:rPr lang="ru-RU" sz="2000" b="1" baseline="0">
              <a:latin typeface="Arial" pitchFamily="34" charset="0"/>
              <a:cs typeface="Arial" pitchFamily="34" charset="0"/>
            </a:rPr>
            <a:t> ПОРТРЕТ БАЗИСНЫХ ТЕМПОВ </a:t>
          </a:r>
        </a:p>
        <a:p xmlns:a="http://schemas.openxmlformats.org/drawingml/2006/main">
          <a:r>
            <a:rPr lang="ru-RU" sz="2000" b="1" baseline="0">
              <a:latin typeface="Arial" pitchFamily="34" charset="0"/>
              <a:cs typeface="Arial" pitchFamily="34" charset="0"/>
            </a:rPr>
            <a:t> ИН</a:t>
          </a:r>
          <a:r>
            <a:rPr lang="ru-RU" sz="2000" b="1">
              <a:latin typeface="Arial" pitchFamily="34" charset="0"/>
              <a:cs typeface="Arial" pitchFamily="34" charset="0"/>
            </a:rPr>
            <a:t>ВЕСТИЦИЙ</a:t>
          </a:r>
          <a:r>
            <a:rPr lang="en-US" sz="2000" b="1">
              <a:latin typeface="Arial" pitchFamily="34" charset="0"/>
              <a:cs typeface="Arial" pitchFamily="34" charset="0"/>
            </a:rPr>
            <a:t> </a:t>
          </a:r>
          <a:r>
            <a:rPr lang="ru-RU" sz="2000" b="1">
              <a:latin typeface="Arial" pitchFamily="34" charset="0"/>
              <a:cs typeface="Arial" pitchFamily="34" charset="0"/>
            </a:rPr>
            <a:t> В ОК</a:t>
          </a:r>
          <a:r>
            <a:rPr lang="en-US" sz="2000" b="1">
              <a:latin typeface="Arial" pitchFamily="34" charset="0"/>
              <a:cs typeface="Arial" pitchFamily="34" charset="0"/>
            </a:rPr>
            <a:t> </a:t>
          </a:r>
          <a:r>
            <a:rPr lang="ru-RU" sz="2000" b="1">
              <a:latin typeface="Arial" pitchFamily="34" charset="0"/>
              <a:cs typeface="Arial" pitchFamily="34" charset="0"/>
            </a:rPr>
            <a:t> от</a:t>
          </a:r>
          <a:r>
            <a:rPr lang="en-US" sz="2000" b="1">
              <a:latin typeface="Arial" pitchFamily="34" charset="0"/>
              <a:cs typeface="Arial" pitchFamily="34" charset="0"/>
            </a:rPr>
            <a:t> </a:t>
          </a:r>
          <a:r>
            <a:rPr lang="ru-RU" sz="2000" b="1">
              <a:latin typeface="Arial" pitchFamily="34" charset="0"/>
              <a:cs typeface="Arial" pitchFamily="34" charset="0"/>
            </a:rPr>
            <a:t>СВЁРТКИ</a:t>
          </a:r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en-US" sz="2000" b="1">
              <a:latin typeface="Arial" pitchFamily="34" charset="0"/>
              <a:cs typeface="Arial" pitchFamily="34" charset="0"/>
            </a:rPr>
            <a:t> </a:t>
          </a:r>
          <a:r>
            <a:rPr lang="ru-RU" sz="2000" b="1">
              <a:latin typeface="Arial" pitchFamily="34" charset="0"/>
              <a:cs typeface="Arial" pitchFamily="34" charset="0"/>
            </a:rPr>
            <a:t>БАЗИСНОГО ТЕМПА ВВП</a:t>
          </a:r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en-US" sz="2000" b="1">
              <a:latin typeface="Arial" pitchFamily="34" charset="0"/>
              <a:cs typeface="Arial" pitchFamily="34" charset="0"/>
            </a:rPr>
            <a:t> </a:t>
          </a:r>
          <a:r>
            <a:rPr lang="ru-RU" sz="2000" b="1">
              <a:latin typeface="Arial" pitchFamily="34" charset="0"/>
              <a:cs typeface="Arial" pitchFamily="34" charset="0"/>
            </a:rPr>
            <a:t>  </a:t>
          </a:r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en-US" sz="2000" b="1">
              <a:latin typeface="Arial" pitchFamily="34" charset="0"/>
              <a:cs typeface="Arial" pitchFamily="34" charset="0"/>
            </a:rPr>
            <a:t>  FAt = 0,</a:t>
          </a:r>
          <a:r>
            <a:rPr lang="ru-RU" sz="2000" b="1">
              <a:latin typeface="Arial" pitchFamily="34" charset="0"/>
              <a:cs typeface="Arial" pitchFamily="34" charset="0"/>
            </a:rPr>
            <a:t>4</a:t>
          </a:r>
          <a:r>
            <a:rPr lang="en-US" sz="2000" b="1">
              <a:latin typeface="Arial" pitchFamily="34" charset="0"/>
              <a:cs typeface="Arial" pitchFamily="34" charset="0"/>
            </a:rPr>
            <a:t>*Pwt</a:t>
          </a:r>
          <a:r>
            <a:rPr lang="en-US" sz="2000" b="1" baseline="0">
              <a:latin typeface="Arial" pitchFamily="34" charset="0"/>
              <a:cs typeface="Arial" pitchFamily="34" charset="0"/>
            </a:rPr>
            <a:t> +0,5*Pwt-1 +0,</a:t>
          </a:r>
          <a:r>
            <a:rPr lang="ru-RU" sz="2000" b="1" baseline="0">
              <a:latin typeface="Arial" pitchFamily="34" charset="0"/>
              <a:cs typeface="Arial" pitchFamily="34" charset="0"/>
            </a:rPr>
            <a:t>1</a:t>
          </a:r>
          <a:r>
            <a:rPr lang="en-US" sz="2000" b="1" baseline="0">
              <a:latin typeface="Arial" pitchFamily="34" charset="0"/>
              <a:cs typeface="Arial" pitchFamily="34" charset="0"/>
            </a:rPr>
            <a:t>*Pwt-2</a:t>
          </a:r>
          <a:r>
            <a:rPr lang="en-US" sz="2000" b="1">
              <a:latin typeface="Arial" pitchFamily="34" charset="0"/>
              <a:cs typeface="Arial" pitchFamily="34" charset="0"/>
            </a:rPr>
            <a:t>  </a:t>
          </a:r>
          <a:endParaRPr lang="ru-RU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 </a:t>
          </a:r>
        </a:p>
      </cdr:txBody>
    </cdr:sp>
  </cdr:relSizeAnchor>
  <cdr:relSizeAnchor xmlns:cdr="http://schemas.openxmlformats.org/drawingml/2006/chartDrawing">
    <cdr:from>
      <cdr:x>0.72372</cdr:x>
      <cdr:y>0.87966</cdr:y>
    </cdr:from>
    <cdr:to>
      <cdr:x>0.93791</cdr:x>
      <cdr:y>0.92329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C62E565B-F758-4D5E-85D4-ACC5727F5068}"/>
            </a:ext>
          </a:extLst>
        </cdr:cNvPr>
        <cdr:cNvSpPr txBox="1"/>
      </cdr:nvSpPr>
      <cdr:spPr>
        <a:xfrm xmlns:a="http://schemas.openxmlformats.org/drawingml/2006/main">
          <a:off x="6106402" y="8029665"/>
          <a:ext cx="1807285" cy="3982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2000" baseline="0">
              <a:latin typeface="Arial" pitchFamily="34" charset="0"/>
              <a:cs typeface="Arial" pitchFamily="34" charset="0"/>
            </a:rPr>
            <a:t>  </a:t>
          </a:r>
          <a:r>
            <a:rPr lang="ru-RU" sz="2000" baseline="0">
              <a:latin typeface="Arial" pitchFamily="34" charset="0"/>
              <a:cs typeface="Arial" pitchFamily="34" charset="0"/>
            </a:rPr>
            <a:t>фактор  </a:t>
          </a:r>
          <a:r>
            <a:rPr lang="ru-RU" sz="2000" b="1" baseline="0">
              <a:latin typeface="Arial" pitchFamily="34" charset="0"/>
              <a:cs typeface="Arial" pitchFamily="34" charset="0"/>
            </a:rPr>
            <a:t>- </a:t>
          </a:r>
          <a:r>
            <a:rPr lang="en-US" sz="2000" b="1" baseline="0">
              <a:latin typeface="Arial" pitchFamily="34" charset="0"/>
              <a:cs typeface="Arial" pitchFamily="34" charset="0"/>
            </a:rPr>
            <a:t>FA</a:t>
          </a:r>
          <a:endParaRPr lang="ru-RU" sz="2800" b="0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0.78849</cdr:x>
      <cdr:y>0.55255</cdr:y>
    </cdr:from>
    <cdr:to>
      <cdr:x>0.93147</cdr:x>
      <cdr:y>0.59799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C05C57E-6B9F-4CA9-9390-B31B20F966A5}"/>
            </a:ext>
          </a:extLst>
        </cdr:cNvPr>
        <cdr:cNvSpPr txBox="1"/>
      </cdr:nvSpPr>
      <cdr:spPr>
        <a:xfrm xmlns:a="http://schemas.openxmlformats.org/drawingml/2006/main">
          <a:off x="7043642" y="5292851"/>
          <a:ext cx="1277254" cy="43526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Тренд</a:t>
          </a:r>
          <a:r>
            <a:rPr lang="ru-RU" sz="1600" b="0">
              <a:latin typeface="Arial" pitchFamily="34" charset="0"/>
              <a:cs typeface="Arial" pitchFamily="34" charset="0"/>
            </a:rPr>
            <a:t> </a:t>
          </a:r>
          <a:r>
            <a:rPr lang="ru-RU" sz="1800" b="0">
              <a:latin typeface="Arial" pitchFamily="34" charset="0"/>
              <a:cs typeface="Arial" pitchFamily="34" charset="0"/>
            </a:rPr>
            <a:t> </a:t>
          </a:r>
        </a:p>
      </cdr:txBody>
    </cdr:sp>
  </cdr:relSizeAnchor>
  <cdr:relSizeAnchor xmlns:cdr="http://schemas.openxmlformats.org/drawingml/2006/chartDrawing">
    <cdr:from>
      <cdr:x>0.0954</cdr:x>
      <cdr:y>0.04508</cdr:y>
    </cdr:from>
    <cdr:to>
      <cdr:x>0.46024</cdr:x>
      <cdr:y>0.08858</cdr:y>
    </cdr:to>
    <cdr:sp macro="" textlink="">
      <cdr:nvSpPr>
        <cdr:cNvPr id="9" name="TextBox 5">
          <a:extLst xmlns:a="http://schemas.openxmlformats.org/drawingml/2006/main">
            <a:ext uri="{FF2B5EF4-FFF2-40B4-BE49-F238E27FC236}">
              <a16:creationId xmlns:a16="http://schemas.microsoft.com/office/drawing/2014/main" id="{71F1EE7D-ED1E-453C-A8EA-CE26BCBCF352}"/>
            </a:ext>
          </a:extLst>
        </cdr:cNvPr>
        <cdr:cNvSpPr txBox="1"/>
      </cdr:nvSpPr>
      <cdr:spPr>
        <a:xfrm xmlns:a="http://schemas.openxmlformats.org/drawingml/2006/main">
          <a:off x="805267" y="411496"/>
          <a:ext cx="3079573" cy="3970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2400">
              <a:latin typeface="Arial" pitchFamily="34" charset="0"/>
              <a:cs typeface="Arial" pitchFamily="34" charset="0"/>
            </a:rPr>
            <a:t>Pn</a:t>
          </a:r>
          <a:r>
            <a:rPr lang="ru-RU" sz="2400">
              <a:latin typeface="Arial" pitchFamily="34" charset="0"/>
              <a:cs typeface="Arial" pitchFamily="34" charset="0"/>
            </a:rPr>
            <a:t> </a:t>
          </a:r>
          <a:r>
            <a:rPr lang="ru-RU" sz="1800">
              <a:latin typeface="Arial" pitchFamily="34" charset="0"/>
              <a:cs typeface="Arial" pitchFamily="34" charset="0"/>
            </a:rPr>
            <a:t> </a:t>
          </a:r>
        </a:p>
      </cdr:txBody>
    </cdr:sp>
  </cdr:relSizeAnchor>
  <cdr:relSizeAnchor xmlns:cdr="http://schemas.openxmlformats.org/drawingml/2006/chartDrawing">
    <cdr:from>
      <cdr:x>0.75934</cdr:x>
      <cdr:y>0.48696</cdr:y>
    </cdr:from>
    <cdr:to>
      <cdr:x>0.86849</cdr:x>
      <cdr:y>0.58713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361341" y="4445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ru-RU" sz="1100"/>
        </a:p>
      </cdr:txBody>
    </cdr:sp>
  </cdr:relSizeAnchor>
</c:userShapes>
</file>

<file path=xl/drawings/drawing87.xml><?xml version="1.0" encoding="utf-8"?>
<c:userShapes xmlns:c="http://schemas.openxmlformats.org/drawingml/2006/chart"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0.24411</cdr:x>
      <cdr:y>0.10246</cdr:y>
    </cdr:from>
    <cdr:to>
      <cdr:x>0.85231</cdr:x>
      <cdr:y>0.1606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2185681" y="929280"/>
          <a:ext cx="5445519" cy="5273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РЕГРЕССИЯ ДЕНЕЖНОЙ МАССЫ М2</a:t>
          </a:r>
        </a:p>
        <a:p xmlns:a="http://schemas.openxmlformats.org/drawingml/2006/main">
          <a:endParaRPr lang="ru-RU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</a:t>
          </a:r>
          <a:r>
            <a:rPr lang="en-US" sz="2000" b="1">
              <a:latin typeface="Arial" pitchFamily="34" charset="0"/>
              <a:cs typeface="Arial" pitchFamily="34" charset="0"/>
            </a:rPr>
            <a:t>                     </a:t>
          </a:r>
          <a:endParaRPr lang="ru-RU" sz="20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0.68985</cdr:x>
      <cdr:y>0.86401</cdr:y>
    </cdr:from>
    <cdr:to>
      <cdr:x>0.95781</cdr:x>
      <cdr:y>0.90764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C62E565B-F758-4D5E-85D4-ACC5727F5068}"/>
            </a:ext>
          </a:extLst>
        </cdr:cNvPr>
        <cdr:cNvSpPr txBox="1"/>
      </cdr:nvSpPr>
      <cdr:spPr>
        <a:xfrm xmlns:a="http://schemas.openxmlformats.org/drawingml/2006/main">
          <a:off x="5905500" y="6654786"/>
          <a:ext cx="2293922" cy="33604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baseline="0">
              <a:latin typeface="Arial" pitchFamily="34" charset="0"/>
              <a:cs typeface="Arial" pitchFamily="34" charset="0"/>
            </a:rPr>
            <a:t>  </a:t>
          </a:r>
          <a:r>
            <a:rPr lang="ru-RU" sz="1800" baseline="0">
              <a:latin typeface="Arial" pitchFamily="34" charset="0"/>
              <a:cs typeface="Arial" pitchFamily="34" charset="0"/>
            </a:rPr>
            <a:t>фактор  </a:t>
          </a:r>
          <a:r>
            <a:rPr lang="ru-RU" sz="1800" b="1" baseline="0">
              <a:latin typeface="Arial" pitchFamily="34" charset="0"/>
              <a:cs typeface="Arial" pitchFamily="34" charset="0"/>
            </a:rPr>
            <a:t>- </a:t>
          </a:r>
          <a:r>
            <a:rPr lang="en-US" sz="1800" b="1" baseline="0">
              <a:latin typeface="Arial" pitchFamily="34" charset="0"/>
              <a:cs typeface="Arial" pitchFamily="34" charset="0"/>
            </a:rPr>
            <a:t> WWP</a:t>
          </a:r>
          <a:endParaRPr lang="ru-RU" sz="18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0.08044</cdr:x>
      <cdr:y>0.03226</cdr:y>
    </cdr:from>
    <cdr:to>
      <cdr:x>0.27426</cdr:x>
      <cdr:y>0.08801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C05C57E-6B9F-4CA9-9390-B31B20F966A5}"/>
            </a:ext>
          </a:extLst>
        </cdr:cNvPr>
        <cdr:cNvSpPr txBox="1"/>
      </cdr:nvSpPr>
      <cdr:spPr>
        <a:xfrm xmlns:a="http://schemas.openxmlformats.org/drawingml/2006/main">
          <a:off x="778231" y="290592"/>
          <a:ext cx="1875162" cy="50218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2000">
              <a:latin typeface="Arial" pitchFamily="34" charset="0"/>
              <a:cs typeface="Arial" pitchFamily="34" charset="0"/>
            </a:rPr>
            <a:t>M2</a:t>
          </a:r>
          <a:r>
            <a:rPr lang="ru-RU" sz="2400">
              <a:latin typeface="Arial" pitchFamily="34" charset="0"/>
              <a:cs typeface="Arial" pitchFamily="34" charset="0"/>
            </a:rPr>
            <a:t> </a:t>
          </a:r>
          <a:r>
            <a:rPr lang="ru-RU" sz="1800">
              <a:latin typeface="Arial" pitchFamily="34" charset="0"/>
              <a:cs typeface="Arial" pitchFamily="34" charset="0"/>
            </a:rPr>
            <a:t>(трлн</a:t>
          </a:r>
          <a:r>
            <a:rPr lang="ru-RU" sz="1800" baseline="0">
              <a:latin typeface="Arial" pitchFamily="34" charset="0"/>
              <a:cs typeface="Arial" pitchFamily="34" charset="0"/>
            </a:rPr>
            <a:t> руб)</a:t>
          </a:r>
          <a:r>
            <a:rPr lang="ru-RU" sz="1800">
              <a:latin typeface="Arial" pitchFamily="34" charset="0"/>
              <a:cs typeface="Arial" pitchFamily="34" charset="0"/>
            </a:rPr>
            <a:t> </a:t>
          </a:r>
          <a:r>
            <a:rPr lang="ru-RU" sz="1400">
              <a:latin typeface="Arial" pitchFamily="34" charset="0"/>
              <a:cs typeface="Arial" pitchFamily="34" charset="0"/>
            </a:rPr>
            <a:t> </a:t>
          </a:r>
          <a:endParaRPr lang="ru-RU" sz="1800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0.65822</cdr:x>
      <cdr:y>0.44082</cdr:y>
    </cdr:from>
    <cdr:to>
      <cdr:x>0.7695</cdr:x>
      <cdr:y>0.48301</cdr:y>
    </cdr:to>
    <cdr:sp macro="" textlink="">
      <cdr:nvSpPr>
        <cdr:cNvPr id="9" name="TextBox 5">
          <a:extLst xmlns:a="http://schemas.openxmlformats.org/drawingml/2006/main">
            <a:ext uri="{FF2B5EF4-FFF2-40B4-BE49-F238E27FC236}">
              <a16:creationId xmlns:a16="http://schemas.microsoft.com/office/drawing/2014/main" id="{71F1EE7D-ED1E-453C-A8EA-CE26BCBCF352}"/>
            </a:ext>
          </a:extLst>
        </cdr:cNvPr>
        <cdr:cNvSpPr txBox="1"/>
      </cdr:nvSpPr>
      <cdr:spPr>
        <a:xfrm xmlns:a="http://schemas.openxmlformats.org/drawingml/2006/main">
          <a:off x="5893413" y="3998079"/>
          <a:ext cx="996337" cy="38265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Тренд  </a:t>
          </a:r>
        </a:p>
      </cdr:txBody>
    </cdr:sp>
  </cdr:relSizeAnchor>
  <cdr:relSizeAnchor xmlns:cdr="http://schemas.openxmlformats.org/drawingml/2006/chartDrawing">
    <cdr:from>
      <cdr:x>0.48227</cdr:x>
      <cdr:y>0.36013</cdr:y>
    </cdr:from>
    <cdr:to>
      <cdr:x>0.55142</cdr:x>
      <cdr:y>0.39864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4318000" y="3266282"/>
          <a:ext cx="619125" cy="3492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400">
              <a:latin typeface="Arial" panose="020B0604020202020204" pitchFamily="34" charset="0"/>
              <a:cs typeface="Arial" panose="020B0604020202020204" pitchFamily="34" charset="0"/>
            </a:rPr>
            <a:t>2019</a:t>
          </a:r>
        </a:p>
      </cdr:txBody>
    </cdr:sp>
  </cdr:relSizeAnchor>
  <cdr:relSizeAnchor xmlns:cdr="http://schemas.openxmlformats.org/drawingml/2006/chartDrawing">
    <cdr:from>
      <cdr:x>0.45035</cdr:x>
      <cdr:y>0.42664</cdr:y>
    </cdr:from>
    <cdr:to>
      <cdr:x>0.51064</cdr:x>
      <cdr:y>0.46165</cdr:y>
    </cdr:to>
    <cdr:sp macro="" textlink="">
      <cdr:nvSpPr>
        <cdr:cNvPr id="6" name="TextBox 5"/>
        <cdr:cNvSpPr txBox="1"/>
      </cdr:nvSpPr>
      <cdr:spPr>
        <a:xfrm xmlns:a="http://schemas.openxmlformats.org/drawingml/2006/main">
          <a:off x="4032250" y="3869532"/>
          <a:ext cx="539750" cy="317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400">
              <a:latin typeface="Arial" panose="020B0604020202020204" pitchFamily="34" charset="0"/>
              <a:cs typeface="Arial" panose="020B0604020202020204" pitchFamily="34" charset="0"/>
            </a:rPr>
            <a:t>2018</a:t>
          </a:r>
        </a:p>
      </cdr:txBody>
    </cdr:sp>
  </cdr:relSizeAnchor>
  <cdr:relSizeAnchor xmlns:cdr="http://schemas.openxmlformats.org/drawingml/2006/chartDrawing">
    <cdr:from>
      <cdr:x>0.1117</cdr:x>
      <cdr:y>0.84497</cdr:y>
    </cdr:from>
    <cdr:to>
      <cdr:x>0.21383</cdr:x>
      <cdr:y>0.94579</cdr:y>
    </cdr:to>
    <cdr:sp macro="" textlink="">
      <cdr:nvSpPr>
        <cdr:cNvPr id="8" name="TextBox 7"/>
        <cdr:cNvSpPr txBox="1"/>
      </cdr:nvSpPr>
      <cdr:spPr>
        <a:xfrm xmlns:a="http://schemas.openxmlformats.org/drawingml/2006/main">
          <a:off x="1000125" y="7663657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ru-RU" sz="1100"/>
        </a:p>
      </cdr:txBody>
    </cdr:sp>
  </cdr:relSizeAnchor>
  <cdr:relSizeAnchor xmlns:cdr="http://schemas.openxmlformats.org/drawingml/2006/chartDrawing">
    <cdr:from>
      <cdr:x>0.10816</cdr:x>
      <cdr:y>0.84322</cdr:y>
    </cdr:from>
    <cdr:to>
      <cdr:x>0.17021</cdr:x>
      <cdr:y>0.88523</cdr:y>
    </cdr:to>
    <cdr:sp macro="" textlink="">
      <cdr:nvSpPr>
        <cdr:cNvPr id="10" name="TextBox 9"/>
        <cdr:cNvSpPr txBox="1"/>
      </cdr:nvSpPr>
      <cdr:spPr>
        <a:xfrm xmlns:a="http://schemas.openxmlformats.org/drawingml/2006/main">
          <a:off x="968375" y="7647782"/>
          <a:ext cx="555625" cy="381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400">
              <a:latin typeface="Arial" panose="020B0604020202020204" pitchFamily="34" charset="0"/>
              <a:cs typeface="Arial" panose="020B0604020202020204" pitchFamily="34" charset="0"/>
            </a:rPr>
            <a:t>2006</a:t>
          </a:r>
        </a:p>
      </cdr:txBody>
    </cdr:sp>
  </cdr:relSizeAnchor>
  <cdr:relSizeAnchor xmlns:cdr="http://schemas.openxmlformats.org/drawingml/2006/chartDrawing">
    <cdr:from>
      <cdr:x>0.32624</cdr:x>
      <cdr:y>0.17635</cdr:y>
    </cdr:from>
    <cdr:to>
      <cdr:x>0.6844</cdr:x>
      <cdr:y>0.23586</cdr:y>
    </cdr:to>
    <cdr:sp macro="" textlink="">
      <cdr:nvSpPr>
        <cdr:cNvPr id="11" name="TextBox 10"/>
        <cdr:cNvSpPr txBox="1"/>
      </cdr:nvSpPr>
      <cdr:spPr>
        <a:xfrm xmlns:a="http://schemas.openxmlformats.org/drawingml/2006/main">
          <a:off x="2921000" y="1599407"/>
          <a:ext cx="3206750" cy="5397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2000" b="1">
              <a:latin typeface="Arial" panose="020B0604020202020204" pitchFamily="34" charset="0"/>
              <a:cs typeface="Arial" panose="020B0604020202020204" pitchFamily="34" charset="0"/>
            </a:rPr>
            <a:t>M2 = 0,4832*WWP - 7,2803</a:t>
          </a:r>
          <a:endParaRPr lang="ru-RU" sz="2000" b="1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</c:userShapes>
</file>

<file path=xl/drawings/drawing88.xml><?xml version="1.0" encoding="utf-8"?>
<c:userShapes xmlns:c="http://schemas.openxmlformats.org/drawingml/2006/chart"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0.16991</cdr:x>
      <cdr:y>0.69798</cdr:y>
    </cdr:from>
    <cdr:to>
      <cdr:x>0.91841</cdr:x>
      <cdr:y>0.82265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1471408" y="6047716"/>
          <a:ext cx="6481870" cy="10801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РЕГРЕССИЯ</a:t>
          </a:r>
          <a:r>
            <a:rPr lang="en-US" sz="2000" b="1">
              <a:latin typeface="Arial" pitchFamily="34" charset="0"/>
              <a:cs typeface="Arial" pitchFamily="34" charset="0"/>
            </a:rPr>
            <a:t> </a:t>
          </a:r>
          <a:r>
            <a:rPr lang="ru-RU" sz="2000" b="1">
              <a:latin typeface="Arial" pitchFamily="34" charset="0"/>
              <a:cs typeface="Arial" pitchFamily="34" charset="0"/>
            </a:rPr>
            <a:t> КОНЕЧНОГО ПОТРЕБЛЕНИЯ</a:t>
          </a:r>
        </a:p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ДОМАШНИХ ХОЗЯЙСТВ</a:t>
          </a:r>
          <a:r>
            <a:rPr lang="en-US" sz="2000" b="1">
              <a:latin typeface="Arial" pitchFamily="34" charset="0"/>
              <a:cs typeface="Arial" pitchFamily="34" charset="0"/>
            </a:rPr>
            <a:t> </a:t>
          </a:r>
          <a:r>
            <a:rPr lang="ru-RU" sz="2000" b="1">
              <a:latin typeface="Arial" pitchFamily="34" charset="0"/>
              <a:cs typeface="Arial" pitchFamily="34" charset="0"/>
            </a:rPr>
            <a:t>от ДОХОДОВ НАСЕЛЕНИЯ </a:t>
          </a:r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en-US" sz="2000" b="1">
              <a:latin typeface="Arial" pitchFamily="34" charset="0"/>
              <a:cs typeface="Arial" pitchFamily="34" charset="0"/>
            </a:rPr>
            <a:t> YD = 0,</a:t>
          </a:r>
          <a:r>
            <a:rPr lang="ru-RU" sz="2000" b="1">
              <a:latin typeface="Arial" pitchFamily="34" charset="0"/>
              <a:cs typeface="Arial" pitchFamily="34" charset="0"/>
            </a:rPr>
            <a:t>9</a:t>
          </a:r>
          <a:r>
            <a:rPr lang="en-US" sz="2000" b="1">
              <a:latin typeface="Arial" pitchFamily="34" charset="0"/>
              <a:cs typeface="Arial" pitchFamily="34" charset="0"/>
            </a:rPr>
            <a:t>44</a:t>
          </a:r>
          <a:r>
            <a:rPr lang="ru-RU" sz="2000" b="1">
              <a:latin typeface="Arial" pitchFamily="34" charset="0"/>
              <a:cs typeface="Arial" pitchFamily="34" charset="0"/>
            </a:rPr>
            <a:t>6</a:t>
          </a:r>
          <a:r>
            <a:rPr lang="en-US" sz="2000" b="1">
              <a:latin typeface="Arial" pitchFamily="34" charset="0"/>
              <a:cs typeface="Arial" pitchFamily="34" charset="0"/>
            </a:rPr>
            <a:t>*DH</a:t>
          </a:r>
          <a:r>
            <a:rPr lang="en-US" sz="2000" b="1" baseline="0">
              <a:latin typeface="Arial" pitchFamily="34" charset="0"/>
              <a:cs typeface="Arial" pitchFamily="34" charset="0"/>
            </a:rPr>
            <a:t> - </a:t>
          </a:r>
          <a:r>
            <a:rPr lang="ru-RU" sz="2000" b="1" baseline="0">
              <a:latin typeface="Arial" pitchFamily="34" charset="0"/>
              <a:cs typeface="Arial" pitchFamily="34" charset="0"/>
            </a:rPr>
            <a:t>4657</a:t>
          </a:r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en-US" sz="2000" b="1">
              <a:latin typeface="Arial" pitchFamily="34" charset="0"/>
              <a:cs typeface="Arial" pitchFamily="34" charset="0"/>
            </a:rPr>
            <a:t>                     </a:t>
          </a:r>
          <a:endParaRPr lang="ru-RU" sz="20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0.68985</cdr:x>
      <cdr:y>0.86401</cdr:y>
    </cdr:from>
    <cdr:to>
      <cdr:x>0.95781</cdr:x>
      <cdr:y>0.90764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C62E565B-F758-4D5E-85D4-ACC5727F5068}"/>
            </a:ext>
          </a:extLst>
        </cdr:cNvPr>
        <cdr:cNvSpPr txBox="1"/>
      </cdr:nvSpPr>
      <cdr:spPr>
        <a:xfrm xmlns:a="http://schemas.openxmlformats.org/drawingml/2006/main">
          <a:off x="5905500" y="6654786"/>
          <a:ext cx="2293922" cy="33604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baseline="0">
              <a:latin typeface="Arial" pitchFamily="34" charset="0"/>
              <a:cs typeface="Arial" pitchFamily="34" charset="0"/>
            </a:rPr>
            <a:t>  </a:t>
          </a:r>
          <a:r>
            <a:rPr lang="ru-RU" sz="2000" baseline="0">
              <a:latin typeface="Arial" pitchFamily="34" charset="0"/>
              <a:cs typeface="Arial" pitchFamily="34" charset="0"/>
            </a:rPr>
            <a:t>фактор  </a:t>
          </a:r>
          <a:r>
            <a:rPr lang="ru-RU" sz="2000" b="1" baseline="0">
              <a:latin typeface="Arial" pitchFamily="34" charset="0"/>
              <a:cs typeface="Arial" pitchFamily="34" charset="0"/>
            </a:rPr>
            <a:t>-  </a:t>
          </a:r>
          <a:r>
            <a:rPr lang="en-US" sz="2000" b="1" baseline="0">
              <a:latin typeface="Arial" pitchFamily="34" charset="0"/>
              <a:cs typeface="Arial" pitchFamily="34" charset="0"/>
            </a:rPr>
            <a:t>DH</a:t>
          </a:r>
          <a:endParaRPr lang="ru-RU" sz="20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C05C57E-6B9F-4CA9-9390-B31B20F966A5}"/>
            </a:ext>
          </a:extLst>
        </cdr:cNvPr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0.39072</cdr:x>
      <cdr:y>0.30148</cdr:y>
    </cdr:from>
    <cdr:to>
      <cdr:x>0.50122</cdr:x>
      <cdr:y>0.33784</cdr:y>
    </cdr:to>
    <cdr:sp macro="" textlink="">
      <cdr:nvSpPr>
        <cdr:cNvPr id="9" name="TextBox 5">
          <a:extLst xmlns:a="http://schemas.openxmlformats.org/drawingml/2006/main">
            <a:ext uri="{FF2B5EF4-FFF2-40B4-BE49-F238E27FC236}">
              <a16:creationId xmlns:a16="http://schemas.microsoft.com/office/drawing/2014/main" id="{71F1EE7D-ED1E-453C-A8EA-CE26BCBCF352}"/>
            </a:ext>
          </a:extLst>
        </cdr:cNvPr>
        <cdr:cNvSpPr txBox="1"/>
      </cdr:nvSpPr>
      <cdr:spPr>
        <a:xfrm xmlns:a="http://schemas.openxmlformats.org/drawingml/2006/main">
          <a:off x="3383547" y="2612178"/>
          <a:ext cx="956909" cy="31504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400">
              <a:latin typeface="Arial" pitchFamily="34" charset="0"/>
              <a:cs typeface="Arial" pitchFamily="34" charset="0"/>
            </a:rPr>
            <a:t>ТРЕНД   </a:t>
          </a:r>
        </a:p>
      </cdr:txBody>
    </cdr:sp>
  </cdr:relSizeAnchor>
</c:userShapes>
</file>

<file path=xl/drawings/drawing89.xml><?xml version="1.0" encoding="utf-8"?>
<c:userShapes xmlns:c="http://schemas.openxmlformats.org/drawingml/2006/chart"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0.19129</cdr:x>
      <cdr:y>0.11832</cdr:y>
    </cdr:from>
    <cdr:to>
      <cdr:x>0.91118</cdr:x>
      <cdr:y>0.17591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1699679" y="1061674"/>
          <a:ext cx="6396573" cy="51675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ДИНАМИКА РЕАЛЬНЫХ</a:t>
          </a:r>
          <a:r>
            <a:rPr lang="ru-RU" sz="2000" b="1" baseline="0">
              <a:latin typeface="Arial" pitchFamily="34" charset="0"/>
              <a:cs typeface="Arial" pitchFamily="34" charset="0"/>
            </a:rPr>
            <a:t> </a:t>
          </a:r>
          <a:r>
            <a:rPr lang="ru-RU" sz="2000" b="1">
              <a:latin typeface="Arial" pitchFamily="34" charset="0"/>
              <a:cs typeface="Arial" pitchFamily="34" charset="0"/>
            </a:rPr>
            <a:t>ДОХОДОВ НАСЕЛЕНИЯ </a:t>
          </a:r>
        </a:p>
        <a:p xmlns:a="http://schemas.openxmlformats.org/drawingml/2006/main"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en-US" sz="2000" b="1">
              <a:latin typeface="Arial" pitchFamily="34" charset="0"/>
              <a:cs typeface="Arial" pitchFamily="34" charset="0"/>
            </a:rPr>
            <a:t> </a:t>
          </a:r>
          <a:r>
            <a:rPr lang="ru-RU" sz="2000" b="1">
              <a:latin typeface="Arial" pitchFamily="34" charset="0"/>
              <a:cs typeface="Arial" pitchFamily="34" charset="0"/>
            </a:rPr>
            <a:t>                </a:t>
          </a:r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en-US" sz="2000" b="1">
              <a:latin typeface="Arial" pitchFamily="34" charset="0"/>
              <a:cs typeface="Arial" pitchFamily="34" charset="0"/>
            </a:rPr>
            <a:t>                     </a:t>
          </a:r>
          <a:endParaRPr lang="ru-RU" sz="20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0.68985</cdr:x>
      <cdr:y>0.86401</cdr:y>
    </cdr:from>
    <cdr:to>
      <cdr:x>0.95781</cdr:x>
      <cdr:y>0.90764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C62E565B-F758-4D5E-85D4-ACC5727F5068}"/>
            </a:ext>
          </a:extLst>
        </cdr:cNvPr>
        <cdr:cNvSpPr txBox="1"/>
      </cdr:nvSpPr>
      <cdr:spPr>
        <a:xfrm xmlns:a="http://schemas.openxmlformats.org/drawingml/2006/main">
          <a:off x="5905500" y="6654786"/>
          <a:ext cx="2293922" cy="33604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baseline="0">
              <a:latin typeface="Arial" pitchFamily="34" charset="0"/>
              <a:cs typeface="Arial" pitchFamily="34" charset="0"/>
            </a:rPr>
            <a:t>  </a:t>
          </a:r>
          <a:r>
            <a:rPr lang="ru-RU" sz="1800" baseline="0">
              <a:latin typeface="Arial" pitchFamily="34" charset="0"/>
              <a:cs typeface="Arial" pitchFamily="34" charset="0"/>
            </a:rPr>
            <a:t>фактор  </a:t>
          </a:r>
          <a:r>
            <a:rPr lang="ru-RU" sz="1800" b="1" baseline="0">
              <a:latin typeface="Arial" pitchFamily="34" charset="0"/>
              <a:cs typeface="Arial" pitchFamily="34" charset="0"/>
            </a:rPr>
            <a:t>- ВРЕМЯ</a:t>
          </a:r>
          <a:endParaRPr lang="ru-RU" sz="18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C05C57E-6B9F-4CA9-9390-B31B20F966A5}"/>
            </a:ext>
          </a:extLst>
        </cdr:cNvPr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0.64388</cdr:x>
      <cdr:y>0.37385</cdr:y>
    </cdr:from>
    <cdr:to>
      <cdr:x>0.71057</cdr:x>
      <cdr:y>0.41854</cdr:y>
    </cdr:to>
    <cdr:sp macro="" textlink="">
      <cdr:nvSpPr>
        <cdr:cNvPr id="9" name="TextBox 5">
          <a:extLst xmlns:a="http://schemas.openxmlformats.org/drawingml/2006/main">
            <a:ext uri="{FF2B5EF4-FFF2-40B4-BE49-F238E27FC236}">
              <a16:creationId xmlns:a16="http://schemas.microsoft.com/office/drawing/2014/main" id="{71F1EE7D-ED1E-453C-A8EA-CE26BCBCF352}"/>
            </a:ext>
          </a:extLst>
        </cdr:cNvPr>
        <cdr:cNvSpPr txBox="1"/>
      </cdr:nvSpPr>
      <cdr:spPr>
        <a:xfrm xmlns:a="http://schemas.openxmlformats.org/drawingml/2006/main">
          <a:off x="5721147" y="3354600"/>
          <a:ext cx="592569" cy="40096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2000">
              <a:latin typeface="Arial" pitchFamily="34" charset="0"/>
              <a:cs typeface="Arial" pitchFamily="34" charset="0"/>
            </a:rPr>
            <a:t>Pd</a:t>
          </a:r>
          <a:r>
            <a:rPr lang="ru-RU" sz="1800">
              <a:latin typeface="Arial" pitchFamily="34" charset="0"/>
              <a:cs typeface="Arial" pitchFamily="34" charset="0"/>
            </a:rPr>
            <a:t> </a:t>
          </a:r>
          <a:r>
            <a:rPr lang="ru-RU" sz="1400">
              <a:latin typeface="Arial" pitchFamily="34" charset="0"/>
              <a:cs typeface="Arial" pitchFamily="34" charset="0"/>
            </a:rPr>
            <a:t>  </a:t>
          </a:r>
        </a:p>
      </cdr:txBody>
    </cdr:sp>
  </cdr:relSizeAnchor>
</c:userShapes>
</file>

<file path=xl/drawings/drawing90.xml><?xml version="1.0" encoding="utf-8"?>
<c:userShapes xmlns:c="http://schemas.openxmlformats.org/drawingml/2006/chart">
  <cdr:relSizeAnchor xmlns:cdr="http://schemas.openxmlformats.org/drawingml/2006/chartDrawing">
    <cdr:from>
      <cdr:x>0.08002</cdr:x>
      <cdr:y>0.03148</cdr:y>
    </cdr:from>
    <cdr:to>
      <cdr:x>0.16463</cdr:x>
      <cdr:y>0.09005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675175" y="287353"/>
          <a:ext cx="713888" cy="5346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</a:t>
          </a:r>
        </a:p>
      </cdr:txBody>
    </cdr:sp>
  </cdr:relSizeAnchor>
  <cdr:relSizeAnchor xmlns:cdr="http://schemas.openxmlformats.org/drawingml/2006/chartDrawing">
    <cdr:from>
      <cdr:x>0.30977</cdr:x>
      <cdr:y>0.14553</cdr:y>
    </cdr:from>
    <cdr:to>
      <cdr:x>0.79935</cdr:x>
      <cdr:y>0.25213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2837993" y="1452269"/>
          <a:ext cx="4485374" cy="10637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ДИНАМИКА</a:t>
          </a:r>
          <a:r>
            <a:rPr lang="ru-RU" sz="2000" b="1" baseline="0">
              <a:latin typeface="Arial" pitchFamily="34" charset="0"/>
              <a:cs typeface="Arial" pitchFamily="34" charset="0"/>
            </a:rPr>
            <a:t>  ИН</a:t>
          </a:r>
          <a:r>
            <a:rPr lang="ru-RU" sz="2000" b="1">
              <a:latin typeface="Arial" pitchFamily="34" charset="0"/>
              <a:cs typeface="Arial" pitchFamily="34" charset="0"/>
            </a:rPr>
            <a:t>ВЕСТИЦИЙ</a:t>
          </a:r>
          <a:r>
            <a:rPr lang="en-US" sz="2000" b="1">
              <a:latin typeface="Arial" pitchFamily="34" charset="0"/>
              <a:cs typeface="Arial" pitchFamily="34" charset="0"/>
            </a:rPr>
            <a:t> </a:t>
          </a:r>
          <a:r>
            <a:rPr lang="ru-RU" sz="2000" b="1">
              <a:latin typeface="Arial" pitchFamily="34" charset="0"/>
              <a:cs typeface="Arial" pitchFamily="34" charset="0"/>
            </a:rPr>
            <a:t> В ОК</a:t>
          </a:r>
          <a:r>
            <a:rPr lang="en-US" sz="2000" b="1">
              <a:latin typeface="Arial" pitchFamily="34" charset="0"/>
              <a:cs typeface="Arial" pitchFamily="34" charset="0"/>
            </a:rPr>
            <a:t> </a:t>
          </a:r>
        </a:p>
        <a:p xmlns:a="http://schemas.openxmlformats.org/drawingml/2006/main">
          <a:r>
            <a:rPr lang="en-US" sz="2000" b="1">
              <a:latin typeface="Arial" pitchFamily="34" charset="0"/>
              <a:cs typeface="Arial" pitchFamily="34" charset="0"/>
            </a:rPr>
            <a:t>  </a:t>
          </a:r>
          <a:r>
            <a:rPr lang="ru-RU" sz="2000" b="1">
              <a:latin typeface="Arial" pitchFamily="34" charset="0"/>
              <a:cs typeface="Arial" pitchFamily="34" charset="0"/>
            </a:rPr>
            <a:t>в ценах 1995г.</a:t>
          </a:r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en-US" sz="2000" b="0">
              <a:latin typeface="Arial" pitchFamily="34" charset="0"/>
              <a:cs typeface="Arial" pitchFamily="34" charset="0"/>
            </a:rPr>
            <a:t> </a:t>
          </a:r>
          <a:endParaRPr lang="ru-RU" sz="2000" b="0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en-US" sz="2000" b="1">
              <a:latin typeface="Arial" pitchFamily="34" charset="0"/>
              <a:cs typeface="Arial" pitchFamily="34" charset="0"/>
            </a:rPr>
            <a:t>               </a:t>
          </a:r>
          <a:endParaRPr lang="ru-RU" sz="20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0.6784</cdr:x>
      <cdr:y>0.88132</cdr:y>
    </cdr:from>
    <cdr:to>
      <cdr:x>0.91285</cdr:x>
      <cdr:y>0.92495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C62E565B-F758-4D5E-85D4-ACC5727F5068}"/>
            </a:ext>
          </a:extLst>
        </cdr:cNvPr>
        <cdr:cNvSpPr txBox="1"/>
      </cdr:nvSpPr>
      <cdr:spPr>
        <a:xfrm xmlns:a="http://schemas.openxmlformats.org/drawingml/2006/main">
          <a:off x="6178686" y="8450494"/>
          <a:ext cx="2135280" cy="4183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baseline="0">
              <a:latin typeface="Arial" pitchFamily="34" charset="0"/>
              <a:cs typeface="Arial" pitchFamily="34" charset="0"/>
            </a:rPr>
            <a:t>  </a:t>
          </a:r>
          <a:r>
            <a:rPr lang="ru-RU" sz="1800" baseline="0">
              <a:latin typeface="Arial" pitchFamily="34" charset="0"/>
              <a:cs typeface="Arial" pitchFamily="34" charset="0"/>
            </a:rPr>
            <a:t>фактор  </a:t>
          </a:r>
          <a:r>
            <a:rPr lang="ru-RU" sz="1800" b="1" baseline="0">
              <a:latin typeface="Arial" pitchFamily="34" charset="0"/>
              <a:cs typeface="Arial" pitchFamily="34" charset="0"/>
            </a:rPr>
            <a:t>- время</a:t>
          </a:r>
          <a:endParaRPr lang="ru-RU" sz="18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0.82042</cdr:x>
      <cdr:y>0.41486</cdr:y>
    </cdr:from>
    <cdr:to>
      <cdr:x>0.96339</cdr:x>
      <cdr:y>0.4603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C05C57E-6B9F-4CA9-9390-B31B20F966A5}"/>
            </a:ext>
          </a:extLst>
        </cdr:cNvPr>
        <cdr:cNvSpPr txBox="1"/>
      </cdr:nvSpPr>
      <cdr:spPr>
        <a:xfrm xmlns:a="http://schemas.openxmlformats.org/drawingml/2006/main">
          <a:off x="7516409" y="4139880"/>
          <a:ext cx="1309847" cy="4534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Тренд</a:t>
          </a:r>
          <a:r>
            <a:rPr lang="en-US" sz="1800" baseline="0">
              <a:latin typeface="Arial" pitchFamily="34" charset="0"/>
              <a:cs typeface="Arial" pitchFamily="34" charset="0"/>
            </a:rPr>
            <a:t> </a:t>
          </a:r>
          <a:r>
            <a:rPr lang="ru-RU" sz="1600" b="0">
              <a:latin typeface="Arial" pitchFamily="34" charset="0"/>
              <a:cs typeface="Arial" pitchFamily="34" charset="0"/>
            </a:rPr>
            <a:t> </a:t>
          </a:r>
          <a:r>
            <a:rPr lang="ru-RU" sz="1800" b="0">
              <a:latin typeface="Arial" pitchFamily="34" charset="0"/>
              <a:cs typeface="Arial" pitchFamily="34" charset="0"/>
            </a:rPr>
            <a:t> </a:t>
          </a:r>
        </a:p>
      </cdr:txBody>
    </cdr:sp>
  </cdr:relSizeAnchor>
  <cdr:relSizeAnchor xmlns:cdr="http://schemas.openxmlformats.org/drawingml/2006/chartDrawing">
    <cdr:from>
      <cdr:x>0.0954</cdr:x>
      <cdr:y>0.04508</cdr:y>
    </cdr:from>
    <cdr:to>
      <cdr:x>0.46024</cdr:x>
      <cdr:y>0.08858</cdr:y>
    </cdr:to>
    <cdr:sp macro="" textlink="">
      <cdr:nvSpPr>
        <cdr:cNvPr id="9" name="TextBox 5">
          <a:extLst xmlns:a="http://schemas.openxmlformats.org/drawingml/2006/main">
            <a:ext uri="{FF2B5EF4-FFF2-40B4-BE49-F238E27FC236}">
              <a16:creationId xmlns:a16="http://schemas.microsoft.com/office/drawing/2014/main" id="{71F1EE7D-ED1E-453C-A8EA-CE26BCBCF352}"/>
            </a:ext>
          </a:extLst>
        </cdr:cNvPr>
        <cdr:cNvSpPr txBox="1"/>
      </cdr:nvSpPr>
      <cdr:spPr>
        <a:xfrm xmlns:a="http://schemas.openxmlformats.org/drawingml/2006/main">
          <a:off x="805267" y="411496"/>
          <a:ext cx="3079573" cy="3970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>
              <a:latin typeface="Arial" pitchFamily="34" charset="0"/>
              <a:cs typeface="Arial" pitchFamily="34" charset="0"/>
            </a:rPr>
            <a:t> </a:t>
          </a:r>
          <a:r>
            <a:rPr lang="en-US" sz="2000" b="1">
              <a:latin typeface="Arial" pitchFamily="34" charset="0"/>
              <a:cs typeface="Arial" pitchFamily="34" charset="0"/>
            </a:rPr>
            <a:t>INS</a:t>
          </a:r>
          <a:r>
            <a:rPr lang="ru-RU" sz="1800">
              <a:latin typeface="Arial" pitchFamily="34" charset="0"/>
              <a:cs typeface="Arial" pitchFamily="34" charset="0"/>
            </a:rPr>
            <a:t> (млрд руб 1995 г.)  </a:t>
          </a:r>
        </a:p>
      </cdr:txBody>
    </cdr:sp>
  </cdr:relSizeAnchor>
</c:userShapes>
</file>

<file path=xl/drawings/drawing91.xml><?xml version="1.0" encoding="utf-8"?>
<c:userShapes xmlns:c="http://schemas.openxmlformats.org/drawingml/2006/chart">
  <cdr:relSizeAnchor xmlns:cdr="http://schemas.openxmlformats.org/drawingml/2006/chartDrawing">
    <cdr:from>
      <cdr:x>0.08002</cdr:x>
      <cdr:y>0.03148</cdr:y>
    </cdr:from>
    <cdr:to>
      <cdr:x>0.16463</cdr:x>
      <cdr:y>0.09005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675175" y="287353"/>
          <a:ext cx="713888" cy="5346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</a:t>
          </a:r>
        </a:p>
      </cdr:txBody>
    </cdr:sp>
  </cdr:relSizeAnchor>
  <cdr:relSizeAnchor xmlns:cdr="http://schemas.openxmlformats.org/drawingml/2006/chartDrawing">
    <cdr:from>
      <cdr:x>0.30977</cdr:x>
      <cdr:y>0.14553</cdr:y>
    </cdr:from>
    <cdr:to>
      <cdr:x>0.79935</cdr:x>
      <cdr:y>0.25213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2837993" y="1452269"/>
          <a:ext cx="4485374" cy="10637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ДИНАМИКА</a:t>
          </a:r>
          <a:r>
            <a:rPr lang="ru-RU" sz="2000" b="1" baseline="0">
              <a:latin typeface="Arial" pitchFamily="34" charset="0"/>
              <a:cs typeface="Arial" pitchFamily="34" charset="0"/>
            </a:rPr>
            <a:t>  ИН</a:t>
          </a:r>
          <a:r>
            <a:rPr lang="ru-RU" sz="2000" b="1">
              <a:latin typeface="Arial" pitchFamily="34" charset="0"/>
              <a:cs typeface="Arial" pitchFamily="34" charset="0"/>
            </a:rPr>
            <a:t>ВЕСТИЦИЙ</a:t>
          </a:r>
          <a:r>
            <a:rPr lang="en-US" sz="2000" b="1">
              <a:latin typeface="Arial" pitchFamily="34" charset="0"/>
              <a:cs typeface="Arial" pitchFamily="34" charset="0"/>
            </a:rPr>
            <a:t> </a:t>
          </a:r>
          <a:r>
            <a:rPr lang="ru-RU" sz="2000" b="1">
              <a:latin typeface="Arial" pitchFamily="34" charset="0"/>
              <a:cs typeface="Arial" pitchFamily="34" charset="0"/>
            </a:rPr>
            <a:t> В ОК</a:t>
          </a:r>
          <a:r>
            <a:rPr lang="en-US" sz="2000" b="1">
              <a:latin typeface="Arial" pitchFamily="34" charset="0"/>
              <a:cs typeface="Arial" pitchFamily="34" charset="0"/>
            </a:rPr>
            <a:t> </a:t>
          </a:r>
        </a:p>
        <a:p xmlns:a="http://schemas.openxmlformats.org/drawingml/2006/main">
          <a:r>
            <a:rPr lang="en-US" sz="2000" b="1">
              <a:latin typeface="Arial" pitchFamily="34" charset="0"/>
              <a:cs typeface="Arial" pitchFamily="34" charset="0"/>
            </a:rPr>
            <a:t>  </a:t>
          </a:r>
          <a:r>
            <a:rPr lang="ru-RU" sz="2000" b="1">
              <a:latin typeface="Arial" pitchFamily="34" charset="0"/>
              <a:cs typeface="Arial" pitchFamily="34" charset="0"/>
            </a:rPr>
            <a:t>в ценах 1995г.</a:t>
          </a:r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en-US" sz="2000" b="0">
              <a:latin typeface="Arial" pitchFamily="34" charset="0"/>
              <a:cs typeface="Arial" pitchFamily="34" charset="0"/>
            </a:rPr>
            <a:t> </a:t>
          </a:r>
          <a:endParaRPr lang="ru-RU" sz="2000" b="0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en-US" sz="2000" b="1">
              <a:latin typeface="Arial" pitchFamily="34" charset="0"/>
              <a:cs typeface="Arial" pitchFamily="34" charset="0"/>
            </a:rPr>
            <a:t>               </a:t>
          </a:r>
          <a:endParaRPr lang="ru-RU" sz="20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0.6784</cdr:x>
      <cdr:y>0.88132</cdr:y>
    </cdr:from>
    <cdr:to>
      <cdr:x>0.91285</cdr:x>
      <cdr:y>0.92495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C62E565B-F758-4D5E-85D4-ACC5727F5068}"/>
            </a:ext>
          </a:extLst>
        </cdr:cNvPr>
        <cdr:cNvSpPr txBox="1"/>
      </cdr:nvSpPr>
      <cdr:spPr>
        <a:xfrm xmlns:a="http://schemas.openxmlformats.org/drawingml/2006/main">
          <a:off x="6178686" y="8450494"/>
          <a:ext cx="2135280" cy="4183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baseline="0">
              <a:latin typeface="Arial" pitchFamily="34" charset="0"/>
              <a:cs typeface="Arial" pitchFamily="34" charset="0"/>
            </a:rPr>
            <a:t>  </a:t>
          </a:r>
          <a:r>
            <a:rPr lang="ru-RU" sz="1800" baseline="0">
              <a:latin typeface="Arial" pitchFamily="34" charset="0"/>
              <a:cs typeface="Arial" pitchFamily="34" charset="0"/>
            </a:rPr>
            <a:t>фактор  </a:t>
          </a:r>
          <a:r>
            <a:rPr lang="ru-RU" sz="1800" b="1" baseline="0">
              <a:latin typeface="Arial" pitchFamily="34" charset="0"/>
              <a:cs typeface="Arial" pitchFamily="34" charset="0"/>
            </a:rPr>
            <a:t>- время</a:t>
          </a:r>
          <a:endParaRPr lang="ru-RU" sz="18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0.82042</cdr:x>
      <cdr:y>0.41486</cdr:y>
    </cdr:from>
    <cdr:to>
      <cdr:x>0.96339</cdr:x>
      <cdr:y>0.4603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C05C57E-6B9F-4CA9-9390-B31B20F966A5}"/>
            </a:ext>
          </a:extLst>
        </cdr:cNvPr>
        <cdr:cNvSpPr txBox="1"/>
      </cdr:nvSpPr>
      <cdr:spPr>
        <a:xfrm xmlns:a="http://schemas.openxmlformats.org/drawingml/2006/main">
          <a:off x="7516409" y="4139880"/>
          <a:ext cx="1309847" cy="4534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Тренд</a:t>
          </a:r>
          <a:r>
            <a:rPr lang="en-US" sz="1800" baseline="0">
              <a:latin typeface="Arial" pitchFamily="34" charset="0"/>
              <a:cs typeface="Arial" pitchFamily="34" charset="0"/>
            </a:rPr>
            <a:t> </a:t>
          </a:r>
          <a:r>
            <a:rPr lang="ru-RU" sz="1600" b="0">
              <a:latin typeface="Arial" pitchFamily="34" charset="0"/>
              <a:cs typeface="Arial" pitchFamily="34" charset="0"/>
            </a:rPr>
            <a:t> </a:t>
          </a:r>
          <a:r>
            <a:rPr lang="ru-RU" sz="1800" b="0">
              <a:latin typeface="Arial" pitchFamily="34" charset="0"/>
              <a:cs typeface="Arial" pitchFamily="34" charset="0"/>
            </a:rPr>
            <a:t> </a:t>
          </a:r>
        </a:p>
      </cdr:txBody>
    </cdr:sp>
  </cdr:relSizeAnchor>
  <cdr:relSizeAnchor xmlns:cdr="http://schemas.openxmlformats.org/drawingml/2006/chartDrawing">
    <cdr:from>
      <cdr:x>0.0954</cdr:x>
      <cdr:y>0.04508</cdr:y>
    </cdr:from>
    <cdr:to>
      <cdr:x>0.46024</cdr:x>
      <cdr:y>0.08858</cdr:y>
    </cdr:to>
    <cdr:sp macro="" textlink="">
      <cdr:nvSpPr>
        <cdr:cNvPr id="9" name="TextBox 5">
          <a:extLst xmlns:a="http://schemas.openxmlformats.org/drawingml/2006/main">
            <a:ext uri="{FF2B5EF4-FFF2-40B4-BE49-F238E27FC236}">
              <a16:creationId xmlns:a16="http://schemas.microsoft.com/office/drawing/2014/main" id="{71F1EE7D-ED1E-453C-A8EA-CE26BCBCF352}"/>
            </a:ext>
          </a:extLst>
        </cdr:cNvPr>
        <cdr:cNvSpPr txBox="1"/>
      </cdr:nvSpPr>
      <cdr:spPr>
        <a:xfrm xmlns:a="http://schemas.openxmlformats.org/drawingml/2006/main">
          <a:off x="805267" y="411496"/>
          <a:ext cx="3079573" cy="3970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>
              <a:latin typeface="Arial" pitchFamily="34" charset="0"/>
              <a:cs typeface="Arial" pitchFamily="34" charset="0"/>
            </a:rPr>
            <a:t> </a:t>
          </a:r>
          <a:r>
            <a:rPr lang="en-US" sz="2000" b="1">
              <a:latin typeface="Arial" pitchFamily="34" charset="0"/>
              <a:cs typeface="Arial" pitchFamily="34" charset="0"/>
            </a:rPr>
            <a:t>INS</a:t>
          </a:r>
          <a:r>
            <a:rPr lang="ru-RU" sz="1800">
              <a:latin typeface="Arial" pitchFamily="34" charset="0"/>
              <a:cs typeface="Arial" pitchFamily="34" charset="0"/>
            </a:rPr>
            <a:t> (млрд руб 1995 г.)  </a:t>
          </a:r>
        </a:p>
      </cdr:txBody>
    </cdr:sp>
  </cdr:relSizeAnchor>
</c:userShapes>
</file>

<file path=xl/drawings/drawing92.xml><?xml version="1.0" encoding="utf-8"?>
<c:userShapes xmlns:c="http://schemas.openxmlformats.org/drawingml/2006/chart">
  <cdr:relSizeAnchor xmlns:cdr="http://schemas.openxmlformats.org/drawingml/2006/chartDrawing">
    <cdr:from>
      <cdr:x>0.08002</cdr:x>
      <cdr:y>0.03148</cdr:y>
    </cdr:from>
    <cdr:to>
      <cdr:x>0.16463</cdr:x>
      <cdr:y>0.09005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675175" y="287353"/>
          <a:ext cx="713888" cy="5346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</a:t>
          </a:r>
        </a:p>
      </cdr:txBody>
    </cdr:sp>
  </cdr:relSizeAnchor>
  <cdr:relSizeAnchor xmlns:cdr="http://schemas.openxmlformats.org/drawingml/2006/chartDrawing">
    <cdr:from>
      <cdr:x>0.30977</cdr:x>
      <cdr:y>0.14553</cdr:y>
    </cdr:from>
    <cdr:to>
      <cdr:x>0.79935</cdr:x>
      <cdr:y>0.25213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2837993" y="1452269"/>
          <a:ext cx="4485374" cy="10637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ДИНАМИКА</a:t>
          </a:r>
          <a:r>
            <a:rPr lang="ru-RU" sz="2000" b="1" baseline="0">
              <a:latin typeface="Arial" pitchFamily="34" charset="0"/>
              <a:cs typeface="Arial" pitchFamily="34" charset="0"/>
            </a:rPr>
            <a:t>  ИН</a:t>
          </a:r>
          <a:r>
            <a:rPr lang="ru-RU" sz="2000" b="1">
              <a:latin typeface="Arial" pitchFamily="34" charset="0"/>
              <a:cs typeface="Arial" pitchFamily="34" charset="0"/>
            </a:rPr>
            <a:t>ВЕСТИЦИЙ</a:t>
          </a:r>
          <a:r>
            <a:rPr lang="en-US" sz="2000" b="1">
              <a:latin typeface="Arial" pitchFamily="34" charset="0"/>
              <a:cs typeface="Arial" pitchFamily="34" charset="0"/>
            </a:rPr>
            <a:t> </a:t>
          </a:r>
          <a:r>
            <a:rPr lang="ru-RU" sz="2000" b="1">
              <a:latin typeface="Arial" pitchFamily="34" charset="0"/>
              <a:cs typeface="Arial" pitchFamily="34" charset="0"/>
            </a:rPr>
            <a:t> В ОК</a:t>
          </a:r>
          <a:r>
            <a:rPr lang="en-US" sz="2000" b="1">
              <a:latin typeface="Arial" pitchFamily="34" charset="0"/>
              <a:cs typeface="Arial" pitchFamily="34" charset="0"/>
            </a:rPr>
            <a:t> </a:t>
          </a:r>
        </a:p>
        <a:p xmlns:a="http://schemas.openxmlformats.org/drawingml/2006/main">
          <a:r>
            <a:rPr lang="en-US" sz="2000" b="1">
              <a:latin typeface="Arial" pitchFamily="34" charset="0"/>
              <a:cs typeface="Arial" pitchFamily="34" charset="0"/>
            </a:rPr>
            <a:t>  </a:t>
          </a:r>
          <a:r>
            <a:rPr lang="ru-RU" sz="2000" b="1">
              <a:latin typeface="Arial" pitchFamily="34" charset="0"/>
              <a:cs typeface="Arial" pitchFamily="34" charset="0"/>
            </a:rPr>
            <a:t>в ценах 1995г.</a:t>
          </a:r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en-US" sz="2000" b="0">
              <a:latin typeface="Arial" pitchFamily="34" charset="0"/>
              <a:cs typeface="Arial" pitchFamily="34" charset="0"/>
            </a:rPr>
            <a:t> </a:t>
          </a:r>
          <a:endParaRPr lang="ru-RU" sz="2000" b="0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en-US" sz="2000" b="1">
              <a:latin typeface="Arial" pitchFamily="34" charset="0"/>
              <a:cs typeface="Arial" pitchFamily="34" charset="0"/>
            </a:rPr>
            <a:t>               </a:t>
          </a:r>
          <a:endParaRPr lang="ru-RU" sz="20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0.6784</cdr:x>
      <cdr:y>0.88132</cdr:y>
    </cdr:from>
    <cdr:to>
      <cdr:x>0.91285</cdr:x>
      <cdr:y>0.92495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C62E565B-F758-4D5E-85D4-ACC5727F5068}"/>
            </a:ext>
          </a:extLst>
        </cdr:cNvPr>
        <cdr:cNvSpPr txBox="1"/>
      </cdr:nvSpPr>
      <cdr:spPr>
        <a:xfrm xmlns:a="http://schemas.openxmlformats.org/drawingml/2006/main">
          <a:off x="6178686" y="8450494"/>
          <a:ext cx="2135280" cy="4183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baseline="0">
              <a:latin typeface="Arial" pitchFamily="34" charset="0"/>
              <a:cs typeface="Arial" pitchFamily="34" charset="0"/>
            </a:rPr>
            <a:t>  </a:t>
          </a:r>
          <a:r>
            <a:rPr lang="ru-RU" sz="1800" baseline="0">
              <a:latin typeface="Arial" pitchFamily="34" charset="0"/>
              <a:cs typeface="Arial" pitchFamily="34" charset="0"/>
            </a:rPr>
            <a:t>фактор  </a:t>
          </a:r>
          <a:r>
            <a:rPr lang="ru-RU" sz="1800" b="1" baseline="0">
              <a:latin typeface="Arial" pitchFamily="34" charset="0"/>
              <a:cs typeface="Arial" pitchFamily="34" charset="0"/>
            </a:rPr>
            <a:t>- время</a:t>
          </a:r>
          <a:endParaRPr lang="ru-RU" sz="18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0.82042</cdr:x>
      <cdr:y>0.41486</cdr:y>
    </cdr:from>
    <cdr:to>
      <cdr:x>0.96339</cdr:x>
      <cdr:y>0.4603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C05C57E-6B9F-4CA9-9390-B31B20F966A5}"/>
            </a:ext>
          </a:extLst>
        </cdr:cNvPr>
        <cdr:cNvSpPr txBox="1"/>
      </cdr:nvSpPr>
      <cdr:spPr>
        <a:xfrm xmlns:a="http://schemas.openxmlformats.org/drawingml/2006/main">
          <a:off x="7516409" y="4139880"/>
          <a:ext cx="1309847" cy="4534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Тренд</a:t>
          </a:r>
          <a:r>
            <a:rPr lang="en-US" sz="1800" baseline="0">
              <a:latin typeface="Arial" pitchFamily="34" charset="0"/>
              <a:cs typeface="Arial" pitchFamily="34" charset="0"/>
            </a:rPr>
            <a:t> </a:t>
          </a:r>
          <a:r>
            <a:rPr lang="ru-RU" sz="1600" b="0">
              <a:latin typeface="Arial" pitchFamily="34" charset="0"/>
              <a:cs typeface="Arial" pitchFamily="34" charset="0"/>
            </a:rPr>
            <a:t> </a:t>
          </a:r>
          <a:r>
            <a:rPr lang="ru-RU" sz="1800" b="0">
              <a:latin typeface="Arial" pitchFamily="34" charset="0"/>
              <a:cs typeface="Arial" pitchFamily="34" charset="0"/>
            </a:rPr>
            <a:t> </a:t>
          </a:r>
        </a:p>
      </cdr:txBody>
    </cdr:sp>
  </cdr:relSizeAnchor>
  <cdr:relSizeAnchor xmlns:cdr="http://schemas.openxmlformats.org/drawingml/2006/chartDrawing">
    <cdr:from>
      <cdr:x>0.0954</cdr:x>
      <cdr:y>0.04508</cdr:y>
    </cdr:from>
    <cdr:to>
      <cdr:x>0.46024</cdr:x>
      <cdr:y>0.08858</cdr:y>
    </cdr:to>
    <cdr:sp macro="" textlink="">
      <cdr:nvSpPr>
        <cdr:cNvPr id="9" name="TextBox 5">
          <a:extLst xmlns:a="http://schemas.openxmlformats.org/drawingml/2006/main">
            <a:ext uri="{FF2B5EF4-FFF2-40B4-BE49-F238E27FC236}">
              <a16:creationId xmlns:a16="http://schemas.microsoft.com/office/drawing/2014/main" id="{71F1EE7D-ED1E-453C-A8EA-CE26BCBCF352}"/>
            </a:ext>
          </a:extLst>
        </cdr:cNvPr>
        <cdr:cNvSpPr txBox="1"/>
      </cdr:nvSpPr>
      <cdr:spPr>
        <a:xfrm xmlns:a="http://schemas.openxmlformats.org/drawingml/2006/main">
          <a:off x="805267" y="411496"/>
          <a:ext cx="3079573" cy="3970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>
              <a:latin typeface="Arial" pitchFamily="34" charset="0"/>
              <a:cs typeface="Arial" pitchFamily="34" charset="0"/>
            </a:rPr>
            <a:t> </a:t>
          </a:r>
          <a:r>
            <a:rPr lang="en-US" sz="2000" b="1">
              <a:latin typeface="Arial" pitchFamily="34" charset="0"/>
              <a:cs typeface="Arial" pitchFamily="34" charset="0"/>
            </a:rPr>
            <a:t>INS</a:t>
          </a:r>
          <a:r>
            <a:rPr lang="ru-RU" sz="1800">
              <a:latin typeface="Arial" pitchFamily="34" charset="0"/>
              <a:cs typeface="Arial" pitchFamily="34" charset="0"/>
            </a:rPr>
            <a:t> (млрд руб 1995 г.)  </a:t>
          </a:r>
        </a:p>
      </cdr:txBody>
    </cdr:sp>
  </cdr:relSizeAnchor>
</c:userShapes>
</file>

<file path=xl/drawings/drawing93.xml><?xml version="1.0" encoding="utf-8"?>
<c:userShapes xmlns:c="http://schemas.openxmlformats.org/drawingml/2006/chart">
  <cdr:relSizeAnchor xmlns:cdr="http://schemas.openxmlformats.org/drawingml/2006/chartDrawing">
    <cdr:from>
      <cdr:x>0.08002</cdr:x>
      <cdr:y>0.03148</cdr:y>
    </cdr:from>
    <cdr:to>
      <cdr:x>0.16463</cdr:x>
      <cdr:y>0.09005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675175" y="287353"/>
          <a:ext cx="713888" cy="5346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</a:t>
          </a:r>
        </a:p>
      </cdr:txBody>
    </cdr:sp>
  </cdr:relSizeAnchor>
  <cdr:relSizeAnchor xmlns:cdr="http://schemas.openxmlformats.org/drawingml/2006/chartDrawing">
    <cdr:from>
      <cdr:x>0.20074</cdr:x>
      <cdr:y>0.12569</cdr:y>
    </cdr:from>
    <cdr:to>
      <cdr:x>0.82951</cdr:x>
      <cdr:y>0.21881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1928943" y="1448208"/>
          <a:ext cx="6042123" cy="10729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</a:t>
          </a:r>
          <a:r>
            <a:rPr lang="ru-RU" sz="2800" b="1">
              <a:latin typeface="Arial" pitchFamily="34" charset="0"/>
              <a:cs typeface="Arial" pitchFamily="34" charset="0"/>
            </a:rPr>
            <a:t>ДИНАМИКА</a:t>
          </a:r>
          <a:r>
            <a:rPr lang="ru-RU" sz="2800" b="1" baseline="0">
              <a:latin typeface="Arial" pitchFamily="34" charset="0"/>
              <a:cs typeface="Arial" pitchFamily="34" charset="0"/>
            </a:rPr>
            <a:t>  ИН</a:t>
          </a:r>
          <a:r>
            <a:rPr lang="ru-RU" sz="2800" b="1">
              <a:latin typeface="Arial" pitchFamily="34" charset="0"/>
              <a:cs typeface="Arial" pitchFamily="34" charset="0"/>
            </a:rPr>
            <a:t>ВЕСТИЦИЙ</a:t>
          </a:r>
          <a:r>
            <a:rPr lang="en-US" sz="2800" b="1">
              <a:latin typeface="Arial" pitchFamily="34" charset="0"/>
              <a:cs typeface="Arial" pitchFamily="34" charset="0"/>
            </a:rPr>
            <a:t> </a:t>
          </a:r>
          <a:r>
            <a:rPr lang="ru-RU" sz="2800" b="1">
              <a:latin typeface="Arial" pitchFamily="34" charset="0"/>
              <a:cs typeface="Arial" pitchFamily="34" charset="0"/>
            </a:rPr>
            <a:t> В ОК</a:t>
          </a:r>
          <a:r>
            <a:rPr lang="en-US" sz="2800" b="1">
              <a:latin typeface="Arial" pitchFamily="34" charset="0"/>
              <a:cs typeface="Arial" pitchFamily="34" charset="0"/>
            </a:rPr>
            <a:t> </a:t>
          </a:r>
        </a:p>
        <a:p xmlns:a="http://schemas.openxmlformats.org/drawingml/2006/main">
          <a:r>
            <a:rPr lang="en-US" sz="2800" b="1">
              <a:latin typeface="Arial" pitchFamily="34" charset="0"/>
              <a:cs typeface="Arial" pitchFamily="34" charset="0"/>
            </a:rPr>
            <a:t>               </a:t>
          </a:r>
          <a:r>
            <a:rPr lang="ru-RU" sz="2800" b="1">
              <a:latin typeface="Arial" pitchFamily="34" charset="0"/>
              <a:cs typeface="Arial" pitchFamily="34" charset="0"/>
            </a:rPr>
            <a:t>в ценах 1995г.</a:t>
          </a:r>
          <a:endParaRPr lang="en-US" sz="28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en-US" sz="2000" b="0">
              <a:latin typeface="Arial" pitchFamily="34" charset="0"/>
              <a:cs typeface="Arial" pitchFamily="34" charset="0"/>
            </a:rPr>
            <a:t> </a:t>
          </a:r>
          <a:endParaRPr lang="ru-RU" sz="2000" b="0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en-US" sz="2000" b="1">
              <a:latin typeface="Arial" pitchFamily="34" charset="0"/>
              <a:cs typeface="Arial" pitchFamily="34" charset="0"/>
            </a:rPr>
            <a:t>               </a:t>
          </a:r>
          <a:endParaRPr lang="ru-RU" sz="20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0.66296</cdr:x>
      <cdr:y>0.86793</cdr:y>
    </cdr:from>
    <cdr:to>
      <cdr:x>0.85795</cdr:x>
      <cdr:y>0.91156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C62E565B-F758-4D5E-85D4-ACC5727F5068}"/>
            </a:ext>
          </a:extLst>
        </cdr:cNvPr>
        <cdr:cNvSpPr txBox="1"/>
      </cdr:nvSpPr>
      <cdr:spPr>
        <a:xfrm xmlns:a="http://schemas.openxmlformats.org/drawingml/2006/main">
          <a:off x="6370603" y="10000353"/>
          <a:ext cx="1873731" cy="5027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baseline="0">
              <a:latin typeface="Arial" pitchFamily="34" charset="0"/>
              <a:cs typeface="Arial" pitchFamily="34" charset="0"/>
            </a:rPr>
            <a:t>  </a:t>
          </a:r>
          <a:r>
            <a:rPr lang="ru-RU" sz="1800" baseline="0">
              <a:latin typeface="Arial" pitchFamily="34" charset="0"/>
              <a:cs typeface="Arial" pitchFamily="34" charset="0"/>
            </a:rPr>
            <a:t>фактор  </a:t>
          </a:r>
          <a:r>
            <a:rPr lang="ru-RU" sz="1800" b="1" baseline="0">
              <a:latin typeface="Arial" pitchFamily="34" charset="0"/>
              <a:cs typeface="Arial" pitchFamily="34" charset="0"/>
            </a:rPr>
            <a:t>- </a:t>
          </a:r>
          <a:r>
            <a:rPr lang="ru-RU" sz="2400" b="1" baseline="0">
              <a:latin typeface="Arial" pitchFamily="34" charset="0"/>
              <a:cs typeface="Arial" pitchFamily="34" charset="0"/>
            </a:rPr>
            <a:t>время</a:t>
          </a:r>
          <a:endParaRPr lang="ru-RU" sz="24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0.73286</cdr:x>
      <cdr:y>0.44173</cdr:y>
    </cdr:from>
    <cdr:to>
      <cdr:x>0.87583</cdr:x>
      <cdr:y>0.48717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C05C57E-6B9F-4CA9-9390-B31B20F966A5}"/>
            </a:ext>
          </a:extLst>
        </cdr:cNvPr>
        <cdr:cNvSpPr txBox="1"/>
      </cdr:nvSpPr>
      <cdr:spPr>
        <a:xfrm xmlns:a="http://schemas.openxmlformats.org/drawingml/2006/main">
          <a:off x="8636152" y="4698305"/>
          <a:ext cx="1684793" cy="48331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ПРОГНОЗ</a:t>
          </a:r>
          <a:r>
            <a:rPr lang="en-US" sz="1800" baseline="0">
              <a:latin typeface="Arial" pitchFamily="34" charset="0"/>
              <a:cs typeface="Arial" pitchFamily="34" charset="0"/>
            </a:rPr>
            <a:t> </a:t>
          </a:r>
          <a:r>
            <a:rPr lang="ru-RU" sz="1600" b="0">
              <a:latin typeface="Arial" pitchFamily="34" charset="0"/>
              <a:cs typeface="Arial" pitchFamily="34" charset="0"/>
            </a:rPr>
            <a:t> </a:t>
          </a:r>
          <a:r>
            <a:rPr lang="ru-RU" sz="1800" b="0">
              <a:latin typeface="Arial" pitchFamily="34" charset="0"/>
              <a:cs typeface="Arial" pitchFamily="34" charset="0"/>
            </a:rPr>
            <a:t> </a:t>
          </a:r>
        </a:p>
      </cdr:txBody>
    </cdr:sp>
  </cdr:relSizeAnchor>
  <cdr:relSizeAnchor xmlns:cdr="http://schemas.openxmlformats.org/drawingml/2006/chartDrawing">
    <cdr:from>
      <cdr:x>0.0954</cdr:x>
      <cdr:y>0.04508</cdr:y>
    </cdr:from>
    <cdr:to>
      <cdr:x>0.46024</cdr:x>
      <cdr:y>0.08858</cdr:y>
    </cdr:to>
    <cdr:sp macro="" textlink="">
      <cdr:nvSpPr>
        <cdr:cNvPr id="9" name="TextBox 5">
          <a:extLst xmlns:a="http://schemas.openxmlformats.org/drawingml/2006/main">
            <a:ext uri="{FF2B5EF4-FFF2-40B4-BE49-F238E27FC236}">
              <a16:creationId xmlns:a16="http://schemas.microsoft.com/office/drawing/2014/main" id="{71F1EE7D-ED1E-453C-A8EA-CE26BCBCF352}"/>
            </a:ext>
          </a:extLst>
        </cdr:cNvPr>
        <cdr:cNvSpPr txBox="1"/>
      </cdr:nvSpPr>
      <cdr:spPr>
        <a:xfrm xmlns:a="http://schemas.openxmlformats.org/drawingml/2006/main">
          <a:off x="805267" y="411496"/>
          <a:ext cx="3079573" cy="3970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>
              <a:latin typeface="Arial" pitchFamily="34" charset="0"/>
              <a:cs typeface="Arial" pitchFamily="34" charset="0"/>
            </a:rPr>
            <a:t> </a:t>
          </a:r>
          <a:r>
            <a:rPr lang="en-US" sz="2400" b="1">
              <a:latin typeface="Arial" pitchFamily="34" charset="0"/>
              <a:cs typeface="Arial" pitchFamily="34" charset="0"/>
            </a:rPr>
            <a:t>INS</a:t>
          </a:r>
          <a:r>
            <a:rPr lang="ru-RU" sz="2000">
              <a:latin typeface="Arial" pitchFamily="34" charset="0"/>
              <a:cs typeface="Arial" pitchFamily="34" charset="0"/>
            </a:rPr>
            <a:t> (млрд руб 1995 г.)  </a:t>
          </a:r>
          <a:endParaRPr lang="ru-RU" sz="1800">
            <a:latin typeface="Arial" pitchFamily="34" charset="0"/>
            <a:cs typeface="Arial" pitchFamily="34" charset="0"/>
          </a:endParaRPr>
        </a:p>
      </cdr:txBody>
    </cdr:sp>
  </cdr:relSizeAnchor>
</c:userShapes>
</file>

<file path=xl/drawings/drawing94.xml><?xml version="1.0" encoding="utf-8"?>
<c:userShapes xmlns:c="http://schemas.openxmlformats.org/drawingml/2006/chart"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0.15129</cdr:x>
      <cdr:y>0.14415</cdr:y>
    </cdr:from>
    <cdr:to>
      <cdr:x>0.9434</cdr:x>
      <cdr:y>0.26037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1272902" y="1262575"/>
          <a:ext cx="6664615" cy="10179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 РЕГРЕССИЯ ДОХОДОВ КОНСОЛИДИРОВАННОГО </a:t>
          </a:r>
        </a:p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                                     БЮДЖЕТА </a:t>
          </a:r>
          <a:r>
            <a:rPr lang="en-US" sz="2000" b="1">
              <a:latin typeface="Arial" pitchFamily="34" charset="0"/>
              <a:cs typeface="Arial" pitchFamily="34" charset="0"/>
            </a:rPr>
            <a:t>                     </a:t>
          </a:r>
          <a:endParaRPr lang="ru-RU" sz="20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0.68985</cdr:x>
      <cdr:y>0.86401</cdr:y>
    </cdr:from>
    <cdr:to>
      <cdr:x>0.95781</cdr:x>
      <cdr:y>0.90764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C62E565B-F758-4D5E-85D4-ACC5727F5068}"/>
            </a:ext>
          </a:extLst>
        </cdr:cNvPr>
        <cdr:cNvSpPr txBox="1"/>
      </cdr:nvSpPr>
      <cdr:spPr>
        <a:xfrm xmlns:a="http://schemas.openxmlformats.org/drawingml/2006/main">
          <a:off x="5905500" y="6654786"/>
          <a:ext cx="2293922" cy="33604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baseline="0">
              <a:latin typeface="Arial" pitchFamily="34" charset="0"/>
              <a:cs typeface="Arial" pitchFamily="34" charset="0"/>
            </a:rPr>
            <a:t>  </a:t>
          </a:r>
          <a:r>
            <a:rPr lang="ru-RU" sz="1800" baseline="0">
              <a:latin typeface="Arial" pitchFamily="34" charset="0"/>
              <a:cs typeface="Arial" pitchFamily="34" charset="0"/>
            </a:rPr>
            <a:t>фактор  </a:t>
          </a:r>
          <a:r>
            <a:rPr lang="ru-RU" sz="1800" b="1" baseline="0">
              <a:latin typeface="Arial" pitchFamily="34" charset="0"/>
              <a:cs typeface="Arial" pitchFamily="34" charset="0"/>
            </a:rPr>
            <a:t>- </a:t>
          </a:r>
          <a:r>
            <a:rPr lang="en-US" sz="1800" b="1" baseline="0">
              <a:latin typeface="Arial" pitchFamily="34" charset="0"/>
              <a:cs typeface="Arial" pitchFamily="34" charset="0"/>
            </a:rPr>
            <a:t> EXM</a:t>
          </a:r>
          <a:endParaRPr lang="ru-RU" sz="18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0.12572</cdr:x>
      <cdr:y>0.03588</cdr:y>
    </cdr:from>
    <cdr:to>
      <cdr:x>0.31954</cdr:x>
      <cdr:y>0.09163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C05C57E-6B9F-4CA9-9390-B31B20F966A5}"/>
            </a:ext>
          </a:extLst>
        </cdr:cNvPr>
        <cdr:cNvSpPr txBox="1"/>
      </cdr:nvSpPr>
      <cdr:spPr>
        <a:xfrm xmlns:a="http://schemas.openxmlformats.org/drawingml/2006/main">
          <a:off x="1057802" y="314316"/>
          <a:ext cx="1630753" cy="48831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2400">
              <a:latin typeface="Arial" pitchFamily="34" charset="0"/>
              <a:cs typeface="Arial" pitchFamily="34" charset="0"/>
            </a:rPr>
            <a:t>DBJ</a:t>
          </a:r>
          <a:r>
            <a:rPr lang="ru-RU" sz="2400">
              <a:latin typeface="Arial" pitchFamily="34" charset="0"/>
              <a:cs typeface="Arial" pitchFamily="34" charset="0"/>
            </a:rPr>
            <a:t> </a:t>
          </a:r>
          <a:r>
            <a:rPr lang="ru-RU" sz="1800">
              <a:latin typeface="Arial" pitchFamily="34" charset="0"/>
              <a:cs typeface="Arial" pitchFamily="34" charset="0"/>
            </a:rPr>
            <a:t>(млрд</a:t>
          </a:r>
          <a:r>
            <a:rPr lang="ru-RU" sz="1800" baseline="0">
              <a:latin typeface="Arial" pitchFamily="34" charset="0"/>
              <a:cs typeface="Arial" pitchFamily="34" charset="0"/>
            </a:rPr>
            <a:t> руб)</a:t>
          </a:r>
          <a:r>
            <a:rPr lang="ru-RU" sz="1800">
              <a:latin typeface="Arial" pitchFamily="34" charset="0"/>
              <a:cs typeface="Arial" pitchFamily="34" charset="0"/>
            </a:rPr>
            <a:t> </a:t>
          </a:r>
          <a:r>
            <a:rPr lang="ru-RU" sz="1400">
              <a:latin typeface="Arial" pitchFamily="34" charset="0"/>
              <a:cs typeface="Arial" pitchFamily="34" charset="0"/>
            </a:rPr>
            <a:t> </a:t>
          </a:r>
          <a:endParaRPr lang="ru-RU" sz="1800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0.73704</cdr:x>
      <cdr:y>0.43522</cdr:y>
    </cdr:from>
    <cdr:to>
      <cdr:x>0.84832</cdr:x>
      <cdr:y>0.47741</cdr:y>
    </cdr:to>
    <cdr:sp macro="" textlink="">
      <cdr:nvSpPr>
        <cdr:cNvPr id="9" name="TextBox 5">
          <a:extLst xmlns:a="http://schemas.openxmlformats.org/drawingml/2006/main">
            <a:ext uri="{FF2B5EF4-FFF2-40B4-BE49-F238E27FC236}">
              <a16:creationId xmlns:a16="http://schemas.microsoft.com/office/drawing/2014/main" id="{71F1EE7D-ED1E-453C-A8EA-CE26BCBCF352}"/>
            </a:ext>
          </a:extLst>
        </cdr:cNvPr>
        <cdr:cNvSpPr txBox="1"/>
      </cdr:nvSpPr>
      <cdr:spPr>
        <a:xfrm xmlns:a="http://schemas.openxmlformats.org/drawingml/2006/main">
          <a:off x="6201304" y="3812131"/>
          <a:ext cx="936282" cy="36954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2000">
              <a:latin typeface="Arial" pitchFamily="34" charset="0"/>
              <a:cs typeface="Arial" pitchFamily="34" charset="0"/>
            </a:rPr>
            <a:t>Тренд </a:t>
          </a:r>
          <a:r>
            <a:rPr lang="ru-RU" sz="1800">
              <a:latin typeface="Arial" pitchFamily="34" charset="0"/>
              <a:cs typeface="Arial" pitchFamily="34" charset="0"/>
            </a:rPr>
            <a:t> </a:t>
          </a:r>
        </a:p>
      </cdr:txBody>
    </cdr:sp>
  </cdr:relSizeAnchor>
  <cdr:relSizeAnchor xmlns:cdr="http://schemas.openxmlformats.org/drawingml/2006/chartDrawing">
    <cdr:from>
      <cdr:x>0.6917</cdr:x>
      <cdr:y>0.33113</cdr:y>
    </cdr:from>
    <cdr:to>
      <cdr:x>0.76085</cdr:x>
      <cdr:y>0.36964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5819824" y="2900390"/>
          <a:ext cx="581811" cy="33731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400">
              <a:latin typeface="Arial" panose="020B0604020202020204" pitchFamily="34" charset="0"/>
              <a:cs typeface="Arial" panose="020B0604020202020204" pitchFamily="34" charset="0"/>
            </a:rPr>
            <a:t>201</a:t>
          </a:r>
          <a:r>
            <a:rPr lang="en-US" sz="1400">
              <a:latin typeface="Arial" panose="020B0604020202020204" pitchFamily="34" charset="0"/>
              <a:cs typeface="Arial" panose="020B0604020202020204" pitchFamily="34" charset="0"/>
            </a:rPr>
            <a:t>8</a:t>
          </a:r>
          <a:endParaRPr lang="ru-RU" sz="14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0.55224</cdr:x>
      <cdr:y>0.54082</cdr:y>
    </cdr:from>
    <cdr:to>
      <cdr:x>0.61253</cdr:x>
      <cdr:y>0.57583</cdr:y>
    </cdr:to>
    <cdr:sp macro="" textlink="">
      <cdr:nvSpPr>
        <cdr:cNvPr id="6" name="TextBox 5"/>
        <cdr:cNvSpPr txBox="1"/>
      </cdr:nvSpPr>
      <cdr:spPr>
        <a:xfrm xmlns:a="http://schemas.openxmlformats.org/drawingml/2006/main">
          <a:off x="4646382" y="4737078"/>
          <a:ext cx="507265" cy="30665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400">
              <a:latin typeface="Arial" panose="020B0604020202020204" pitchFamily="34" charset="0"/>
              <a:cs typeface="Arial" panose="020B0604020202020204" pitchFamily="34" charset="0"/>
            </a:rPr>
            <a:t>201</a:t>
          </a:r>
          <a:r>
            <a:rPr lang="en-US" sz="1400">
              <a:latin typeface="Arial" panose="020B0604020202020204" pitchFamily="34" charset="0"/>
              <a:cs typeface="Arial" panose="020B0604020202020204" pitchFamily="34" charset="0"/>
            </a:rPr>
            <a:t>5</a:t>
          </a:r>
          <a:endParaRPr lang="ru-RU" sz="14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0.1117</cdr:x>
      <cdr:y>0.84497</cdr:y>
    </cdr:from>
    <cdr:to>
      <cdr:x>0.21383</cdr:x>
      <cdr:y>0.94579</cdr:y>
    </cdr:to>
    <cdr:sp macro="" textlink="">
      <cdr:nvSpPr>
        <cdr:cNvPr id="8" name="TextBox 7"/>
        <cdr:cNvSpPr txBox="1"/>
      </cdr:nvSpPr>
      <cdr:spPr>
        <a:xfrm xmlns:a="http://schemas.openxmlformats.org/drawingml/2006/main">
          <a:off x="1000125" y="7663657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ru-RU" sz="1100"/>
        </a:p>
      </cdr:txBody>
    </cdr:sp>
  </cdr:relSizeAnchor>
  <cdr:relSizeAnchor xmlns:cdr="http://schemas.openxmlformats.org/drawingml/2006/chartDrawing">
    <cdr:from>
      <cdr:x>0.10816</cdr:x>
      <cdr:y>0.84322</cdr:y>
    </cdr:from>
    <cdr:to>
      <cdr:x>0.17021</cdr:x>
      <cdr:y>0.88523</cdr:y>
    </cdr:to>
    <cdr:sp macro="" textlink="">
      <cdr:nvSpPr>
        <cdr:cNvPr id="10" name="TextBox 9"/>
        <cdr:cNvSpPr txBox="1"/>
      </cdr:nvSpPr>
      <cdr:spPr>
        <a:xfrm xmlns:a="http://schemas.openxmlformats.org/drawingml/2006/main">
          <a:off x="968375" y="7647782"/>
          <a:ext cx="555625" cy="381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400">
              <a:latin typeface="Arial" panose="020B0604020202020204" pitchFamily="34" charset="0"/>
              <a:cs typeface="Arial" panose="020B0604020202020204" pitchFamily="34" charset="0"/>
            </a:rPr>
            <a:t>2006</a:t>
          </a:r>
        </a:p>
      </cdr:txBody>
    </cdr:sp>
  </cdr:relSizeAnchor>
</c:userShapes>
</file>

<file path=xl/drawings/drawing95.xml><?xml version="1.0" encoding="utf-8"?>
<c:userShapes xmlns:c="http://schemas.openxmlformats.org/drawingml/2006/chart"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0.18573</cdr:x>
      <cdr:y>0.08383</cdr:y>
    </cdr:from>
    <cdr:to>
      <cdr:x>0.93527</cdr:x>
      <cdr:y>0.17268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1521200" y="751666"/>
          <a:ext cx="6139177" cy="79668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algn="ctr"/>
          <a:r>
            <a:rPr lang="ru-RU" sz="2000" b="0" baseline="0">
              <a:latin typeface="Arial" pitchFamily="34" charset="0"/>
              <a:cs typeface="Arial" pitchFamily="34" charset="0"/>
            </a:rPr>
            <a:t>БАЗИСНЫЙ ТЕМП</a:t>
          </a:r>
        </a:p>
        <a:p xmlns:a="http://schemas.openxmlformats.org/drawingml/2006/main">
          <a:pPr algn="ctr"/>
          <a:r>
            <a:rPr lang="ru-RU" sz="2000" b="0">
              <a:latin typeface="Arial" pitchFamily="34" charset="0"/>
              <a:cs typeface="Arial" pitchFamily="34" charset="0"/>
            </a:rPr>
            <a:t> МОДИФИЦИРОВАННОГО ЭКСПОРТА</a:t>
          </a:r>
        </a:p>
        <a:p xmlns:a="http://schemas.openxmlformats.org/drawingml/2006/main">
          <a:pPr algn="ctr"/>
          <a:r>
            <a:rPr lang="ru-RU" sz="2000" b="1">
              <a:latin typeface="Arial" pitchFamily="34" charset="0"/>
              <a:cs typeface="Arial" pitchFamily="34" charset="0"/>
            </a:rPr>
            <a:t> </a:t>
          </a:r>
        </a:p>
      </cdr:txBody>
    </cdr:sp>
  </cdr:relSizeAnchor>
  <cdr:relSizeAnchor xmlns:cdr="http://schemas.openxmlformats.org/drawingml/2006/chartDrawing">
    <cdr:from>
      <cdr:x>0.67517</cdr:x>
      <cdr:y>0.86176</cdr:y>
    </cdr:from>
    <cdr:to>
      <cdr:x>0.96282</cdr:x>
      <cdr:y>0.90249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C62E565B-F758-4D5E-85D4-ACC5727F5068}"/>
            </a:ext>
          </a:extLst>
        </cdr:cNvPr>
        <cdr:cNvSpPr txBox="1"/>
      </cdr:nvSpPr>
      <cdr:spPr>
        <a:xfrm xmlns:a="http://schemas.openxmlformats.org/drawingml/2006/main">
          <a:off x="5477054" y="7351834"/>
          <a:ext cx="2333446" cy="34754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baseline="0">
              <a:latin typeface="Arial" pitchFamily="34" charset="0"/>
              <a:cs typeface="Arial" pitchFamily="34" charset="0"/>
            </a:rPr>
            <a:t>  </a:t>
          </a:r>
          <a:r>
            <a:rPr lang="ru-RU" sz="1800" baseline="0">
              <a:latin typeface="Arial" pitchFamily="34" charset="0"/>
              <a:cs typeface="Arial" pitchFamily="34" charset="0"/>
            </a:rPr>
            <a:t>фактор  </a:t>
          </a:r>
          <a:r>
            <a:rPr lang="ru-RU" sz="1800" b="1" baseline="0">
              <a:latin typeface="Arial" pitchFamily="34" charset="0"/>
              <a:cs typeface="Arial" pitchFamily="34" charset="0"/>
            </a:rPr>
            <a:t>- Время</a:t>
          </a:r>
          <a:endParaRPr lang="ru-RU" sz="18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0.09594</cdr:x>
      <cdr:y>0.04286</cdr:y>
    </cdr:from>
    <cdr:to>
      <cdr:x>0.23238</cdr:x>
      <cdr:y>0.10479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C05C57E-6B9F-4CA9-9390-B31B20F966A5}"/>
            </a:ext>
          </a:extLst>
        </cdr:cNvPr>
        <cdr:cNvSpPr txBox="1"/>
      </cdr:nvSpPr>
      <cdr:spPr>
        <a:xfrm xmlns:a="http://schemas.openxmlformats.org/drawingml/2006/main">
          <a:off x="805173" y="376729"/>
          <a:ext cx="1145184" cy="5443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2400">
              <a:latin typeface="Arial" pitchFamily="34" charset="0"/>
              <a:cs typeface="Arial" pitchFamily="34" charset="0"/>
            </a:rPr>
            <a:t>Pem</a:t>
          </a:r>
          <a:r>
            <a:rPr lang="ru-RU" sz="1800">
              <a:latin typeface="Arial" pitchFamily="34" charset="0"/>
              <a:cs typeface="Arial" pitchFamily="34" charset="0"/>
            </a:rPr>
            <a:t>   </a:t>
          </a:r>
        </a:p>
      </cdr:txBody>
    </cdr:sp>
  </cdr:relSizeAnchor>
  <cdr:relSizeAnchor xmlns:cdr="http://schemas.openxmlformats.org/drawingml/2006/chartDrawing">
    <cdr:from>
      <cdr:x>0.58904</cdr:x>
      <cdr:y>0.59976</cdr:y>
    </cdr:from>
    <cdr:to>
      <cdr:x>0.92951</cdr:x>
      <cdr:y>0.66788</cdr:y>
    </cdr:to>
    <cdr:sp macro="" textlink="">
      <cdr:nvSpPr>
        <cdr:cNvPr id="6" name="TextBox 5"/>
        <cdr:cNvSpPr txBox="1"/>
      </cdr:nvSpPr>
      <cdr:spPr>
        <a:xfrm xmlns:a="http://schemas.openxmlformats.org/drawingml/2006/main">
          <a:off x="4824578" y="5377826"/>
          <a:ext cx="2788651" cy="6108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/>
        <a:p xmlns:a="http://schemas.openxmlformats.org/drawingml/2006/main">
          <a:endParaRPr lang="ru-RU" sz="2000">
            <a:latin typeface="Arial" pitchFamily="34" charset="0"/>
            <a:cs typeface="Arial" pitchFamily="34" charset="0"/>
          </a:endParaRPr>
        </a:p>
      </cdr:txBody>
    </cdr:sp>
  </cdr:relSizeAnchor>
</c:userShapes>
</file>

<file path=xl/drawings/drawing96.xml><?xml version="1.0" encoding="utf-8"?>
<c:userShapes xmlns:c="http://schemas.openxmlformats.org/drawingml/2006/chart"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>
              <a:latin typeface="Arial" pitchFamily="34" charset="0"/>
              <a:cs typeface="Arial" pitchFamily="34" charset="0"/>
            </a:rPr>
            <a:t> </a:t>
          </a:r>
          <a:r>
            <a:rPr lang="ru-RU" sz="1800">
              <a:latin typeface="Arial" pitchFamily="34" charset="0"/>
              <a:cs typeface="Arial" pitchFamily="34" charset="0"/>
            </a:rPr>
            <a:t> </a:t>
          </a:r>
        </a:p>
      </cdr:txBody>
    </cdr:sp>
  </cdr:relSizeAnchor>
  <cdr:relSizeAnchor xmlns:cdr="http://schemas.openxmlformats.org/drawingml/2006/chartDrawing">
    <cdr:from>
      <cdr:x>0.16279</cdr:x>
      <cdr:y>0.10837</cdr:y>
    </cdr:from>
    <cdr:to>
      <cdr:x>0.86762</cdr:x>
      <cdr:y>0.28183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1444623" y="946134"/>
          <a:ext cx="6254751" cy="1514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ФАКТОР БАЗИСНОГО ДЕФЛЯТОРА  ИМПОРТА</a:t>
          </a:r>
        </a:p>
        <a:p xmlns:a="http://schemas.openxmlformats.org/drawingml/2006/main"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en-US" sz="2000" b="1">
              <a:latin typeface="Arial" pitchFamily="34" charset="0"/>
              <a:cs typeface="Arial" pitchFamily="34" charset="0"/>
            </a:rPr>
            <a:t>                    FA</a:t>
          </a:r>
          <a:r>
            <a:rPr lang="en-US" sz="2000" b="1" baseline="0">
              <a:latin typeface="Arial" pitchFamily="34" charset="0"/>
              <a:cs typeface="Arial" pitchFamily="34" charset="0"/>
            </a:rPr>
            <a:t> = 0,25*WK + 0,75*IPC</a:t>
          </a:r>
          <a:r>
            <a:rPr lang="ru-RU" sz="2000" b="1">
              <a:latin typeface="Arial" pitchFamily="34" charset="0"/>
              <a:cs typeface="Arial" pitchFamily="34" charset="0"/>
            </a:rPr>
            <a:t> </a:t>
          </a:r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en-US" sz="2000" b="1">
              <a:latin typeface="Arial" pitchFamily="34" charset="0"/>
              <a:cs typeface="Arial" pitchFamily="34" charset="0"/>
            </a:rPr>
            <a:t>                    Dm = 0,6044*FA - 2,3458</a:t>
          </a:r>
          <a:endParaRPr lang="ru-RU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</a:t>
          </a:r>
          <a:endParaRPr lang="en-US" sz="2000" b="1" baseline="0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en-US" sz="2000" b="1" baseline="0">
              <a:latin typeface="Arial" pitchFamily="34" charset="0"/>
              <a:cs typeface="Arial" pitchFamily="34" charset="0"/>
            </a:rPr>
            <a:t> </a:t>
          </a:r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en-US" sz="2000" b="1">
              <a:latin typeface="Arial" pitchFamily="34" charset="0"/>
              <a:cs typeface="Arial" pitchFamily="34" charset="0"/>
            </a:rPr>
            <a:t>                     </a:t>
          </a:r>
          <a:endParaRPr lang="ru-RU" sz="20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0.68985</cdr:x>
      <cdr:y>0.86401</cdr:y>
    </cdr:from>
    <cdr:to>
      <cdr:x>0.95781</cdr:x>
      <cdr:y>0.90764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C62E565B-F758-4D5E-85D4-ACC5727F5068}"/>
            </a:ext>
          </a:extLst>
        </cdr:cNvPr>
        <cdr:cNvSpPr txBox="1"/>
      </cdr:nvSpPr>
      <cdr:spPr>
        <a:xfrm xmlns:a="http://schemas.openxmlformats.org/drawingml/2006/main">
          <a:off x="5905500" y="6654786"/>
          <a:ext cx="2293922" cy="33604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baseline="0">
              <a:latin typeface="Arial" pitchFamily="34" charset="0"/>
              <a:cs typeface="Arial" pitchFamily="34" charset="0"/>
            </a:rPr>
            <a:t>  </a:t>
          </a:r>
          <a:r>
            <a:rPr lang="ru-RU" sz="1800" baseline="0">
              <a:latin typeface="Arial" pitchFamily="34" charset="0"/>
              <a:cs typeface="Arial" pitchFamily="34" charset="0"/>
            </a:rPr>
            <a:t>фактор  </a:t>
          </a:r>
          <a:r>
            <a:rPr lang="ru-RU" sz="1800" b="1" baseline="0">
              <a:latin typeface="Arial" pitchFamily="34" charset="0"/>
              <a:cs typeface="Arial" pitchFamily="34" charset="0"/>
            </a:rPr>
            <a:t>- </a:t>
          </a:r>
          <a:r>
            <a:rPr lang="en-US" sz="1800" b="1" baseline="0">
              <a:latin typeface="Arial" pitchFamily="34" charset="0"/>
              <a:cs typeface="Arial" pitchFamily="34" charset="0"/>
            </a:rPr>
            <a:t> </a:t>
          </a:r>
          <a:r>
            <a:rPr lang="ru-RU" sz="1800" b="1" baseline="0">
              <a:latin typeface="Arial" pitchFamily="34" charset="0"/>
              <a:cs typeface="Arial" pitchFamily="34" charset="0"/>
            </a:rPr>
            <a:t>Время</a:t>
          </a:r>
          <a:endParaRPr lang="ru-RU" sz="18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0.08044</cdr:x>
      <cdr:y>0.03226</cdr:y>
    </cdr:from>
    <cdr:to>
      <cdr:x>0.27426</cdr:x>
      <cdr:y>0.08801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C05C57E-6B9F-4CA9-9390-B31B20F966A5}"/>
            </a:ext>
          </a:extLst>
        </cdr:cNvPr>
        <cdr:cNvSpPr txBox="1"/>
      </cdr:nvSpPr>
      <cdr:spPr>
        <a:xfrm xmlns:a="http://schemas.openxmlformats.org/drawingml/2006/main">
          <a:off x="778231" y="290592"/>
          <a:ext cx="1875162" cy="50218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2400">
              <a:latin typeface="Arial" pitchFamily="34" charset="0"/>
              <a:cs typeface="Arial" pitchFamily="34" charset="0"/>
            </a:rPr>
            <a:t>FA</a:t>
          </a:r>
          <a:r>
            <a:rPr lang="ru-RU" sz="2400">
              <a:latin typeface="Arial" pitchFamily="34" charset="0"/>
              <a:cs typeface="Arial" pitchFamily="34" charset="0"/>
            </a:rPr>
            <a:t> </a:t>
          </a:r>
          <a:r>
            <a:rPr lang="ru-RU" sz="1800">
              <a:latin typeface="Arial" pitchFamily="34" charset="0"/>
              <a:cs typeface="Arial" pitchFamily="34" charset="0"/>
            </a:rPr>
            <a:t> </a:t>
          </a:r>
          <a:r>
            <a:rPr lang="ru-RU" sz="1400">
              <a:latin typeface="Arial" pitchFamily="34" charset="0"/>
              <a:cs typeface="Arial" pitchFamily="34" charset="0"/>
            </a:rPr>
            <a:t> </a:t>
          </a:r>
          <a:endParaRPr lang="ru-RU" sz="1800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0.75545</cdr:x>
      <cdr:y>0.73407</cdr:y>
    </cdr:from>
    <cdr:to>
      <cdr:x>0.94022</cdr:x>
      <cdr:y>0.77809</cdr:y>
    </cdr:to>
    <cdr:sp macro="" textlink="">
      <cdr:nvSpPr>
        <cdr:cNvPr id="9" name="TextBox 5">
          <a:extLst xmlns:a="http://schemas.openxmlformats.org/drawingml/2006/main">
            <a:ext uri="{FF2B5EF4-FFF2-40B4-BE49-F238E27FC236}">
              <a16:creationId xmlns:a16="http://schemas.microsoft.com/office/drawing/2014/main" id="{71F1EE7D-ED1E-453C-A8EA-CE26BCBCF352}"/>
            </a:ext>
          </a:extLst>
        </cdr:cNvPr>
        <cdr:cNvSpPr txBox="1"/>
      </cdr:nvSpPr>
      <cdr:spPr>
        <a:xfrm xmlns:a="http://schemas.openxmlformats.org/drawingml/2006/main">
          <a:off x="6703985" y="6408996"/>
          <a:ext cx="1639672" cy="38432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2000">
              <a:latin typeface="Arial" pitchFamily="34" charset="0"/>
              <a:cs typeface="Arial" pitchFamily="34" charset="0"/>
            </a:rPr>
            <a:t>сценарий 1</a:t>
          </a:r>
          <a:r>
            <a:rPr lang="ru-RU" sz="2000" baseline="0">
              <a:latin typeface="Arial" pitchFamily="34" charset="0"/>
              <a:cs typeface="Arial" pitchFamily="34" charset="0"/>
            </a:rPr>
            <a:t> </a:t>
          </a:r>
        </a:p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</a:t>
          </a:r>
        </a:p>
      </cdr:txBody>
    </cdr:sp>
  </cdr:relSizeAnchor>
</c:userShapes>
</file>

<file path=xl/drawings/drawing97.xml><?xml version="1.0" encoding="utf-8"?>
<c:userShapes xmlns:c="http://schemas.openxmlformats.org/drawingml/2006/chart">
  <cdr:relSizeAnchor xmlns:cdr="http://schemas.openxmlformats.org/drawingml/2006/chartDrawing">
    <cdr:from>
      <cdr:x>0.22988</cdr:x>
      <cdr:y>0.11013</cdr:y>
    </cdr:from>
    <cdr:to>
      <cdr:x>0.85993</cdr:x>
      <cdr:y>0.1886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2136754" y="968566"/>
          <a:ext cx="5856369" cy="69009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СРАВНЕНИЕ</a:t>
          </a:r>
          <a:r>
            <a:rPr lang="ru-RU" sz="2000" b="1" baseline="0">
              <a:latin typeface="Arial" pitchFamily="34" charset="0"/>
              <a:cs typeface="Arial" pitchFamily="34" charset="0"/>
            </a:rPr>
            <a:t> </a:t>
          </a:r>
          <a:r>
            <a:rPr lang="ru-RU" sz="2000" b="1">
              <a:latin typeface="Arial" pitchFamily="34" charset="0"/>
              <a:cs typeface="Arial" pitchFamily="34" charset="0"/>
            </a:rPr>
            <a:t>БАЗИСНЫХ</a:t>
          </a:r>
          <a:r>
            <a:rPr lang="ru-RU" sz="2000" b="1" baseline="0">
              <a:latin typeface="Arial" pitchFamily="34" charset="0"/>
              <a:cs typeface="Arial" pitchFamily="34" charset="0"/>
            </a:rPr>
            <a:t>  ДЕФЛЯТОРОВ</a:t>
          </a:r>
        </a:p>
        <a:p xmlns:a="http://schemas.openxmlformats.org/drawingml/2006/main">
          <a:r>
            <a:rPr lang="ru-RU" sz="2000" b="1" baseline="0">
              <a:latin typeface="Arial" pitchFamily="34" charset="0"/>
              <a:cs typeface="Arial" pitchFamily="34" charset="0"/>
            </a:rPr>
            <a:t> </a:t>
          </a:r>
          <a:r>
            <a:rPr lang="ru-RU" sz="2000" b="1">
              <a:latin typeface="Arial" pitchFamily="34" charset="0"/>
              <a:cs typeface="Arial" pitchFamily="34" charset="0"/>
            </a:rPr>
            <a:t> </a:t>
          </a:r>
          <a:r>
            <a:rPr lang="en-US" sz="2000" b="1">
              <a:latin typeface="Arial" pitchFamily="34" charset="0"/>
              <a:cs typeface="Arial" pitchFamily="34" charset="0"/>
            </a:rPr>
            <a:t> </a:t>
          </a:r>
        </a:p>
        <a:p xmlns:a="http://schemas.openxmlformats.org/drawingml/2006/main">
          <a:r>
            <a:rPr lang="en-US" sz="2000" b="1">
              <a:latin typeface="Arial" pitchFamily="34" charset="0"/>
              <a:cs typeface="Arial" pitchFamily="34" charset="0"/>
            </a:rPr>
            <a:t>  </a:t>
          </a:r>
          <a:endParaRPr lang="ru-RU" sz="20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0.7643</cdr:x>
      <cdr:y>0.86401</cdr:y>
    </cdr:from>
    <cdr:to>
      <cdr:x>0.93778</cdr:x>
      <cdr:y>0.91124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C62E565B-F758-4D5E-85D4-ACC5727F5068}"/>
            </a:ext>
          </a:extLst>
        </cdr:cNvPr>
        <cdr:cNvSpPr txBox="1"/>
      </cdr:nvSpPr>
      <cdr:spPr>
        <a:xfrm xmlns:a="http://schemas.openxmlformats.org/drawingml/2006/main">
          <a:off x="7189030" y="7598752"/>
          <a:ext cx="1631788" cy="41538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2000" baseline="0">
              <a:latin typeface="Arial" pitchFamily="34" charset="0"/>
              <a:cs typeface="Arial" pitchFamily="34" charset="0"/>
            </a:rPr>
            <a:t>  </a:t>
          </a:r>
          <a:r>
            <a:rPr lang="ru-RU" sz="2000" b="1" baseline="0">
              <a:latin typeface="Arial" pitchFamily="34" charset="0"/>
              <a:cs typeface="Arial" pitchFamily="34" charset="0"/>
            </a:rPr>
            <a:t>    ВРЕМЯ</a:t>
          </a:r>
          <a:endParaRPr lang="ru-RU" sz="20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0.10471</cdr:x>
      <cdr:y>0.21101</cdr:y>
    </cdr:from>
    <cdr:to>
      <cdr:x>0.52252</cdr:x>
      <cdr:y>0.50044</cdr:y>
    </cdr:to>
    <cdr:sp macro="" textlink="">
      <cdr:nvSpPr>
        <cdr:cNvPr id="9" name="TextBox 5">
          <a:extLst xmlns:a="http://schemas.openxmlformats.org/drawingml/2006/main">
            <a:ext uri="{FF2B5EF4-FFF2-40B4-BE49-F238E27FC236}">
              <a16:creationId xmlns:a16="http://schemas.microsoft.com/office/drawing/2014/main" id="{71F1EE7D-ED1E-453C-A8EA-CE26BCBCF352}"/>
            </a:ext>
          </a:extLst>
        </cdr:cNvPr>
        <cdr:cNvSpPr txBox="1"/>
      </cdr:nvSpPr>
      <cdr:spPr>
        <a:xfrm xmlns:a="http://schemas.openxmlformats.org/drawingml/2006/main">
          <a:off x="954373" y="1855747"/>
          <a:ext cx="3808128" cy="254546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2000" b="1">
              <a:latin typeface="Arial" pitchFamily="34" charset="0"/>
              <a:ea typeface="+mn-ea"/>
              <a:cs typeface="Arial" pitchFamily="34" charset="0"/>
            </a:rPr>
            <a:t>Dd = 1,26</a:t>
          </a:r>
          <a:r>
            <a:rPr lang="ru-RU" sz="2000" b="1">
              <a:latin typeface="Arial" pitchFamily="34" charset="0"/>
              <a:ea typeface="+mn-ea"/>
              <a:cs typeface="Arial" pitchFamily="34" charset="0"/>
            </a:rPr>
            <a:t>05</a:t>
          </a:r>
          <a:r>
            <a:rPr lang="en-US" sz="2000" b="1">
              <a:latin typeface="Arial" pitchFamily="34" charset="0"/>
              <a:ea typeface="+mn-ea"/>
              <a:cs typeface="Arial" pitchFamily="34" charset="0"/>
            </a:rPr>
            <a:t>*IPC</a:t>
          </a:r>
          <a:r>
            <a:rPr lang="en-US" sz="2000" b="1" baseline="0">
              <a:latin typeface="Arial" pitchFamily="34" charset="0"/>
              <a:ea typeface="+mn-ea"/>
              <a:cs typeface="Arial" pitchFamily="34" charset="0"/>
            </a:rPr>
            <a:t> - 0,4</a:t>
          </a:r>
          <a:r>
            <a:rPr lang="ru-RU" sz="2000" b="1" baseline="0">
              <a:latin typeface="Arial" pitchFamily="34" charset="0"/>
              <a:ea typeface="+mn-ea"/>
              <a:cs typeface="Arial" pitchFamily="34" charset="0"/>
            </a:rPr>
            <a:t>807</a:t>
          </a:r>
          <a:r>
            <a:rPr lang="en-US" sz="2000" b="1">
              <a:latin typeface="Arial" pitchFamily="34" charset="0"/>
              <a:ea typeface="+mn-ea"/>
              <a:cs typeface="Arial" pitchFamily="34" charset="0"/>
            </a:rPr>
            <a:t> </a:t>
          </a:r>
          <a:endParaRPr lang="ru-RU" sz="40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en-US" sz="2000" b="1">
              <a:latin typeface="Arial" pitchFamily="34" charset="0"/>
              <a:cs typeface="Arial" pitchFamily="34" charset="0"/>
            </a:rPr>
            <a:t>Dg = 2,581*IPC - 5,415</a:t>
          </a:r>
          <a:endParaRPr lang="ru-RU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pPr marL="0" marR="0" indent="0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1" i="0" baseline="0">
              <a:latin typeface="Arial" pitchFamily="34" charset="0"/>
              <a:ea typeface="+mn-ea"/>
              <a:cs typeface="Arial" pitchFamily="34" charset="0"/>
            </a:rPr>
            <a:t>Dnk = 1,0711*IPC + 4</a:t>
          </a:r>
        </a:p>
        <a:p xmlns:a="http://schemas.openxmlformats.org/drawingml/2006/main">
          <a:pPr marL="0" marR="0" indent="0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1">
              <a:latin typeface="Arial" pitchFamily="34" charset="0"/>
              <a:ea typeface="+mn-ea"/>
              <a:cs typeface="Arial" pitchFamily="34" charset="0"/>
            </a:rPr>
            <a:t>Dn = 1,661*IPC - 7,124</a:t>
          </a:r>
          <a:endParaRPr lang="ru-RU" sz="2000" b="1">
            <a:latin typeface="Arial" pitchFamily="34" charset="0"/>
            <a:ea typeface="+mn-ea"/>
            <a:cs typeface="Arial" pitchFamily="34" charset="0"/>
          </a:endParaRPr>
        </a:p>
        <a:p xmlns:a="http://schemas.openxmlformats.org/drawingml/2006/main">
          <a:pPr marL="0" marR="0" indent="0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1">
              <a:latin typeface="Arial" pitchFamily="34" charset="0"/>
              <a:ea typeface="+mn-ea"/>
              <a:cs typeface="Arial" pitchFamily="34" charset="0"/>
            </a:rPr>
            <a:t>De =</a:t>
          </a:r>
          <a:r>
            <a:rPr lang="en-US" sz="2000" b="1" baseline="0">
              <a:latin typeface="Arial" pitchFamily="34" charset="0"/>
              <a:ea typeface="+mn-ea"/>
              <a:cs typeface="Arial" pitchFamily="34" charset="0"/>
            </a:rPr>
            <a:t> 0,025*IPC*IPC + 0,639*IPC +0,942</a:t>
          </a:r>
          <a:endParaRPr lang="en-US" sz="2000" b="1">
            <a:latin typeface="Arial" pitchFamily="34" charset="0"/>
            <a:ea typeface="+mn-ea"/>
            <a:cs typeface="Arial" pitchFamily="34" charset="0"/>
          </a:endParaRPr>
        </a:p>
        <a:p xmlns:a="http://schemas.openxmlformats.org/drawingml/2006/main">
          <a:pPr marL="0" marR="0" indent="0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ru-RU" sz="2000" b="1" i="0" baseline="0">
              <a:latin typeface="Arial" pitchFamily="34" charset="0"/>
              <a:ea typeface="+mn-ea"/>
              <a:cs typeface="Arial" pitchFamily="34" charset="0"/>
            </a:rPr>
            <a:t> </a:t>
          </a:r>
          <a:endParaRPr lang="ru-RU" sz="4000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en-US" sz="1800" b="1">
              <a:latin typeface="Arial" pitchFamily="34" charset="0"/>
              <a:ea typeface="+mn-ea"/>
              <a:cs typeface="Arial" pitchFamily="34" charset="0"/>
            </a:rPr>
            <a:t>FA</a:t>
          </a:r>
          <a:r>
            <a:rPr lang="en-US" sz="1800" b="1" baseline="0">
              <a:latin typeface="Arial" pitchFamily="34" charset="0"/>
              <a:ea typeface="+mn-ea"/>
              <a:cs typeface="Arial" pitchFamily="34" charset="0"/>
            </a:rPr>
            <a:t> = 0,25*WK + 0,75*IPC</a:t>
          </a:r>
          <a:r>
            <a:rPr lang="ru-RU" sz="1800" b="1">
              <a:latin typeface="Arial" pitchFamily="34" charset="0"/>
              <a:ea typeface="+mn-ea"/>
              <a:cs typeface="Arial" pitchFamily="34" charset="0"/>
            </a:rPr>
            <a:t> </a:t>
          </a:r>
          <a:endParaRPr lang="en-US" sz="1800" b="1">
            <a:latin typeface="Arial" pitchFamily="34" charset="0"/>
            <a:ea typeface="+mn-ea"/>
            <a:cs typeface="Arial" pitchFamily="34" charset="0"/>
          </a:endParaRPr>
        </a:p>
        <a:p xmlns:a="http://schemas.openxmlformats.org/drawingml/2006/main">
          <a:r>
            <a:rPr lang="en-US" sz="1800" b="1">
              <a:latin typeface="Arial" pitchFamily="34" charset="0"/>
              <a:ea typeface="+mn-ea"/>
              <a:cs typeface="Arial" pitchFamily="34" charset="0"/>
            </a:rPr>
            <a:t>Dm = 0,6044*FA - 2,3458</a:t>
          </a:r>
          <a:endParaRPr lang="ru-RU" sz="1800" b="1">
            <a:latin typeface="Arial" pitchFamily="34" charset="0"/>
            <a:ea typeface="+mn-ea"/>
            <a:cs typeface="Arial" pitchFamily="34" charset="0"/>
          </a:endParaRPr>
        </a:p>
        <a:p xmlns:a="http://schemas.openxmlformats.org/drawingml/2006/main">
          <a:pPr fontAlgn="base"/>
          <a:r>
            <a:rPr lang="en-US" sz="1800" b="1">
              <a:latin typeface="Arial" pitchFamily="34" charset="0"/>
              <a:ea typeface="+mn-ea"/>
              <a:cs typeface="Arial" pitchFamily="34" charset="0"/>
            </a:rPr>
            <a:t>De =</a:t>
          </a:r>
          <a:r>
            <a:rPr lang="en-US" sz="1800" b="1" baseline="0">
              <a:latin typeface="Arial" pitchFamily="34" charset="0"/>
              <a:ea typeface="+mn-ea"/>
              <a:cs typeface="Arial" pitchFamily="34" charset="0"/>
            </a:rPr>
            <a:t> 0,025*IPC*IPC + 0,639*IPC +0,942</a:t>
          </a:r>
          <a:endParaRPr lang="en-US" sz="1800" b="1">
            <a:latin typeface="Arial" pitchFamily="34" charset="0"/>
            <a:ea typeface="+mn-ea"/>
            <a:cs typeface="Arial" pitchFamily="34" charset="0"/>
          </a:endParaRPr>
        </a:p>
        <a:p xmlns:a="http://schemas.openxmlformats.org/drawingml/2006/main">
          <a:pPr fontAlgn="base"/>
          <a:r>
            <a:rPr lang="ru-RU" sz="1100" b="1">
              <a:latin typeface="+mn-lt"/>
              <a:ea typeface="+mn-ea"/>
              <a:cs typeface="+mn-cs"/>
            </a:rPr>
            <a:t> </a:t>
          </a:r>
          <a:endParaRPr lang="en-US" sz="1100" b="1" baseline="0">
            <a:latin typeface="+mn-lt"/>
            <a:ea typeface="+mn-ea"/>
            <a:cs typeface="+mn-cs"/>
          </a:endParaRPr>
        </a:p>
        <a:p xmlns:a="http://schemas.openxmlformats.org/drawingml/2006/main">
          <a:endParaRPr lang="ru-RU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</a:t>
          </a:r>
        </a:p>
      </cdr:txBody>
    </cdr:sp>
  </cdr:relSizeAnchor>
</c:userShapes>
</file>

<file path=xl/drawings/drawing98.xml><?xml version="1.0" encoding="utf-8"?>
<xdr:wsDr xmlns:xdr="http://schemas.openxmlformats.org/drawingml/2006/spreadsheetDrawing" xmlns:a="http://schemas.openxmlformats.org/drawingml/2006/main">
  <xdr:oneCellAnchor>
    <xdr:from>
      <xdr:col>58</xdr:col>
      <xdr:colOff>556027</xdr:colOff>
      <xdr:row>11</xdr:row>
      <xdr:rowOff>13138</xdr:rowOff>
    </xdr:from>
    <xdr:ext cx="5364461" cy="587151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 txBox="1"/>
      </xdr:nvSpPr>
      <xdr:spPr>
        <a:xfrm>
          <a:off x="23473177" y="1251388"/>
          <a:ext cx="5402390" cy="69171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noAutofit/>
        </a:bodyPr>
        <a:lstStyle/>
        <a:p>
          <a:pPr algn="ctr"/>
          <a:r>
            <a:rPr lang="ru-RU" sz="2400"/>
            <a:t> </a:t>
          </a:r>
          <a:r>
            <a:rPr lang="en-US" sz="2400"/>
            <a:t>   </a:t>
          </a:r>
          <a:r>
            <a:rPr lang="en-US" sz="1600"/>
            <a:t>    </a:t>
          </a:r>
          <a:r>
            <a:rPr lang="ru-RU" sz="1600"/>
            <a:t>ТЕМПЫ</a:t>
          </a:r>
          <a:r>
            <a:rPr lang="ru-RU" sz="1600" baseline="0"/>
            <a:t> </a:t>
          </a:r>
          <a:r>
            <a:rPr lang="en-US" sz="1600" baseline="0"/>
            <a:t> </a:t>
          </a:r>
          <a:r>
            <a:rPr lang="ru-RU" sz="1600" baseline="0"/>
            <a:t>ПРОИЗВЕДЕННОГО И ИСПОЛЬЗОВАННОГО ВВП</a:t>
          </a:r>
          <a:endParaRPr lang="ru-RU" sz="1600"/>
        </a:p>
      </xdr:txBody>
    </xdr:sp>
    <xdr:clientData/>
  </xdr:oneCellAnchor>
  <xdr:oneCellAnchor>
    <xdr:from>
      <xdr:col>85</xdr:col>
      <xdr:colOff>377144</xdr:colOff>
      <xdr:row>11</xdr:row>
      <xdr:rowOff>190996</xdr:rowOff>
    </xdr:from>
    <xdr:ext cx="184731" cy="405432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SpPr txBox="1"/>
      </xdr:nvSpPr>
      <xdr:spPr>
        <a:xfrm>
          <a:off x="61851494" y="3143746"/>
          <a:ext cx="184731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ru-RU" sz="2000"/>
        </a:p>
      </xdr:txBody>
    </xdr:sp>
    <xdr:clientData/>
  </xdr:oneCellAnchor>
  <xdr:oneCellAnchor>
    <xdr:from>
      <xdr:col>66</xdr:col>
      <xdr:colOff>125394</xdr:colOff>
      <xdr:row>21</xdr:row>
      <xdr:rowOff>127657</xdr:rowOff>
    </xdr:from>
    <xdr:ext cx="919867" cy="374141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SpPr txBox="1"/>
      </xdr:nvSpPr>
      <xdr:spPr>
        <a:xfrm>
          <a:off x="40778094" y="5175907"/>
          <a:ext cx="919867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r>
            <a:rPr lang="en-US" sz="1800"/>
            <a:t>^pW</a:t>
          </a:r>
          <a:r>
            <a:rPr lang="ru-RU" sz="1800"/>
            <a:t> пр</a:t>
          </a:r>
        </a:p>
      </xdr:txBody>
    </xdr:sp>
    <xdr:clientData/>
  </xdr:oneCellAnchor>
  <xdr:oneCellAnchor>
    <xdr:from>
      <xdr:col>82</xdr:col>
      <xdr:colOff>193647</xdr:colOff>
      <xdr:row>12</xdr:row>
      <xdr:rowOff>79540</xdr:rowOff>
    </xdr:from>
    <xdr:ext cx="805011" cy="391320"/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SpPr txBox="1"/>
      </xdr:nvSpPr>
      <xdr:spPr>
        <a:xfrm>
          <a:off x="39303297" y="1527340"/>
          <a:ext cx="813813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r>
            <a:rPr lang="en-US" sz="1600"/>
            <a:t>^</a:t>
          </a:r>
          <a:r>
            <a:rPr lang="en-US" sz="1800"/>
            <a:t>P</a:t>
          </a:r>
          <a:r>
            <a:rPr lang="en-US" sz="1600"/>
            <a:t>w</a:t>
          </a:r>
          <a:r>
            <a:rPr lang="ru-RU" sz="1600"/>
            <a:t> пр</a:t>
          </a:r>
        </a:p>
      </xdr:txBody>
    </xdr:sp>
    <xdr:clientData/>
  </xdr:oneCellAnchor>
  <xdr:oneCellAnchor>
    <xdr:from>
      <xdr:col>96</xdr:col>
      <xdr:colOff>376918</xdr:colOff>
      <xdr:row>229</xdr:row>
      <xdr:rowOff>31297</xdr:rowOff>
    </xdr:from>
    <xdr:ext cx="194454" cy="410593"/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SpPr txBox="1"/>
      </xdr:nvSpPr>
      <xdr:spPr>
        <a:xfrm>
          <a:off x="62003668" y="1361394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twoCellAnchor>
    <xdr:from>
      <xdr:col>90</xdr:col>
      <xdr:colOff>76200</xdr:colOff>
      <xdr:row>6</xdr:row>
      <xdr:rowOff>9525</xdr:rowOff>
    </xdr:from>
    <xdr:to>
      <xdr:col>100</xdr:col>
      <xdr:colOff>609600</xdr:colOff>
      <xdr:row>43</xdr:row>
      <xdr:rowOff>161925</xdr:rowOff>
    </xdr:to>
    <xdr:graphicFrame macro="">
      <xdr:nvGraphicFramePr>
        <xdr:cNvPr id="66314899" name="Chart 48">
          <a:extLst>
            <a:ext uri="{FF2B5EF4-FFF2-40B4-BE49-F238E27FC236}">
              <a16:creationId xmlns:a16="http://schemas.microsoft.com/office/drawing/2014/main" id="{00000000-0008-0000-0200-000093E2F3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85</xdr:col>
      <xdr:colOff>95250</xdr:colOff>
      <xdr:row>93</xdr:row>
      <xdr:rowOff>19050</xdr:rowOff>
    </xdr:from>
    <xdr:to>
      <xdr:col>98</xdr:col>
      <xdr:colOff>666750</xdr:colOff>
      <xdr:row>130</xdr:row>
      <xdr:rowOff>142875</xdr:rowOff>
    </xdr:to>
    <xdr:graphicFrame macro="">
      <xdr:nvGraphicFramePr>
        <xdr:cNvPr id="66314907" name="Chart 23">
          <a:extLst>
            <a:ext uri="{FF2B5EF4-FFF2-40B4-BE49-F238E27FC236}">
              <a16:creationId xmlns:a16="http://schemas.microsoft.com/office/drawing/2014/main" id="{00000000-0008-0000-0200-00009BE2F3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105</xdr:col>
      <xdr:colOff>76200</xdr:colOff>
      <xdr:row>133</xdr:row>
      <xdr:rowOff>19050</xdr:rowOff>
    </xdr:from>
    <xdr:to>
      <xdr:col>120</xdr:col>
      <xdr:colOff>552450</xdr:colOff>
      <xdr:row>175</xdr:row>
      <xdr:rowOff>247650</xdr:rowOff>
    </xdr:to>
    <xdr:graphicFrame macro="">
      <xdr:nvGraphicFramePr>
        <xdr:cNvPr id="66314909" name="Chart 4">
          <a:extLst>
            <a:ext uri="{FF2B5EF4-FFF2-40B4-BE49-F238E27FC236}">
              <a16:creationId xmlns:a16="http://schemas.microsoft.com/office/drawing/2014/main" id="{00000000-0008-0000-0200-00009DE2F3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oneCellAnchor>
    <xdr:from>
      <xdr:col>123</xdr:col>
      <xdr:colOff>73479</xdr:colOff>
      <xdr:row>100</xdr:row>
      <xdr:rowOff>73479</xdr:rowOff>
    </xdr:from>
    <xdr:ext cx="194454" cy="426536"/>
    <xdr:sp macro="" textlink="">
      <xdr:nvSpPr>
        <xdr:cNvPr id="42" name="TextBox 41">
          <a:extLst>
            <a:ext uri="{FF2B5EF4-FFF2-40B4-BE49-F238E27FC236}">
              <a16:creationId xmlns:a16="http://schemas.microsoft.com/office/drawing/2014/main" id="{00000000-0008-0000-0200-00002A000000}"/>
            </a:ext>
          </a:extLst>
        </xdr:cNvPr>
        <xdr:cNvSpPr txBox="1"/>
      </xdr:nvSpPr>
      <xdr:spPr>
        <a:xfrm>
          <a:off x="63554429" y="29947054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192</xdr:col>
      <xdr:colOff>73479</xdr:colOff>
      <xdr:row>138</xdr:row>
      <xdr:rowOff>73479</xdr:rowOff>
    </xdr:from>
    <xdr:ext cx="194454" cy="426536"/>
    <xdr:sp macro="" textlink="">
      <xdr:nvSpPr>
        <xdr:cNvPr id="45" name="TextBox 44">
          <a:extLst>
            <a:ext uri="{FF2B5EF4-FFF2-40B4-BE49-F238E27FC236}">
              <a16:creationId xmlns:a16="http://schemas.microsoft.com/office/drawing/2014/main" id="{00000000-0008-0000-0200-00002D000000}"/>
            </a:ext>
          </a:extLst>
        </xdr:cNvPr>
        <xdr:cNvSpPr txBox="1"/>
      </xdr:nvSpPr>
      <xdr:spPr>
        <a:xfrm>
          <a:off x="86589054" y="29947054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190</xdr:col>
      <xdr:colOff>598713</xdr:colOff>
      <xdr:row>136</xdr:row>
      <xdr:rowOff>108856</xdr:rowOff>
    </xdr:from>
    <xdr:ext cx="2234051" cy="373225"/>
    <xdr:sp macro="" textlink="">
      <xdr:nvSpPr>
        <xdr:cNvPr id="46" name="TextBox 45">
          <a:extLst>
            <a:ext uri="{FF2B5EF4-FFF2-40B4-BE49-F238E27FC236}">
              <a16:creationId xmlns:a16="http://schemas.microsoft.com/office/drawing/2014/main" id="{00000000-0008-0000-0200-00002E000000}"/>
            </a:ext>
          </a:extLst>
        </xdr:cNvPr>
        <xdr:cNvSpPr txBox="1"/>
      </xdr:nvSpPr>
      <xdr:spPr>
        <a:xfrm>
          <a:off x="59966677" y="26942142"/>
          <a:ext cx="2396398" cy="43542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ru-RU"/>
        </a:p>
      </xdr:txBody>
    </xdr:sp>
    <xdr:clientData/>
  </xdr:oneCellAnchor>
  <xdr:oneCellAnchor>
    <xdr:from>
      <xdr:col>209</xdr:col>
      <xdr:colOff>73479</xdr:colOff>
      <xdr:row>139</xdr:row>
      <xdr:rowOff>73479</xdr:rowOff>
    </xdr:from>
    <xdr:ext cx="194454" cy="426536"/>
    <xdr:sp macro="" textlink="">
      <xdr:nvSpPr>
        <xdr:cNvPr id="49" name="TextBox 48">
          <a:extLst>
            <a:ext uri="{FF2B5EF4-FFF2-40B4-BE49-F238E27FC236}">
              <a16:creationId xmlns:a16="http://schemas.microsoft.com/office/drawing/2014/main" id="{00000000-0008-0000-0200-000031000000}"/>
            </a:ext>
          </a:extLst>
        </xdr:cNvPr>
        <xdr:cNvSpPr txBox="1"/>
      </xdr:nvSpPr>
      <xdr:spPr>
        <a:xfrm>
          <a:off x="96971304" y="29947054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205</xdr:col>
      <xdr:colOff>598713</xdr:colOff>
      <xdr:row>137</xdr:row>
      <xdr:rowOff>108856</xdr:rowOff>
    </xdr:from>
    <xdr:ext cx="2396398" cy="373225"/>
    <xdr:sp macro="" textlink="">
      <xdr:nvSpPr>
        <xdr:cNvPr id="50" name="TextBox 49">
          <a:extLst>
            <a:ext uri="{FF2B5EF4-FFF2-40B4-BE49-F238E27FC236}">
              <a16:creationId xmlns:a16="http://schemas.microsoft.com/office/drawing/2014/main" id="{00000000-0008-0000-0200-000032000000}"/>
            </a:ext>
          </a:extLst>
        </xdr:cNvPr>
        <xdr:cNvSpPr txBox="1"/>
      </xdr:nvSpPr>
      <xdr:spPr>
        <a:xfrm>
          <a:off x="71029284" y="26942142"/>
          <a:ext cx="2396398" cy="43542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ru-RU"/>
        </a:p>
      </xdr:txBody>
    </xdr:sp>
    <xdr:clientData/>
  </xdr:oneCellAnchor>
  <xdr:oneCellAnchor>
    <xdr:from>
      <xdr:col>205</xdr:col>
      <xdr:colOff>317047</xdr:colOff>
      <xdr:row>137</xdr:row>
      <xdr:rowOff>122464</xdr:rowOff>
    </xdr:from>
    <xdr:ext cx="184731" cy="420015"/>
    <xdr:sp macro="" textlink="">
      <xdr:nvSpPr>
        <xdr:cNvPr id="51" name="TextBox 50">
          <a:extLst>
            <a:ext uri="{FF2B5EF4-FFF2-40B4-BE49-F238E27FC236}">
              <a16:creationId xmlns:a16="http://schemas.microsoft.com/office/drawing/2014/main" id="{00000000-0008-0000-0200-000033000000}"/>
            </a:ext>
          </a:extLst>
        </xdr:cNvPr>
        <xdr:cNvSpPr txBox="1"/>
      </xdr:nvSpPr>
      <xdr:spPr>
        <a:xfrm>
          <a:off x="95433697" y="29611864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122</xdr:col>
      <xdr:colOff>186417</xdr:colOff>
      <xdr:row>114</xdr:row>
      <xdr:rowOff>73479</xdr:rowOff>
    </xdr:from>
    <xdr:ext cx="194454" cy="426536"/>
    <xdr:sp macro="" textlink="">
      <xdr:nvSpPr>
        <xdr:cNvPr id="55" name="TextBox 54">
          <a:extLst>
            <a:ext uri="{FF2B5EF4-FFF2-40B4-BE49-F238E27FC236}">
              <a16:creationId xmlns:a16="http://schemas.microsoft.com/office/drawing/2014/main" id="{00000000-0008-0000-0200-000037000000}"/>
            </a:ext>
          </a:extLst>
        </xdr:cNvPr>
        <xdr:cNvSpPr txBox="1"/>
      </xdr:nvSpPr>
      <xdr:spPr>
        <a:xfrm>
          <a:off x="63083167" y="32836304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261</xdr:col>
      <xdr:colOff>73479</xdr:colOff>
      <xdr:row>181</xdr:row>
      <xdr:rowOff>73479</xdr:rowOff>
    </xdr:from>
    <xdr:ext cx="194454" cy="426536"/>
    <xdr:sp macro="" textlink="">
      <xdr:nvSpPr>
        <xdr:cNvPr id="58" name="TextBox 57">
          <a:extLst>
            <a:ext uri="{FF2B5EF4-FFF2-40B4-BE49-F238E27FC236}">
              <a16:creationId xmlns:a16="http://schemas.microsoft.com/office/drawing/2014/main" id="{00000000-0008-0000-0200-00003A000000}"/>
            </a:ext>
          </a:extLst>
        </xdr:cNvPr>
        <xdr:cNvSpPr txBox="1"/>
      </xdr:nvSpPr>
      <xdr:spPr>
        <a:xfrm>
          <a:off x="108036179" y="29947054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259</xdr:col>
      <xdr:colOff>598713</xdr:colOff>
      <xdr:row>179</xdr:row>
      <xdr:rowOff>108856</xdr:rowOff>
    </xdr:from>
    <xdr:ext cx="2396398" cy="373225"/>
    <xdr:sp macro="" textlink="">
      <xdr:nvSpPr>
        <xdr:cNvPr id="59" name="TextBox 58">
          <a:extLst>
            <a:ext uri="{FF2B5EF4-FFF2-40B4-BE49-F238E27FC236}">
              <a16:creationId xmlns:a16="http://schemas.microsoft.com/office/drawing/2014/main" id="{00000000-0008-0000-0200-00003B000000}"/>
            </a:ext>
          </a:extLst>
        </xdr:cNvPr>
        <xdr:cNvSpPr txBox="1"/>
      </xdr:nvSpPr>
      <xdr:spPr>
        <a:xfrm>
          <a:off x="72253927" y="26982963"/>
          <a:ext cx="2396398" cy="43542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ru-RU"/>
        </a:p>
      </xdr:txBody>
    </xdr:sp>
    <xdr:clientData/>
  </xdr:oneCellAnchor>
  <xdr:oneCellAnchor>
    <xdr:from>
      <xdr:col>258</xdr:col>
      <xdr:colOff>317047</xdr:colOff>
      <xdr:row>179</xdr:row>
      <xdr:rowOff>122464</xdr:rowOff>
    </xdr:from>
    <xdr:ext cx="184731" cy="420015"/>
    <xdr:sp macro="" textlink="">
      <xdr:nvSpPr>
        <xdr:cNvPr id="60" name="TextBox 59">
          <a:extLst>
            <a:ext uri="{FF2B5EF4-FFF2-40B4-BE49-F238E27FC236}">
              <a16:creationId xmlns:a16="http://schemas.microsoft.com/office/drawing/2014/main" id="{00000000-0008-0000-0200-00003C000000}"/>
            </a:ext>
          </a:extLst>
        </xdr:cNvPr>
        <xdr:cNvSpPr txBox="1"/>
      </xdr:nvSpPr>
      <xdr:spPr>
        <a:xfrm>
          <a:off x="106498572" y="29611864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127</xdr:col>
      <xdr:colOff>73479</xdr:colOff>
      <xdr:row>99</xdr:row>
      <xdr:rowOff>73479</xdr:rowOff>
    </xdr:from>
    <xdr:ext cx="194454" cy="426536"/>
    <xdr:sp macro="" textlink="">
      <xdr:nvSpPr>
        <xdr:cNvPr id="75" name="TextBox 74">
          <a:extLst>
            <a:ext uri="{FF2B5EF4-FFF2-40B4-BE49-F238E27FC236}">
              <a16:creationId xmlns:a16="http://schemas.microsoft.com/office/drawing/2014/main" id="{00000000-0008-0000-0200-00004B000000}"/>
            </a:ext>
          </a:extLst>
        </xdr:cNvPr>
        <xdr:cNvSpPr txBox="1"/>
      </xdr:nvSpPr>
      <xdr:spPr>
        <a:xfrm>
          <a:off x="74857429" y="29947054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125</xdr:col>
      <xdr:colOff>598713</xdr:colOff>
      <xdr:row>97</xdr:row>
      <xdr:rowOff>108856</xdr:rowOff>
    </xdr:from>
    <xdr:ext cx="2359245" cy="373225"/>
    <xdr:sp macro="" textlink="">
      <xdr:nvSpPr>
        <xdr:cNvPr id="76" name="TextBox 75">
          <a:extLst>
            <a:ext uri="{FF2B5EF4-FFF2-40B4-BE49-F238E27FC236}">
              <a16:creationId xmlns:a16="http://schemas.microsoft.com/office/drawing/2014/main" id="{00000000-0008-0000-0200-00004C000000}"/>
            </a:ext>
          </a:extLst>
        </xdr:cNvPr>
        <xdr:cNvSpPr txBox="1"/>
      </xdr:nvSpPr>
      <xdr:spPr>
        <a:xfrm>
          <a:off x="83332863" y="27807556"/>
          <a:ext cx="2396398" cy="43542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ru-RU"/>
        </a:p>
      </xdr:txBody>
    </xdr:sp>
    <xdr:clientData/>
  </xdr:oneCellAnchor>
  <xdr:twoCellAnchor editAs="oneCell">
    <xdr:from>
      <xdr:col>61</xdr:col>
      <xdr:colOff>55562</xdr:colOff>
      <xdr:row>256</xdr:row>
      <xdr:rowOff>76200</xdr:rowOff>
    </xdr:from>
    <xdr:to>
      <xdr:col>67</xdr:col>
      <xdr:colOff>552449</xdr:colOff>
      <xdr:row>259</xdr:row>
      <xdr:rowOff>180975</xdr:rowOff>
    </xdr:to>
    <xdr:sp macro="" textlink="">
      <xdr:nvSpPr>
        <xdr:cNvPr id="26337425" name="TextBox 76">
          <a:extLst>
            <a:ext uri="{FF2B5EF4-FFF2-40B4-BE49-F238E27FC236}">
              <a16:creationId xmlns:a16="http://schemas.microsoft.com/office/drawing/2014/main" id="{00000000-0008-0000-0200-000091E09101}"/>
            </a:ext>
          </a:extLst>
        </xdr:cNvPr>
        <xdr:cNvSpPr txBox="1">
          <a:spLocks noChangeArrowheads="1"/>
        </xdr:cNvSpPr>
      </xdr:nvSpPr>
      <xdr:spPr bwMode="auto">
        <a:xfrm>
          <a:off x="48233012" y="67970400"/>
          <a:ext cx="5126037" cy="647700"/>
        </a:xfrm>
        <a:prstGeom prst="rect">
          <a:avLst/>
        </a:prstGeom>
        <a:noFill/>
        <a:ln>
          <a:noFill/>
        </a:ln>
      </xdr:spPr>
      <xdr:txBody>
        <a:bodyPr vertOverflow="clip" wrap="square" lIns="36576" tIns="36576" rIns="0" bIns="0" anchor="t"/>
        <a:lstStyle/>
        <a:p>
          <a:pPr algn="l" rtl="0">
            <a:defRPr sz="1000"/>
          </a:pPr>
          <a:endParaRPr lang="ru-RU" sz="2000" b="0" i="0" u="none" strike="noStrike" baseline="0">
            <a:solidFill>
              <a:srgbClr val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oneCellAnchor>
    <xdr:from>
      <xdr:col>60</xdr:col>
      <xdr:colOff>376918</xdr:colOff>
      <xdr:row>273</xdr:row>
      <xdr:rowOff>31297</xdr:rowOff>
    </xdr:from>
    <xdr:ext cx="194454" cy="410593"/>
    <xdr:sp macro="" textlink="">
      <xdr:nvSpPr>
        <xdr:cNvPr id="78" name="TextBox 77">
          <a:extLst>
            <a:ext uri="{FF2B5EF4-FFF2-40B4-BE49-F238E27FC236}">
              <a16:creationId xmlns:a16="http://schemas.microsoft.com/office/drawing/2014/main" id="{00000000-0008-0000-0200-00004E000000}"/>
            </a:ext>
          </a:extLst>
        </xdr:cNvPr>
        <xdr:cNvSpPr txBox="1"/>
      </xdr:nvSpPr>
      <xdr:spPr>
        <a:xfrm>
          <a:off x="84371543" y="1361394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119</xdr:col>
      <xdr:colOff>207283</xdr:colOff>
      <xdr:row>23</xdr:row>
      <xdr:rowOff>2269</xdr:rowOff>
    </xdr:from>
    <xdr:ext cx="2576994" cy="383734"/>
    <xdr:sp macro="" textlink="">
      <xdr:nvSpPr>
        <xdr:cNvPr id="79" name="TextBox 78">
          <a:extLst>
            <a:ext uri="{FF2B5EF4-FFF2-40B4-BE49-F238E27FC236}">
              <a16:creationId xmlns:a16="http://schemas.microsoft.com/office/drawing/2014/main" id="{00000000-0008-0000-0200-00004F000000}"/>
            </a:ext>
          </a:extLst>
        </xdr:cNvPr>
        <xdr:cNvSpPr txBox="1"/>
      </xdr:nvSpPr>
      <xdr:spPr>
        <a:xfrm>
          <a:off x="121155733" y="16651969"/>
          <a:ext cx="2576994" cy="383734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algn="ctr"/>
          <a:r>
            <a:rPr lang="ru-RU" sz="1800"/>
            <a:t>линия</a:t>
          </a:r>
          <a:r>
            <a:rPr lang="ru-RU" sz="1800" baseline="0"/>
            <a:t> тренда</a:t>
          </a:r>
          <a:endParaRPr lang="ru-RU" sz="1800"/>
        </a:p>
      </xdr:txBody>
    </xdr:sp>
    <xdr:clientData/>
  </xdr:oneCellAnchor>
  <xdr:oneCellAnchor>
    <xdr:from>
      <xdr:col>71</xdr:col>
      <xdr:colOff>414112</xdr:colOff>
      <xdr:row>267</xdr:row>
      <xdr:rowOff>105228</xdr:rowOff>
    </xdr:from>
    <xdr:ext cx="184731" cy="342786"/>
    <xdr:sp macro="" textlink="">
      <xdr:nvSpPr>
        <xdr:cNvPr id="84" name="TextBox 83">
          <a:extLst>
            <a:ext uri="{FF2B5EF4-FFF2-40B4-BE49-F238E27FC236}">
              <a16:creationId xmlns:a16="http://schemas.microsoft.com/office/drawing/2014/main" id="{00000000-0008-0000-0200-000054000000}"/>
            </a:ext>
          </a:extLst>
        </xdr:cNvPr>
        <xdr:cNvSpPr txBox="1"/>
      </xdr:nvSpPr>
      <xdr:spPr>
        <a:xfrm>
          <a:off x="56087737" y="68685228"/>
          <a:ext cx="184731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 sz="1600"/>
        </a:p>
      </xdr:txBody>
    </xdr:sp>
    <xdr:clientData/>
  </xdr:oneCellAnchor>
  <xdr:oneCellAnchor>
    <xdr:from>
      <xdr:col>65</xdr:col>
      <xdr:colOff>219075</xdr:colOff>
      <xdr:row>20</xdr:row>
      <xdr:rowOff>0</xdr:rowOff>
    </xdr:from>
    <xdr:ext cx="425127" cy="387508"/>
    <xdr:sp macro="" textlink="">
      <xdr:nvSpPr>
        <xdr:cNvPr id="89" name="TextBox 88">
          <a:extLst>
            <a:ext uri="{FF2B5EF4-FFF2-40B4-BE49-F238E27FC236}">
              <a16:creationId xmlns:a16="http://schemas.microsoft.com/office/drawing/2014/main" id="{00000000-0008-0000-0200-000059000000}"/>
            </a:ext>
          </a:extLst>
        </xdr:cNvPr>
        <xdr:cNvSpPr txBox="1"/>
      </xdr:nvSpPr>
      <xdr:spPr>
        <a:xfrm>
          <a:off x="28555950" y="3124200"/>
          <a:ext cx="425758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sz="1800">
              <a:solidFill>
                <a:schemeClr val="tx1"/>
              </a:solidFill>
              <a:latin typeface="+mn-lt"/>
              <a:ea typeface="+mn-ea"/>
              <a:cs typeface="+mn-cs"/>
            </a:rPr>
            <a:t>pX</a:t>
          </a:r>
          <a:endParaRPr lang="ru-RU" sz="1800"/>
        </a:p>
      </xdr:txBody>
    </xdr:sp>
    <xdr:clientData/>
  </xdr:oneCellAnchor>
  <xdr:oneCellAnchor>
    <xdr:from>
      <xdr:col>106</xdr:col>
      <xdr:colOff>381000</xdr:colOff>
      <xdr:row>135</xdr:row>
      <xdr:rowOff>247650</xdr:rowOff>
    </xdr:from>
    <xdr:ext cx="8039099" cy="838200"/>
    <xdr:sp macro="" textlink="">
      <xdr:nvSpPr>
        <xdr:cNvPr id="90" name="TextBox 89">
          <a:extLst>
            <a:ext uri="{FF2B5EF4-FFF2-40B4-BE49-F238E27FC236}">
              <a16:creationId xmlns:a16="http://schemas.microsoft.com/office/drawing/2014/main" id="{00000000-0008-0000-0200-00005A000000}"/>
            </a:ext>
          </a:extLst>
        </xdr:cNvPr>
        <xdr:cNvSpPr txBox="1"/>
      </xdr:nvSpPr>
      <xdr:spPr>
        <a:xfrm>
          <a:off x="73456800" y="35680650"/>
          <a:ext cx="8039099" cy="8382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ru-RU" sz="2000">
            <a:latin typeface="Arial" panose="020B0604020202020204" pitchFamily="34" charset="0"/>
            <a:cs typeface="Arial" panose="020B0604020202020204" pitchFamily="34" charset="0"/>
          </a:endParaRPr>
        </a:p>
        <a:p>
          <a:endParaRPr lang="ru-RU" sz="2000">
            <a:latin typeface="Arial" panose="020B0604020202020204" pitchFamily="34" charset="0"/>
            <a:cs typeface="Arial" panose="020B0604020202020204" pitchFamily="34" charset="0"/>
          </a:endParaRPr>
        </a:p>
        <a:p>
          <a:r>
            <a:rPr lang="ru-RU" sz="2000">
              <a:latin typeface="Arial" panose="020B0604020202020204" pitchFamily="34" charset="0"/>
              <a:cs typeface="Arial" panose="020B0604020202020204" pitchFamily="34" charset="0"/>
            </a:rPr>
            <a:t>    </a:t>
          </a:r>
        </a:p>
        <a:p>
          <a:endParaRPr lang="ru-RU" sz="20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oneCellAnchor>
  <xdr:oneCellAnchor>
    <xdr:from>
      <xdr:col>58</xdr:col>
      <xdr:colOff>556027</xdr:colOff>
      <xdr:row>11</xdr:row>
      <xdr:rowOff>13138</xdr:rowOff>
    </xdr:from>
    <xdr:ext cx="5364461" cy="587151"/>
    <xdr:sp macro="" textlink="">
      <xdr:nvSpPr>
        <xdr:cNvPr id="2" name="TextBox 2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SpPr txBox="1"/>
      </xdr:nvSpPr>
      <xdr:spPr>
        <a:xfrm>
          <a:off x="23473177" y="1251388"/>
          <a:ext cx="5402390" cy="69171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noAutofit/>
        </a:bodyPr>
        <a:lstStyle/>
        <a:p>
          <a:pPr algn="ctr"/>
          <a:r>
            <a:rPr lang="ru-RU" sz="2400"/>
            <a:t> </a:t>
          </a:r>
          <a:r>
            <a:rPr lang="en-US" sz="2400"/>
            <a:t>   </a:t>
          </a:r>
          <a:r>
            <a:rPr lang="en-US" sz="1600"/>
            <a:t>    </a:t>
          </a:r>
          <a:r>
            <a:rPr lang="ru-RU" sz="1600"/>
            <a:t>ТЕМПЫ</a:t>
          </a:r>
          <a:r>
            <a:rPr lang="ru-RU" sz="1600" baseline="0"/>
            <a:t> </a:t>
          </a:r>
          <a:r>
            <a:rPr lang="en-US" sz="1600" baseline="0"/>
            <a:t> </a:t>
          </a:r>
          <a:r>
            <a:rPr lang="ru-RU" sz="1600" baseline="0"/>
            <a:t>ПРОИЗВЕДЕННОГО И ИСПОЛЬЗОВАННОГО ВВП</a:t>
          </a:r>
          <a:endParaRPr lang="ru-RU" sz="1600"/>
        </a:p>
      </xdr:txBody>
    </xdr:sp>
    <xdr:clientData/>
  </xdr:oneCellAnchor>
  <xdr:oneCellAnchor>
    <xdr:from>
      <xdr:col>66</xdr:col>
      <xdr:colOff>125394</xdr:colOff>
      <xdr:row>21</xdr:row>
      <xdr:rowOff>127657</xdr:rowOff>
    </xdr:from>
    <xdr:ext cx="866860" cy="363106"/>
    <xdr:sp macro="" textlink="">
      <xdr:nvSpPr>
        <xdr:cNvPr id="7" name="TextBox 5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SpPr txBox="1"/>
      </xdr:nvSpPr>
      <xdr:spPr>
        <a:xfrm>
          <a:off x="29052819" y="3451882"/>
          <a:ext cx="838178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r>
            <a:rPr lang="en-US" sz="1600"/>
            <a:t>^pW</a:t>
          </a:r>
          <a:r>
            <a:rPr lang="ru-RU" sz="1600"/>
            <a:t> пр</a:t>
          </a:r>
        </a:p>
      </xdr:txBody>
    </xdr:sp>
    <xdr:clientData/>
  </xdr:oneCellAnchor>
  <xdr:oneCellAnchor>
    <xdr:from>
      <xdr:col>75</xdr:col>
      <xdr:colOff>229915</xdr:colOff>
      <xdr:row>11</xdr:row>
      <xdr:rowOff>13138</xdr:rowOff>
    </xdr:from>
    <xdr:ext cx="3668094" cy="464326"/>
    <xdr:sp macro="" textlink="">
      <xdr:nvSpPr>
        <xdr:cNvPr id="10" name="TextBox 7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SpPr txBox="1"/>
      </xdr:nvSpPr>
      <xdr:spPr>
        <a:xfrm>
          <a:off x="33338815" y="1251388"/>
          <a:ext cx="3770586" cy="53065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noAutofit/>
        </a:bodyPr>
        <a:lstStyle/>
        <a:p>
          <a:r>
            <a:rPr lang="ru-RU" sz="1400"/>
            <a:t> </a:t>
          </a:r>
          <a:r>
            <a:rPr lang="en-US" sz="1400"/>
            <a:t>     </a:t>
          </a:r>
          <a:r>
            <a:rPr lang="ru-RU" sz="1400"/>
            <a:t>БАЗИСНЫЕ </a:t>
          </a:r>
          <a:r>
            <a:rPr lang="en-US" sz="1400"/>
            <a:t> </a:t>
          </a:r>
          <a:r>
            <a:rPr lang="ru-RU" sz="1400"/>
            <a:t>ТЕМПЫ</a:t>
          </a:r>
          <a:r>
            <a:rPr lang="ru-RU" sz="1400" baseline="0"/>
            <a:t> </a:t>
          </a:r>
          <a:r>
            <a:rPr lang="en-US" sz="1400" baseline="0"/>
            <a:t> </a:t>
          </a:r>
          <a:r>
            <a:rPr lang="ru-RU" sz="1400" baseline="0"/>
            <a:t>ПРОИЗВЕДЕННОГО И </a:t>
          </a:r>
        </a:p>
        <a:p>
          <a:r>
            <a:rPr lang="ru-RU" sz="1400" baseline="0"/>
            <a:t>                 ИСПОЛЬЗОВАННОГО</a:t>
          </a:r>
          <a:r>
            <a:rPr lang="en-US" sz="1400" b="0" i="0" u="none" strike="noStrike">
              <a:solidFill>
                <a:schemeClr val="tx1"/>
              </a:solidFill>
              <a:latin typeface="+mn-lt"/>
              <a:ea typeface="+mn-ea"/>
              <a:cs typeface="+mn-cs"/>
            </a:rPr>
            <a:t> </a:t>
          </a:r>
          <a:r>
            <a:rPr lang="en-US" sz="1400"/>
            <a:t> </a:t>
          </a:r>
          <a:r>
            <a:rPr lang="en-US" sz="1400" b="0" i="0" u="none" strike="noStrike">
              <a:solidFill>
                <a:schemeClr val="tx1"/>
              </a:solidFill>
              <a:latin typeface="+mn-lt"/>
              <a:ea typeface="+mn-ea"/>
              <a:cs typeface="+mn-cs"/>
            </a:rPr>
            <a:t> </a:t>
          </a:r>
          <a:r>
            <a:rPr lang="en-US" sz="1400"/>
            <a:t> </a:t>
          </a:r>
          <a:r>
            <a:rPr lang="en-US" sz="1400" b="0" i="0" u="none" strike="noStrike">
              <a:solidFill>
                <a:schemeClr val="tx1"/>
              </a:solidFill>
              <a:latin typeface="+mn-lt"/>
              <a:ea typeface="+mn-ea"/>
              <a:cs typeface="+mn-cs"/>
            </a:rPr>
            <a:t> </a:t>
          </a:r>
          <a:r>
            <a:rPr lang="en-US" sz="1400"/>
            <a:t> </a:t>
          </a:r>
          <a:r>
            <a:rPr lang="en-US" sz="1400" b="0" i="0" u="none" strike="noStrike">
              <a:solidFill>
                <a:schemeClr val="tx1"/>
              </a:solidFill>
              <a:latin typeface="+mn-lt"/>
              <a:ea typeface="+mn-ea"/>
              <a:cs typeface="+mn-cs"/>
            </a:rPr>
            <a:t> </a:t>
          </a:r>
          <a:r>
            <a:rPr lang="ru-RU" sz="1400" baseline="0"/>
            <a:t>ВВП</a:t>
          </a:r>
          <a:endParaRPr lang="ru-RU" sz="1400"/>
        </a:p>
      </xdr:txBody>
    </xdr:sp>
    <xdr:clientData/>
  </xdr:oneCellAnchor>
  <xdr:oneCellAnchor>
    <xdr:from>
      <xdr:col>82</xdr:col>
      <xdr:colOff>193647</xdr:colOff>
      <xdr:row>12</xdr:row>
      <xdr:rowOff>79540</xdr:rowOff>
    </xdr:from>
    <xdr:ext cx="805011" cy="391320"/>
    <xdr:sp macro="" textlink="">
      <xdr:nvSpPr>
        <xdr:cNvPr id="11" name="TextBox 8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SpPr txBox="1"/>
      </xdr:nvSpPr>
      <xdr:spPr>
        <a:xfrm>
          <a:off x="39303297" y="1527340"/>
          <a:ext cx="813813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r>
            <a:rPr lang="en-US" sz="1600"/>
            <a:t>^</a:t>
          </a:r>
          <a:r>
            <a:rPr lang="en-US" sz="1800"/>
            <a:t>P</a:t>
          </a:r>
          <a:r>
            <a:rPr lang="en-US" sz="1600"/>
            <a:t>w</a:t>
          </a:r>
          <a:r>
            <a:rPr lang="ru-RU" sz="1600"/>
            <a:t> пр</a:t>
          </a:r>
        </a:p>
      </xdr:txBody>
    </xdr:sp>
    <xdr:clientData/>
  </xdr:oneCellAnchor>
  <xdr:oneCellAnchor>
    <xdr:from>
      <xdr:col>96</xdr:col>
      <xdr:colOff>376918</xdr:colOff>
      <xdr:row>229</xdr:row>
      <xdr:rowOff>31297</xdr:rowOff>
    </xdr:from>
    <xdr:ext cx="194454" cy="410593"/>
    <xdr:sp macro="" textlink="">
      <xdr:nvSpPr>
        <xdr:cNvPr id="13" name="TextBox 16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SpPr txBox="1"/>
      </xdr:nvSpPr>
      <xdr:spPr>
        <a:xfrm>
          <a:off x="74830668" y="60007047"/>
          <a:ext cx="194454" cy="4105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twoCellAnchor>
    <xdr:from>
      <xdr:col>60</xdr:col>
      <xdr:colOff>76200</xdr:colOff>
      <xdr:row>208</xdr:row>
      <xdr:rowOff>28575</xdr:rowOff>
    </xdr:from>
    <xdr:to>
      <xdr:col>74</xdr:col>
      <xdr:colOff>0</xdr:colOff>
      <xdr:row>250</xdr:row>
      <xdr:rowOff>247650</xdr:rowOff>
    </xdr:to>
    <xdr:graphicFrame macro="">
      <xdr:nvGraphicFramePr>
        <xdr:cNvPr id="66314984" name="Chart 7">
          <a:extLst>
            <a:ext uri="{FF2B5EF4-FFF2-40B4-BE49-F238E27FC236}">
              <a16:creationId xmlns:a16="http://schemas.microsoft.com/office/drawing/2014/main" id="{00000000-0008-0000-0200-0000E8E2F3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90</xdr:col>
      <xdr:colOff>76197</xdr:colOff>
      <xdr:row>6</xdr:row>
      <xdr:rowOff>9523</xdr:rowOff>
    </xdr:from>
    <xdr:to>
      <xdr:col>103</xdr:col>
      <xdr:colOff>650874</xdr:colOff>
      <xdr:row>48</xdr:row>
      <xdr:rowOff>238124</xdr:rowOff>
    </xdr:to>
    <xdr:graphicFrame macro="">
      <xdr:nvGraphicFramePr>
        <xdr:cNvPr id="66314988" name="Chart 48">
          <a:extLst>
            <a:ext uri="{FF2B5EF4-FFF2-40B4-BE49-F238E27FC236}">
              <a16:creationId xmlns:a16="http://schemas.microsoft.com/office/drawing/2014/main" id="{00000000-0008-0000-0200-0000ECE2F3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85</xdr:col>
      <xdr:colOff>95250</xdr:colOff>
      <xdr:row>93</xdr:row>
      <xdr:rowOff>19050</xdr:rowOff>
    </xdr:from>
    <xdr:to>
      <xdr:col>98</xdr:col>
      <xdr:colOff>666750</xdr:colOff>
      <xdr:row>130</xdr:row>
      <xdr:rowOff>247650</xdr:rowOff>
    </xdr:to>
    <xdr:graphicFrame macro="">
      <xdr:nvGraphicFramePr>
        <xdr:cNvPr id="66314996" name="Chart 23">
          <a:extLst>
            <a:ext uri="{FF2B5EF4-FFF2-40B4-BE49-F238E27FC236}">
              <a16:creationId xmlns:a16="http://schemas.microsoft.com/office/drawing/2014/main" id="{00000000-0008-0000-0200-0000F4E2F3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83</xdr:col>
      <xdr:colOff>66675</xdr:colOff>
      <xdr:row>133</xdr:row>
      <xdr:rowOff>0</xdr:rowOff>
    </xdr:from>
    <xdr:to>
      <xdr:col>98</xdr:col>
      <xdr:colOff>666750</xdr:colOff>
      <xdr:row>175</xdr:row>
      <xdr:rowOff>228600</xdr:rowOff>
    </xdr:to>
    <xdr:graphicFrame macro="">
      <xdr:nvGraphicFramePr>
        <xdr:cNvPr id="66314997" name="Chart 4">
          <a:extLst>
            <a:ext uri="{FF2B5EF4-FFF2-40B4-BE49-F238E27FC236}">
              <a16:creationId xmlns:a16="http://schemas.microsoft.com/office/drawing/2014/main" id="{00000000-0008-0000-0200-0000F5E2F3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oneCellAnchor>
    <xdr:from>
      <xdr:col>123</xdr:col>
      <xdr:colOff>73479</xdr:colOff>
      <xdr:row>100</xdr:row>
      <xdr:rowOff>73479</xdr:rowOff>
    </xdr:from>
    <xdr:ext cx="194454" cy="426536"/>
    <xdr:sp macro="" textlink="">
      <xdr:nvSpPr>
        <xdr:cNvPr id="35" name="TextBox 41">
          <a:extLst>
            <a:ext uri="{FF2B5EF4-FFF2-40B4-BE49-F238E27FC236}">
              <a16:creationId xmlns:a16="http://schemas.microsoft.com/office/drawing/2014/main" id="{00000000-0008-0000-0200-000023000000}"/>
            </a:ext>
          </a:extLst>
        </xdr:cNvPr>
        <xdr:cNvSpPr txBox="1"/>
      </xdr:nvSpPr>
      <xdr:spPr>
        <a:xfrm>
          <a:off x="63554429" y="29947054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192</xdr:col>
      <xdr:colOff>73479</xdr:colOff>
      <xdr:row>138</xdr:row>
      <xdr:rowOff>73479</xdr:rowOff>
    </xdr:from>
    <xdr:ext cx="194454" cy="426536"/>
    <xdr:sp macro="" textlink="">
      <xdr:nvSpPr>
        <xdr:cNvPr id="39" name="TextBox 44">
          <a:extLst>
            <a:ext uri="{FF2B5EF4-FFF2-40B4-BE49-F238E27FC236}">
              <a16:creationId xmlns:a16="http://schemas.microsoft.com/office/drawing/2014/main" id="{00000000-0008-0000-0200-000027000000}"/>
            </a:ext>
          </a:extLst>
        </xdr:cNvPr>
        <xdr:cNvSpPr txBox="1"/>
      </xdr:nvSpPr>
      <xdr:spPr>
        <a:xfrm>
          <a:off x="86589054" y="29947054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190</xdr:col>
      <xdr:colOff>598713</xdr:colOff>
      <xdr:row>136</xdr:row>
      <xdr:rowOff>108856</xdr:rowOff>
    </xdr:from>
    <xdr:ext cx="2234051" cy="373225"/>
    <xdr:sp macro="" textlink="">
      <xdr:nvSpPr>
        <xdr:cNvPr id="40" name="TextBox 45">
          <a:extLst>
            <a:ext uri="{FF2B5EF4-FFF2-40B4-BE49-F238E27FC236}">
              <a16:creationId xmlns:a16="http://schemas.microsoft.com/office/drawing/2014/main" id="{00000000-0008-0000-0200-000028000000}"/>
            </a:ext>
          </a:extLst>
        </xdr:cNvPr>
        <xdr:cNvSpPr txBox="1"/>
      </xdr:nvSpPr>
      <xdr:spPr>
        <a:xfrm>
          <a:off x="59966677" y="26942142"/>
          <a:ext cx="2396398" cy="43542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ru-RU"/>
        </a:p>
      </xdr:txBody>
    </xdr:sp>
    <xdr:clientData/>
  </xdr:oneCellAnchor>
  <xdr:oneCellAnchor>
    <xdr:from>
      <xdr:col>219</xdr:col>
      <xdr:colOff>187778</xdr:colOff>
      <xdr:row>163</xdr:row>
      <xdr:rowOff>73479</xdr:rowOff>
    </xdr:from>
    <xdr:ext cx="936172" cy="688521"/>
    <xdr:sp macro="" textlink="">
      <xdr:nvSpPr>
        <xdr:cNvPr id="41" name="TextBox 48">
          <a:extLst>
            <a:ext uri="{FF2B5EF4-FFF2-40B4-BE49-F238E27FC236}">
              <a16:creationId xmlns:a16="http://schemas.microsoft.com/office/drawing/2014/main" id="{00000000-0008-0000-0200-000029000000}"/>
            </a:ext>
          </a:extLst>
        </xdr:cNvPr>
        <xdr:cNvSpPr txBox="1"/>
      </xdr:nvSpPr>
      <xdr:spPr>
        <a:xfrm>
          <a:off x="129384878" y="43145529"/>
          <a:ext cx="936172" cy="68852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212</xdr:col>
      <xdr:colOff>503463</xdr:colOff>
      <xdr:row>148</xdr:row>
      <xdr:rowOff>127906</xdr:rowOff>
    </xdr:from>
    <xdr:ext cx="2396398" cy="373225"/>
    <xdr:sp macro="" textlink="">
      <xdr:nvSpPr>
        <xdr:cNvPr id="44" name="TextBox 49">
          <a:extLst>
            <a:ext uri="{FF2B5EF4-FFF2-40B4-BE49-F238E27FC236}">
              <a16:creationId xmlns:a16="http://schemas.microsoft.com/office/drawing/2014/main" id="{00000000-0008-0000-0200-00002C000000}"/>
            </a:ext>
          </a:extLst>
        </xdr:cNvPr>
        <xdr:cNvSpPr txBox="1"/>
      </xdr:nvSpPr>
      <xdr:spPr>
        <a:xfrm>
          <a:off x="124938063" y="39047056"/>
          <a:ext cx="2396398" cy="3732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ru-RU"/>
        </a:p>
      </xdr:txBody>
    </xdr:sp>
    <xdr:clientData/>
  </xdr:oneCellAnchor>
  <xdr:oneCellAnchor>
    <xdr:from>
      <xdr:col>205</xdr:col>
      <xdr:colOff>317047</xdr:colOff>
      <xdr:row>137</xdr:row>
      <xdr:rowOff>122464</xdr:rowOff>
    </xdr:from>
    <xdr:ext cx="184731" cy="420015"/>
    <xdr:sp macro="" textlink="">
      <xdr:nvSpPr>
        <xdr:cNvPr id="47" name="TextBox 50">
          <a:extLst>
            <a:ext uri="{FF2B5EF4-FFF2-40B4-BE49-F238E27FC236}">
              <a16:creationId xmlns:a16="http://schemas.microsoft.com/office/drawing/2014/main" id="{00000000-0008-0000-0200-00002F000000}"/>
            </a:ext>
          </a:extLst>
        </xdr:cNvPr>
        <xdr:cNvSpPr txBox="1"/>
      </xdr:nvSpPr>
      <xdr:spPr>
        <a:xfrm>
          <a:off x="95433697" y="29611864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261</xdr:col>
      <xdr:colOff>73479</xdr:colOff>
      <xdr:row>181</xdr:row>
      <xdr:rowOff>73479</xdr:rowOff>
    </xdr:from>
    <xdr:ext cx="194454" cy="426536"/>
    <xdr:sp macro="" textlink="">
      <xdr:nvSpPr>
        <xdr:cNvPr id="65" name="TextBox 57">
          <a:extLst>
            <a:ext uri="{FF2B5EF4-FFF2-40B4-BE49-F238E27FC236}">
              <a16:creationId xmlns:a16="http://schemas.microsoft.com/office/drawing/2014/main" id="{00000000-0008-0000-0200-000041000000}"/>
            </a:ext>
          </a:extLst>
        </xdr:cNvPr>
        <xdr:cNvSpPr txBox="1"/>
      </xdr:nvSpPr>
      <xdr:spPr>
        <a:xfrm>
          <a:off x="108036179" y="29947054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259</xdr:col>
      <xdr:colOff>598713</xdr:colOff>
      <xdr:row>179</xdr:row>
      <xdr:rowOff>108856</xdr:rowOff>
    </xdr:from>
    <xdr:ext cx="2396398" cy="373225"/>
    <xdr:sp macro="" textlink="">
      <xdr:nvSpPr>
        <xdr:cNvPr id="66" name="TextBox 58">
          <a:extLst>
            <a:ext uri="{FF2B5EF4-FFF2-40B4-BE49-F238E27FC236}">
              <a16:creationId xmlns:a16="http://schemas.microsoft.com/office/drawing/2014/main" id="{00000000-0008-0000-0200-000042000000}"/>
            </a:ext>
          </a:extLst>
        </xdr:cNvPr>
        <xdr:cNvSpPr txBox="1"/>
      </xdr:nvSpPr>
      <xdr:spPr>
        <a:xfrm>
          <a:off x="72253927" y="26982963"/>
          <a:ext cx="2396398" cy="43542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ru-RU"/>
        </a:p>
      </xdr:txBody>
    </xdr:sp>
    <xdr:clientData/>
  </xdr:oneCellAnchor>
  <xdr:oneCellAnchor>
    <xdr:from>
      <xdr:col>258</xdr:col>
      <xdr:colOff>317047</xdr:colOff>
      <xdr:row>179</xdr:row>
      <xdr:rowOff>122464</xdr:rowOff>
    </xdr:from>
    <xdr:ext cx="184731" cy="420015"/>
    <xdr:sp macro="" textlink="">
      <xdr:nvSpPr>
        <xdr:cNvPr id="67" name="TextBox 59">
          <a:extLst>
            <a:ext uri="{FF2B5EF4-FFF2-40B4-BE49-F238E27FC236}">
              <a16:creationId xmlns:a16="http://schemas.microsoft.com/office/drawing/2014/main" id="{00000000-0008-0000-0200-000043000000}"/>
            </a:ext>
          </a:extLst>
        </xdr:cNvPr>
        <xdr:cNvSpPr txBox="1"/>
      </xdr:nvSpPr>
      <xdr:spPr>
        <a:xfrm>
          <a:off x="106498572" y="29611864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127</xdr:col>
      <xdr:colOff>73479</xdr:colOff>
      <xdr:row>99</xdr:row>
      <xdr:rowOff>73479</xdr:rowOff>
    </xdr:from>
    <xdr:ext cx="194454" cy="426536"/>
    <xdr:sp macro="" textlink="">
      <xdr:nvSpPr>
        <xdr:cNvPr id="77" name="TextBox 74">
          <a:extLst>
            <a:ext uri="{FF2B5EF4-FFF2-40B4-BE49-F238E27FC236}">
              <a16:creationId xmlns:a16="http://schemas.microsoft.com/office/drawing/2014/main" id="{00000000-0008-0000-0200-00004D000000}"/>
            </a:ext>
          </a:extLst>
        </xdr:cNvPr>
        <xdr:cNvSpPr txBox="1"/>
      </xdr:nvSpPr>
      <xdr:spPr>
        <a:xfrm>
          <a:off x="74857429" y="29947054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125</xdr:col>
      <xdr:colOff>598713</xdr:colOff>
      <xdr:row>97</xdr:row>
      <xdr:rowOff>108856</xdr:rowOff>
    </xdr:from>
    <xdr:ext cx="2359245" cy="373225"/>
    <xdr:sp macro="" textlink="">
      <xdr:nvSpPr>
        <xdr:cNvPr id="92" name="TextBox 75">
          <a:extLst>
            <a:ext uri="{FF2B5EF4-FFF2-40B4-BE49-F238E27FC236}">
              <a16:creationId xmlns:a16="http://schemas.microsoft.com/office/drawing/2014/main" id="{00000000-0008-0000-0200-00005C000000}"/>
            </a:ext>
          </a:extLst>
        </xdr:cNvPr>
        <xdr:cNvSpPr txBox="1"/>
      </xdr:nvSpPr>
      <xdr:spPr>
        <a:xfrm>
          <a:off x="83332863" y="27807556"/>
          <a:ext cx="2396398" cy="43542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ru-RU"/>
        </a:p>
      </xdr:txBody>
    </xdr:sp>
    <xdr:clientData/>
  </xdr:oneCellAnchor>
  <xdr:twoCellAnchor>
    <xdr:from>
      <xdr:col>147</xdr:col>
      <xdr:colOff>66900</xdr:colOff>
      <xdr:row>5</xdr:row>
      <xdr:rowOff>7937</xdr:rowOff>
    </xdr:from>
    <xdr:to>
      <xdr:col>160</xdr:col>
      <xdr:colOff>685799</xdr:colOff>
      <xdr:row>42</xdr:row>
      <xdr:rowOff>190500</xdr:rowOff>
    </xdr:to>
    <xdr:graphicFrame macro="">
      <xdr:nvGraphicFramePr>
        <xdr:cNvPr id="66315030" name="Chart 2">
          <a:extLst>
            <a:ext uri="{FF2B5EF4-FFF2-40B4-BE49-F238E27FC236}">
              <a16:creationId xmlns:a16="http://schemas.microsoft.com/office/drawing/2014/main" id="{00000000-0008-0000-0200-000016E3F3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oneCellAnchor>
    <xdr:from>
      <xdr:col>117</xdr:col>
      <xdr:colOff>376918</xdr:colOff>
      <xdr:row>27</xdr:row>
      <xdr:rowOff>31297</xdr:rowOff>
    </xdr:from>
    <xdr:ext cx="194454" cy="410593"/>
    <xdr:sp macro="" textlink="">
      <xdr:nvSpPr>
        <xdr:cNvPr id="165" name="TextBox 164">
          <a:extLst>
            <a:ext uri="{FF2B5EF4-FFF2-40B4-BE49-F238E27FC236}">
              <a16:creationId xmlns:a16="http://schemas.microsoft.com/office/drawing/2014/main" id="{00000000-0008-0000-0200-0000A5000000}"/>
            </a:ext>
          </a:extLst>
        </xdr:cNvPr>
        <xdr:cNvSpPr txBox="1"/>
      </xdr:nvSpPr>
      <xdr:spPr>
        <a:xfrm>
          <a:off x="88978468" y="15766597"/>
          <a:ext cx="194454" cy="40354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113</xdr:col>
      <xdr:colOff>385083</xdr:colOff>
      <xdr:row>21</xdr:row>
      <xdr:rowOff>27669</xdr:rowOff>
    </xdr:from>
    <xdr:ext cx="2576994" cy="383734"/>
    <xdr:sp macro="" textlink="">
      <xdr:nvSpPr>
        <xdr:cNvPr id="166" name="TextBox 165">
          <a:extLst>
            <a:ext uri="{FF2B5EF4-FFF2-40B4-BE49-F238E27FC236}">
              <a16:creationId xmlns:a16="http://schemas.microsoft.com/office/drawing/2014/main" id="{00000000-0008-0000-0200-0000A6000000}"/>
            </a:ext>
          </a:extLst>
        </xdr:cNvPr>
        <xdr:cNvSpPr txBox="1"/>
      </xdr:nvSpPr>
      <xdr:spPr>
        <a:xfrm>
          <a:off x="86510133" y="14124669"/>
          <a:ext cx="2576994" cy="383734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algn="ctr"/>
          <a:endParaRPr lang="ru-RU" sz="1800"/>
        </a:p>
      </xdr:txBody>
    </xdr:sp>
    <xdr:clientData/>
  </xdr:oneCellAnchor>
  <xdr:oneCellAnchor>
    <xdr:from>
      <xdr:col>119</xdr:col>
      <xdr:colOff>413314</xdr:colOff>
      <xdr:row>28</xdr:row>
      <xdr:rowOff>2040</xdr:rowOff>
    </xdr:from>
    <xdr:ext cx="184731" cy="409122"/>
    <xdr:sp macro="" textlink="">
      <xdr:nvSpPr>
        <xdr:cNvPr id="168" name="TextBox 167">
          <a:extLst>
            <a:ext uri="{FF2B5EF4-FFF2-40B4-BE49-F238E27FC236}">
              <a16:creationId xmlns:a16="http://schemas.microsoft.com/office/drawing/2014/main" id="{00000000-0008-0000-0200-0000A8000000}"/>
            </a:ext>
          </a:extLst>
        </xdr:cNvPr>
        <xdr:cNvSpPr txBox="1"/>
      </xdr:nvSpPr>
      <xdr:spPr>
        <a:xfrm>
          <a:off x="108236314" y="16004040"/>
          <a:ext cx="184731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 sz="1600"/>
        </a:p>
      </xdr:txBody>
    </xdr:sp>
    <xdr:clientData/>
  </xdr:oneCellAnchor>
  <xdr:oneCellAnchor>
    <xdr:from>
      <xdr:col>120</xdr:col>
      <xdr:colOff>30616</xdr:colOff>
      <xdr:row>20</xdr:row>
      <xdr:rowOff>30956</xdr:rowOff>
    </xdr:from>
    <xdr:ext cx="184731" cy="421039"/>
    <xdr:sp macro="" textlink="">
      <xdr:nvSpPr>
        <xdr:cNvPr id="169" name="TextBox 168">
          <a:extLst>
            <a:ext uri="{FF2B5EF4-FFF2-40B4-BE49-F238E27FC236}">
              <a16:creationId xmlns:a16="http://schemas.microsoft.com/office/drawing/2014/main" id="{00000000-0008-0000-0200-0000A9000000}"/>
            </a:ext>
          </a:extLst>
        </xdr:cNvPr>
        <xdr:cNvSpPr txBox="1"/>
      </xdr:nvSpPr>
      <xdr:spPr>
        <a:xfrm>
          <a:off x="108634666" y="13861256"/>
          <a:ext cx="184731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 sz="1600"/>
        </a:p>
      </xdr:txBody>
    </xdr:sp>
    <xdr:clientData/>
  </xdr:oneCellAnchor>
  <xdr:oneCellAnchor>
    <xdr:from>
      <xdr:col>119</xdr:col>
      <xdr:colOff>265000</xdr:colOff>
      <xdr:row>22</xdr:row>
      <xdr:rowOff>221118</xdr:rowOff>
    </xdr:from>
    <xdr:ext cx="194454" cy="405960"/>
    <xdr:sp macro="" textlink="">
      <xdr:nvSpPr>
        <xdr:cNvPr id="170" name="TextBox 169">
          <a:extLst>
            <a:ext uri="{FF2B5EF4-FFF2-40B4-BE49-F238E27FC236}">
              <a16:creationId xmlns:a16="http://schemas.microsoft.com/office/drawing/2014/main" id="{00000000-0008-0000-0200-0000AA000000}"/>
            </a:ext>
          </a:extLst>
        </xdr:cNvPr>
        <xdr:cNvSpPr txBox="1"/>
      </xdr:nvSpPr>
      <xdr:spPr>
        <a:xfrm>
          <a:off x="108088000" y="14622918"/>
          <a:ext cx="184731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 sz="1600"/>
        </a:p>
      </xdr:txBody>
    </xdr:sp>
    <xdr:clientData/>
  </xdr:oneCellAnchor>
  <xdr:twoCellAnchor>
    <xdr:from>
      <xdr:col>111</xdr:col>
      <xdr:colOff>57150</xdr:colOff>
      <xdr:row>7</xdr:row>
      <xdr:rowOff>200025</xdr:rowOff>
    </xdr:from>
    <xdr:to>
      <xdr:col>125</xdr:col>
      <xdr:colOff>0</xdr:colOff>
      <xdr:row>45</xdr:row>
      <xdr:rowOff>209550</xdr:rowOff>
    </xdr:to>
    <xdr:graphicFrame macro="">
      <xdr:nvGraphicFramePr>
        <xdr:cNvPr id="66315037" name="Диаграмма 172">
          <a:extLst>
            <a:ext uri="{FF2B5EF4-FFF2-40B4-BE49-F238E27FC236}">
              <a16:creationId xmlns:a16="http://schemas.microsoft.com/office/drawing/2014/main" id="{00000000-0008-0000-0200-00001DE3F3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oneCellAnchor>
    <xdr:from>
      <xdr:col>112</xdr:col>
      <xdr:colOff>184604</xdr:colOff>
      <xdr:row>9</xdr:row>
      <xdr:rowOff>47171</xdr:rowOff>
    </xdr:from>
    <xdr:ext cx="876753" cy="446212"/>
    <xdr:sp macro="" textlink="">
      <xdr:nvSpPr>
        <xdr:cNvPr id="174" name="TextBox 173">
          <a:extLst>
            <a:ext uri="{FF2B5EF4-FFF2-40B4-BE49-F238E27FC236}">
              <a16:creationId xmlns:a16="http://schemas.microsoft.com/office/drawing/2014/main" id="{00000000-0008-0000-0200-0000AE000000}"/>
            </a:ext>
          </a:extLst>
        </xdr:cNvPr>
        <xdr:cNvSpPr txBox="1"/>
      </xdr:nvSpPr>
      <xdr:spPr>
        <a:xfrm>
          <a:off x="86630783" y="2333171"/>
          <a:ext cx="876753" cy="44621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r>
            <a:rPr lang="en-US" sz="2400">
              <a:latin typeface="Arial" pitchFamily="34" charset="0"/>
              <a:cs typeface="Arial" pitchFamily="34" charset="0"/>
            </a:rPr>
            <a:t>  FS</a:t>
          </a:r>
          <a:endParaRPr lang="ru-RU" sz="2400">
            <a:latin typeface="Arial" pitchFamily="34" charset="0"/>
            <a:cs typeface="Arial" pitchFamily="34" charset="0"/>
          </a:endParaRPr>
        </a:p>
      </xdr:txBody>
    </xdr:sp>
    <xdr:clientData/>
  </xdr:oneCellAnchor>
  <xdr:oneCellAnchor>
    <xdr:from>
      <xdr:col>122</xdr:col>
      <xdr:colOff>205922</xdr:colOff>
      <xdr:row>41</xdr:row>
      <xdr:rowOff>151042</xdr:rowOff>
    </xdr:from>
    <xdr:ext cx="1454150" cy="390524"/>
    <xdr:sp macro="" textlink="">
      <xdr:nvSpPr>
        <xdr:cNvPr id="175" name="TextBox 174">
          <a:extLst>
            <a:ext uri="{FF2B5EF4-FFF2-40B4-BE49-F238E27FC236}">
              <a16:creationId xmlns:a16="http://schemas.microsoft.com/office/drawing/2014/main" id="{00000000-0008-0000-0200-0000AF000000}"/>
            </a:ext>
          </a:extLst>
        </xdr:cNvPr>
        <xdr:cNvSpPr txBox="1"/>
      </xdr:nvSpPr>
      <xdr:spPr>
        <a:xfrm>
          <a:off x="93401243" y="10764613"/>
          <a:ext cx="1454150" cy="39052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noAutofit/>
        </a:bodyPr>
        <a:lstStyle/>
        <a:p>
          <a:r>
            <a:rPr lang="en-US" sz="2400">
              <a:latin typeface="Arial" pitchFamily="34" charset="0"/>
              <a:cs typeface="Arial" pitchFamily="34" charset="0"/>
            </a:rPr>
            <a:t> ^WWPS</a:t>
          </a:r>
        </a:p>
        <a:p>
          <a:endParaRPr lang="ru-RU" sz="1800">
            <a:latin typeface="Arial" pitchFamily="34" charset="0"/>
            <a:cs typeface="Arial" pitchFamily="34" charset="0"/>
          </a:endParaRPr>
        </a:p>
      </xdr:txBody>
    </xdr:sp>
    <xdr:clientData/>
  </xdr:oneCellAnchor>
  <xdr:oneCellAnchor>
    <xdr:from>
      <xdr:col>113</xdr:col>
      <xdr:colOff>504370</xdr:colOff>
      <xdr:row>11</xdr:row>
      <xdr:rowOff>215898</xdr:rowOff>
    </xdr:from>
    <xdr:ext cx="7572375" cy="505267"/>
    <xdr:sp macro="" textlink="">
      <xdr:nvSpPr>
        <xdr:cNvPr id="176" name="TextBox 175">
          <a:extLst>
            <a:ext uri="{FF2B5EF4-FFF2-40B4-BE49-F238E27FC236}">
              <a16:creationId xmlns:a16="http://schemas.microsoft.com/office/drawing/2014/main" id="{00000000-0008-0000-0200-0000B0000000}"/>
            </a:ext>
          </a:extLst>
        </xdr:cNvPr>
        <xdr:cNvSpPr txBox="1"/>
      </xdr:nvSpPr>
      <xdr:spPr>
        <a:xfrm>
          <a:off x="87576477" y="3018969"/>
          <a:ext cx="7572375" cy="50526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r>
            <a:rPr lang="ru-RU" sz="2800">
              <a:latin typeface="Arial" pitchFamily="34" charset="0"/>
              <a:cs typeface="Arial" pitchFamily="34" charset="0"/>
            </a:rPr>
            <a:t>Фондовая  характеристика  экономики РФ</a:t>
          </a:r>
        </a:p>
      </xdr:txBody>
    </xdr:sp>
    <xdr:clientData/>
  </xdr:oneCellAnchor>
  <xdr:oneCellAnchor>
    <xdr:from>
      <xdr:col>120</xdr:col>
      <xdr:colOff>213859</xdr:colOff>
      <xdr:row>31</xdr:row>
      <xdr:rowOff>141514</xdr:rowOff>
    </xdr:from>
    <xdr:ext cx="1027565" cy="394687"/>
    <xdr:sp macro="" textlink="">
      <xdr:nvSpPr>
        <xdr:cNvPr id="177" name="TextBox 176">
          <a:extLst>
            <a:ext uri="{FF2B5EF4-FFF2-40B4-BE49-F238E27FC236}">
              <a16:creationId xmlns:a16="http://schemas.microsoft.com/office/drawing/2014/main" id="{00000000-0008-0000-0200-0000B1000000}"/>
            </a:ext>
          </a:extLst>
        </xdr:cNvPr>
        <xdr:cNvSpPr txBox="1"/>
      </xdr:nvSpPr>
      <xdr:spPr>
        <a:xfrm>
          <a:off x="92007645" y="8169728"/>
          <a:ext cx="1027565" cy="39468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r>
            <a:rPr lang="ru-RU" sz="1800">
              <a:latin typeface="Arial" pitchFamily="34" charset="0"/>
              <a:cs typeface="Arial" pitchFamily="34" charset="0"/>
            </a:rPr>
            <a:t>Тренд</a:t>
          </a:r>
          <a:r>
            <a:rPr lang="ru-RU" sz="1800" baseline="0">
              <a:latin typeface="Arial" pitchFamily="34" charset="0"/>
              <a:cs typeface="Arial" pitchFamily="34" charset="0"/>
            </a:rPr>
            <a:t> 1</a:t>
          </a:r>
          <a:endParaRPr lang="ru-RU" sz="1800">
            <a:latin typeface="Arial" pitchFamily="34" charset="0"/>
            <a:cs typeface="Arial" pitchFamily="34" charset="0"/>
          </a:endParaRPr>
        </a:p>
      </xdr:txBody>
    </xdr:sp>
    <xdr:clientData/>
  </xdr:oneCellAnchor>
  <xdr:oneCellAnchor>
    <xdr:from>
      <xdr:col>120</xdr:col>
      <xdr:colOff>67129</xdr:colOff>
      <xdr:row>18</xdr:row>
      <xdr:rowOff>151040</xdr:rowOff>
    </xdr:from>
    <xdr:ext cx="1027927" cy="394934"/>
    <xdr:sp macro="" textlink="">
      <xdr:nvSpPr>
        <xdr:cNvPr id="178" name="TextBox 177">
          <a:extLst>
            <a:ext uri="{FF2B5EF4-FFF2-40B4-BE49-F238E27FC236}">
              <a16:creationId xmlns:a16="http://schemas.microsoft.com/office/drawing/2014/main" id="{00000000-0008-0000-0200-0000B2000000}"/>
            </a:ext>
          </a:extLst>
        </xdr:cNvPr>
        <xdr:cNvSpPr txBox="1"/>
      </xdr:nvSpPr>
      <xdr:spPr>
        <a:xfrm>
          <a:off x="91860915" y="4763861"/>
          <a:ext cx="1027927" cy="39493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r>
            <a:rPr lang="ru-RU" sz="1800">
              <a:latin typeface="Arial" pitchFamily="34" charset="0"/>
              <a:cs typeface="Arial" pitchFamily="34" charset="0"/>
            </a:rPr>
            <a:t>Тренд 2</a:t>
          </a:r>
        </a:p>
      </xdr:txBody>
    </xdr:sp>
    <xdr:clientData/>
  </xdr:oneCellAnchor>
  <xdr:twoCellAnchor>
    <xdr:from>
      <xdr:col>58</xdr:col>
      <xdr:colOff>53068</xdr:colOff>
      <xdr:row>8</xdr:row>
      <xdr:rowOff>31750</xdr:rowOff>
    </xdr:from>
    <xdr:to>
      <xdr:col>69</xdr:col>
      <xdr:colOff>571500</xdr:colOff>
      <xdr:row>36</xdr:row>
      <xdr:rowOff>217713</xdr:rowOff>
    </xdr:to>
    <xdr:graphicFrame macro="">
      <xdr:nvGraphicFramePr>
        <xdr:cNvPr id="66315045" name="Chart 13">
          <a:extLst>
            <a:ext uri="{FF2B5EF4-FFF2-40B4-BE49-F238E27FC236}">
              <a16:creationId xmlns:a16="http://schemas.microsoft.com/office/drawing/2014/main" id="{00000000-0008-0000-0200-000025E3F3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oneCellAnchor>
    <xdr:from>
      <xdr:col>58</xdr:col>
      <xdr:colOff>666751</xdr:colOff>
      <xdr:row>12</xdr:row>
      <xdr:rowOff>89338</xdr:rowOff>
    </xdr:from>
    <xdr:ext cx="7296150" cy="939362"/>
    <xdr:sp macro="" textlink="">
      <xdr:nvSpPr>
        <xdr:cNvPr id="44075360" name="TextBox 2">
          <a:extLst>
            <a:ext uri="{FF2B5EF4-FFF2-40B4-BE49-F238E27FC236}">
              <a16:creationId xmlns:a16="http://schemas.microsoft.com/office/drawing/2014/main" id="{00000000-0008-0000-0200-00006089A002}"/>
            </a:ext>
          </a:extLst>
        </xdr:cNvPr>
        <xdr:cNvSpPr txBox="1"/>
      </xdr:nvSpPr>
      <xdr:spPr>
        <a:xfrm>
          <a:off x="36480751" y="2432488"/>
          <a:ext cx="7296150" cy="93936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noAutofit/>
        </a:bodyPr>
        <a:lstStyle/>
        <a:p>
          <a:pPr algn="ctr"/>
          <a:r>
            <a:rPr lang="ru-RU" sz="2000">
              <a:latin typeface="Arial" panose="020B0604020202020204" pitchFamily="34" charset="0"/>
              <a:cs typeface="Arial" panose="020B0604020202020204" pitchFamily="34" charset="0"/>
            </a:rPr>
            <a:t>ТЕМПЫ</a:t>
          </a:r>
          <a:r>
            <a:rPr lang="ru-RU" sz="2000" baseline="0">
              <a:latin typeface="Arial" panose="020B0604020202020204" pitchFamily="34" charset="0"/>
              <a:cs typeface="Arial" panose="020B0604020202020204" pitchFamily="34" charset="0"/>
            </a:rPr>
            <a:t> </a:t>
          </a:r>
          <a:r>
            <a:rPr lang="en-US" sz="2000" baseline="0">
              <a:latin typeface="Arial" panose="020B0604020202020204" pitchFamily="34" charset="0"/>
              <a:cs typeface="Arial" panose="020B0604020202020204" pitchFamily="34" charset="0"/>
            </a:rPr>
            <a:t> </a:t>
          </a:r>
          <a:r>
            <a:rPr lang="ru-RU" sz="2000" baseline="0">
              <a:latin typeface="Arial" panose="020B0604020202020204" pitchFamily="34" charset="0"/>
              <a:cs typeface="Arial" panose="020B0604020202020204" pitchFamily="34" charset="0"/>
            </a:rPr>
            <a:t>ПРОИЗВЕДЕННОГО И ИСПОЛЬЗОВАННОГО ВВП</a:t>
          </a:r>
          <a:endParaRPr lang="ru-RU" sz="20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oneCellAnchor>
  <xdr:oneCellAnchor>
    <xdr:from>
      <xdr:col>61</xdr:col>
      <xdr:colOff>633620</xdr:colOff>
      <xdr:row>18</xdr:row>
      <xdr:rowOff>26963</xdr:rowOff>
    </xdr:from>
    <xdr:ext cx="956672" cy="357790"/>
    <xdr:sp macro="" textlink="">
      <xdr:nvSpPr>
        <xdr:cNvPr id="44075364" name="TextBox 5">
          <a:extLst>
            <a:ext uri="{FF2B5EF4-FFF2-40B4-BE49-F238E27FC236}">
              <a16:creationId xmlns:a16="http://schemas.microsoft.com/office/drawing/2014/main" id="{00000000-0008-0000-0200-00006489A002}"/>
            </a:ext>
          </a:extLst>
        </xdr:cNvPr>
        <xdr:cNvSpPr txBox="1"/>
      </xdr:nvSpPr>
      <xdr:spPr>
        <a:xfrm>
          <a:off x="38714570" y="4198913"/>
          <a:ext cx="956672" cy="35779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r>
            <a:rPr lang="en-US" sz="1800">
              <a:latin typeface="Arial" panose="020B0604020202020204" pitchFamily="34" charset="0"/>
              <a:cs typeface="Arial" panose="020B0604020202020204" pitchFamily="34" charset="0"/>
            </a:rPr>
            <a:t>^pW</a:t>
          </a:r>
          <a:r>
            <a:rPr lang="ru-RU" sz="1800">
              <a:latin typeface="Arial" panose="020B0604020202020204" pitchFamily="34" charset="0"/>
              <a:cs typeface="Arial" panose="020B0604020202020204" pitchFamily="34" charset="0"/>
            </a:rPr>
            <a:t> пр</a:t>
          </a:r>
        </a:p>
      </xdr:txBody>
    </xdr:sp>
    <xdr:clientData/>
  </xdr:oneCellAnchor>
  <xdr:twoCellAnchor>
    <xdr:from>
      <xdr:col>74</xdr:col>
      <xdr:colOff>63500</xdr:colOff>
      <xdr:row>8</xdr:row>
      <xdr:rowOff>15875</xdr:rowOff>
    </xdr:from>
    <xdr:to>
      <xdr:col>85</xdr:col>
      <xdr:colOff>15875</xdr:colOff>
      <xdr:row>36</xdr:row>
      <xdr:rowOff>244475</xdr:rowOff>
    </xdr:to>
    <xdr:graphicFrame macro="">
      <xdr:nvGraphicFramePr>
        <xdr:cNvPr id="66315050" name="Chart 13">
          <a:extLst>
            <a:ext uri="{FF2B5EF4-FFF2-40B4-BE49-F238E27FC236}">
              <a16:creationId xmlns:a16="http://schemas.microsoft.com/office/drawing/2014/main" id="{00000000-0008-0000-0200-00002AE3F3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oneCellAnchor>
    <xdr:from>
      <xdr:col>75</xdr:col>
      <xdr:colOff>184557</xdr:colOff>
      <xdr:row>10</xdr:row>
      <xdr:rowOff>124262</xdr:rowOff>
    </xdr:from>
    <xdr:ext cx="4958943" cy="1037787"/>
    <xdr:sp macro="" textlink="">
      <xdr:nvSpPr>
        <xdr:cNvPr id="44075365" name="TextBox 7">
          <a:extLst>
            <a:ext uri="{FF2B5EF4-FFF2-40B4-BE49-F238E27FC236}">
              <a16:creationId xmlns:a16="http://schemas.microsoft.com/office/drawing/2014/main" id="{00000000-0008-0000-0200-00006589A002}"/>
            </a:ext>
          </a:extLst>
        </xdr:cNvPr>
        <xdr:cNvSpPr txBox="1"/>
      </xdr:nvSpPr>
      <xdr:spPr>
        <a:xfrm>
          <a:off x="48266757" y="1934012"/>
          <a:ext cx="4958943" cy="103778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noAutofit/>
        </a:bodyPr>
        <a:lstStyle/>
        <a:p>
          <a:r>
            <a:rPr lang="ru-RU" sz="1800"/>
            <a:t> </a:t>
          </a:r>
          <a:r>
            <a:rPr lang="en-US" sz="1800"/>
            <a:t>     </a:t>
          </a:r>
          <a:r>
            <a:rPr lang="ru-RU" sz="1800">
              <a:latin typeface="Arial" panose="020B0604020202020204" pitchFamily="34" charset="0"/>
              <a:cs typeface="Arial" panose="020B0604020202020204" pitchFamily="34" charset="0"/>
            </a:rPr>
            <a:t>БАЗИСНЫЕ </a:t>
          </a:r>
          <a:r>
            <a:rPr lang="en-US" sz="1800">
              <a:latin typeface="Arial" panose="020B0604020202020204" pitchFamily="34" charset="0"/>
              <a:cs typeface="Arial" panose="020B0604020202020204" pitchFamily="34" charset="0"/>
            </a:rPr>
            <a:t> </a:t>
          </a:r>
          <a:r>
            <a:rPr lang="ru-RU" sz="1800">
              <a:latin typeface="Arial" panose="020B0604020202020204" pitchFamily="34" charset="0"/>
              <a:cs typeface="Arial" panose="020B0604020202020204" pitchFamily="34" charset="0"/>
            </a:rPr>
            <a:t>ТЕМПЫ</a:t>
          </a:r>
          <a:endParaRPr lang="en-US" sz="1800">
            <a:latin typeface="Arial" panose="020B0604020202020204" pitchFamily="34" charset="0"/>
            <a:cs typeface="Arial" panose="020B0604020202020204" pitchFamily="34" charset="0"/>
          </a:endParaRPr>
        </a:p>
        <a:p>
          <a:r>
            <a:rPr lang="ru-RU" sz="1800" baseline="0">
              <a:latin typeface="Arial" panose="020B0604020202020204" pitchFamily="34" charset="0"/>
              <a:cs typeface="Arial" panose="020B0604020202020204" pitchFamily="34" charset="0"/>
            </a:rPr>
            <a:t> </a:t>
          </a:r>
          <a:r>
            <a:rPr lang="en-US" sz="1800" baseline="0">
              <a:latin typeface="Arial" panose="020B0604020202020204" pitchFamily="34" charset="0"/>
              <a:cs typeface="Arial" panose="020B0604020202020204" pitchFamily="34" charset="0"/>
            </a:rPr>
            <a:t>   </a:t>
          </a:r>
          <a:r>
            <a:rPr lang="ru-RU" sz="1800" baseline="0">
              <a:latin typeface="Arial" panose="020B0604020202020204" pitchFamily="34" charset="0"/>
              <a:cs typeface="Arial" panose="020B0604020202020204" pitchFamily="34" charset="0"/>
            </a:rPr>
            <a:t>ПРОИЗВЕДЕННОГО И</a:t>
          </a:r>
          <a:endParaRPr lang="en-US" sz="1800" baseline="0">
            <a:latin typeface="Arial" panose="020B0604020202020204" pitchFamily="34" charset="0"/>
            <a:cs typeface="Arial" panose="020B0604020202020204" pitchFamily="34" charset="0"/>
          </a:endParaRPr>
        </a:p>
        <a:p>
          <a:r>
            <a:rPr lang="ru-RU" sz="1800" baseline="0">
              <a:latin typeface="Arial" panose="020B0604020202020204" pitchFamily="34" charset="0"/>
              <a:cs typeface="Arial" panose="020B0604020202020204" pitchFamily="34" charset="0"/>
            </a:rPr>
            <a:t>     ИСПОЛЬЗОВАННОГО</a:t>
          </a:r>
          <a:r>
            <a:rPr lang="en-US" sz="1800">
              <a:latin typeface="Arial" panose="020B0604020202020204" pitchFamily="34" charset="0"/>
              <a:cs typeface="Arial" panose="020B0604020202020204" pitchFamily="34" charset="0"/>
            </a:rPr>
            <a:t> </a:t>
          </a:r>
          <a:r>
            <a:rPr lang="en-US" sz="1800" b="0" i="0" u="none" strike="noStrike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 </a:t>
          </a:r>
          <a:r>
            <a:rPr lang="ru-RU" sz="1800" baseline="0">
              <a:latin typeface="Arial" panose="020B0604020202020204" pitchFamily="34" charset="0"/>
              <a:cs typeface="Arial" panose="020B0604020202020204" pitchFamily="34" charset="0"/>
            </a:rPr>
            <a:t>ВВП</a:t>
          </a:r>
          <a:endParaRPr lang="ru-RU" sz="18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oneCellAnchor>
  <xdr:oneCellAnchor>
    <xdr:from>
      <xdr:col>77</xdr:col>
      <xdr:colOff>672618</xdr:colOff>
      <xdr:row>16</xdr:row>
      <xdr:rowOff>166626</xdr:rowOff>
    </xdr:from>
    <xdr:ext cx="980974" cy="468013"/>
    <xdr:sp macro="" textlink="">
      <xdr:nvSpPr>
        <xdr:cNvPr id="44075367" name="TextBox 8">
          <a:extLst>
            <a:ext uri="{FF2B5EF4-FFF2-40B4-BE49-F238E27FC236}">
              <a16:creationId xmlns:a16="http://schemas.microsoft.com/office/drawing/2014/main" id="{00000000-0008-0000-0200-00006789A002}"/>
            </a:ext>
          </a:extLst>
        </xdr:cNvPr>
        <xdr:cNvSpPr txBox="1"/>
      </xdr:nvSpPr>
      <xdr:spPr>
        <a:xfrm>
          <a:off x="50164518" y="3728976"/>
          <a:ext cx="980974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r>
            <a:rPr lang="en-US" sz="2000"/>
            <a:t>^</a:t>
          </a:r>
          <a:r>
            <a:rPr lang="en-US" sz="2400"/>
            <a:t>P</a:t>
          </a:r>
          <a:r>
            <a:rPr lang="en-US" sz="2000"/>
            <a:t>w</a:t>
          </a:r>
          <a:r>
            <a:rPr lang="ru-RU" sz="2000"/>
            <a:t> пр</a:t>
          </a:r>
        </a:p>
      </xdr:txBody>
    </xdr:sp>
    <xdr:clientData/>
  </xdr:oneCellAnchor>
  <xdr:twoCellAnchor>
    <xdr:from>
      <xdr:col>112</xdr:col>
      <xdr:colOff>95250</xdr:colOff>
      <xdr:row>50</xdr:row>
      <xdr:rowOff>38100</xdr:rowOff>
    </xdr:from>
    <xdr:to>
      <xdr:col>125</xdr:col>
      <xdr:colOff>723899</xdr:colOff>
      <xdr:row>88</xdr:row>
      <xdr:rowOff>19050</xdr:rowOff>
    </xdr:to>
    <xdr:graphicFrame macro="">
      <xdr:nvGraphicFramePr>
        <xdr:cNvPr id="66315056" name="Chart 17">
          <a:extLst>
            <a:ext uri="{FF2B5EF4-FFF2-40B4-BE49-F238E27FC236}">
              <a16:creationId xmlns:a16="http://schemas.microsoft.com/office/drawing/2014/main" id="{00000000-0008-0000-0200-000030E3F3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oneCellAnchor>
    <xdr:from>
      <xdr:col>96</xdr:col>
      <xdr:colOff>376918</xdr:colOff>
      <xdr:row>229</xdr:row>
      <xdr:rowOff>31297</xdr:rowOff>
    </xdr:from>
    <xdr:ext cx="194454" cy="410593"/>
    <xdr:sp macro="" textlink="">
      <xdr:nvSpPr>
        <xdr:cNvPr id="44075374" name="TextBox 16">
          <a:extLst>
            <a:ext uri="{FF2B5EF4-FFF2-40B4-BE49-F238E27FC236}">
              <a16:creationId xmlns:a16="http://schemas.microsoft.com/office/drawing/2014/main" id="{00000000-0008-0000-0200-00006E89A002}"/>
            </a:ext>
          </a:extLst>
        </xdr:cNvPr>
        <xdr:cNvSpPr txBox="1"/>
      </xdr:nvSpPr>
      <xdr:spPr>
        <a:xfrm>
          <a:off x="62003668" y="1361394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208</xdr:col>
      <xdr:colOff>376918</xdr:colOff>
      <xdr:row>192</xdr:row>
      <xdr:rowOff>31297</xdr:rowOff>
    </xdr:from>
    <xdr:ext cx="194454" cy="410593"/>
    <xdr:sp macro="" textlink="">
      <xdr:nvSpPr>
        <xdr:cNvPr id="199" name="TextBox 198">
          <a:extLst>
            <a:ext uri="{FF2B5EF4-FFF2-40B4-BE49-F238E27FC236}">
              <a16:creationId xmlns:a16="http://schemas.microsoft.com/office/drawing/2014/main" id="{00000000-0008-0000-0200-0000C7000000}"/>
            </a:ext>
          </a:extLst>
        </xdr:cNvPr>
        <xdr:cNvSpPr txBox="1"/>
      </xdr:nvSpPr>
      <xdr:spPr>
        <a:xfrm>
          <a:off x="65575543" y="15461797"/>
          <a:ext cx="194454" cy="4105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208</xdr:col>
      <xdr:colOff>376918</xdr:colOff>
      <xdr:row>192</xdr:row>
      <xdr:rowOff>31297</xdr:rowOff>
    </xdr:from>
    <xdr:ext cx="194454" cy="410593"/>
    <xdr:sp macro="" textlink="">
      <xdr:nvSpPr>
        <xdr:cNvPr id="209" name="TextBox 16">
          <a:extLst>
            <a:ext uri="{FF2B5EF4-FFF2-40B4-BE49-F238E27FC236}">
              <a16:creationId xmlns:a16="http://schemas.microsoft.com/office/drawing/2014/main" id="{00000000-0008-0000-0200-0000D1000000}"/>
            </a:ext>
          </a:extLst>
        </xdr:cNvPr>
        <xdr:cNvSpPr txBox="1"/>
      </xdr:nvSpPr>
      <xdr:spPr>
        <a:xfrm>
          <a:off x="65575543" y="15461797"/>
          <a:ext cx="194454" cy="4105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208</xdr:col>
      <xdr:colOff>376918</xdr:colOff>
      <xdr:row>192</xdr:row>
      <xdr:rowOff>31297</xdr:rowOff>
    </xdr:from>
    <xdr:ext cx="194454" cy="410593"/>
    <xdr:sp macro="" textlink="">
      <xdr:nvSpPr>
        <xdr:cNvPr id="216" name="TextBox 16">
          <a:extLst>
            <a:ext uri="{FF2B5EF4-FFF2-40B4-BE49-F238E27FC236}">
              <a16:creationId xmlns:a16="http://schemas.microsoft.com/office/drawing/2014/main" id="{00000000-0008-0000-0200-0000D8000000}"/>
            </a:ext>
          </a:extLst>
        </xdr:cNvPr>
        <xdr:cNvSpPr txBox="1"/>
      </xdr:nvSpPr>
      <xdr:spPr>
        <a:xfrm>
          <a:off x="65575543" y="15461797"/>
          <a:ext cx="194454" cy="4105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132</xdr:col>
      <xdr:colOff>596900</xdr:colOff>
      <xdr:row>50</xdr:row>
      <xdr:rowOff>50800</xdr:rowOff>
    </xdr:from>
    <xdr:ext cx="2594878" cy="357790"/>
    <xdr:sp macro="" textlink="">
      <xdr:nvSpPr>
        <xdr:cNvPr id="224" name="TextBox 223">
          <a:extLst>
            <a:ext uri="{FF2B5EF4-FFF2-40B4-BE49-F238E27FC236}">
              <a16:creationId xmlns:a16="http://schemas.microsoft.com/office/drawing/2014/main" id="{00000000-0008-0000-0200-0000E0000000}"/>
            </a:ext>
          </a:extLst>
        </xdr:cNvPr>
        <xdr:cNvSpPr txBox="1"/>
      </xdr:nvSpPr>
      <xdr:spPr>
        <a:xfrm>
          <a:off x="134010400" y="11433175"/>
          <a:ext cx="2594878" cy="35779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r>
            <a:rPr lang="en-US" sz="1800">
              <a:latin typeface="Arial" pitchFamily="34" charset="0"/>
              <a:cs typeface="Arial" pitchFamily="34" charset="0"/>
            </a:rPr>
            <a:t>Pk -</a:t>
          </a:r>
          <a:r>
            <a:rPr lang="ru-RU" sz="1800">
              <a:latin typeface="Arial" pitchFamily="34" charset="0"/>
              <a:cs typeface="Arial" pitchFamily="34" charset="0"/>
            </a:rPr>
            <a:t>базисный темп ВН</a:t>
          </a:r>
        </a:p>
      </xdr:txBody>
    </xdr:sp>
    <xdr:clientData/>
  </xdr:oneCellAnchor>
  <xdr:oneCellAnchor>
    <xdr:from>
      <xdr:col>136</xdr:col>
      <xdr:colOff>184150</xdr:colOff>
      <xdr:row>76</xdr:row>
      <xdr:rowOff>193675</xdr:rowOff>
    </xdr:from>
    <xdr:ext cx="773160" cy="357790"/>
    <xdr:sp macro="" textlink="">
      <xdr:nvSpPr>
        <xdr:cNvPr id="225" name="TextBox 224">
          <a:extLst>
            <a:ext uri="{FF2B5EF4-FFF2-40B4-BE49-F238E27FC236}">
              <a16:creationId xmlns:a16="http://schemas.microsoft.com/office/drawing/2014/main" id="{00000000-0008-0000-0200-0000E1000000}"/>
            </a:ext>
          </a:extLst>
        </xdr:cNvPr>
        <xdr:cNvSpPr txBox="1"/>
      </xdr:nvSpPr>
      <xdr:spPr>
        <a:xfrm>
          <a:off x="139455525" y="18783300"/>
          <a:ext cx="773160" cy="35779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r>
            <a:rPr lang="ru-RU" sz="1800">
              <a:latin typeface="Arial" pitchFamily="34" charset="0"/>
              <a:cs typeface="Arial" pitchFamily="34" charset="0"/>
            </a:rPr>
            <a:t>отчёт</a:t>
          </a:r>
        </a:p>
      </xdr:txBody>
    </xdr:sp>
    <xdr:clientData/>
  </xdr:oneCellAnchor>
  <xdr:oneCellAnchor>
    <xdr:from>
      <xdr:col>143</xdr:col>
      <xdr:colOff>365125</xdr:colOff>
      <xdr:row>76</xdr:row>
      <xdr:rowOff>114300</xdr:rowOff>
    </xdr:from>
    <xdr:ext cx="1012265" cy="357790"/>
    <xdr:sp macro="" textlink="">
      <xdr:nvSpPr>
        <xdr:cNvPr id="226" name="TextBox 225">
          <a:extLst>
            <a:ext uri="{FF2B5EF4-FFF2-40B4-BE49-F238E27FC236}">
              <a16:creationId xmlns:a16="http://schemas.microsoft.com/office/drawing/2014/main" id="{00000000-0008-0000-0200-0000E2000000}"/>
            </a:ext>
          </a:extLst>
        </xdr:cNvPr>
        <xdr:cNvSpPr txBox="1"/>
      </xdr:nvSpPr>
      <xdr:spPr>
        <a:xfrm>
          <a:off x="143859250" y="18703925"/>
          <a:ext cx="1012265" cy="35779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r>
            <a:rPr lang="ru-RU" sz="1800">
              <a:latin typeface="Arial" pitchFamily="34" charset="0"/>
              <a:cs typeface="Arial" pitchFamily="34" charset="0"/>
            </a:rPr>
            <a:t>прогноз</a:t>
          </a:r>
        </a:p>
      </xdr:txBody>
    </xdr:sp>
    <xdr:clientData/>
  </xdr:oneCellAnchor>
  <xdr:oneCellAnchor>
    <xdr:from>
      <xdr:col>227</xdr:col>
      <xdr:colOff>73479</xdr:colOff>
      <xdr:row>181</xdr:row>
      <xdr:rowOff>73479</xdr:rowOff>
    </xdr:from>
    <xdr:ext cx="194454" cy="426536"/>
    <xdr:sp macro="" textlink="">
      <xdr:nvSpPr>
        <xdr:cNvPr id="228" name="TextBox 227">
          <a:extLst>
            <a:ext uri="{FF2B5EF4-FFF2-40B4-BE49-F238E27FC236}">
              <a16:creationId xmlns:a16="http://schemas.microsoft.com/office/drawing/2014/main" id="{00000000-0008-0000-0200-0000E4000000}"/>
            </a:ext>
          </a:extLst>
        </xdr:cNvPr>
        <xdr:cNvSpPr txBox="1"/>
      </xdr:nvSpPr>
      <xdr:spPr>
        <a:xfrm>
          <a:off x="103356229" y="32601354"/>
          <a:ext cx="194454" cy="42653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226</xdr:col>
      <xdr:colOff>598713</xdr:colOff>
      <xdr:row>179</xdr:row>
      <xdr:rowOff>108856</xdr:rowOff>
    </xdr:from>
    <xdr:ext cx="2396398" cy="373225"/>
    <xdr:sp macro="" textlink="">
      <xdr:nvSpPr>
        <xdr:cNvPr id="229" name="TextBox 228">
          <a:extLst>
            <a:ext uri="{FF2B5EF4-FFF2-40B4-BE49-F238E27FC236}">
              <a16:creationId xmlns:a16="http://schemas.microsoft.com/office/drawing/2014/main" id="{00000000-0008-0000-0200-0000E5000000}"/>
            </a:ext>
          </a:extLst>
        </xdr:cNvPr>
        <xdr:cNvSpPr txBox="1"/>
      </xdr:nvSpPr>
      <xdr:spPr>
        <a:xfrm>
          <a:off x="102563838" y="32160481"/>
          <a:ext cx="2396398" cy="3732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ru-RU"/>
        </a:p>
      </xdr:txBody>
    </xdr:sp>
    <xdr:clientData/>
  </xdr:oneCellAnchor>
  <xdr:oneCellAnchor>
    <xdr:from>
      <xdr:col>225</xdr:col>
      <xdr:colOff>317047</xdr:colOff>
      <xdr:row>179</xdr:row>
      <xdr:rowOff>122464</xdr:rowOff>
    </xdr:from>
    <xdr:ext cx="184731" cy="420015"/>
    <xdr:sp macro="" textlink="">
      <xdr:nvSpPr>
        <xdr:cNvPr id="230" name="TextBox 229">
          <a:extLst>
            <a:ext uri="{FF2B5EF4-FFF2-40B4-BE49-F238E27FC236}">
              <a16:creationId xmlns:a16="http://schemas.microsoft.com/office/drawing/2014/main" id="{00000000-0008-0000-0200-0000E6000000}"/>
            </a:ext>
          </a:extLst>
        </xdr:cNvPr>
        <xdr:cNvSpPr txBox="1"/>
      </xdr:nvSpPr>
      <xdr:spPr>
        <a:xfrm>
          <a:off x="101678922" y="32174089"/>
          <a:ext cx="184731" cy="4200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227</xdr:col>
      <xdr:colOff>73479</xdr:colOff>
      <xdr:row>181</xdr:row>
      <xdr:rowOff>73479</xdr:rowOff>
    </xdr:from>
    <xdr:ext cx="194454" cy="426536"/>
    <xdr:sp macro="" textlink="">
      <xdr:nvSpPr>
        <xdr:cNvPr id="234" name="TextBox 48">
          <a:extLst>
            <a:ext uri="{FF2B5EF4-FFF2-40B4-BE49-F238E27FC236}">
              <a16:creationId xmlns:a16="http://schemas.microsoft.com/office/drawing/2014/main" id="{00000000-0008-0000-0200-0000EA000000}"/>
            </a:ext>
          </a:extLst>
        </xdr:cNvPr>
        <xdr:cNvSpPr txBox="1"/>
      </xdr:nvSpPr>
      <xdr:spPr>
        <a:xfrm>
          <a:off x="103356229" y="32601354"/>
          <a:ext cx="194454" cy="42653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226</xdr:col>
      <xdr:colOff>598713</xdr:colOff>
      <xdr:row>179</xdr:row>
      <xdr:rowOff>108856</xdr:rowOff>
    </xdr:from>
    <xdr:ext cx="2396398" cy="373225"/>
    <xdr:sp macro="" textlink="">
      <xdr:nvSpPr>
        <xdr:cNvPr id="235" name="TextBox 49">
          <a:extLst>
            <a:ext uri="{FF2B5EF4-FFF2-40B4-BE49-F238E27FC236}">
              <a16:creationId xmlns:a16="http://schemas.microsoft.com/office/drawing/2014/main" id="{00000000-0008-0000-0200-0000EB000000}"/>
            </a:ext>
          </a:extLst>
        </xdr:cNvPr>
        <xdr:cNvSpPr txBox="1"/>
      </xdr:nvSpPr>
      <xdr:spPr>
        <a:xfrm>
          <a:off x="102563838" y="32160481"/>
          <a:ext cx="2396398" cy="3732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ru-RU"/>
        </a:p>
      </xdr:txBody>
    </xdr:sp>
    <xdr:clientData/>
  </xdr:oneCellAnchor>
  <xdr:oneCellAnchor>
    <xdr:from>
      <xdr:col>225</xdr:col>
      <xdr:colOff>317047</xdr:colOff>
      <xdr:row>179</xdr:row>
      <xdr:rowOff>122464</xdr:rowOff>
    </xdr:from>
    <xdr:ext cx="184731" cy="420015"/>
    <xdr:sp macro="" textlink="">
      <xdr:nvSpPr>
        <xdr:cNvPr id="236" name="TextBox 50">
          <a:extLst>
            <a:ext uri="{FF2B5EF4-FFF2-40B4-BE49-F238E27FC236}">
              <a16:creationId xmlns:a16="http://schemas.microsoft.com/office/drawing/2014/main" id="{00000000-0008-0000-0200-0000EC000000}"/>
            </a:ext>
          </a:extLst>
        </xdr:cNvPr>
        <xdr:cNvSpPr txBox="1"/>
      </xdr:nvSpPr>
      <xdr:spPr>
        <a:xfrm>
          <a:off x="101678922" y="32174089"/>
          <a:ext cx="184731" cy="4200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twoCellAnchor>
    <xdr:from>
      <xdr:col>132</xdr:col>
      <xdr:colOff>79375</xdr:colOff>
      <xdr:row>46</xdr:row>
      <xdr:rowOff>0</xdr:rowOff>
    </xdr:from>
    <xdr:to>
      <xdr:col>146</xdr:col>
      <xdr:colOff>0</xdr:colOff>
      <xdr:row>83</xdr:row>
      <xdr:rowOff>180975</xdr:rowOff>
    </xdr:to>
    <xdr:graphicFrame macro="">
      <xdr:nvGraphicFramePr>
        <xdr:cNvPr id="252" name="Диаграмма 172">
          <a:extLst>
            <a:ext uri="{FF2B5EF4-FFF2-40B4-BE49-F238E27FC236}">
              <a16:creationId xmlns:a16="http://schemas.microsoft.com/office/drawing/2014/main" id="{00000000-0008-0000-0200-0000F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oneCellAnchor>
    <xdr:from>
      <xdr:col>134</xdr:col>
      <xdr:colOff>333375</xdr:colOff>
      <xdr:row>48</xdr:row>
      <xdr:rowOff>127000</xdr:rowOff>
    </xdr:from>
    <xdr:ext cx="8191500" cy="977191"/>
    <xdr:sp macro="" textlink="">
      <xdr:nvSpPr>
        <xdr:cNvPr id="253" name="TextBox 252">
          <a:extLst>
            <a:ext uri="{FF2B5EF4-FFF2-40B4-BE49-F238E27FC236}">
              <a16:creationId xmlns:a16="http://schemas.microsoft.com/office/drawing/2014/main" id="{00000000-0008-0000-0200-0000FD000000}"/>
            </a:ext>
          </a:extLst>
        </xdr:cNvPr>
        <xdr:cNvSpPr txBox="1"/>
      </xdr:nvSpPr>
      <xdr:spPr>
        <a:xfrm>
          <a:off x="103184325" y="12928600"/>
          <a:ext cx="8191500" cy="97719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spAutoFit/>
        </a:bodyPr>
        <a:lstStyle/>
        <a:p>
          <a:pPr algn="ctr"/>
          <a:r>
            <a:rPr lang="ru-RU" sz="1800">
              <a:latin typeface="Arial" pitchFamily="34" charset="0"/>
              <a:cs typeface="Arial" pitchFamily="34" charset="0"/>
            </a:rPr>
            <a:t> </a:t>
          </a:r>
          <a:r>
            <a:rPr lang="ru-RU" sz="2000">
              <a:latin typeface="Arial" pitchFamily="34" charset="0"/>
              <a:cs typeface="Arial" pitchFamily="34" charset="0"/>
            </a:rPr>
            <a:t>РЕГРЕССИЯ БАЗИСНЫХ ТЕМПОВ ВАЛОВОГО НАКОПЛЕНИЯ ОСНОВНОГО КАПИТАЛА</a:t>
          </a:r>
          <a:r>
            <a:rPr lang="en-US" sz="2000">
              <a:latin typeface="Arial" pitchFamily="34" charset="0"/>
              <a:cs typeface="Arial" pitchFamily="34" charset="0"/>
            </a:rPr>
            <a:t> (POk)</a:t>
          </a:r>
          <a:r>
            <a:rPr lang="ru-RU" sz="2000">
              <a:latin typeface="Arial" pitchFamily="34" charset="0"/>
              <a:cs typeface="Arial" pitchFamily="34" charset="0"/>
            </a:rPr>
            <a:t> ОТ БАЗИСНЫХ ТЕМПОВ ИНВЕСТИЦИЙ В ОСНОВНОЙ КПИТАЛ</a:t>
          </a:r>
          <a:r>
            <a:rPr lang="en-US" sz="2000">
              <a:latin typeface="Arial" pitchFamily="34" charset="0"/>
              <a:cs typeface="Arial" pitchFamily="34" charset="0"/>
            </a:rPr>
            <a:t> (Pn)</a:t>
          </a:r>
          <a:endParaRPr lang="ru-RU" sz="2000">
            <a:latin typeface="Arial" pitchFamily="34" charset="0"/>
            <a:cs typeface="Arial" pitchFamily="34" charset="0"/>
          </a:endParaRPr>
        </a:p>
      </xdr:txBody>
    </xdr:sp>
    <xdr:clientData/>
  </xdr:oneCellAnchor>
  <xdr:oneCellAnchor>
    <xdr:from>
      <xdr:col>177</xdr:col>
      <xdr:colOff>376918</xdr:colOff>
      <xdr:row>25</xdr:row>
      <xdr:rowOff>31297</xdr:rowOff>
    </xdr:from>
    <xdr:ext cx="194454" cy="410593"/>
    <xdr:sp macro="" textlink="">
      <xdr:nvSpPr>
        <xdr:cNvPr id="268" name="TextBox 267">
          <a:extLst>
            <a:ext uri="{FF2B5EF4-FFF2-40B4-BE49-F238E27FC236}">
              <a16:creationId xmlns:a16="http://schemas.microsoft.com/office/drawing/2014/main" id="{00000000-0008-0000-0200-00000C010000}"/>
            </a:ext>
          </a:extLst>
        </xdr:cNvPr>
        <xdr:cNvSpPr txBox="1"/>
      </xdr:nvSpPr>
      <xdr:spPr>
        <a:xfrm>
          <a:off x="118169418" y="16065047"/>
          <a:ext cx="194454" cy="4105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173</xdr:col>
      <xdr:colOff>385083</xdr:colOff>
      <xdr:row>19</xdr:row>
      <xdr:rowOff>27669</xdr:rowOff>
    </xdr:from>
    <xdr:ext cx="2576994" cy="383734"/>
    <xdr:sp macro="" textlink="">
      <xdr:nvSpPr>
        <xdr:cNvPr id="269" name="TextBox 268">
          <a:extLst>
            <a:ext uri="{FF2B5EF4-FFF2-40B4-BE49-F238E27FC236}">
              <a16:creationId xmlns:a16="http://schemas.microsoft.com/office/drawing/2014/main" id="{00000000-0008-0000-0200-00000D010000}"/>
            </a:ext>
          </a:extLst>
        </xdr:cNvPr>
        <xdr:cNvSpPr txBox="1"/>
      </xdr:nvSpPr>
      <xdr:spPr>
        <a:xfrm>
          <a:off x="115415333" y="14251669"/>
          <a:ext cx="2576994" cy="383734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algn="ctr"/>
          <a:endParaRPr lang="ru-RU" sz="1800"/>
        </a:p>
      </xdr:txBody>
    </xdr:sp>
    <xdr:clientData/>
  </xdr:oneCellAnchor>
  <xdr:oneCellAnchor>
    <xdr:from>
      <xdr:col>179</xdr:col>
      <xdr:colOff>413314</xdr:colOff>
      <xdr:row>26</xdr:row>
      <xdr:rowOff>2040</xdr:rowOff>
    </xdr:from>
    <xdr:ext cx="184731" cy="409122"/>
    <xdr:sp macro="" textlink="">
      <xdr:nvSpPr>
        <xdr:cNvPr id="270" name="TextBox 269">
          <a:extLst>
            <a:ext uri="{FF2B5EF4-FFF2-40B4-BE49-F238E27FC236}">
              <a16:creationId xmlns:a16="http://schemas.microsoft.com/office/drawing/2014/main" id="{00000000-0008-0000-0200-00000E010000}"/>
            </a:ext>
          </a:extLst>
        </xdr:cNvPr>
        <xdr:cNvSpPr txBox="1"/>
      </xdr:nvSpPr>
      <xdr:spPr>
        <a:xfrm>
          <a:off x="119666314" y="16337415"/>
          <a:ext cx="184731" cy="40912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 sz="1600"/>
        </a:p>
      </xdr:txBody>
    </xdr:sp>
    <xdr:clientData/>
  </xdr:oneCellAnchor>
  <xdr:oneCellAnchor>
    <xdr:from>
      <xdr:col>180</xdr:col>
      <xdr:colOff>30616</xdr:colOff>
      <xdr:row>18</xdr:row>
      <xdr:rowOff>30956</xdr:rowOff>
    </xdr:from>
    <xdr:ext cx="184731" cy="421039"/>
    <xdr:sp macro="" textlink="">
      <xdr:nvSpPr>
        <xdr:cNvPr id="271" name="TextBox 270">
          <a:extLst>
            <a:ext uri="{FF2B5EF4-FFF2-40B4-BE49-F238E27FC236}">
              <a16:creationId xmlns:a16="http://schemas.microsoft.com/office/drawing/2014/main" id="{00000000-0008-0000-0200-00000F010000}"/>
            </a:ext>
          </a:extLst>
        </xdr:cNvPr>
        <xdr:cNvSpPr txBox="1"/>
      </xdr:nvSpPr>
      <xdr:spPr>
        <a:xfrm>
          <a:off x="120109116" y="13953331"/>
          <a:ext cx="184731" cy="42103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 sz="1600"/>
        </a:p>
      </xdr:txBody>
    </xdr:sp>
    <xdr:clientData/>
  </xdr:oneCellAnchor>
  <xdr:oneCellAnchor>
    <xdr:from>
      <xdr:col>179</xdr:col>
      <xdr:colOff>265000</xdr:colOff>
      <xdr:row>20</xdr:row>
      <xdr:rowOff>221118</xdr:rowOff>
    </xdr:from>
    <xdr:ext cx="194454" cy="405960"/>
    <xdr:sp macro="" textlink="">
      <xdr:nvSpPr>
        <xdr:cNvPr id="272" name="TextBox 271">
          <a:extLst>
            <a:ext uri="{FF2B5EF4-FFF2-40B4-BE49-F238E27FC236}">
              <a16:creationId xmlns:a16="http://schemas.microsoft.com/office/drawing/2014/main" id="{00000000-0008-0000-0200-000010010000}"/>
            </a:ext>
          </a:extLst>
        </xdr:cNvPr>
        <xdr:cNvSpPr txBox="1"/>
      </xdr:nvSpPr>
      <xdr:spPr>
        <a:xfrm>
          <a:off x="119518000" y="14746743"/>
          <a:ext cx="194454" cy="4059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 sz="1600"/>
        </a:p>
      </xdr:txBody>
    </xdr:sp>
    <xdr:clientData/>
  </xdr:oneCellAnchor>
  <xdr:twoCellAnchor>
    <xdr:from>
      <xdr:col>168</xdr:col>
      <xdr:colOff>95250</xdr:colOff>
      <xdr:row>5</xdr:row>
      <xdr:rowOff>31749</xdr:rowOff>
    </xdr:from>
    <xdr:to>
      <xdr:col>181</xdr:col>
      <xdr:colOff>742949</xdr:colOff>
      <xdr:row>42</xdr:row>
      <xdr:rowOff>254000</xdr:rowOff>
    </xdr:to>
    <xdr:graphicFrame macro="">
      <xdr:nvGraphicFramePr>
        <xdr:cNvPr id="273" name="Диаграмма 172">
          <a:extLst>
            <a:ext uri="{FF2B5EF4-FFF2-40B4-BE49-F238E27FC236}">
              <a16:creationId xmlns:a16="http://schemas.microsoft.com/office/drawing/2014/main" id="{00000000-0008-0000-0200-00001101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oneCellAnchor>
    <xdr:from>
      <xdr:col>169</xdr:col>
      <xdr:colOff>114300</xdr:colOff>
      <xdr:row>6</xdr:row>
      <xdr:rowOff>111125</xdr:rowOff>
    </xdr:from>
    <xdr:ext cx="2872902" cy="357790"/>
    <xdr:sp macro="" textlink="">
      <xdr:nvSpPr>
        <xdr:cNvPr id="274" name="TextBox 273">
          <a:extLst>
            <a:ext uri="{FF2B5EF4-FFF2-40B4-BE49-F238E27FC236}">
              <a16:creationId xmlns:a16="http://schemas.microsoft.com/office/drawing/2014/main" id="{00000000-0008-0000-0200-000012010000}"/>
            </a:ext>
          </a:extLst>
        </xdr:cNvPr>
        <xdr:cNvSpPr txBox="1"/>
      </xdr:nvSpPr>
      <xdr:spPr>
        <a:xfrm>
          <a:off x="129257425" y="1809750"/>
          <a:ext cx="2872902" cy="35779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r>
            <a:rPr lang="en-US" sz="1800" baseline="0">
              <a:latin typeface="Arial" pitchFamily="34" charset="0"/>
              <a:cs typeface="Arial" pitchFamily="34" charset="0"/>
            </a:rPr>
            <a:t>WBS - </a:t>
          </a:r>
          <a:r>
            <a:rPr lang="ru-RU" sz="1800" baseline="0">
              <a:latin typeface="Arial" pitchFamily="34" charset="0"/>
              <a:cs typeface="Arial" pitchFamily="34" charset="0"/>
            </a:rPr>
            <a:t>выбытие ОФ</a:t>
          </a:r>
          <a:r>
            <a:rPr lang="en-US" sz="1800" baseline="0">
              <a:latin typeface="Arial" pitchFamily="34" charset="0"/>
              <a:cs typeface="Arial" pitchFamily="34" charset="0"/>
            </a:rPr>
            <a:t> </a:t>
          </a:r>
          <a:r>
            <a:rPr lang="ru-RU" sz="1800" baseline="0">
              <a:latin typeface="Arial" pitchFamily="34" charset="0"/>
              <a:cs typeface="Arial" pitchFamily="34" charset="0"/>
            </a:rPr>
            <a:t>в СЦ</a:t>
          </a:r>
          <a:endParaRPr lang="ru-RU" sz="1800">
            <a:latin typeface="Arial" pitchFamily="34" charset="0"/>
            <a:cs typeface="Arial" pitchFamily="34" charset="0"/>
          </a:endParaRPr>
        </a:p>
      </xdr:txBody>
    </xdr:sp>
    <xdr:clientData/>
  </xdr:oneCellAnchor>
  <xdr:oneCellAnchor>
    <xdr:from>
      <xdr:col>176</xdr:col>
      <xdr:colOff>704850</xdr:colOff>
      <xdr:row>38</xdr:row>
      <xdr:rowOff>244475</xdr:rowOff>
    </xdr:from>
    <xdr:ext cx="2725490" cy="357790"/>
    <xdr:sp macro="" textlink="">
      <xdr:nvSpPr>
        <xdr:cNvPr id="275" name="TextBox 274">
          <a:extLst>
            <a:ext uri="{FF2B5EF4-FFF2-40B4-BE49-F238E27FC236}">
              <a16:creationId xmlns:a16="http://schemas.microsoft.com/office/drawing/2014/main" id="{00000000-0008-0000-0200-000013010000}"/>
            </a:ext>
          </a:extLst>
        </xdr:cNvPr>
        <xdr:cNvSpPr txBox="1"/>
      </xdr:nvSpPr>
      <xdr:spPr>
        <a:xfrm>
          <a:off x="135007350" y="10912475"/>
          <a:ext cx="2725490" cy="35779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r>
            <a:rPr lang="ru-RU" sz="1800">
              <a:latin typeface="Arial" pitchFamily="34" charset="0"/>
              <a:cs typeface="Arial" pitchFamily="34" charset="0"/>
            </a:rPr>
            <a:t> </a:t>
          </a:r>
          <a:r>
            <a:rPr lang="en-US" sz="1800">
              <a:latin typeface="Arial" pitchFamily="34" charset="0"/>
              <a:cs typeface="Arial" pitchFamily="34" charset="0"/>
            </a:rPr>
            <a:t>WWS - </a:t>
          </a:r>
          <a:r>
            <a:rPr lang="ru-RU" sz="1800">
              <a:latin typeface="Arial" pitchFamily="34" charset="0"/>
              <a:cs typeface="Arial" pitchFamily="34" charset="0"/>
            </a:rPr>
            <a:t>вводы ОФ в СЦ</a:t>
          </a:r>
        </a:p>
      </xdr:txBody>
    </xdr:sp>
    <xdr:clientData/>
  </xdr:oneCellAnchor>
  <xdr:oneCellAnchor>
    <xdr:from>
      <xdr:col>170</xdr:col>
      <xdr:colOff>285750</xdr:colOff>
      <xdr:row>8</xdr:row>
      <xdr:rowOff>214310</xdr:rowOff>
    </xdr:from>
    <xdr:ext cx="6707188" cy="1262065"/>
    <xdr:sp macro="" textlink="">
      <xdr:nvSpPr>
        <xdr:cNvPr id="276" name="TextBox 275">
          <a:extLst>
            <a:ext uri="{FF2B5EF4-FFF2-40B4-BE49-F238E27FC236}">
              <a16:creationId xmlns:a16="http://schemas.microsoft.com/office/drawing/2014/main" id="{00000000-0008-0000-0200-000014010000}"/>
            </a:ext>
          </a:extLst>
        </xdr:cNvPr>
        <xdr:cNvSpPr txBox="1"/>
      </xdr:nvSpPr>
      <xdr:spPr>
        <a:xfrm>
          <a:off x="130286125" y="2325685"/>
          <a:ext cx="6707188" cy="126206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noAutofit/>
        </a:bodyPr>
        <a:lstStyle/>
        <a:p>
          <a:r>
            <a:rPr lang="ru-RU" sz="2400">
              <a:latin typeface="Arial" pitchFamily="34" charset="0"/>
              <a:cs typeface="Arial" pitchFamily="34" charset="0"/>
            </a:rPr>
            <a:t>РЕГРЕССИЯ ВЫБЫТИЯ ОФ от ВВОДОВ ОФ</a:t>
          </a:r>
        </a:p>
        <a:p>
          <a:r>
            <a:rPr lang="en-US" sz="2400">
              <a:latin typeface="Arial" pitchFamily="34" charset="0"/>
              <a:cs typeface="Arial" pitchFamily="34" charset="0"/>
            </a:rPr>
            <a:t>       </a:t>
          </a:r>
          <a:r>
            <a:rPr lang="ru-RU" sz="2400">
              <a:latin typeface="Arial" pitchFamily="34" charset="0"/>
              <a:cs typeface="Arial" pitchFamily="34" charset="0"/>
            </a:rPr>
            <a:t>     </a:t>
          </a:r>
          <a:endParaRPr lang="en-US" sz="2400">
            <a:latin typeface="Arial" pitchFamily="34" charset="0"/>
            <a:cs typeface="Arial" pitchFamily="34" charset="0"/>
          </a:endParaRPr>
        </a:p>
        <a:p>
          <a:r>
            <a:rPr lang="en-US" sz="2400">
              <a:latin typeface="Arial" pitchFamily="34" charset="0"/>
              <a:cs typeface="Arial" pitchFamily="34" charset="0"/>
            </a:rPr>
            <a:t>   </a:t>
          </a:r>
          <a:r>
            <a:rPr lang="ru-RU" sz="2400">
              <a:latin typeface="Arial" pitchFamily="34" charset="0"/>
              <a:cs typeface="Arial" pitchFamily="34" charset="0"/>
            </a:rPr>
            <a:t> </a:t>
          </a:r>
          <a:r>
            <a:rPr lang="en-US" sz="2400">
              <a:latin typeface="Arial" pitchFamily="34" charset="0"/>
              <a:cs typeface="Arial" pitchFamily="34" charset="0"/>
            </a:rPr>
            <a:t> 	     WBS</a:t>
          </a:r>
          <a:r>
            <a:rPr lang="ru-RU" sz="2400" baseline="0">
              <a:latin typeface="Arial" pitchFamily="34" charset="0"/>
              <a:cs typeface="Arial" pitchFamily="34" charset="0"/>
            </a:rPr>
            <a:t> = 0,545*</a:t>
          </a:r>
          <a:r>
            <a:rPr lang="en-US" sz="2400" baseline="0">
              <a:latin typeface="Arial" pitchFamily="34" charset="0"/>
              <a:cs typeface="Arial" pitchFamily="34" charset="0"/>
            </a:rPr>
            <a:t>WWS</a:t>
          </a:r>
          <a:r>
            <a:rPr lang="ru-RU" sz="2400" baseline="0">
              <a:latin typeface="Arial" pitchFamily="34" charset="0"/>
              <a:cs typeface="Arial" pitchFamily="34" charset="0"/>
            </a:rPr>
            <a:t>+ 75,668</a:t>
          </a:r>
          <a:endParaRPr lang="ru-RU" sz="2400">
            <a:latin typeface="Arial" pitchFamily="34" charset="0"/>
            <a:cs typeface="Arial" pitchFamily="34" charset="0"/>
          </a:endParaRPr>
        </a:p>
      </xdr:txBody>
    </xdr:sp>
    <xdr:clientData/>
  </xdr:oneCellAnchor>
  <xdr:oneCellAnchor>
    <xdr:from>
      <xdr:col>122</xdr:col>
      <xdr:colOff>376918</xdr:colOff>
      <xdr:row>27</xdr:row>
      <xdr:rowOff>31297</xdr:rowOff>
    </xdr:from>
    <xdr:ext cx="194454" cy="410593"/>
    <xdr:sp macro="" textlink="">
      <xdr:nvSpPr>
        <xdr:cNvPr id="278" name="TextBox 277">
          <a:extLst>
            <a:ext uri="{FF2B5EF4-FFF2-40B4-BE49-F238E27FC236}">
              <a16:creationId xmlns:a16="http://schemas.microsoft.com/office/drawing/2014/main" id="{00000000-0008-0000-0200-000016010000}"/>
            </a:ext>
          </a:extLst>
        </xdr:cNvPr>
        <xdr:cNvSpPr txBox="1"/>
      </xdr:nvSpPr>
      <xdr:spPr>
        <a:xfrm>
          <a:off x="104628043" y="16319047"/>
          <a:ext cx="194454" cy="4105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twoCellAnchor>
    <xdr:from>
      <xdr:col>172</xdr:col>
      <xdr:colOff>142875</xdr:colOff>
      <xdr:row>46</xdr:row>
      <xdr:rowOff>58738</xdr:rowOff>
    </xdr:from>
    <xdr:to>
      <xdr:col>187</xdr:col>
      <xdr:colOff>0</xdr:colOff>
      <xdr:row>83</xdr:row>
      <xdr:rowOff>252413</xdr:rowOff>
    </xdr:to>
    <xdr:graphicFrame macro="">
      <xdr:nvGraphicFramePr>
        <xdr:cNvPr id="295" name="Chart 14113">
          <a:extLst>
            <a:ext uri="{FF2B5EF4-FFF2-40B4-BE49-F238E27FC236}">
              <a16:creationId xmlns:a16="http://schemas.microsoft.com/office/drawing/2014/main" id="{00000000-0008-0000-0200-00002701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oneCellAnchor>
    <xdr:from>
      <xdr:col>173</xdr:col>
      <xdr:colOff>146050</xdr:colOff>
      <xdr:row>48</xdr:row>
      <xdr:rowOff>206375</xdr:rowOff>
    </xdr:from>
    <xdr:ext cx="984250" cy="476250"/>
    <xdr:sp macro="" textlink="">
      <xdr:nvSpPr>
        <xdr:cNvPr id="296" name="TextBox 76">
          <a:extLst>
            <a:ext uri="{FF2B5EF4-FFF2-40B4-BE49-F238E27FC236}">
              <a16:creationId xmlns:a16="http://schemas.microsoft.com/office/drawing/2014/main" id="{00000000-0008-0000-0200-000028010000}"/>
            </a:ext>
          </a:extLst>
        </xdr:cNvPr>
        <xdr:cNvSpPr txBox="1">
          <a:spLocks noChangeArrowheads="1"/>
        </xdr:cNvSpPr>
      </xdr:nvSpPr>
      <xdr:spPr bwMode="auto">
        <a:xfrm>
          <a:off x="117455950" y="13007975"/>
          <a:ext cx="984250" cy="476250"/>
        </a:xfrm>
        <a:prstGeom prst="rect">
          <a:avLst/>
        </a:prstGeom>
        <a:noFill/>
        <a:ln>
          <a:noFill/>
        </a:ln>
      </xdr:spPr>
      <xdr:txBody>
        <a:bodyPr vertOverflow="clip" wrap="square" lIns="36576" tIns="36576" rIns="0" bIns="0" anchor="t"/>
        <a:lstStyle/>
        <a:p>
          <a:pPr algn="ctr" rtl="0">
            <a:defRPr sz="1000"/>
          </a:pPr>
          <a:r>
            <a:rPr lang="en-US" sz="2800" b="0" i="0" u="none" strike="noStrike" baseline="0">
              <a:solidFill>
                <a:srgbClr val="000000"/>
              </a:solidFill>
              <a:latin typeface="Arial" panose="020B0604020202020204" pitchFamily="34" charset="0"/>
              <a:cs typeface="Arial" panose="020B0604020202020204" pitchFamily="34" charset="0"/>
            </a:rPr>
            <a:t>Dz</a:t>
          </a:r>
          <a:endParaRPr lang="ru-RU" sz="2800" b="0" i="0" u="none" strike="noStrike" baseline="0">
            <a:solidFill>
              <a:srgbClr val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oneCellAnchor>
  <xdr:oneCellAnchor>
    <xdr:from>
      <xdr:col>175</xdr:col>
      <xdr:colOff>376918</xdr:colOff>
      <xdr:row>65</xdr:row>
      <xdr:rowOff>31297</xdr:rowOff>
    </xdr:from>
    <xdr:ext cx="194454" cy="410593"/>
    <xdr:sp macro="" textlink="">
      <xdr:nvSpPr>
        <xdr:cNvPr id="297" name="TextBox 296">
          <a:extLst>
            <a:ext uri="{FF2B5EF4-FFF2-40B4-BE49-F238E27FC236}">
              <a16:creationId xmlns:a16="http://schemas.microsoft.com/office/drawing/2014/main" id="{00000000-0008-0000-0200-000029010000}"/>
            </a:ext>
          </a:extLst>
        </xdr:cNvPr>
        <xdr:cNvSpPr txBox="1"/>
      </xdr:nvSpPr>
      <xdr:spPr>
        <a:xfrm>
          <a:off x="90554856" y="16319047"/>
          <a:ext cx="194454" cy="4105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183</xdr:col>
      <xdr:colOff>260350</xdr:colOff>
      <xdr:row>63</xdr:row>
      <xdr:rowOff>45131</xdr:rowOff>
    </xdr:from>
    <xdr:ext cx="1447800" cy="416831"/>
    <xdr:sp macro="" textlink="">
      <xdr:nvSpPr>
        <xdr:cNvPr id="298" name="TextBox 297">
          <a:extLst>
            <a:ext uri="{FF2B5EF4-FFF2-40B4-BE49-F238E27FC236}">
              <a16:creationId xmlns:a16="http://schemas.microsoft.com/office/drawing/2014/main" id="{00000000-0008-0000-0200-00002A010000}"/>
            </a:ext>
          </a:extLst>
        </xdr:cNvPr>
        <xdr:cNvSpPr txBox="1"/>
      </xdr:nvSpPr>
      <xdr:spPr>
        <a:xfrm>
          <a:off x="139309475" y="17856881"/>
          <a:ext cx="1447800" cy="416831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algn="ctr"/>
          <a:r>
            <a:rPr lang="ru-RU" sz="2400" baseline="0">
              <a:latin typeface="Arial" panose="020B0604020202020204" pitchFamily="34" charset="0"/>
              <a:cs typeface="Arial" panose="020B0604020202020204" pitchFamily="34" charset="0"/>
            </a:rPr>
            <a:t>Тренд 2</a:t>
          </a:r>
          <a:endParaRPr lang="ru-RU" sz="24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oneCellAnchor>
  <xdr:oneCellAnchor>
    <xdr:from>
      <xdr:col>175</xdr:col>
      <xdr:colOff>80962</xdr:colOff>
      <xdr:row>48</xdr:row>
      <xdr:rowOff>149109</xdr:rowOff>
    </xdr:from>
    <xdr:ext cx="7054850" cy="1713028"/>
    <xdr:sp macro="" textlink="">
      <xdr:nvSpPr>
        <xdr:cNvPr id="299" name="TextBox 298">
          <a:extLst>
            <a:ext uri="{FF2B5EF4-FFF2-40B4-BE49-F238E27FC236}">
              <a16:creationId xmlns:a16="http://schemas.microsoft.com/office/drawing/2014/main" id="{00000000-0008-0000-0200-00002B010000}"/>
            </a:ext>
          </a:extLst>
        </xdr:cNvPr>
        <xdr:cNvSpPr txBox="1"/>
      </xdr:nvSpPr>
      <xdr:spPr>
        <a:xfrm>
          <a:off x="134359650" y="13436484"/>
          <a:ext cx="7054850" cy="171302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algn="ctr"/>
          <a:r>
            <a:rPr lang="ru-RU" sz="3600">
              <a:latin typeface="Arial" panose="020B0604020202020204" pitchFamily="34" charset="0"/>
              <a:cs typeface="Arial" panose="020B0604020202020204" pitchFamily="34" charset="0"/>
            </a:rPr>
            <a:t>Регрессия базисного дефлятора промежуточного потребления</a:t>
          </a:r>
        </a:p>
      </xdr:txBody>
    </xdr:sp>
    <xdr:clientData/>
  </xdr:oneCellAnchor>
  <xdr:oneCellAnchor>
    <xdr:from>
      <xdr:col>176</xdr:col>
      <xdr:colOff>350267</xdr:colOff>
      <xdr:row>72</xdr:row>
      <xdr:rowOff>219755</xdr:rowOff>
    </xdr:from>
    <xdr:ext cx="648536" cy="364221"/>
    <xdr:sp macro="" textlink="">
      <xdr:nvSpPr>
        <xdr:cNvPr id="300" name="TextBox 299">
          <a:extLst>
            <a:ext uri="{FF2B5EF4-FFF2-40B4-BE49-F238E27FC236}">
              <a16:creationId xmlns:a16="http://schemas.microsoft.com/office/drawing/2014/main" id="{00000000-0008-0000-0200-00002C010000}"/>
            </a:ext>
          </a:extLst>
        </xdr:cNvPr>
        <xdr:cNvSpPr txBox="1"/>
      </xdr:nvSpPr>
      <xdr:spPr>
        <a:xfrm>
          <a:off x="134732142" y="20746130"/>
          <a:ext cx="648536" cy="36422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ru-RU" sz="1600"/>
            <a:t>2006</a:t>
          </a:r>
        </a:p>
      </xdr:txBody>
    </xdr:sp>
    <xdr:clientData/>
  </xdr:oneCellAnchor>
  <xdr:oneCellAnchor>
    <xdr:from>
      <xdr:col>176</xdr:col>
      <xdr:colOff>68716</xdr:colOff>
      <xdr:row>69</xdr:row>
      <xdr:rowOff>138906</xdr:rowOff>
    </xdr:from>
    <xdr:ext cx="649101" cy="364954"/>
    <xdr:sp macro="" textlink="">
      <xdr:nvSpPr>
        <xdr:cNvPr id="301" name="TextBox 300">
          <a:extLst>
            <a:ext uri="{FF2B5EF4-FFF2-40B4-BE49-F238E27FC236}">
              <a16:creationId xmlns:a16="http://schemas.microsoft.com/office/drawing/2014/main" id="{00000000-0008-0000-0200-00002D010000}"/>
            </a:ext>
          </a:extLst>
        </xdr:cNvPr>
        <xdr:cNvSpPr txBox="1"/>
      </xdr:nvSpPr>
      <xdr:spPr>
        <a:xfrm>
          <a:off x="134450591" y="19760406"/>
          <a:ext cx="649101" cy="36495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ru-RU" sz="1600"/>
            <a:t>2008</a:t>
          </a:r>
        </a:p>
      </xdr:txBody>
    </xdr:sp>
    <xdr:clientData/>
  </xdr:oneCellAnchor>
  <xdr:oneCellAnchor>
    <xdr:from>
      <xdr:col>176</xdr:col>
      <xdr:colOff>644187</xdr:colOff>
      <xdr:row>71</xdr:row>
      <xdr:rowOff>163967</xdr:rowOff>
    </xdr:from>
    <xdr:ext cx="649474" cy="361830"/>
    <xdr:sp macro="" textlink="">
      <xdr:nvSpPr>
        <xdr:cNvPr id="302" name="TextBox 301">
          <a:extLst>
            <a:ext uri="{FF2B5EF4-FFF2-40B4-BE49-F238E27FC236}">
              <a16:creationId xmlns:a16="http://schemas.microsoft.com/office/drawing/2014/main" id="{00000000-0008-0000-0200-00002E010000}"/>
            </a:ext>
          </a:extLst>
        </xdr:cNvPr>
        <xdr:cNvSpPr txBox="1"/>
      </xdr:nvSpPr>
      <xdr:spPr>
        <a:xfrm>
          <a:off x="135026062" y="20388717"/>
          <a:ext cx="649474" cy="36183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ru-RU" sz="1600"/>
            <a:t>2007</a:t>
          </a:r>
        </a:p>
      </xdr:txBody>
    </xdr:sp>
    <xdr:clientData/>
  </xdr:oneCellAnchor>
  <xdr:oneCellAnchor>
    <xdr:from>
      <xdr:col>183</xdr:col>
      <xdr:colOff>453799</xdr:colOff>
      <xdr:row>56</xdr:row>
      <xdr:rowOff>214766</xdr:rowOff>
    </xdr:from>
    <xdr:ext cx="600677" cy="342786"/>
    <xdr:sp macro="" textlink="">
      <xdr:nvSpPr>
        <xdr:cNvPr id="303" name="TextBox 302">
          <a:extLst>
            <a:ext uri="{FF2B5EF4-FFF2-40B4-BE49-F238E27FC236}">
              <a16:creationId xmlns:a16="http://schemas.microsoft.com/office/drawing/2014/main" id="{00000000-0008-0000-0200-00002F010000}"/>
            </a:ext>
          </a:extLst>
        </xdr:cNvPr>
        <xdr:cNvSpPr txBox="1"/>
      </xdr:nvSpPr>
      <xdr:spPr>
        <a:xfrm>
          <a:off x="139947424" y="15740516"/>
          <a:ext cx="600677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ru-RU" sz="1600"/>
            <a:t>20</a:t>
          </a:r>
          <a:r>
            <a:rPr lang="en-US" sz="1600"/>
            <a:t>1</a:t>
          </a:r>
          <a:r>
            <a:rPr lang="ru-RU" sz="1600"/>
            <a:t>8</a:t>
          </a:r>
        </a:p>
      </xdr:txBody>
    </xdr:sp>
    <xdr:clientData/>
  </xdr:oneCellAnchor>
  <xdr:oneCellAnchor>
    <xdr:from>
      <xdr:col>180</xdr:col>
      <xdr:colOff>376918</xdr:colOff>
      <xdr:row>65</xdr:row>
      <xdr:rowOff>31297</xdr:rowOff>
    </xdr:from>
    <xdr:ext cx="194454" cy="410593"/>
    <xdr:sp macro="" textlink="">
      <xdr:nvSpPr>
        <xdr:cNvPr id="315" name="TextBox 314">
          <a:extLst>
            <a:ext uri="{FF2B5EF4-FFF2-40B4-BE49-F238E27FC236}">
              <a16:creationId xmlns:a16="http://schemas.microsoft.com/office/drawing/2014/main" id="{00000000-0008-0000-0200-00003B010000}"/>
            </a:ext>
          </a:extLst>
        </xdr:cNvPr>
        <xdr:cNvSpPr txBox="1"/>
      </xdr:nvSpPr>
      <xdr:spPr>
        <a:xfrm>
          <a:off x="90554856" y="17081047"/>
          <a:ext cx="194454" cy="4105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twoCellAnchor>
    <xdr:from>
      <xdr:col>209</xdr:col>
      <xdr:colOff>79375</xdr:colOff>
      <xdr:row>89</xdr:row>
      <xdr:rowOff>242887</xdr:rowOff>
    </xdr:from>
    <xdr:to>
      <xdr:col>223</xdr:col>
      <xdr:colOff>0</xdr:colOff>
      <xdr:row>128</xdr:row>
      <xdr:rowOff>9525</xdr:rowOff>
    </xdr:to>
    <xdr:graphicFrame macro="">
      <xdr:nvGraphicFramePr>
        <xdr:cNvPr id="259" name="Диаграмма 258">
          <a:extLst>
            <a:ext uri="{FF2B5EF4-FFF2-40B4-BE49-F238E27FC236}">
              <a16:creationId xmlns:a16="http://schemas.microsoft.com/office/drawing/2014/main" id="{00000000-0008-0000-0200-00000301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124</xdr:col>
      <xdr:colOff>57150</xdr:colOff>
      <xdr:row>92</xdr:row>
      <xdr:rowOff>39688</xdr:rowOff>
    </xdr:from>
    <xdr:to>
      <xdr:col>137</xdr:col>
      <xdr:colOff>609600</xdr:colOff>
      <xdr:row>129</xdr:row>
      <xdr:rowOff>233363</xdr:rowOff>
    </xdr:to>
    <xdr:graphicFrame macro="">
      <xdr:nvGraphicFramePr>
        <xdr:cNvPr id="286" name="Chart 14113">
          <a:extLst>
            <a:ext uri="{FF2B5EF4-FFF2-40B4-BE49-F238E27FC236}">
              <a16:creationId xmlns:a16="http://schemas.microsoft.com/office/drawing/2014/main" id="{00000000-0008-0000-0200-00001E01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oneCellAnchor>
    <xdr:from>
      <xdr:col>125</xdr:col>
      <xdr:colOff>438150</xdr:colOff>
      <xdr:row>94</xdr:row>
      <xdr:rowOff>53974</xdr:rowOff>
    </xdr:from>
    <xdr:ext cx="857250" cy="536576"/>
    <xdr:sp macro="" textlink="">
      <xdr:nvSpPr>
        <xdr:cNvPr id="287" name="TextBox 76">
          <a:extLst>
            <a:ext uri="{FF2B5EF4-FFF2-40B4-BE49-F238E27FC236}">
              <a16:creationId xmlns:a16="http://schemas.microsoft.com/office/drawing/2014/main" id="{00000000-0008-0000-0200-00001F010000}"/>
            </a:ext>
          </a:extLst>
        </xdr:cNvPr>
        <xdr:cNvSpPr txBox="1">
          <a:spLocks noChangeArrowheads="1"/>
        </xdr:cNvSpPr>
      </xdr:nvSpPr>
      <xdr:spPr bwMode="auto">
        <a:xfrm>
          <a:off x="96850200" y="27200224"/>
          <a:ext cx="857250" cy="536576"/>
        </a:xfrm>
        <a:prstGeom prst="rect">
          <a:avLst/>
        </a:prstGeom>
        <a:noFill/>
        <a:ln>
          <a:noFill/>
        </a:ln>
      </xdr:spPr>
      <xdr:txBody>
        <a:bodyPr vertOverflow="clip" wrap="square" lIns="36576" tIns="36576" rIns="0" bIns="0" anchor="t"/>
        <a:lstStyle/>
        <a:p>
          <a:pPr algn="l" rtl="0">
            <a:defRPr sz="1000"/>
          </a:pPr>
          <a:r>
            <a:rPr lang="en-US" sz="2400" b="0" i="0" u="none" strike="noStrike" baseline="0">
              <a:solidFill>
                <a:srgbClr val="000000"/>
              </a:solidFill>
              <a:latin typeface="Calibri"/>
              <a:cs typeface="Calibri"/>
            </a:rPr>
            <a:t>  </a:t>
          </a:r>
          <a:r>
            <a:rPr lang="en-US" sz="2400" b="1" i="0" u="none" strike="noStrike" baseline="0">
              <a:solidFill>
                <a:srgbClr val="000000"/>
              </a:solidFill>
              <a:latin typeface="Arial" panose="020B0604020202020204" pitchFamily="34" charset="0"/>
              <a:cs typeface="Arial" panose="020B0604020202020204" pitchFamily="34" charset="0"/>
            </a:rPr>
            <a:t>YD</a:t>
          </a:r>
          <a:endParaRPr lang="ru-RU" sz="2000" b="1" i="0" u="none" strike="noStrike" baseline="0">
            <a:solidFill>
              <a:srgbClr val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oneCellAnchor>
  <xdr:oneCellAnchor>
    <xdr:from>
      <xdr:col>127</xdr:col>
      <xdr:colOff>376918</xdr:colOff>
      <xdr:row>111</xdr:row>
      <xdr:rowOff>31297</xdr:rowOff>
    </xdr:from>
    <xdr:ext cx="194454" cy="410593"/>
    <xdr:sp macro="" textlink="">
      <xdr:nvSpPr>
        <xdr:cNvPr id="288" name="TextBox 287">
          <a:extLst>
            <a:ext uri="{FF2B5EF4-FFF2-40B4-BE49-F238E27FC236}">
              <a16:creationId xmlns:a16="http://schemas.microsoft.com/office/drawing/2014/main" id="{00000000-0008-0000-0200-000020010000}"/>
            </a:ext>
          </a:extLst>
        </xdr:cNvPr>
        <xdr:cNvSpPr txBox="1"/>
      </xdr:nvSpPr>
      <xdr:spPr>
        <a:xfrm>
          <a:off x="90845368" y="17900197"/>
          <a:ext cx="194454" cy="4105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132</xdr:col>
      <xdr:colOff>609600</xdr:colOff>
      <xdr:row>106</xdr:row>
      <xdr:rowOff>78469</xdr:rowOff>
    </xdr:from>
    <xdr:ext cx="1200149" cy="378731"/>
    <xdr:sp macro="" textlink="">
      <xdr:nvSpPr>
        <xdr:cNvPr id="289" name="TextBox 288">
          <a:extLst>
            <a:ext uri="{FF2B5EF4-FFF2-40B4-BE49-F238E27FC236}">
              <a16:creationId xmlns:a16="http://schemas.microsoft.com/office/drawing/2014/main" id="{00000000-0008-0000-0200-000021010000}"/>
            </a:ext>
          </a:extLst>
        </xdr:cNvPr>
        <xdr:cNvSpPr txBox="1"/>
      </xdr:nvSpPr>
      <xdr:spPr>
        <a:xfrm>
          <a:off x="102503288" y="30010782"/>
          <a:ext cx="1200149" cy="378731"/>
        </a:xfrm>
        <a:prstGeom prst="rect">
          <a:avLst/>
        </a:prstGeom>
        <a:solidFill>
          <a:sysClr val="window" lastClr="FFFFFF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algn="ctr"/>
          <a:r>
            <a:rPr lang="ru-RU" sz="2400" baseline="0">
              <a:latin typeface="Arial" panose="020B0604020202020204" pitchFamily="34" charset="0"/>
              <a:cs typeface="Arial" panose="020B0604020202020204" pitchFamily="34" charset="0"/>
            </a:rPr>
            <a:t>тренд</a:t>
          </a:r>
          <a:endParaRPr lang="ru-RU" sz="24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oneCellAnchor>
  <xdr:oneCellAnchor>
    <xdr:from>
      <xdr:col>126</xdr:col>
      <xdr:colOff>476250</xdr:colOff>
      <xdr:row>94</xdr:row>
      <xdr:rowOff>114300</xdr:rowOff>
    </xdr:from>
    <xdr:ext cx="6686551" cy="1181100"/>
    <xdr:sp macro="" textlink="">
      <xdr:nvSpPr>
        <xdr:cNvPr id="290" name="TextBox 289">
          <a:extLst>
            <a:ext uri="{FF2B5EF4-FFF2-40B4-BE49-F238E27FC236}">
              <a16:creationId xmlns:a16="http://schemas.microsoft.com/office/drawing/2014/main" id="{00000000-0008-0000-0200-000022010000}"/>
            </a:ext>
          </a:extLst>
        </xdr:cNvPr>
        <xdr:cNvSpPr txBox="1"/>
      </xdr:nvSpPr>
      <xdr:spPr>
        <a:xfrm>
          <a:off x="97707450" y="27260550"/>
          <a:ext cx="6686551" cy="11811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algn="ctr"/>
          <a:r>
            <a:rPr lang="ru-RU" sz="3200">
              <a:latin typeface="Arial" panose="020B0604020202020204" pitchFamily="34" charset="0"/>
              <a:cs typeface="Arial" panose="020B0604020202020204" pitchFamily="34" charset="0"/>
            </a:rPr>
            <a:t>Регрессия КП ДХ от денежных доходов населения</a:t>
          </a:r>
        </a:p>
      </xdr:txBody>
    </xdr:sp>
    <xdr:clientData/>
  </xdr:oneCellAnchor>
  <xdr:oneCellAnchor>
    <xdr:from>
      <xdr:col>127</xdr:col>
      <xdr:colOff>764604</xdr:colOff>
      <xdr:row>119</xdr:row>
      <xdr:rowOff>246743</xdr:rowOff>
    </xdr:from>
    <xdr:ext cx="648536" cy="364221"/>
    <xdr:sp macro="" textlink="">
      <xdr:nvSpPr>
        <xdr:cNvPr id="291" name="TextBox 290">
          <a:extLst>
            <a:ext uri="{FF2B5EF4-FFF2-40B4-BE49-F238E27FC236}">
              <a16:creationId xmlns:a16="http://schemas.microsoft.com/office/drawing/2014/main" id="{00000000-0008-0000-0200-000023010000}"/>
            </a:ext>
          </a:extLst>
        </xdr:cNvPr>
        <xdr:cNvSpPr txBox="1"/>
      </xdr:nvSpPr>
      <xdr:spPr>
        <a:xfrm>
          <a:off x="98800667" y="33774743"/>
          <a:ext cx="648536" cy="36422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ru-RU" sz="1600"/>
            <a:t>2006</a:t>
          </a:r>
        </a:p>
      </xdr:txBody>
    </xdr:sp>
    <xdr:clientData/>
  </xdr:oneCellAnchor>
  <xdr:oneCellAnchor>
    <xdr:from>
      <xdr:col>127</xdr:col>
      <xdr:colOff>816428</xdr:colOff>
      <xdr:row>115</xdr:row>
      <xdr:rowOff>15080</xdr:rowOff>
    </xdr:from>
    <xdr:ext cx="649101" cy="364954"/>
    <xdr:sp macro="" textlink="">
      <xdr:nvSpPr>
        <xdr:cNvPr id="292" name="TextBox 291">
          <a:extLst>
            <a:ext uri="{FF2B5EF4-FFF2-40B4-BE49-F238E27FC236}">
              <a16:creationId xmlns:a16="http://schemas.microsoft.com/office/drawing/2014/main" id="{00000000-0008-0000-0200-000024010000}"/>
            </a:ext>
          </a:extLst>
        </xdr:cNvPr>
        <xdr:cNvSpPr txBox="1"/>
      </xdr:nvSpPr>
      <xdr:spPr>
        <a:xfrm>
          <a:off x="98852491" y="32471518"/>
          <a:ext cx="649101" cy="36495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ru-RU" sz="1600"/>
            <a:t>2008</a:t>
          </a:r>
        </a:p>
      </xdr:txBody>
    </xdr:sp>
    <xdr:clientData/>
  </xdr:oneCellAnchor>
  <xdr:oneCellAnchor>
    <xdr:from>
      <xdr:col>127</xdr:col>
      <xdr:colOff>396537</xdr:colOff>
      <xdr:row>117</xdr:row>
      <xdr:rowOff>27442</xdr:rowOff>
    </xdr:from>
    <xdr:ext cx="649474" cy="361830"/>
    <xdr:sp macro="" textlink="">
      <xdr:nvSpPr>
        <xdr:cNvPr id="293" name="TextBox 292">
          <a:extLst>
            <a:ext uri="{FF2B5EF4-FFF2-40B4-BE49-F238E27FC236}">
              <a16:creationId xmlns:a16="http://schemas.microsoft.com/office/drawing/2014/main" id="{00000000-0008-0000-0200-000025010000}"/>
            </a:ext>
          </a:extLst>
        </xdr:cNvPr>
        <xdr:cNvSpPr txBox="1"/>
      </xdr:nvSpPr>
      <xdr:spPr>
        <a:xfrm>
          <a:off x="98432600" y="33031567"/>
          <a:ext cx="649474" cy="36183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ru-RU" sz="1600"/>
            <a:t>2007</a:t>
          </a:r>
        </a:p>
      </xdr:txBody>
    </xdr:sp>
    <xdr:clientData/>
  </xdr:oneCellAnchor>
  <xdr:oneCellAnchor>
    <xdr:from>
      <xdr:col>133</xdr:col>
      <xdr:colOff>402999</xdr:colOff>
      <xdr:row>101</xdr:row>
      <xdr:rowOff>3628</xdr:rowOff>
    </xdr:from>
    <xdr:ext cx="600677" cy="342786"/>
    <xdr:sp macro="" textlink="">
      <xdr:nvSpPr>
        <xdr:cNvPr id="294" name="TextBox 293">
          <a:extLst>
            <a:ext uri="{FF2B5EF4-FFF2-40B4-BE49-F238E27FC236}">
              <a16:creationId xmlns:a16="http://schemas.microsoft.com/office/drawing/2014/main" id="{00000000-0008-0000-0200-000026010000}"/>
            </a:ext>
          </a:extLst>
        </xdr:cNvPr>
        <xdr:cNvSpPr txBox="1"/>
      </xdr:nvSpPr>
      <xdr:spPr>
        <a:xfrm>
          <a:off x="103011062" y="28507191"/>
          <a:ext cx="600677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ru-RU" sz="1600"/>
            <a:t>20</a:t>
          </a:r>
          <a:r>
            <a:rPr lang="en-US" sz="1600"/>
            <a:t>16</a:t>
          </a:r>
          <a:endParaRPr lang="ru-RU" sz="1600"/>
        </a:p>
      </xdr:txBody>
    </xdr:sp>
    <xdr:clientData/>
  </xdr:oneCellAnchor>
  <xdr:oneCellAnchor>
    <xdr:from>
      <xdr:col>211</xdr:col>
      <xdr:colOff>73479</xdr:colOff>
      <xdr:row>138</xdr:row>
      <xdr:rowOff>73479</xdr:rowOff>
    </xdr:from>
    <xdr:ext cx="194454" cy="426536"/>
    <xdr:sp macro="" textlink="">
      <xdr:nvSpPr>
        <xdr:cNvPr id="238" name="TextBox 237">
          <a:extLst>
            <a:ext uri="{FF2B5EF4-FFF2-40B4-BE49-F238E27FC236}">
              <a16:creationId xmlns:a16="http://schemas.microsoft.com/office/drawing/2014/main" id="{00000000-0008-0000-0200-0000EE000000}"/>
            </a:ext>
          </a:extLst>
        </xdr:cNvPr>
        <xdr:cNvSpPr txBox="1"/>
      </xdr:nvSpPr>
      <xdr:spPr>
        <a:xfrm>
          <a:off x="109382379" y="35944629"/>
          <a:ext cx="194454" cy="42653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209</xdr:col>
      <xdr:colOff>598713</xdr:colOff>
      <xdr:row>136</xdr:row>
      <xdr:rowOff>108856</xdr:rowOff>
    </xdr:from>
    <xdr:ext cx="2234051" cy="373225"/>
    <xdr:sp macro="" textlink="">
      <xdr:nvSpPr>
        <xdr:cNvPr id="256" name="TextBox 255">
          <a:extLst>
            <a:ext uri="{FF2B5EF4-FFF2-40B4-BE49-F238E27FC236}">
              <a16:creationId xmlns:a16="http://schemas.microsoft.com/office/drawing/2014/main" id="{00000000-0008-0000-0200-000000010000}"/>
            </a:ext>
          </a:extLst>
        </xdr:cNvPr>
        <xdr:cNvSpPr txBox="1"/>
      </xdr:nvSpPr>
      <xdr:spPr>
        <a:xfrm>
          <a:off x="108345513" y="35370406"/>
          <a:ext cx="2234051" cy="3732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ru-RU"/>
        </a:p>
      </xdr:txBody>
    </xdr:sp>
    <xdr:clientData/>
  </xdr:oneCellAnchor>
  <xdr:oneCellAnchor>
    <xdr:from>
      <xdr:col>211</xdr:col>
      <xdr:colOff>73479</xdr:colOff>
      <xdr:row>138</xdr:row>
      <xdr:rowOff>73479</xdr:rowOff>
    </xdr:from>
    <xdr:ext cx="194454" cy="426536"/>
    <xdr:sp macro="" textlink="">
      <xdr:nvSpPr>
        <xdr:cNvPr id="260" name="TextBox 44">
          <a:extLst>
            <a:ext uri="{FF2B5EF4-FFF2-40B4-BE49-F238E27FC236}">
              <a16:creationId xmlns:a16="http://schemas.microsoft.com/office/drawing/2014/main" id="{00000000-0008-0000-0200-000004010000}"/>
            </a:ext>
          </a:extLst>
        </xdr:cNvPr>
        <xdr:cNvSpPr txBox="1"/>
      </xdr:nvSpPr>
      <xdr:spPr>
        <a:xfrm>
          <a:off x="109382379" y="35944629"/>
          <a:ext cx="194454" cy="42653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209</xdr:col>
      <xdr:colOff>598713</xdr:colOff>
      <xdr:row>136</xdr:row>
      <xdr:rowOff>108856</xdr:rowOff>
    </xdr:from>
    <xdr:ext cx="2234051" cy="373225"/>
    <xdr:sp macro="" textlink="">
      <xdr:nvSpPr>
        <xdr:cNvPr id="261" name="TextBox 45">
          <a:extLst>
            <a:ext uri="{FF2B5EF4-FFF2-40B4-BE49-F238E27FC236}">
              <a16:creationId xmlns:a16="http://schemas.microsoft.com/office/drawing/2014/main" id="{00000000-0008-0000-0200-000005010000}"/>
            </a:ext>
          </a:extLst>
        </xdr:cNvPr>
        <xdr:cNvSpPr txBox="1"/>
      </xdr:nvSpPr>
      <xdr:spPr>
        <a:xfrm>
          <a:off x="108345513" y="35370406"/>
          <a:ext cx="2234051" cy="3732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ru-RU"/>
        </a:p>
      </xdr:txBody>
    </xdr:sp>
    <xdr:clientData/>
  </xdr:oneCellAnchor>
  <xdr:twoCellAnchor>
    <xdr:from>
      <xdr:col>211</xdr:col>
      <xdr:colOff>76199</xdr:colOff>
      <xdr:row>131</xdr:row>
      <xdr:rowOff>0</xdr:rowOff>
    </xdr:from>
    <xdr:to>
      <xdr:col>225</xdr:col>
      <xdr:colOff>555624</xdr:colOff>
      <xdr:row>169</xdr:row>
      <xdr:rowOff>19050</xdr:rowOff>
    </xdr:to>
    <xdr:graphicFrame macro="">
      <xdr:nvGraphicFramePr>
        <xdr:cNvPr id="262" name="Диаграмма 261">
          <a:extLst>
            <a:ext uri="{FF2B5EF4-FFF2-40B4-BE49-F238E27FC236}">
              <a16:creationId xmlns:a16="http://schemas.microsoft.com/office/drawing/2014/main" id="{00000000-0008-0000-0200-00000601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230</xdr:col>
      <xdr:colOff>79376</xdr:colOff>
      <xdr:row>90</xdr:row>
      <xdr:rowOff>15875</xdr:rowOff>
    </xdr:from>
    <xdr:to>
      <xdr:col>244</xdr:col>
      <xdr:colOff>682625</xdr:colOff>
      <xdr:row>128</xdr:row>
      <xdr:rowOff>222249</xdr:rowOff>
    </xdr:to>
    <xdr:graphicFrame macro="">
      <xdr:nvGraphicFramePr>
        <xdr:cNvPr id="222" name="Диаграмма 221">
          <a:extLst>
            <a:ext uri="{FF2B5EF4-FFF2-40B4-BE49-F238E27FC236}">
              <a16:creationId xmlns:a16="http://schemas.microsoft.com/office/drawing/2014/main" id="{00000000-0008-0000-0200-0000D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oneCellAnchor>
    <xdr:from>
      <xdr:col>234</xdr:col>
      <xdr:colOff>312965</xdr:colOff>
      <xdr:row>121</xdr:row>
      <xdr:rowOff>81643</xdr:rowOff>
    </xdr:from>
    <xdr:ext cx="838563" cy="387286"/>
    <xdr:sp macro="" textlink="">
      <xdr:nvSpPr>
        <xdr:cNvPr id="227" name="TextBox 226">
          <a:extLst>
            <a:ext uri="{FF2B5EF4-FFF2-40B4-BE49-F238E27FC236}">
              <a16:creationId xmlns:a16="http://schemas.microsoft.com/office/drawing/2014/main" id="{00000000-0008-0000-0200-0000E3000000}"/>
            </a:ext>
          </a:extLst>
        </xdr:cNvPr>
        <xdr:cNvSpPr txBox="1"/>
      </xdr:nvSpPr>
      <xdr:spPr>
        <a:xfrm>
          <a:off x="55681790" y="30590218"/>
          <a:ext cx="838563" cy="3872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ru-RU" sz="2000">
              <a:latin typeface="Arial" pitchFamily="34" charset="0"/>
              <a:cs typeface="Arial" pitchFamily="34" charset="0"/>
            </a:rPr>
            <a:t>отчёт</a:t>
          </a:r>
        </a:p>
      </xdr:txBody>
    </xdr:sp>
    <xdr:clientData/>
  </xdr:oneCellAnchor>
  <xdr:oneCellAnchor>
    <xdr:from>
      <xdr:col>241</xdr:col>
      <xdr:colOff>156482</xdr:colOff>
      <xdr:row>121</xdr:row>
      <xdr:rowOff>18143</xdr:rowOff>
    </xdr:from>
    <xdr:ext cx="1104341" cy="387286"/>
    <xdr:sp macro="" textlink="">
      <xdr:nvSpPr>
        <xdr:cNvPr id="231" name="TextBox 230">
          <a:extLst>
            <a:ext uri="{FF2B5EF4-FFF2-40B4-BE49-F238E27FC236}">
              <a16:creationId xmlns:a16="http://schemas.microsoft.com/office/drawing/2014/main" id="{00000000-0008-0000-0200-0000E7000000}"/>
            </a:ext>
          </a:extLst>
        </xdr:cNvPr>
        <xdr:cNvSpPr txBox="1"/>
      </xdr:nvSpPr>
      <xdr:spPr>
        <a:xfrm>
          <a:off x="135046357" y="31307768"/>
          <a:ext cx="1104341" cy="3872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ru-RU" sz="2000">
              <a:latin typeface="Arial" pitchFamily="34" charset="0"/>
              <a:cs typeface="Arial" pitchFamily="34" charset="0"/>
            </a:rPr>
            <a:t>прогноз</a:t>
          </a:r>
        </a:p>
      </xdr:txBody>
    </xdr:sp>
    <xdr:clientData/>
  </xdr:oneCellAnchor>
  <xdr:oneCellAnchor>
    <xdr:from>
      <xdr:col>226</xdr:col>
      <xdr:colOff>317047</xdr:colOff>
      <xdr:row>97</xdr:row>
      <xdr:rowOff>122464</xdr:rowOff>
    </xdr:from>
    <xdr:ext cx="184731" cy="420015"/>
    <xdr:sp macro="" textlink="">
      <xdr:nvSpPr>
        <xdr:cNvPr id="233" name="TextBox 232">
          <a:extLst>
            <a:ext uri="{FF2B5EF4-FFF2-40B4-BE49-F238E27FC236}">
              <a16:creationId xmlns:a16="http://schemas.microsoft.com/office/drawing/2014/main" id="{00000000-0008-0000-0200-0000E9000000}"/>
            </a:ext>
          </a:extLst>
        </xdr:cNvPr>
        <xdr:cNvSpPr txBox="1"/>
      </xdr:nvSpPr>
      <xdr:spPr>
        <a:xfrm>
          <a:off x="118688985" y="35222089"/>
          <a:ext cx="184731" cy="4200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226</xdr:col>
      <xdr:colOff>317047</xdr:colOff>
      <xdr:row>97</xdr:row>
      <xdr:rowOff>122464</xdr:rowOff>
    </xdr:from>
    <xdr:ext cx="184731" cy="420015"/>
    <xdr:sp macro="" textlink="">
      <xdr:nvSpPr>
        <xdr:cNvPr id="237" name="TextBox 50">
          <a:extLst>
            <a:ext uri="{FF2B5EF4-FFF2-40B4-BE49-F238E27FC236}">
              <a16:creationId xmlns:a16="http://schemas.microsoft.com/office/drawing/2014/main" id="{00000000-0008-0000-0200-0000ED000000}"/>
            </a:ext>
          </a:extLst>
        </xdr:cNvPr>
        <xdr:cNvSpPr txBox="1"/>
      </xdr:nvSpPr>
      <xdr:spPr>
        <a:xfrm>
          <a:off x="118688985" y="35222089"/>
          <a:ext cx="184731" cy="4200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232</xdr:col>
      <xdr:colOff>73479</xdr:colOff>
      <xdr:row>139</xdr:row>
      <xdr:rowOff>73479</xdr:rowOff>
    </xdr:from>
    <xdr:ext cx="194454" cy="426536"/>
    <xdr:sp macro="" textlink="">
      <xdr:nvSpPr>
        <xdr:cNvPr id="246" name="TextBox 245">
          <a:extLst>
            <a:ext uri="{FF2B5EF4-FFF2-40B4-BE49-F238E27FC236}">
              <a16:creationId xmlns:a16="http://schemas.microsoft.com/office/drawing/2014/main" id="{00000000-0008-0000-0200-0000F6000000}"/>
            </a:ext>
          </a:extLst>
        </xdr:cNvPr>
        <xdr:cNvSpPr txBox="1"/>
      </xdr:nvSpPr>
      <xdr:spPr>
        <a:xfrm>
          <a:off x="121745829" y="36935229"/>
          <a:ext cx="194454" cy="42653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230</xdr:col>
      <xdr:colOff>598713</xdr:colOff>
      <xdr:row>137</xdr:row>
      <xdr:rowOff>108856</xdr:rowOff>
    </xdr:from>
    <xdr:ext cx="2396398" cy="373225"/>
    <xdr:sp macro="" textlink="">
      <xdr:nvSpPr>
        <xdr:cNvPr id="247" name="TextBox 246">
          <a:extLst>
            <a:ext uri="{FF2B5EF4-FFF2-40B4-BE49-F238E27FC236}">
              <a16:creationId xmlns:a16="http://schemas.microsoft.com/office/drawing/2014/main" id="{00000000-0008-0000-0200-0000F7000000}"/>
            </a:ext>
          </a:extLst>
        </xdr:cNvPr>
        <xdr:cNvSpPr txBox="1"/>
      </xdr:nvSpPr>
      <xdr:spPr>
        <a:xfrm>
          <a:off x="119375463" y="36361006"/>
          <a:ext cx="2396398" cy="3732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ru-RU"/>
        </a:p>
      </xdr:txBody>
    </xdr:sp>
    <xdr:clientData/>
  </xdr:oneCellAnchor>
  <xdr:oneCellAnchor>
    <xdr:from>
      <xdr:col>231</xdr:col>
      <xdr:colOff>317047</xdr:colOff>
      <xdr:row>137</xdr:row>
      <xdr:rowOff>122464</xdr:rowOff>
    </xdr:from>
    <xdr:ext cx="184731" cy="420015"/>
    <xdr:sp macro="" textlink="">
      <xdr:nvSpPr>
        <xdr:cNvPr id="248" name="TextBox 247">
          <a:extLst>
            <a:ext uri="{FF2B5EF4-FFF2-40B4-BE49-F238E27FC236}">
              <a16:creationId xmlns:a16="http://schemas.microsoft.com/office/drawing/2014/main" id="{00000000-0008-0000-0200-0000F8000000}"/>
            </a:ext>
          </a:extLst>
        </xdr:cNvPr>
        <xdr:cNvSpPr txBox="1"/>
      </xdr:nvSpPr>
      <xdr:spPr>
        <a:xfrm>
          <a:off x="119093797" y="36374614"/>
          <a:ext cx="184731" cy="4200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242</xdr:col>
      <xdr:colOff>187778</xdr:colOff>
      <xdr:row>163</xdr:row>
      <xdr:rowOff>73479</xdr:rowOff>
    </xdr:from>
    <xdr:ext cx="936172" cy="688521"/>
    <xdr:sp macro="" textlink="">
      <xdr:nvSpPr>
        <xdr:cNvPr id="249" name="TextBox 48">
          <a:extLst>
            <a:ext uri="{FF2B5EF4-FFF2-40B4-BE49-F238E27FC236}">
              <a16:creationId xmlns:a16="http://schemas.microsoft.com/office/drawing/2014/main" id="{00000000-0008-0000-0200-0000F9000000}"/>
            </a:ext>
          </a:extLst>
        </xdr:cNvPr>
        <xdr:cNvSpPr txBox="1"/>
      </xdr:nvSpPr>
      <xdr:spPr>
        <a:xfrm>
          <a:off x="128927678" y="43831329"/>
          <a:ext cx="936172" cy="68852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235</xdr:col>
      <xdr:colOff>503463</xdr:colOff>
      <xdr:row>148</xdr:row>
      <xdr:rowOff>127906</xdr:rowOff>
    </xdr:from>
    <xdr:ext cx="2396398" cy="373225"/>
    <xdr:sp macro="" textlink="">
      <xdr:nvSpPr>
        <xdr:cNvPr id="250" name="TextBox 49">
          <a:extLst>
            <a:ext uri="{FF2B5EF4-FFF2-40B4-BE49-F238E27FC236}">
              <a16:creationId xmlns:a16="http://schemas.microsoft.com/office/drawing/2014/main" id="{00000000-0008-0000-0200-0000FA000000}"/>
            </a:ext>
          </a:extLst>
        </xdr:cNvPr>
        <xdr:cNvSpPr txBox="1"/>
      </xdr:nvSpPr>
      <xdr:spPr>
        <a:xfrm>
          <a:off x="124404663" y="39732856"/>
          <a:ext cx="2396398" cy="3732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ru-RU"/>
        </a:p>
      </xdr:txBody>
    </xdr:sp>
    <xdr:clientData/>
  </xdr:oneCellAnchor>
  <xdr:oneCellAnchor>
    <xdr:from>
      <xdr:col>231</xdr:col>
      <xdr:colOff>317047</xdr:colOff>
      <xdr:row>137</xdr:row>
      <xdr:rowOff>122464</xdr:rowOff>
    </xdr:from>
    <xdr:ext cx="184731" cy="420015"/>
    <xdr:sp macro="" textlink="">
      <xdr:nvSpPr>
        <xdr:cNvPr id="251" name="TextBox 50">
          <a:extLst>
            <a:ext uri="{FF2B5EF4-FFF2-40B4-BE49-F238E27FC236}">
              <a16:creationId xmlns:a16="http://schemas.microsoft.com/office/drawing/2014/main" id="{00000000-0008-0000-0200-0000FB000000}"/>
            </a:ext>
          </a:extLst>
        </xdr:cNvPr>
        <xdr:cNvSpPr txBox="1"/>
      </xdr:nvSpPr>
      <xdr:spPr>
        <a:xfrm>
          <a:off x="119093797" y="36374614"/>
          <a:ext cx="184731" cy="4200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234</xdr:col>
      <xdr:colOff>73479</xdr:colOff>
      <xdr:row>138</xdr:row>
      <xdr:rowOff>73479</xdr:rowOff>
    </xdr:from>
    <xdr:ext cx="194454" cy="426536"/>
    <xdr:sp macro="" textlink="">
      <xdr:nvSpPr>
        <xdr:cNvPr id="263" name="TextBox 262">
          <a:extLst>
            <a:ext uri="{FF2B5EF4-FFF2-40B4-BE49-F238E27FC236}">
              <a16:creationId xmlns:a16="http://schemas.microsoft.com/office/drawing/2014/main" id="{00000000-0008-0000-0200-000007010000}"/>
            </a:ext>
          </a:extLst>
        </xdr:cNvPr>
        <xdr:cNvSpPr txBox="1"/>
      </xdr:nvSpPr>
      <xdr:spPr>
        <a:xfrm>
          <a:off x="123269829" y="36630429"/>
          <a:ext cx="194454" cy="42653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232</xdr:col>
      <xdr:colOff>598713</xdr:colOff>
      <xdr:row>136</xdr:row>
      <xdr:rowOff>108856</xdr:rowOff>
    </xdr:from>
    <xdr:ext cx="2234051" cy="373225"/>
    <xdr:sp macro="" textlink="">
      <xdr:nvSpPr>
        <xdr:cNvPr id="264" name="TextBox 263">
          <a:extLst>
            <a:ext uri="{FF2B5EF4-FFF2-40B4-BE49-F238E27FC236}">
              <a16:creationId xmlns:a16="http://schemas.microsoft.com/office/drawing/2014/main" id="{00000000-0008-0000-0200-000008010000}"/>
            </a:ext>
          </a:extLst>
        </xdr:cNvPr>
        <xdr:cNvSpPr txBox="1"/>
      </xdr:nvSpPr>
      <xdr:spPr>
        <a:xfrm>
          <a:off x="122271063" y="36056206"/>
          <a:ext cx="2234051" cy="3732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ru-RU"/>
        </a:p>
      </xdr:txBody>
    </xdr:sp>
    <xdr:clientData/>
  </xdr:oneCellAnchor>
  <xdr:oneCellAnchor>
    <xdr:from>
      <xdr:col>234</xdr:col>
      <xdr:colOff>73479</xdr:colOff>
      <xdr:row>138</xdr:row>
      <xdr:rowOff>73479</xdr:rowOff>
    </xdr:from>
    <xdr:ext cx="194454" cy="426536"/>
    <xdr:sp macro="" textlink="">
      <xdr:nvSpPr>
        <xdr:cNvPr id="265" name="TextBox 44">
          <a:extLst>
            <a:ext uri="{FF2B5EF4-FFF2-40B4-BE49-F238E27FC236}">
              <a16:creationId xmlns:a16="http://schemas.microsoft.com/office/drawing/2014/main" id="{00000000-0008-0000-0200-000009010000}"/>
            </a:ext>
          </a:extLst>
        </xdr:cNvPr>
        <xdr:cNvSpPr txBox="1"/>
      </xdr:nvSpPr>
      <xdr:spPr>
        <a:xfrm>
          <a:off x="123269829" y="36630429"/>
          <a:ext cx="194454" cy="42653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232</xdr:col>
      <xdr:colOff>598713</xdr:colOff>
      <xdr:row>136</xdr:row>
      <xdr:rowOff>108856</xdr:rowOff>
    </xdr:from>
    <xdr:ext cx="2234051" cy="373225"/>
    <xdr:sp macro="" textlink="">
      <xdr:nvSpPr>
        <xdr:cNvPr id="266" name="TextBox 45">
          <a:extLst>
            <a:ext uri="{FF2B5EF4-FFF2-40B4-BE49-F238E27FC236}">
              <a16:creationId xmlns:a16="http://schemas.microsoft.com/office/drawing/2014/main" id="{00000000-0008-0000-0200-00000A010000}"/>
            </a:ext>
          </a:extLst>
        </xdr:cNvPr>
        <xdr:cNvSpPr txBox="1"/>
      </xdr:nvSpPr>
      <xdr:spPr>
        <a:xfrm>
          <a:off x="122271063" y="36056206"/>
          <a:ext cx="2234051" cy="3732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ru-RU"/>
        </a:p>
      </xdr:txBody>
    </xdr:sp>
    <xdr:clientData/>
  </xdr:oneCellAnchor>
  <xdr:twoCellAnchor>
    <xdr:from>
      <xdr:col>234</xdr:col>
      <xdr:colOff>76199</xdr:colOff>
      <xdr:row>131</xdr:row>
      <xdr:rowOff>0</xdr:rowOff>
    </xdr:from>
    <xdr:to>
      <xdr:col>248</xdr:col>
      <xdr:colOff>555624</xdr:colOff>
      <xdr:row>169</xdr:row>
      <xdr:rowOff>19050</xdr:rowOff>
    </xdr:to>
    <xdr:graphicFrame macro="">
      <xdr:nvGraphicFramePr>
        <xdr:cNvPr id="285" name="Диаграмма 284">
          <a:extLst>
            <a:ext uri="{FF2B5EF4-FFF2-40B4-BE49-F238E27FC236}">
              <a16:creationId xmlns:a16="http://schemas.microsoft.com/office/drawing/2014/main" id="{00000000-0008-0000-0200-00001D01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oneCellAnchor>
    <xdr:from>
      <xdr:col>58</xdr:col>
      <xdr:colOff>556027</xdr:colOff>
      <xdr:row>42</xdr:row>
      <xdr:rowOff>13138</xdr:rowOff>
    </xdr:from>
    <xdr:ext cx="5364461" cy="587151"/>
    <xdr:sp macro="" textlink="">
      <xdr:nvSpPr>
        <xdr:cNvPr id="184" name="TextBox 183">
          <a:extLst>
            <a:ext uri="{FF2B5EF4-FFF2-40B4-BE49-F238E27FC236}">
              <a16:creationId xmlns:a16="http://schemas.microsoft.com/office/drawing/2014/main" id="{00000000-0008-0000-0200-0000B8000000}"/>
            </a:ext>
          </a:extLst>
        </xdr:cNvPr>
        <xdr:cNvSpPr txBox="1"/>
      </xdr:nvSpPr>
      <xdr:spPr>
        <a:xfrm>
          <a:off x="45133027" y="2918263"/>
          <a:ext cx="5364461" cy="5871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noAutofit/>
        </a:bodyPr>
        <a:lstStyle/>
        <a:p>
          <a:pPr algn="ctr"/>
          <a:r>
            <a:rPr lang="ru-RU" sz="2400"/>
            <a:t> </a:t>
          </a:r>
          <a:r>
            <a:rPr lang="en-US" sz="2400"/>
            <a:t>   </a:t>
          </a:r>
          <a:r>
            <a:rPr lang="en-US" sz="1600"/>
            <a:t>    </a:t>
          </a:r>
          <a:r>
            <a:rPr lang="ru-RU" sz="1600"/>
            <a:t>ТЕМПЫ</a:t>
          </a:r>
          <a:r>
            <a:rPr lang="ru-RU" sz="1600" baseline="0"/>
            <a:t> </a:t>
          </a:r>
          <a:r>
            <a:rPr lang="en-US" sz="1600" baseline="0"/>
            <a:t> </a:t>
          </a:r>
          <a:r>
            <a:rPr lang="ru-RU" sz="1600" baseline="0"/>
            <a:t>ПРОИЗВЕДЕННОГО И ИСПОЛЬЗОВАННОГО ВВП</a:t>
          </a:r>
          <a:endParaRPr lang="ru-RU" sz="1600"/>
        </a:p>
      </xdr:txBody>
    </xdr:sp>
    <xdr:clientData/>
  </xdr:oneCellAnchor>
  <xdr:oneCellAnchor>
    <xdr:from>
      <xdr:col>66</xdr:col>
      <xdr:colOff>125394</xdr:colOff>
      <xdr:row>52</xdr:row>
      <xdr:rowOff>127657</xdr:rowOff>
    </xdr:from>
    <xdr:ext cx="919867" cy="374141"/>
    <xdr:sp macro="" textlink="">
      <xdr:nvSpPr>
        <xdr:cNvPr id="185" name="TextBox 184">
          <a:extLst>
            <a:ext uri="{FF2B5EF4-FFF2-40B4-BE49-F238E27FC236}">
              <a16:creationId xmlns:a16="http://schemas.microsoft.com/office/drawing/2014/main" id="{00000000-0008-0000-0200-0000B9000000}"/>
            </a:ext>
          </a:extLst>
        </xdr:cNvPr>
        <xdr:cNvSpPr txBox="1"/>
      </xdr:nvSpPr>
      <xdr:spPr>
        <a:xfrm>
          <a:off x="50369769" y="6049032"/>
          <a:ext cx="919867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r>
            <a:rPr lang="en-US" sz="1800"/>
            <a:t>^pW</a:t>
          </a:r>
          <a:r>
            <a:rPr lang="ru-RU" sz="1800"/>
            <a:t> пр</a:t>
          </a:r>
        </a:p>
      </xdr:txBody>
    </xdr:sp>
    <xdr:clientData/>
  </xdr:oneCellAnchor>
  <xdr:oneCellAnchor>
    <xdr:from>
      <xdr:col>65</xdr:col>
      <xdr:colOff>219075</xdr:colOff>
      <xdr:row>51</xdr:row>
      <xdr:rowOff>0</xdr:rowOff>
    </xdr:from>
    <xdr:ext cx="425127" cy="387508"/>
    <xdr:sp macro="" textlink="">
      <xdr:nvSpPr>
        <xdr:cNvPr id="186" name="TextBox 185">
          <a:extLst>
            <a:ext uri="{FF2B5EF4-FFF2-40B4-BE49-F238E27FC236}">
              <a16:creationId xmlns:a16="http://schemas.microsoft.com/office/drawing/2014/main" id="{00000000-0008-0000-0200-0000BA000000}"/>
            </a:ext>
          </a:extLst>
        </xdr:cNvPr>
        <xdr:cNvSpPr txBox="1"/>
      </xdr:nvSpPr>
      <xdr:spPr>
        <a:xfrm>
          <a:off x="49669700" y="5619750"/>
          <a:ext cx="425127" cy="38750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sz="1800">
              <a:solidFill>
                <a:schemeClr val="tx1"/>
              </a:solidFill>
              <a:latin typeface="+mn-lt"/>
              <a:ea typeface="+mn-ea"/>
              <a:cs typeface="+mn-cs"/>
            </a:rPr>
            <a:t>pX</a:t>
          </a:r>
          <a:endParaRPr lang="ru-RU" sz="1800"/>
        </a:p>
      </xdr:txBody>
    </xdr:sp>
    <xdr:clientData/>
  </xdr:oneCellAnchor>
  <xdr:oneCellAnchor>
    <xdr:from>
      <xdr:col>58</xdr:col>
      <xdr:colOff>556027</xdr:colOff>
      <xdr:row>42</xdr:row>
      <xdr:rowOff>13138</xdr:rowOff>
    </xdr:from>
    <xdr:ext cx="5364461" cy="587151"/>
    <xdr:sp macro="" textlink="">
      <xdr:nvSpPr>
        <xdr:cNvPr id="187" name="TextBox 2">
          <a:extLst>
            <a:ext uri="{FF2B5EF4-FFF2-40B4-BE49-F238E27FC236}">
              <a16:creationId xmlns:a16="http://schemas.microsoft.com/office/drawing/2014/main" id="{00000000-0008-0000-0200-0000BB000000}"/>
            </a:ext>
          </a:extLst>
        </xdr:cNvPr>
        <xdr:cNvSpPr txBox="1"/>
      </xdr:nvSpPr>
      <xdr:spPr>
        <a:xfrm>
          <a:off x="45133027" y="2918263"/>
          <a:ext cx="5364461" cy="5871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noAutofit/>
        </a:bodyPr>
        <a:lstStyle/>
        <a:p>
          <a:pPr algn="ctr"/>
          <a:r>
            <a:rPr lang="ru-RU" sz="2400"/>
            <a:t> </a:t>
          </a:r>
          <a:r>
            <a:rPr lang="en-US" sz="2400"/>
            <a:t>   </a:t>
          </a:r>
          <a:r>
            <a:rPr lang="en-US" sz="1600"/>
            <a:t>    </a:t>
          </a:r>
          <a:r>
            <a:rPr lang="ru-RU" sz="1600"/>
            <a:t>ТЕМПЫ</a:t>
          </a:r>
          <a:r>
            <a:rPr lang="ru-RU" sz="1600" baseline="0"/>
            <a:t> </a:t>
          </a:r>
          <a:r>
            <a:rPr lang="en-US" sz="1600" baseline="0"/>
            <a:t> </a:t>
          </a:r>
          <a:r>
            <a:rPr lang="ru-RU" sz="1600" baseline="0"/>
            <a:t>ПРОИЗВЕДЕННОГО И ИСПОЛЬЗОВАННОГО ВВП</a:t>
          </a:r>
          <a:endParaRPr lang="ru-RU" sz="1600"/>
        </a:p>
      </xdr:txBody>
    </xdr:sp>
    <xdr:clientData/>
  </xdr:oneCellAnchor>
  <xdr:oneCellAnchor>
    <xdr:from>
      <xdr:col>66</xdr:col>
      <xdr:colOff>125394</xdr:colOff>
      <xdr:row>52</xdr:row>
      <xdr:rowOff>127657</xdr:rowOff>
    </xdr:from>
    <xdr:ext cx="866860" cy="363106"/>
    <xdr:sp macro="" textlink="">
      <xdr:nvSpPr>
        <xdr:cNvPr id="188" name="TextBox 5">
          <a:extLst>
            <a:ext uri="{FF2B5EF4-FFF2-40B4-BE49-F238E27FC236}">
              <a16:creationId xmlns:a16="http://schemas.microsoft.com/office/drawing/2014/main" id="{00000000-0008-0000-0200-0000BC000000}"/>
            </a:ext>
          </a:extLst>
        </xdr:cNvPr>
        <xdr:cNvSpPr txBox="1"/>
      </xdr:nvSpPr>
      <xdr:spPr>
        <a:xfrm>
          <a:off x="50369769" y="6049032"/>
          <a:ext cx="866860" cy="36310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r>
            <a:rPr lang="en-US" sz="1600"/>
            <a:t>^pW</a:t>
          </a:r>
          <a:r>
            <a:rPr lang="ru-RU" sz="1600"/>
            <a:t> пр</a:t>
          </a:r>
        </a:p>
      </xdr:txBody>
    </xdr:sp>
    <xdr:clientData/>
  </xdr:oneCellAnchor>
  <xdr:twoCellAnchor>
    <xdr:from>
      <xdr:col>58</xdr:col>
      <xdr:colOff>53068</xdr:colOff>
      <xdr:row>40</xdr:row>
      <xdr:rowOff>31750</xdr:rowOff>
    </xdr:from>
    <xdr:to>
      <xdr:col>69</xdr:col>
      <xdr:colOff>571500</xdr:colOff>
      <xdr:row>67</xdr:row>
      <xdr:rowOff>217713</xdr:rowOff>
    </xdr:to>
    <xdr:graphicFrame macro="">
      <xdr:nvGraphicFramePr>
        <xdr:cNvPr id="189" name="Chart 13">
          <a:extLst>
            <a:ext uri="{FF2B5EF4-FFF2-40B4-BE49-F238E27FC236}">
              <a16:creationId xmlns:a16="http://schemas.microsoft.com/office/drawing/2014/main" id="{00000000-0008-0000-0200-0000B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oneCellAnchor>
    <xdr:from>
      <xdr:col>59</xdr:col>
      <xdr:colOff>149226</xdr:colOff>
      <xdr:row>41</xdr:row>
      <xdr:rowOff>248088</xdr:rowOff>
    </xdr:from>
    <xdr:ext cx="7296150" cy="939362"/>
    <xdr:sp macro="" textlink="">
      <xdr:nvSpPr>
        <xdr:cNvPr id="190" name="TextBox 2">
          <a:extLst>
            <a:ext uri="{FF2B5EF4-FFF2-40B4-BE49-F238E27FC236}">
              <a16:creationId xmlns:a16="http://schemas.microsoft.com/office/drawing/2014/main" id="{00000000-0008-0000-0200-0000BE000000}"/>
            </a:ext>
          </a:extLst>
        </xdr:cNvPr>
        <xdr:cNvSpPr txBox="1"/>
      </xdr:nvSpPr>
      <xdr:spPr>
        <a:xfrm>
          <a:off x="45329476" y="11455838"/>
          <a:ext cx="7296150" cy="93936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noAutofit/>
        </a:bodyPr>
        <a:lstStyle/>
        <a:p>
          <a:pPr algn="ctr"/>
          <a:r>
            <a:rPr lang="ru-RU" sz="2000">
              <a:latin typeface="Arial" panose="020B0604020202020204" pitchFamily="34" charset="0"/>
              <a:cs typeface="Arial" panose="020B0604020202020204" pitchFamily="34" charset="0"/>
            </a:rPr>
            <a:t>БАЗИСНЫЕ</a:t>
          </a:r>
          <a:r>
            <a:rPr lang="ru-RU" sz="2000" baseline="0">
              <a:latin typeface="Arial" panose="020B0604020202020204" pitchFamily="34" charset="0"/>
              <a:cs typeface="Arial" panose="020B0604020202020204" pitchFamily="34" charset="0"/>
            </a:rPr>
            <a:t> </a:t>
          </a:r>
          <a:r>
            <a:rPr lang="ru-RU" sz="2000">
              <a:latin typeface="Arial" panose="020B0604020202020204" pitchFamily="34" charset="0"/>
              <a:cs typeface="Arial" panose="020B0604020202020204" pitchFamily="34" charset="0"/>
            </a:rPr>
            <a:t>ТЕМПЫ</a:t>
          </a:r>
          <a:r>
            <a:rPr lang="ru-RU" sz="2000" baseline="0">
              <a:latin typeface="Arial" panose="020B0604020202020204" pitchFamily="34" charset="0"/>
              <a:cs typeface="Arial" panose="020B0604020202020204" pitchFamily="34" charset="0"/>
            </a:rPr>
            <a:t> </a:t>
          </a:r>
          <a:r>
            <a:rPr lang="en-US" sz="2000" baseline="0">
              <a:latin typeface="Arial" panose="020B0604020202020204" pitchFamily="34" charset="0"/>
              <a:cs typeface="Arial" panose="020B0604020202020204" pitchFamily="34" charset="0"/>
            </a:rPr>
            <a:t> </a:t>
          </a:r>
          <a:r>
            <a:rPr lang="ru-RU" sz="2000" baseline="0">
              <a:latin typeface="Arial" panose="020B0604020202020204" pitchFamily="34" charset="0"/>
              <a:cs typeface="Arial" panose="020B0604020202020204" pitchFamily="34" charset="0"/>
            </a:rPr>
            <a:t>ЭКСПОРТА И МОДИФИЦИРОВАННОГО  ЭКСПОРТА</a:t>
          </a:r>
          <a:endParaRPr lang="ru-RU" sz="20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oneCellAnchor>
  <xdr:oneCellAnchor>
    <xdr:from>
      <xdr:col>64</xdr:col>
      <xdr:colOff>81170</xdr:colOff>
      <xdr:row>47</xdr:row>
      <xdr:rowOff>138088</xdr:rowOff>
    </xdr:from>
    <xdr:ext cx="712054" cy="387286"/>
    <xdr:sp macro="" textlink="">
      <xdr:nvSpPr>
        <xdr:cNvPr id="191" name="TextBox 5">
          <a:extLst>
            <a:ext uri="{FF2B5EF4-FFF2-40B4-BE49-F238E27FC236}">
              <a16:creationId xmlns:a16="http://schemas.microsoft.com/office/drawing/2014/main" id="{00000000-0008-0000-0200-0000BF000000}"/>
            </a:ext>
          </a:extLst>
        </xdr:cNvPr>
        <xdr:cNvSpPr txBox="1"/>
      </xdr:nvSpPr>
      <xdr:spPr>
        <a:xfrm>
          <a:off x="48865045" y="12838088"/>
          <a:ext cx="712054" cy="3872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r>
            <a:rPr lang="en-US" sz="2000">
              <a:latin typeface="Arial" panose="020B0604020202020204" pitchFamily="34" charset="0"/>
              <a:cs typeface="Arial" panose="020B0604020202020204" pitchFamily="34" charset="0"/>
            </a:rPr>
            <a:t>Pem</a:t>
          </a:r>
          <a:endParaRPr lang="ru-RU" sz="20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oneCellAnchor>
  <xdr:oneCellAnchor>
    <xdr:from>
      <xdr:col>74</xdr:col>
      <xdr:colOff>556027</xdr:colOff>
      <xdr:row>42</xdr:row>
      <xdr:rowOff>13138</xdr:rowOff>
    </xdr:from>
    <xdr:ext cx="5364461" cy="587151"/>
    <xdr:sp macro="" textlink="">
      <xdr:nvSpPr>
        <xdr:cNvPr id="179" name="TextBox 178">
          <a:extLst>
            <a:ext uri="{FF2B5EF4-FFF2-40B4-BE49-F238E27FC236}">
              <a16:creationId xmlns:a16="http://schemas.microsoft.com/office/drawing/2014/main" id="{00000000-0008-0000-0200-0000B3000000}"/>
            </a:ext>
          </a:extLst>
        </xdr:cNvPr>
        <xdr:cNvSpPr txBox="1"/>
      </xdr:nvSpPr>
      <xdr:spPr>
        <a:xfrm>
          <a:off x="45133027" y="11474888"/>
          <a:ext cx="5364461" cy="5871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noAutofit/>
        </a:bodyPr>
        <a:lstStyle/>
        <a:p>
          <a:pPr algn="ctr"/>
          <a:r>
            <a:rPr lang="ru-RU" sz="2400"/>
            <a:t> </a:t>
          </a:r>
          <a:r>
            <a:rPr lang="en-US" sz="2400"/>
            <a:t>   </a:t>
          </a:r>
          <a:r>
            <a:rPr lang="en-US" sz="1600"/>
            <a:t>    </a:t>
          </a:r>
          <a:r>
            <a:rPr lang="ru-RU" sz="1600"/>
            <a:t>ТЕМПЫ</a:t>
          </a:r>
          <a:r>
            <a:rPr lang="ru-RU" sz="1600" baseline="0"/>
            <a:t> </a:t>
          </a:r>
          <a:r>
            <a:rPr lang="en-US" sz="1600" baseline="0"/>
            <a:t> </a:t>
          </a:r>
          <a:r>
            <a:rPr lang="ru-RU" sz="1600" baseline="0"/>
            <a:t>ПРОИЗВЕДЕННОГО И ИСПОЛЬЗОВАННОГО ВВП</a:t>
          </a:r>
          <a:endParaRPr lang="ru-RU" sz="1600"/>
        </a:p>
      </xdr:txBody>
    </xdr:sp>
    <xdr:clientData/>
  </xdr:oneCellAnchor>
  <xdr:oneCellAnchor>
    <xdr:from>
      <xdr:col>82</xdr:col>
      <xdr:colOff>125394</xdr:colOff>
      <xdr:row>52</xdr:row>
      <xdr:rowOff>127657</xdr:rowOff>
    </xdr:from>
    <xdr:ext cx="919867" cy="374141"/>
    <xdr:sp macro="" textlink="">
      <xdr:nvSpPr>
        <xdr:cNvPr id="180" name="TextBox 179">
          <a:extLst>
            <a:ext uri="{FF2B5EF4-FFF2-40B4-BE49-F238E27FC236}">
              <a16:creationId xmlns:a16="http://schemas.microsoft.com/office/drawing/2014/main" id="{00000000-0008-0000-0200-0000B4000000}"/>
            </a:ext>
          </a:extLst>
        </xdr:cNvPr>
        <xdr:cNvSpPr txBox="1"/>
      </xdr:nvSpPr>
      <xdr:spPr>
        <a:xfrm>
          <a:off x="50369769" y="14145282"/>
          <a:ext cx="919867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r>
            <a:rPr lang="en-US" sz="1800"/>
            <a:t>^pW</a:t>
          </a:r>
          <a:r>
            <a:rPr lang="ru-RU" sz="1800"/>
            <a:t> пр</a:t>
          </a:r>
        </a:p>
      </xdr:txBody>
    </xdr:sp>
    <xdr:clientData/>
  </xdr:oneCellAnchor>
  <xdr:oneCellAnchor>
    <xdr:from>
      <xdr:col>81</xdr:col>
      <xdr:colOff>219075</xdr:colOff>
      <xdr:row>51</xdr:row>
      <xdr:rowOff>0</xdr:rowOff>
    </xdr:from>
    <xdr:ext cx="425127" cy="387508"/>
    <xdr:sp macro="" textlink="">
      <xdr:nvSpPr>
        <xdr:cNvPr id="181" name="TextBox 180">
          <a:extLst>
            <a:ext uri="{FF2B5EF4-FFF2-40B4-BE49-F238E27FC236}">
              <a16:creationId xmlns:a16="http://schemas.microsoft.com/office/drawing/2014/main" id="{00000000-0008-0000-0200-0000B5000000}"/>
            </a:ext>
          </a:extLst>
        </xdr:cNvPr>
        <xdr:cNvSpPr txBox="1"/>
      </xdr:nvSpPr>
      <xdr:spPr>
        <a:xfrm>
          <a:off x="49669700" y="13716000"/>
          <a:ext cx="425127" cy="38750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sz="1800">
              <a:solidFill>
                <a:schemeClr val="tx1"/>
              </a:solidFill>
              <a:latin typeface="+mn-lt"/>
              <a:ea typeface="+mn-ea"/>
              <a:cs typeface="+mn-cs"/>
            </a:rPr>
            <a:t>pX</a:t>
          </a:r>
          <a:endParaRPr lang="ru-RU" sz="1800"/>
        </a:p>
      </xdr:txBody>
    </xdr:sp>
    <xdr:clientData/>
  </xdr:oneCellAnchor>
  <xdr:oneCellAnchor>
    <xdr:from>
      <xdr:col>74</xdr:col>
      <xdr:colOff>556027</xdr:colOff>
      <xdr:row>42</xdr:row>
      <xdr:rowOff>13138</xdr:rowOff>
    </xdr:from>
    <xdr:ext cx="5364461" cy="587151"/>
    <xdr:sp macro="" textlink="">
      <xdr:nvSpPr>
        <xdr:cNvPr id="182" name="TextBox 2">
          <a:extLst>
            <a:ext uri="{FF2B5EF4-FFF2-40B4-BE49-F238E27FC236}">
              <a16:creationId xmlns:a16="http://schemas.microsoft.com/office/drawing/2014/main" id="{00000000-0008-0000-0200-0000B6000000}"/>
            </a:ext>
          </a:extLst>
        </xdr:cNvPr>
        <xdr:cNvSpPr txBox="1"/>
      </xdr:nvSpPr>
      <xdr:spPr>
        <a:xfrm>
          <a:off x="45133027" y="11474888"/>
          <a:ext cx="5364461" cy="5871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noAutofit/>
        </a:bodyPr>
        <a:lstStyle/>
        <a:p>
          <a:pPr algn="ctr"/>
          <a:r>
            <a:rPr lang="ru-RU" sz="2400"/>
            <a:t> </a:t>
          </a:r>
          <a:r>
            <a:rPr lang="en-US" sz="2400"/>
            <a:t>   </a:t>
          </a:r>
          <a:r>
            <a:rPr lang="en-US" sz="1600"/>
            <a:t>    </a:t>
          </a:r>
          <a:r>
            <a:rPr lang="ru-RU" sz="1600"/>
            <a:t>ТЕМПЫ</a:t>
          </a:r>
          <a:r>
            <a:rPr lang="ru-RU" sz="1600" baseline="0"/>
            <a:t> </a:t>
          </a:r>
          <a:r>
            <a:rPr lang="en-US" sz="1600" baseline="0"/>
            <a:t> </a:t>
          </a:r>
          <a:r>
            <a:rPr lang="ru-RU" sz="1600" baseline="0"/>
            <a:t>ПРОИЗВЕДЕННОГО И ИСПОЛЬЗОВАННОГО ВВП</a:t>
          </a:r>
          <a:endParaRPr lang="ru-RU" sz="1600"/>
        </a:p>
      </xdr:txBody>
    </xdr:sp>
    <xdr:clientData/>
  </xdr:oneCellAnchor>
  <xdr:oneCellAnchor>
    <xdr:from>
      <xdr:col>82</xdr:col>
      <xdr:colOff>125394</xdr:colOff>
      <xdr:row>52</xdr:row>
      <xdr:rowOff>127657</xdr:rowOff>
    </xdr:from>
    <xdr:ext cx="866860" cy="363106"/>
    <xdr:sp macro="" textlink="">
      <xdr:nvSpPr>
        <xdr:cNvPr id="183" name="TextBox 5">
          <a:extLst>
            <a:ext uri="{FF2B5EF4-FFF2-40B4-BE49-F238E27FC236}">
              <a16:creationId xmlns:a16="http://schemas.microsoft.com/office/drawing/2014/main" id="{00000000-0008-0000-0200-0000B7000000}"/>
            </a:ext>
          </a:extLst>
        </xdr:cNvPr>
        <xdr:cNvSpPr txBox="1"/>
      </xdr:nvSpPr>
      <xdr:spPr>
        <a:xfrm>
          <a:off x="50369769" y="14145282"/>
          <a:ext cx="866860" cy="36310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r>
            <a:rPr lang="en-US" sz="1600"/>
            <a:t>^pW</a:t>
          </a:r>
          <a:r>
            <a:rPr lang="ru-RU" sz="1600"/>
            <a:t> пр</a:t>
          </a:r>
        </a:p>
      </xdr:txBody>
    </xdr:sp>
    <xdr:clientData/>
  </xdr:oneCellAnchor>
  <xdr:twoCellAnchor>
    <xdr:from>
      <xdr:col>74</xdr:col>
      <xdr:colOff>53068</xdr:colOff>
      <xdr:row>40</xdr:row>
      <xdr:rowOff>31750</xdr:rowOff>
    </xdr:from>
    <xdr:to>
      <xdr:col>85</xdr:col>
      <xdr:colOff>571500</xdr:colOff>
      <xdr:row>67</xdr:row>
      <xdr:rowOff>217713</xdr:rowOff>
    </xdr:to>
    <xdr:graphicFrame macro="">
      <xdr:nvGraphicFramePr>
        <xdr:cNvPr id="192" name="Chart 13">
          <a:extLst>
            <a:ext uri="{FF2B5EF4-FFF2-40B4-BE49-F238E27FC236}">
              <a16:creationId xmlns:a16="http://schemas.microsoft.com/office/drawing/2014/main" id="{00000000-0008-0000-0200-0000C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oneCellAnchor>
    <xdr:from>
      <xdr:col>75</xdr:col>
      <xdr:colOff>149226</xdr:colOff>
      <xdr:row>41</xdr:row>
      <xdr:rowOff>248088</xdr:rowOff>
    </xdr:from>
    <xdr:ext cx="7296150" cy="939362"/>
    <xdr:sp macro="" textlink="">
      <xdr:nvSpPr>
        <xdr:cNvPr id="193" name="TextBox 2">
          <a:extLst>
            <a:ext uri="{FF2B5EF4-FFF2-40B4-BE49-F238E27FC236}">
              <a16:creationId xmlns:a16="http://schemas.microsoft.com/office/drawing/2014/main" id="{00000000-0008-0000-0200-0000C1000000}"/>
            </a:ext>
          </a:extLst>
        </xdr:cNvPr>
        <xdr:cNvSpPr txBox="1"/>
      </xdr:nvSpPr>
      <xdr:spPr>
        <a:xfrm>
          <a:off x="45329476" y="11455838"/>
          <a:ext cx="7296150" cy="93936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noAutofit/>
        </a:bodyPr>
        <a:lstStyle/>
        <a:p>
          <a:pPr algn="ctr"/>
          <a:r>
            <a:rPr lang="ru-RU" sz="2000">
              <a:latin typeface="Arial" panose="020B0604020202020204" pitchFamily="34" charset="0"/>
              <a:cs typeface="Arial" panose="020B0604020202020204" pitchFamily="34" charset="0"/>
            </a:rPr>
            <a:t>БАЗИСНЫЕ</a:t>
          </a:r>
          <a:r>
            <a:rPr lang="ru-RU" sz="2000" baseline="0">
              <a:latin typeface="Arial" panose="020B0604020202020204" pitchFamily="34" charset="0"/>
              <a:cs typeface="Arial" panose="020B0604020202020204" pitchFamily="34" charset="0"/>
            </a:rPr>
            <a:t> ДЕФЛЯТОРЫ </a:t>
          </a:r>
          <a:r>
            <a:rPr lang="en-US" sz="2000" baseline="0">
              <a:latin typeface="Arial" panose="020B0604020202020204" pitchFamily="34" charset="0"/>
              <a:cs typeface="Arial" panose="020B0604020202020204" pitchFamily="34" charset="0"/>
            </a:rPr>
            <a:t> </a:t>
          </a:r>
          <a:r>
            <a:rPr lang="ru-RU" sz="2000" baseline="0">
              <a:latin typeface="Arial" panose="020B0604020202020204" pitchFamily="34" charset="0"/>
              <a:cs typeface="Arial" panose="020B0604020202020204" pitchFamily="34" charset="0"/>
            </a:rPr>
            <a:t>ЭКСПОРТА И МОДИФИЦИРОВАННОГО  ЭКСПОРТА</a:t>
          </a:r>
          <a:endParaRPr lang="ru-RU" sz="20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oneCellAnchor>
  <xdr:oneCellAnchor>
    <xdr:from>
      <xdr:col>80</xdr:col>
      <xdr:colOff>331995</xdr:colOff>
      <xdr:row>53</xdr:row>
      <xdr:rowOff>249213</xdr:rowOff>
    </xdr:from>
    <xdr:ext cx="512576" cy="387286"/>
    <xdr:sp macro="" textlink="">
      <xdr:nvSpPr>
        <xdr:cNvPr id="194" name="TextBox 5">
          <a:extLst>
            <a:ext uri="{FF2B5EF4-FFF2-40B4-BE49-F238E27FC236}">
              <a16:creationId xmlns:a16="http://schemas.microsoft.com/office/drawing/2014/main" id="{00000000-0008-0000-0200-0000C2000000}"/>
            </a:ext>
          </a:extLst>
        </xdr:cNvPr>
        <xdr:cNvSpPr txBox="1"/>
      </xdr:nvSpPr>
      <xdr:spPr>
        <a:xfrm>
          <a:off x="61180870" y="14568463"/>
          <a:ext cx="512576" cy="3872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r>
            <a:rPr lang="en-US" sz="2000">
              <a:latin typeface="Arial" panose="020B0604020202020204" pitchFamily="34" charset="0"/>
              <a:cs typeface="Arial" panose="020B0604020202020204" pitchFamily="34" charset="0"/>
            </a:rPr>
            <a:t>De</a:t>
          </a:r>
          <a:endParaRPr lang="ru-RU" sz="20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oneCellAnchor>
  <xdr:oneCellAnchor>
    <xdr:from>
      <xdr:col>70</xdr:col>
      <xdr:colOff>329175</xdr:colOff>
      <xdr:row>73</xdr:row>
      <xdr:rowOff>299107</xdr:rowOff>
    </xdr:from>
    <xdr:ext cx="185175" cy="45719"/>
    <xdr:sp macro="" textlink="">
      <xdr:nvSpPr>
        <xdr:cNvPr id="205" name="TextBox 204">
          <a:extLst>
            <a:ext uri="{FF2B5EF4-FFF2-40B4-BE49-F238E27FC236}">
              <a16:creationId xmlns:a16="http://schemas.microsoft.com/office/drawing/2014/main" id="{00000000-0008-0000-0200-0000CD000000}"/>
            </a:ext>
          </a:extLst>
        </xdr:cNvPr>
        <xdr:cNvSpPr txBox="1"/>
      </xdr:nvSpPr>
      <xdr:spPr>
        <a:xfrm flipH="1">
          <a:off x="54735975" y="20815957"/>
          <a:ext cx="185175" cy="4571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endParaRPr lang="ru-RU" sz="1800"/>
        </a:p>
      </xdr:txBody>
    </xdr:sp>
    <xdr:clientData/>
  </xdr:oneCellAnchor>
  <xdr:oneCellAnchor>
    <xdr:from>
      <xdr:col>66</xdr:col>
      <xdr:colOff>352425</xdr:colOff>
      <xdr:row>73</xdr:row>
      <xdr:rowOff>228600</xdr:rowOff>
    </xdr:from>
    <xdr:ext cx="184731" cy="374141"/>
    <xdr:sp macro="" textlink="">
      <xdr:nvSpPr>
        <xdr:cNvPr id="206" name="TextBox 205">
          <a:extLst>
            <a:ext uri="{FF2B5EF4-FFF2-40B4-BE49-F238E27FC236}">
              <a16:creationId xmlns:a16="http://schemas.microsoft.com/office/drawing/2014/main" id="{00000000-0008-0000-0200-0000CE000000}"/>
            </a:ext>
          </a:extLst>
        </xdr:cNvPr>
        <xdr:cNvSpPr txBox="1"/>
      </xdr:nvSpPr>
      <xdr:spPr>
        <a:xfrm>
          <a:off x="51901725" y="20745450"/>
          <a:ext cx="184731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 sz="1800"/>
        </a:p>
      </xdr:txBody>
    </xdr:sp>
    <xdr:clientData/>
  </xdr:oneCellAnchor>
  <xdr:oneCellAnchor>
    <xdr:from>
      <xdr:col>68</xdr:col>
      <xdr:colOff>677845</xdr:colOff>
      <xdr:row>73</xdr:row>
      <xdr:rowOff>261007</xdr:rowOff>
    </xdr:from>
    <xdr:ext cx="46056" cy="215243"/>
    <xdr:sp macro="" textlink="">
      <xdr:nvSpPr>
        <xdr:cNvPr id="208" name="TextBox 5">
          <a:extLst>
            <a:ext uri="{FF2B5EF4-FFF2-40B4-BE49-F238E27FC236}">
              <a16:creationId xmlns:a16="http://schemas.microsoft.com/office/drawing/2014/main" id="{00000000-0008-0000-0200-0000D0000000}"/>
            </a:ext>
          </a:extLst>
        </xdr:cNvPr>
        <xdr:cNvSpPr txBox="1"/>
      </xdr:nvSpPr>
      <xdr:spPr>
        <a:xfrm>
          <a:off x="53636845" y="20777857"/>
          <a:ext cx="46056" cy="21524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endParaRPr lang="ru-RU" sz="1600"/>
        </a:p>
      </xdr:txBody>
    </xdr:sp>
    <xdr:clientData/>
  </xdr:oneCellAnchor>
  <xdr:twoCellAnchor>
    <xdr:from>
      <xdr:col>62</xdr:col>
      <xdr:colOff>91168</xdr:colOff>
      <xdr:row>69</xdr:row>
      <xdr:rowOff>241300</xdr:rowOff>
    </xdr:from>
    <xdr:to>
      <xdr:col>76</xdr:col>
      <xdr:colOff>609600</xdr:colOff>
      <xdr:row>113</xdr:row>
      <xdr:rowOff>0</xdr:rowOff>
    </xdr:to>
    <xdr:graphicFrame macro="">
      <xdr:nvGraphicFramePr>
        <xdr:cNvPr id="210" name="Chart 13">
          <a:extLst>
            <a:ext uri="{FF2B5EF4-FFF2-40B4-BE49-F238E27FC236}">
              <a16:creationId xmlns:a16="http://schemas.microsoft.com/office/drawing/2014/main" id="{00000000-0008-0000-0200-0000D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oneCellAnchor>
    <xdr:from>
      <xdr:col>63</xdr:col>
      <xdr:colOff>342900</xdr:colOff>
      <xdr:row>73</xdr:row>
      <xdr:rowOff>95688</xdr:rowOff>
    </xdr:from>
    <xdr:ext cx="9391650" cy="818712"/>
    <xdr:sp macro="" textlink="">
      <xdr:nvSpPr>
        <xdr:cNvPr id="211" name="TextBox 2">
          <a:extLst>
            <a:ext uri="{FF2B5EF4-FFF2-40B4-BE49-F238E27FC236}">
              <a16:creationId xmlns:a16="http://schemas.microsoft.com/office/drawing/2014/main" id="{00000000-0008-0000-0200-0000D3000000}"/>
            </a:ext>
          </a:extLst>
        </xdr:cNvPr>
        <xdr:cNvSpPr txBox="1"/>
      </xdr:nvSpPr>
      <xdr:spPr>
        <a:xfrm>
          <a:off x="49987200" y="20650638"/>
          <a:ext cx="9391650" cy="81871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noAutofit/>
        </a:bodyPr>
        <a:lstStyle/>
        <a:p>
          <a:pPr algn="ctr"/>
          <a:r>
            <a:rPr lang="ru-RU" sz="2400">
              <a:latin typeface="Arial" panose="020B0604020202020204" pitchFamily="34" charset="0"/>
              <a:cs typeface="Arial" panose="020B0604020202020204" pitchFamily="34" charset="0"/>
            </a:rPr>
            <a:t>КОЭФФИЦИЕНТ ПРОМЕЖУТОЧНОГО ПОТРЕБЛЕНИЯ</a:t>
          </a:r>
        </a:p>
      </xdr:txBody>
    </xdr:sp>
    <xdr:clientData/>
  </xdr:oneCellAnchor>
  <xdr:oneCellAnchor>
    <xdr:from>
      <xdr:col>66</xdr:col>
      <xdr:colOff>519320</xdr:colOff>
      <xdr:row>98</xdr:row>
      <xdr:rowOff>214288</xdr:rowOff>
    </xdr:from>
    <xdr:ext cx="355867" cy="446212"/>
    <xdr:sp macro="" textlink="">
      <xdr:nvSpPr>
        <xdr:cNvPr id="212" name="TextBox 5">
          <a:extLst>
            <a:ext uri="{FF2B5EF4-FFF2-40B4-BE49-F238E27FC236}">
              <a16:creationId xmlns:a16="http://schemas.microsoft.com/office/drawing/2014/main" id="{00000000-0008-0000-0200-0000D4000000}"/>
            </a:ext>
          </a:extLst>
        </xdr:cNvPr>
        <xdr:cNvSpPr txBox="1"/>
      </xdr:nvSpPr>
      <xdr:spPr>
        <a:xfrm>
          <a:off x="52582970" y="27322438"/>
          <a:ext cx="355867" cy="44621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r>
            <a:rPr lang="en-US" sz="2400">
              <a:latin typeface="Arial" panose="020B0604020202020204" pitchFamily="34" charset="0"/>
              <a:cs typeface="Arial" panose="020B0604020202020204" pitchFamily="34" charset="0"/>
            </a:rPr>
            <a:t>a</a:t>
          </a:r>
          <a:endParaRPr lang="ru-RU" sz="20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oneCellAnchor>
  <xdr:oneCellAnchor>
    <xdr:from>
      <xdr:col>66</xdr:col>
      <xdr:colOff>361950</xdr:colOff>
      <xdr:row>86</xdr:row>
      <xdr:rowOff>114300</xdr:rowOff>
    </xdr:from>
    <xdr:ext cx="578107" cy="446212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SpPr txBox="1"/>
      </xdr:nvSpPr>
      <xdr:spPr>
        <a:xfrm>
          <a:off x="52425600" y="24098250"/>
          <a:ext cx="578107" cy="44621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400">
              <a:latin typeface="Arial" panose="020B0604020202020204" pitchFamily="34" charset="0"/>
              <a:cs typeface="Arial" panose="020B0604020202020204" pitchFamily="34" charset="0"/>
            </a:rPr>
            <a:t>Ra</a:t>
          </a:r>
          <a:endParaRPr lang="ru-RU" sz="24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oneCellAnchor>
  <xdr:oneCellAnchor>
    <xdr:from>
      <xdr:col>66</xdr:col>
      <xdr:colOff>704850</xdr:colOff>
      <xdr:row>76</xdr:row>
      <xdr:rowOff>247650</xdr:rowOff>
    </xdr:from>
    <xdr:ext cx="4591050" cy="505267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SpPr txBox="1"/>
      </xdr:nvSpPr>
      <xdr:spPr>
        <a:xfrm>
          <a:off x="52768500" y="21640800"/>
          <a:ext cx="4591050" cy="50526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2800">
              <a:latin typeface="Arial" panose="020B0604020202020204" pitchFamily="34" charset="0"/>
              <a:cs typeface="Arial" panose="020B0604020202020204" pitchFamily="34" charset="0"/>
            </a:rPr>
            <a:t>a = aS*Ra = aS*(Dz/Dx)</a:t>
          </a:r>
          <a:endParaRPr lang="ru-RU" sz="28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oneCellAnchor>
  <xdr:twoCellAnchor>
    <xdr:from>
      <xdr:col>60</xdr:col>
      <xdr:colOff>12700</xdr:colOff>
      <xdr:row>117</xdr:row>
      <xdr:rowOff>38100</xdr:rowOff>
    </xdr:from>
    <xdr:to>
      <xdr:col>76</xdr:col>
      <xdr:colOff>533400</xdr:colOff>
      <xdr:row>159</xdr:row>
      <xdr:rowOff>247650</xdr:rowOff>
    </xdr:to>
    <xdr:graphicFrame macro="">
      <xdr:nvGraphicFramePr>
        <xdr:cNvPr id="202" name="Диаграмма 201">
          <a:extLst>
            <a:ext uri="{FF2B5EF4-FFF2-40B4-BE49-F238E27FC236}">
              <a16:creationId xmlns:a16="http://schemas.microsoft.com/office/drawing/2014/main" id="{00000000-0008-0000-0200-0000C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oneCellAnchor>
    <xdr:from>
      <xdr:col>63</xdr:col>
      <xdr:colOff>340179</xdr:colOff>
      <xdr:row>120</xdr:row>
      <xdr:rowOff>80056</xdr:rowOff>
    </xdr:from>
    <xdr:ext cx="7674428" cy="815294"/>
    <xdr:sp macro="" textlink="">
      <xdr:nvSpPr>
        <xdr:cNvPr id="203" name="TextBox 202">
          <a:extLst>
            <a:ext uri="{FF2B5EF4-FFF2-40B4-BE49-F238E27FC236}">
              <a16:creationId xmlns:a16="http://schemas.microsoft.com/office/drawing/2014/main" id="{00000000-0008-0000-0200-0000CB000000}"/>
            </a:ext>
          </a:extLst>
        </xdr:cNvPr>
        <xdr:cNvSpPr txBox="1"/>
      </xdr:nvSpPr>
      <xdr:spPr>
        <a:xfrm>
          <a:off x="49984479" y="33188956"/>
          <a:ext cx="7674428" cy="81529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algn="ctr"/>
          <a:r>
            <a:rPr lang="ru-RU" sz="2400">
              <a:latin typeface="Arial" panose="020B0604020202020204" pitchFamily="34" charset="0"/>
              <a:cs typeface="Arial" panose="020B0604020202020204" pitchFamily="34" charset="0"/>
            </a:rPr>
            <a:t>ПАРИТЕТ  ПОКУПАТЕЛЬНОЙ  СПОСОБНОСТИ</a:t>
          </a:r>
        </a:p>
        <a:p>
          <a:pPr algn="ctr"/>
          <a:r>
            <a:rPr lang="ru-RU" sz="2400">
              <a:latin typeface="Arial" panose="020B0604020202020204" pitchFamily="34" charset="0"/>
              <a:cs typeface="Arial" panose="020B0604020202020204" pitchFamily="34" charset="0"/>
            </a:rPr>
            <a:t>  И  С.Г.</a:t>
          </a:r>
          <a:r>
            <a:rPr lang="ru-RU" sz="2400" baseline="0">
              <a:latin typeface="Arial" panose="020B0604020202020204" pitchFamily="34" charset="0"/>
              <a:cs typeface="Arial" panose="020B0604020202020204" pitchFamily="34" charset="0"/>
            </a:rPr>
            <a:t> </a:t>
          </a:r>
          <a:r>
            <a:rPr lang="ru-RU" sz="2400">
              <a:latin typeface="Arial" panose="020B0604020202020204" pitchFamily="34" charset="0"/>
              <a:cs typeface="Arial" panose="020B0604020202020204" pitchFamily="34" charset="0"/>
            </a:rPr>
            <a:t>ВАЛЮТНЫЙ</a:t>
          </a:r>
          <a:r>
            <a:rPr lang="ru-RU" sz="2400" baseline="0">
              <a:latin typeface="Arial" panose="020B0604020202020204" pitchFamily="34" charset="0"/>
              <a:cs typeface="Arial" panose="020B0604020202020204" pitchFamily="34" charset="0"/>
            </a:rPr>
            <a:t> КУРС РУБЛЯ </a:t>
          </a:r>
          <a:r>
            <a:rPr lang="ru-RU" sz="2400">
              <a:latin typeface="Arial" panose="020B0604020202020204" pitchFamily="34" charset="0"/>
              <a:cs typeface="Arial" panose="020B0604020202020204" pitchFamily="34" charset="0"/>
            </a:rPr>
            <a:t>(руб</a:t>
          </a:r>
          <a:r>
            <a:rPr lang="ru-RU" sz="2400" baseline="0">
              <a:latin typeface="Arial" panose="020B0604020202020204" pitchFamily="34" charset="0"/>
              <a:cs typeface="Arial" panose="020B0604020202020204" pitchFamily="34" charset="0"/>
            </a:rPr>
            <a:t>/</a:t>
          </a:r>
          <a:r>
            <a:rPr lang="en-US" sz="2400" baseline="0">
              <a:latin typeface="Arial" panose="020B0604020202020204" pitchFamily="34" charset="0"/>
              <a:cs typeface="Arial" panose="020B0604020202020204" pitchFamily="34" charset="0"/>
            </a:rPr>
            <a:t>$</a:t>
          </a:r>
          <a:r>
            <a:rPr lang="ru-RU" sz="2400">
              <a:latin typeface="Arial" panose="020B0604020202020204" pitchFamily="34" charset="0"/>
              <a:cs typeface="Arial" panose="020B0604020202020204" pitchFamily="34" charset="0"/>
            </a:rPr>
            <a:t>)</a:t>
          </a:r>
        </a:p>
      </xdr:txBody>
    </xdr:sp>
    <xdr:clientData/>
  </xdr:oneCellAnchor>
  <xdr:oneCellAnchor>
    <xdr:from>
      <xdr:col>65</xdr:col>
      <xdr:colOff>83685</xdr:colOff>
      <xdr:row>140</xdr:row>
      <xdr:rowOff>218282</xdr:rowOff>
    </xdr:from>
    <xdr:ext cx="969304" cy="446212"/>
    <xdr:sp macro="" textlink="">
      <xdr:nvSpPr>
        <xdr:cNvPr id="204" name="TextBox 203">
          <a:extLst>
            <a:ext uri="{FF2B5EF4-FFF2-40B4-BE49-F238E27FC236}">
              <a16:creationId xmlns:a16="http://schemas.microsoft.com/office/drawing/2014/main" id="{00000000-0008-0000-0200-0000CC000000}"/>
            </a:ext>
          </a:extLst>
        </xdr:cNvPr>
        <xdr:cNvSpPr txBox="1"/>
      </xdr:nvSpPr>
      <xdr:spPr>
        <a:xfrm>
          <a:off x="51347235" y="38908832"/>
          <a:ext cx="969304" cy="44621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ru-RU" sz="2400">
              <a:latin typeface="Arial" panose="020B0604020202020204" pitchFamily="34" charset="0"/>
              <a:cs typeface="Arial" panose="020B0604020202020204" pitchFamily="34" charset="0"/>
            </a:rPr>
            <a:t>отчёт</a:t>
          </a:r>
        </a:p>
      </xdr:txBody>
    </xdr:sp>
    <xdr:clientData/>
  </xdr:oneCellAnchor>
  <xdr:oneCellAnchor>
    <xdr:from>
      <xdr:col>70</xdr:col>
      <xdr:colOff>16103</xdr:colOff>
      <xdr:row>140</xdr:row>
      <xdr:rowOff>210344</xdr:rowOff>
    </xdr:from>
    <xdr:ext cx="1288301" cy="446212"/>
    <xdr:sp macro="" textlink="">
      <xdr:nvSpPr>
        <xdr:cNvPr id="207" name="TextBox 206">
          <a:extLst>
            <a:ext uri="{FF2B5EF4-FFF2-40B4-BE49-F238E27FC236}">
              <a16:creationId xmlns:a16="http://schemas.microsoft.com/office/drawing/2014/main" id="{00000000-0008-0000-0200-0000CF000000}"/>
            </a:ext>
          </a:extLst>
        </xdr:cNvPr>
        <xdr:cNvSpPr txBox="1"/>
      </xdr:nvSpPr>
      <xdr:spPr>
        <a:xfrm>
          <a:off x="54937253" y="38900894"/>
          <a:ext cx="1288301" cy="44621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ru-RU" sz="2400">
              <a:latin typeface="Arial" panose="020B0604020202020204" pitchFamily="34" charset="0"/>
              <a:cs typeface="Arial" panose="020B0604020202020204" pitchFamily="34" charset="0"/>
            </a:rPr>
            <a:t>прогноз</a:t>
          </a:r>
        </a:p>
      </xdr:txBody>
    </xdr:sp>
    <xdr:clientData/>
  </xdr:oneCellAnchor>
  <xdr:oneCellAnchor>
    <xdr:from>
      <xdr:col>67</xdr:col>
      <xdr:colOff>356507</xdr:colOff>
      <xdr:row>136</xdr:row>
      <xdr:rowOff>76201</xdr:rowOff>
    </xdr:from>
    <xdr:ext cx="563872" cy="571500"/>
    <xdr:sp macro="" textlink="">
      <xdr:nvSpPr>
        <xdr:cNvPr id="213" name="TextBox 212">
          <a:extLst>
            <a:ext uri="{FF2B5EF4-FFF2-40B4-BE49-F238E27FC236}">
              <a16:creationId xmlns:a16="http://schemas.microsoft.com/office/drawing/2014/main" id="{00000000-0008-0000-0200-0000D5000000}"/>
            </a:ext>
          </a:extLst>
        </xdr:cNvPr>
        <xdr:cNvSpPr txBox="1"/>
      </xdr:nvSpPr>
      <xdr:spPr>
        <a:xfrm>
          <a:off x="53163107" y="37547551"/>
          <a:ext cx="563872" cy="5715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noAutofit/>
        </a:bodyPr>
        <a:lstStyle/>
        <a:p>
          <a:r>
            <a:rPr lang="en-US" sz="2800">
              <a:latin typeface="Arial" pitchFamily="34" charset="0"/>
              <a:cs typeface="Arial" pitchFamily="34" charset="0"/>
            </a:rPr>
            <a:t>k$</a:t>
          </a:r>
          <a:endParaRPr lang="ru-RU" sz="2800">
            <a:latin typeface="Arial" pitchFamily="34" charset="0"/>
            <a:cs typeface="Arial" pitchFamily="34" charset="0"/>
          </a:endParaRPr>
        </a:p>
      </xdr:txBody>
    </xdr:sp>
    <xdr:clientData/>
  </xdr:oneCellAnchor>
  <xdr:oneCellAnchor>
    <xdr:from>
      <xdr:col>67</xdr:col>
      <xdr:colOff>53297</xdr:colOff>
      <xdr:row>151</xdr:row>
      <xdr:rowOff>81414</xdr:rowOff>
    </xdr:from>
    <xdr:ext cx="1089703" cy="528185"/>
    <xdr:sp macro="" textlink="">
      <xdr:nvSpPr>
        <xdr:cNvPr id="214" name="TextBox 213">
          <a:extLst>
            <a:ext uri="{FF2B5EF4-FFF2-40B4-BE49-F238E27FC236}">
              <a16:creationId xmlns:a16="http://schemas.microsoft.com/office/drawing/2014/main" id="{00000000-0008-0000-0200-0000D6000000}"/>
            </a:ext>
          </a:extLst>
        </xdr:cNvPr>
        <xdr:cNvSpPr txBox="1"/>
      </xdr:nvSpPr>
      <xdr:spPr>
        <a:xfrm>
          <a:off x="52859897" y="42124764"/>
          <a:ext cx="1089703" cy="52818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/>
          <a:r>
            <a:rPr lang="en-US" sz="2800">
              <a:solidFill>
                <a:schemeClr val="tx1"/>
              </a:solidFill>
              <a:latin typeface="Arial" pitchFamily="34" charset="0"/>
              <a:ea typeface="+mn-ea"/>
              <a:cs typeface="Arial" pitchFamily="34" charset="0"/>
            </a:rPr>
            <a:t>PPS</a:t>
          </a:r>
          <a:endParaRPr lang="ru-RU" sz="2800">
            <a:solidFill>
              <a:schemeClr val="tx1"/>
            </a:solidFill>
            <a:latin typeface="Arial" pitchFamily="34" charset="0"/>
            <a:ea typeface="+mn-ea"/>
            <a:cs typeface="Arial" pitchFamily="34" charset="0"/>
          </a:endParaRPr>
        </a:p>
      </xdr:txBody>
    </xdr:sp>
    <xdr:clientData/>
  </xdr:oneCellAnchor>
  <xdr:twoCellAnchor>
    <xdr:from>
      <xdr:col>60</xdr:col>
      <xdr:colOff>68034</xdr:colOff>
      <xdr:row>162</xdr:row>
      <xdr:rowOff>0</xdr:rowOff>
    </xdr:from>
    <xdr:to>
      <xdr:col>73</xdr:col>
      <xdr:colOff>619125</xdr:colOff>
      <xdr:row>200</xdr:row>
      <xdr:rowOff>15874</xdr:rowOff>
    </xdr:to>
    <xdr:graphicFrame macro="">
      <xdr:nvGraphicFramePr>
        <xdr:cNvPr id="223" name="Диаграмма 222">
          <a:extLst>
            <a:ext uri="{FF2B5EF4-FFF2-40B4-BE49-F238E27FC236}">
              <a16:creationId xmlns:a16="http://schemas.microsoft.com/office/drawing/2014/main" id="{00000000-0008-0000-0200-0000D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60</xdr:col>
      <xdr:colOff>68034</xdr:colOff>
      <xdr:row>162</xdr:row>
      <xdr:rowOff>0</xdr:rowOff>
    </xdr:from>
    <xdr:to>
      <xdr:col>73</xdr:col>
      <xdr:colOff>619125</xdr:colOff>
      <xdr:row>200</xdr:row>
      <xdr:rowOff>15874</xdr:rowOff>
    </xdr:to>
    <xdr:graphicFrame macro="">
      <xdr:nvGraphicFramePr>
        <xdr:cNvPr id="232" name="Диаграмма 231">
          <a:extLst>
            <a:ext uri="{FF2B5EF4-FFF2-40B4-BE49-F238E27FC236}">
              <a16:creationId xmlns:a16="http://schemas.microsoft.com/office/drawing/2014/main" id="{00000000-0008-0000-0200-0000E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60</xdr:col>
      <xdr:colOff>68034</xdr:colOff>
      <xdr:row>162</xdr:row>
      <xdr:rowOff>0</xdr:rowOff>
    </xdr:from>
    <xdr:to>
      <xdr:col>73</xdr:col>
      <xdr:colOff>619125</xdr:colOff>
      <xdr:row>200</xdr:row>
      <xdr:rowOff>15874</xdr:rowOff>
    </xdr:to>
    <xdr:graphicFrame macro="">
      <xdr:nvGraphicFramePr>
        <xdr:cNvPr id="239" name="Диаграмма 238">
          <a:extLst>
            <a:ext uri="{FF2B5EF4-FFF2-40B4-BE49-F238E27FC236}">
              <a16:creationId xmlns:a16="http://schemas.microsoft.com/office/drawing/2014/main" id="{00000000-0008-0000-0200-0000E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60</xdr:col>
      <xdr:colOff>68034</xdr:colOff>
      <xdr:row>162</xdr:row>
      <xdr:rowOff>0</xdr:rowOff>
    </xdr:from>
    <xdr:to>
      <xdr:col>75</xdr:col>
      <xdr:colOff>533400</xdr:colOff>
      <xdr:row>204</xdr:row>
      <xdr:rowOff>206375</xdr:rowOff>
    </xdr:to>
    <xdr:graphicFrame macro="">
      <xdr:nvGraphicFramePr>
        <xdr:cNvPr id="240" name="Диаграмма 239">
          <a:extLst>
            <a:ext uri="{FF2B5EF4-FFF2-40B4-BE49-F238E27FC236}">
              <a16:creationId xmlns:a16="http://schemas.microsoft.com/office/drawing/2014/main" id="{00000000-0008-0000-0200-0000F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93</xdr:col>
      <xdr:colOff>79374</xdr:colOff>
      <xdr:row>51</xdr:row>
      <xdr:rowOff>15874</xdr:rowOff>
    </xdr:from>
    <xdr:to>
      <xdr:col>107</xdr:col>
      <xdr:colOff>31749</xdr:colOff>
      <xdr:row>90</xdr:row>
      <xdr:rowOff>15875</xdr:rowOff>
    </xdr:to>
    <xdr:graphicFrame macro="">
      <xdr:nvGraphicFramePr>
        <xdr:cNvPr id="254" name="Диаграмма 1">
          <a:extLst>
            <a:ext uri="{FF2B5EF4-FFF2-40B4-BE49-F238E27FC236}">
              <a16:creationId xmlns:a16="http://schemas.microsoft.com/office/drawing/2014/main" id="{00000000-0008-0000-0200-0000F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oneCellAnchor>
    <xdr:from>
      <xdr:col>93</xdr:col>
      <xdr:colOff>682624</xdr:colOff>
      <xdr:row>52</xdr:row>
      <xdr:rowOff>257175</xdr:rowOff>
    </xdr:from>
    <xdr:ext cx="4826001" cy="440532"/>
    <xdr:sp macro="" textlink="">
      <xdr:nvSpPr>
        <xdr:cNvPr id="255" name="TextBox 254">
          <a:extLst>
            <a:ext uri="{FF2B5EF4-FFF2-40B4-BE49-F238E27FC236}">
              <a16:creationId xmlns:a16="http://schemas.microsoft.com/office/drawing/2014/main" id="{00000000-0008-0000-0200-0000FF000000}"/>
            </a:ext>
          </a:extLst>
        </xdr:cNvPr>
        <xdr:cNvSpPr txBox="1"/>
      </xdr:nvSpPr>
      <xdr:spPr>
        <a:xfrm>
          <a:off x="72993249" y="13608050"/>
          <a:ext cx="4826001" cy="4405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ru-RU" sz="1800">
              <a:latin typeface="Arial" pitchFamily="34" charset="0"/>
              <a:cs typeface="Arial" pitchFamily="34" charset="0"/>
            </a:rPr>
            <a:t>производительность</a:t>
          </a:r>
          <a:r>
            <a:rPr lang="en-US" sz="1800">
              <a:latin typeface="Arial" pitchFamily="34" charset="0"/>
              <a:cs typeface="Arial" pitchFamily="34" charset="0"/>
            </a:rPr>
            <a:t>   </a:t>
          </a:r>
          <a:r>
            <a:rPr lang="ru-RU" sz="1800">
              <a:latin typeface="Arial" pitchFamily="34" charset="0"/>
              <a:cs typeface="Arial" pitchFamily="34" charset="0"/>
            </a:rPr>
            <a:t>труда</a:t>
          </a:r>
          <a:r>
            <a:rPr lang="en-US" sz="1800">
              <a:latin typeface="Arial" pitchFamily="34" charset="0"/>
              <a:cs typeface="Arial" pitchFamily="34" charset="0"/>
            </a:rPr>
            <a:t>    </a:t>
          </a:r>
          <a:r>
            <a:rPr lang="en-US" sz="1800" b="1">
              <a:latin typeface="Arial" pitchFamily="34" charset="0"/>
              <a:cs typeface="Arial" pitchFamily="34" charset="0"/>
            </a:rPr>
            <a:t>^WWPS / L</a:t>
          </a:r>
          <a:endParaRPr lang="ru-RU" sz="1800" b="1">
            <a:latin typeface="Arial" pitchFamily="34" charset="0"/>
            <a:cs typeface="Arial" pitchFamily="34" charset="0"/>
          </a:endParaRPr>
        </a:p>
      </xdr:txBody>
    </xdr:sp>
    <xdr:clientData/>
  </xdr:oneCellAnchor>
  <xdr:oneCellAnchor>
    <xdr:from>
      <xdr:col>102</xdr:col>
      <xdr:colOff>388975</xdr:colOff>
      <xdr:row>62</xdr:row>
      <xdr:rowOff>288851</xdr:rowOff>
    </xdr:from>
    <xdr:ext cx="584006" cy="298800"/>
    <xdr:sp macro="" textlink="">
      <xdr:nvSpPr>
        <xdr:cNvPr id="267" name="TextBox 266">
          <a:extLst>
            <a:ext uri="{FF2B5EF4-FFF2-40B4-BE49-F238E27FC236}">
              <a16:creationId xmlns:a16="http://schemas.microsoft.com/office/drawing/2014/main" id="{00000000-0008-0000-0200-00000B010000}"/>
            </a:ext>
          </a:extLst>
        </xdr:cNvPr>
        <xdr:cNvSpPr txBox="1"/>
      </xdr:nvSpPr>
      <xdr:spPr>
        <a:xfrm>
          <a:off x="79335350" y="16655976"/>
          <a:ext cx="584006" cy="2988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1400">
              <a:latin typeface="Arial" panose="020B0604020202020204" pitchFamily="34" charset="0"/>
              <a:cs typeface="Arial" panose="020B0604020202020204" pitchFamily="34" charset="0"/>
            </a:rPr>
            <a:t>2016</a:t>
          </a:r>
        </a:p>
      </xdr:txBody>
    </xdr:sp>
    <xdr:clientData/>
  </xdr:oneCellAnchor>
  <xdr:oneCellAnchor>
    <xdr:from>
      <xdr:col>96</xdr:col>
      <xdr:colOff>146317</xdr:colOff>
      <xdr:row>65</xdr:row>
      <xdr:rowOff>121708</xdr:rowOff>
    </xdr:from>
    <xdr:ext cx="584006" cy="298800"/>
    <xdr:sp macro="" textlink="">
      <xdr:nvSpPr>
        <xdr:cNvPr id="277" name="TextBox 276">
          <a:extLst>
            <a:ext uri="{FF2B5EF4-FFF2-40B4-BE49-F238E27FC236}">
              <a16:creationId xmlns:a16="http://schemas.microsoft.com/office/drawing/2014/main" id="{00000000-0008-0000-0200-000015010000}"/>
            </a:ext>
          </a:extLst>
        </xdr:cNvPr>
        <xdr:cNvSpPr txBox="1"/>
      </xdr:nvSpPr>
      <xdr:spPr>
        <a:xfrm>
          <a:off x="74600067" y="17393708"/>
          <a:ext cx="584006" cy="2988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1400">
              <a:latin typeface="Arial" panose="020B0604020202020204" pitchFamily="34" charset="0"/>
              <a:cs typeface="Arial" panose="020B0604020202020204" pitchFamily="34" charset="0"/>
            </a:rPr>
            <a:t>200</a:t>
          </a:r>
          <a:r>
            <a:rPr lang="en-US" sz="1400">
              <a:latin typeface="Arial" panose="020B0604020202020204" pitchFamily="34" charset="0"/>
              <a:cs typeface="Arial" panose="020B0604020202020204" pitchFamily="34" charset="0"/>
            </a:rPr>
            <a:t>7</a:t>
          </a:r>
          <a:endParaRPr lang="ru-RU" sz="14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oneCellAnchor>
  <xdr:oneCellAnchor>
    <xdr:from>
      <xdr:col>96</xdr:col>
      <xdr:colOff>126205</xdr:colOff>
      <xdr:row>62</xdr:row>
      <xdr:rowOff>3704</xdr:rowOff>
    </xdr:from>
    <xdr:ext cx="584006" cy="298800"/>
    <xdr:sp macro="" textlink="">
      <xdr:nvSpPr>
        <xdr:cNvPr id="279" name="TextBox 278">
          <a:extLst>
            <a:ext uri="{FF2B5EF4-FFF2-40B4-BE49-F238E27FC236}">
              <a16:creationId xmlns:a16="http://schemas.microsoft.com/office/drawing/2014/main" id="{00000000-0008-0000-0200-000017010000}"/>
            </a:ext>
          </a:extLst>
        </xdr:cNvPr>
        <xdr:cNvSpPr txBox="1"/>
      </xdr:nvSpPr>
      <xdr:spPr>
        <a:xfrm>
          <a:off x="74579955" y="16370829"/>
          <a:ext cx="584006" cy="2988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1400">
              <a:latin typeface="Arial" panose="020B0604020202020204" pitchFamily="34" charset="0"/>
              <a:cs typeface="Arial" panose="020B0604020202020204" pitchFamily="34" charset="0"/>
            </a:rPr>
            <a:t>2008</a:t>
          </a:r>
        </a:p>
      </xdr:txBody>
    </xdr:sp>
    <xdr:clientData/>
  </xdr:oneCellAnchor>
  <xdr:oneCellAnchor>
    <xdr:from>
      <xdr:col>96</xdr:col>
      <xdr:colOff>396874</xdr:colOff>
      <xdr:row>59</xdr:row>
      <xdr:rowOff>50271</xdr:rowOff>
    </xdr:from>
    <xdr:ext cx="934808" cy="298800"/>
    <xdr:sp macro="" textlink="">
      <xdr:nvSpPr>
        <xdr:cNvPr id="280" name="TextBox 279">
          <a:extLst>
            <a:ext uri="{FF2B5EF4-FFF2-40B4-BE49-F238E27FC236}">
              <a16:creationId xmlns:a16="http://schemas.microsoft.com/office/drawing/2014/main" id="{00000000-0008-0000-0200-000018010000}"/>
            </a:ext>
          </a:extLst>
        </xdr:cNvPr>
        <xdr:cNvSpPr txBox="1"/>
      </xdr:nvSpPr>
      <xdr:spPr>
        <a:xfrm>
          <a:off x="74850624" y="15512521"/>
          <a:ext cx="934808" cy="2988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ru-RU" sz="1400">
              <a:latin typeface="Arial" panose="020B0604020202020204" pitchFamily="34" charset="0"/>
              <a:cs typeface="Arial" panose="020B0604020202020204" pitchFamily="34" charset="0"/>
            </a:rPr>
            <a:t>ТРЕНД</a:t>
          </a:r>
          <a:r>
            <a:rPr lang="ru-RU" sz="1400" baseline="0">
              <a:latin typeface="Arial" panose="020B0604020202020204" pitchFamily="34" charset="0"/>
              <a:cs typeface="Arial" panose="020B0604020202020204" pitchFamily="34" charset="0"/>
            </a:rPr>
            <a:t> 1</a:t>
          </a:r>
          <a:endParaRPr lang="ru-RU" sz="14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oneCellAnchor>
  <xdr:oneCellAnchor>
    <xdr:from>
      <xdr:col>104</xdr:col>
      <xdr:colOff>650875</xdr:colOff>
      <xdr:row>60</xdr:row>
      <xdr:rowOff>142875</xdr:rowOff>
    </xdr:from>
    <xdr:ext cx="584006" cy="298800"/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SpPr txBox="1"/>
      </xdr:nvSpPr>
      <xdr:spPr>
        <a:xfrm>
          <a:off x="80946625" y="15906750"/>
          <a:ext cx="584006" cy="2988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400">
              <a:latin typeface="Arial" panose="020B0604020202020204" pitchFamily="34" charset="0"/>
              <a:cs typeface="Arial" panose="020B0604020202020204" pitchFamily="34" charset="0"/>
            </a:rPr>
            <a:t>2018</a:t>
          </a:r>
          <a:endParaRPr lang="ru-RU" sz="14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oneCellAnchor>
  <xdr:oneCellAnchor>
    <xdr:from>
      <xdr:col>114</xdr:col>
      <xdr:colOff>207283</xdr:colOff>
      <xdr:row>107</xdr:row>
      <xdr:rowOff>2269</xdr:rowOff>
    </xdr:from>
    <xdr:ext cx="2576994" cy="383734"/>
    <xdr:sp macro="" textlink="">
      <xdr:nvSpPr>
        <xdr:cNvPr id="307" name="TextBox 306">
          <a:extLst>
            <a:ext uri="{FF2B5EF4-FFF2-40B4-BE49-F238E27FC236}">
              <a16:creationId xmlns:a16="http://schemas.microsoft.com/office/drawing/2014/main" id="{00000000-0008-0000-0200-000033010000}"/>
            </a:ext>
          </a:extLst>
        </xdr:cNvPr>
        <xdr:cNvSpPr txBox="1"/>
      </xdr:nvSpPr>
      <xdr:spPr>
        <a:xfrm>
          <a:off x="91685383" y="6041119"/>
          <a:ext cx="2576994" cy="383734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algn="ctr"/>
          <a:r>
            <a:rPr lang="ru-RU" sz="1800"/>
            <a:t>линия</a:t>
          </a:r>
          <a:r>
            <a:rPr lang="ru-RU" sz="1800" baseline="0"/>
            <a:t> тренда</a:t>
          </a:r>
          <a:endParaRPr lang="ru-RU" sz="1800"/>
        </a:p>
      </xdr:txBody>
    </xdr:sp>
    <xdr:clientData/>
  </xdr:oneCellAnchor>
  <xdr:oneCellAnchor>
    <xdr:from>
      <xdr:col>112</xdr:col>
      <xdr:colOff>376918</xdr:colOff>
      <xdr:row>111</xdr:row>
      <xdr:rowOff>31297</xdr:rowOff>
    </xdr:from>
    <xdr:ext cx="194454" cy="410593"/>
    <xdr:sp macro="" textlink="">
      <xdr:nvSpPr>
        <xdr:cNvPr id="308" name="TextBox 307">
          <a:extLst>
            <a:ext uri="{FF2B5EF4-FFF2-40B4-BE49-F238E27FC236}">
              <a16:creationId xmlns:a16="http://schemas.microsoft.com/office/drawing/2014/main" id="{00000000-0008-0000-0200-000034010000}"/>
            </a:ext>
          </a:extLst>
        </xdr:cNvPr>
        <xdr:cNvSpPr txBox="1"/>
      </xdr:nvSpPr>
      <xdr:spPr>
        <a:xfrm>
          <a:off x="90540568" y="7136947"/>
          <a:ext cx="194454" cy="4105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108</xdr:col>
      <xdr:colOff>385083</xdr:colOff>
      <xdr:row>105</xdr:row>
      <xdr:rowOff>27669</xdr:rowOff>
    </xdr:from>
    <xdr:ext cx="2576994" cy="383734"/>
    <xdr:sp macro="" textlink="">
      <xdr:nvSpPr>
        <xdr:cNvPr id="309" name="TextBox 308">
          <a:extLst>
            <a:ext uri="{FF2B5EF4-FFF2-40B4-BE49-F238E27FC236}">
              <a16:creationId xmlns:a16="http://schemas.microsoft.com/office/drawing/2014/main" id="{00000000-0008-0000-0200-000035010000}"/>
            </a:ext>
          </a:extLst>
        </xdr:cNvPr>
        <xdr:cNvSpPr txBox="1"/>
      </xdr:nvSpPr>
      <xdr:spPr>
        <a:xfrm>
          <a:off x="87919833" y="5533119"/>
          <a:ext cx="2576994" cy="383734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algn="ctr"/>
          <a:endParaRPr lang="ru-RU" sz="1800"/>
        </a:p>
      </xdr:txBody>
    </xdr:sp>
    <xdr:clientData/>
  </xdr:oneCellAnchor>
  <xdr:oneCellAnchor>
    <xdr:from>
      <xdr:col>114</xdr:col>
      <xdr:colOff>413314</xdr:colOff>
      <xdr:row>112</xdr:row>
      <xdr:rowOff>2040</xdr:rowOff>
    </xdr:from>
    <xdr:ext cx="184731" cy="409122"/>
    <xdr:sp macro="" textlink="">
      <xdr:nvSpPr>
        <xdr:cNvPr id="310" name="TextBox 309">
          <a:extLst>
            <a:ext uri="{FF2B5EF4-FFF2-40B4-BE49-F238E27FC236}">
              <a16:creationId xmlns:a16="http://schemas.microsoft.com/office/drawing/2014/main" id="{00000000-0008-0000-0200-000036010000}"/>
            </a:ext>
          </a:extLst>
        </xdr:cNvPr>
        <xdr:cNvSpPr txBox="1"/>
      </xdr:nvSpPr>
      <xdr:spPr>
        <a:xfrm>
          <a:off x="91891414" y="7374390"/>
          <a:ext cx="184731" cy="40912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 sz="1600"/>
        </a:p>
      </xdr:txBody>
    </xdr:sp>
    <xdr:clientData/>
  </xdr:oneCellAnchor>
  <xdr:oneCellAnchor>
    <xdr:from>
      <xdr:col>115</xdr:col>
      <xdr:colOff>30616</xdr:colOff>
      <xdr:row>104</xdr:row>
      <xdr:rowOff>30956</xdr:rowOff>
    </xdr:from>
    <xdr:ext cx="184731" cy="421039"/>
    <xdr:sp macro="" textlink="">
      <xdr:nvSpPr>
        <xdr:cNvPr id="311" name="TextBox 310">
          <a:extLst>
            <a:ext uri="{FF2B5EF4-FFF2-40B4-BE49-F238E27FC236}">
              <a16:creationId xmlns:a16="http://schemas.microsoft.com/office/drawing/2014/main" id="{00000000-0008-0000-0200-000037010000}"/>
            </a:ext>
          </a:extLst>
        </xdr:cNvPr>
        <xdr:cNvSpPr txBox="1"/>
      </xdr:nvSpPr>
      <xdr:spPr>
        <a:xfrm>
          <a:off x="92308816" y="5269706"/>
          <a:ext cx="184731" cy="42103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 sz="1600"/>
        </a:p>
      </xdr:txBody>
    </xdr:sp>
    <xdr:clientData/>
  </xdr:oneCellAnchor>
  <xdr:oneCellAnchor>
    <xdr:from>
      <xdr:col>114</xdr:col>
      <xdr:colOff>265000</xdr:colOff>
      <xdr:row>106</xdr:row>
      <xdr:rowOff>221118</xdr:rowOff>
    </xdr:from>
    <xdr:ext cx="194454" cy="405960"/>
    <xdr:sp macro="" textlink="">
      <xdr:nvSpPr>
        <xdr:cNvPr id="312" name="TextBox 311">
          <a:extLst>
            <a:ext uri="{FF2B5EF4-FFF2-40B4-BE49-F238E27FC236}">
              <a16:creationId xmlns:a16="http://schemas.microsoft.com/office/drawing/2014/main" id="{00000000-0008-0000-0200-000038010000}"/>
            </a:ext>
          </a:extLst>
        </xdr:cNvPr>
        <xdr:cNvSpPr txBox="1"/>
      </xdr:nvSpPr>
      <xdr:spPr>
        <a:xfrm>
          <a:off x="91743100" y="5993268"/>
          <a:ext cx="194454" cy="4059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 sz="1600"/>
        </a:p>
      </xdr:txBody>
    </xdr:sp>
    <xdr:clientData/>
  </xdr:oneCellAnchor>
  <xdr:twoCellAnchor>
    <xdr:from>
      <xdr:col>106</xdr:col>
      <xdr:colOff>57150</xdr:colOff>
      <xdr:row>91</xdr:row>
      <xdr:rowOff>200025</xdr:rowOff>
    </xdr:from>
    <xdr:to>
      <xdr:col>120</xdr:col>
      <xdr:colOff>0</xdr:colOff>
      <xdr:row>129</xdr:row>
      <xdr:rowOff>209550</xdr:rowOff>
    </xdr:to>
    <xdr:graphicFrame macro="">
      <xdr:nvGraphicFramePr>
        <xdr:cNvPr id="322" name="Диаграмма 172">
          <a:extLst>
            <a:ext uri="{FF2B5EF4-FFF2-40B4-BE49-F238E27FC236}">
              <a16:creationId xmlns:a16="http://schemas.microsoft.com/office/drawing/2014/main" id="{00000000-0008-0000-0200-00004201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oneCellAnchor>
    <xdr:from>
      <xdr:col>107</xdr:col>
      <xdr:colOff>184604</xdr:colOff>
      <xdr:row>93</xdr:row>
      <xdr:rowOff>47171</xdr:rowOff>
    </xdr:from>
    <xdr:ext cx="876753" cy="446212"/>
    <xdr:sp macro="" textlink="">
      <xdr:nvSpPr>
        <xdr:cNvPr id="323" name="TextBox 322">
          <a:extLst>
            <a:ext uri="{FF2B5EF4-FFF2-40B4-BE49-F238E27FC236}">
              <a16:creationId xmlns:a16="http://schemas.microsoft.com/office/drawing/2014/main" id="{00000000-0008-0000-0200-000043010000}"/>
            </a:ext>
          </a:extLst>
        </xdr:cNvPr>
        <xdr:cNvSpPr txBox="1"/>
      </xdr:nvSpPr>
      <xdr:spPr>
        <a:xfrm>
          <a:off x="87090704" y="2314121"/>
          <a:ext cx="876753" cy="44621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r>
            <a:rPr lang="en-US" sz="2400">
              <a:latin typeface="Arial" pitchFamily="34" charset="0"/>
              <a:cs typeface="Arial" pitchFamily="34" charset="0"/>
            </a:rPr>
            <a:t>  LZ</a:t>
          </a:r>
          <a:endParaRPr lang="ru-RU" sz="2400">
            <a:latin typeface="Arial" pitchFamily="34" charset="0"/>
            <a:cs typeface="Arial" pitchFamily="34" charset="0"/>
          </a:endParaRPr>
        </a:p>
      </xdr:txBody>
    </xdr:sp>
    <xdr:clientData/>
  </xdr:oneCellAnchor>
  <xdr:oneCellAnchor>
    <xdr:from>
      <xdr:col>117</xdr:col>
      <xdr:colOff>205922</xdr:colOff>
      <xdr:row>125</xdr:row>
      <xdr:rowOff>151042</xdr:rowOff>
    </xdr:from>
    <xdr:ext cx="1454150" cy="390524"/>
    <xdr:sp macro="" textlink="">
      <xdr:nvSpPr>
        <xdr:cNvPr id="324" name="TextBox 323">
          <a:extLst>
            <a:ext uri="{FF2B5EF4-FFF2-40B4-BE49-F238E27FC236}">
              <a16:creationId xmlns:a16="http://schemas.microsoft.com/office/drawing/2014/main" id="{00000000-0008-0000-0200-000044010000}"/>
            </a:ext>
          </a:extLst>
        </xdr:cNvPr>
        <xdr:cNvSpPr txBox="1"/>
      </xdr:nvSpPr>
      <xdr:spPr>
        <a:xfrm>
          <a:off x="93912872" y="10990492"/>
          <a:ext cx="1454150" cy="39052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noAutofit/>
        </a:bodyPr>
        <a:lstStyle/>
        <a:p>
          <a:r>
            <a:rPr lang="en-US" sz="2400">
              <a:latin typeface="Arial" pitchFamily="34" charset="0"/>
              <a:cs typeface="Arial" pitchFamily="34" charset="0"/>
            </a:rPr>
            <a:t> ^WWPS</a:t>
          </a:r>
        </a:p>
        <a:p>
          <a:endParaRPr lang="ru-RU" sz="1800">
            <a:latin typeface="Arial" pitchFamily="34" charset="0"/>
            <a:cs typeface="Arial" pitchFamily="34" charset="0"/>
          </a:endParaRPr>
        </a:p>
      </xdr:txBody>
    </xdr:sp>
    <xdr:clientData/>
  </xdr:oneCellAnchor>
  <xdr:oneCellAnchor>
    <xdr:from>
      <xdr:col>109</xdr:col>
      <xdr:colOff>142420</xdr:colOff>
      <xdr:row>114</xdr:row>
      <xdr:rowOff>292098</xdr:rowOff>
    </xdr:from>
    <xdr:ext cx="7572375" cy="505267"/>
    <xdr:sp macro="" textlink="">
      <xdr:nvSpPr>
        <xdr:cNvPr id="325" name="TextBox 324">
          <a:extLst>
            <a:ext uri="{FF2B5EF4-FFF2-40B4-BE49-F238E27FC236}">
              <a16:creationId xmlns:a16="http://schemas.microsoft.com/office/drawing/2014/main" id="{00000000-0008-0000-0200-000045010000}"/>
            </a:ext>
          </a:extLst>
        </xdr:cNvPr>
        <xdr:cNvSpPr txBox="1"/>
      </xdr:nvSpPr>
      <xdr:spPr>
        <a:xfrm>
          <a:off x="89182120" y="20427948"/>
          <a:ext cx="7572375" cy="50526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r>
            <a:rPr lang="ru-RU" sz="2800">
              <a:latin typeface="Arial" pitchFamily="34" charset="0"/>
              <a:cs typeface="Arial" pitchFamily="34" charset="0"/>
            </a:rPr>
            <a:t>Трудовая характеристика  экономики РФ</a:t>
          </a:r>
        </a:p>
      </xdr:txBody>
    </xdr:sp>
    <xdr:clientData/>
  </xdr:oneCellAnchor>
  <xdr:oneCellAnchor>
    <xdr:from>
      <xdr:col>111</xdr:col>
      <xdr:colOff>328159</xdr:colOff>
      <xdr:row>98</xdr:row>
      <xdr:rowOff>8164</xdr:rowOff>
    </xdr:from>
    <xdr:ext cx="1027565" cy="394687"/>
    <xdr:sp macro="" textlink="">
      <xdr:nvSpPr>
        <xdr:cNvPr id="326" name="TextBox 325">
          <a:extLst>
            <a:ext uri="{FF2B5EF4-FFF2-40B4-BE49-F238E27FC236}">
              <a16:creationId xmlns:a16="http://schemas.microsoft.com/office/drawing/2014/main" id="{00000000-0008-0000-0200-000046010000}"/>
            </a:ext>
          </a:extLst>
        </xdr:cNvPr>
        <xdr:cNvSpPr txBox="1"/>
      </xdr:nvSpPr>
      <xdr:spPr>
        <a:xfrm>
          <a:off x="90682309" y="15419614"/>
          <a:ext cx="1027565" cy="39468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r>
            <a:rPr lang="ru-RU" sz="1800">
              <a:latin typeface="Arial" pitchFamily="34" charset="0"/>
              <a:cs typeface="Arial" pitchFamily="34" charset="0"/>
            </a:rPr>
            <a:t>Тренд</a:t>
          </a:r>
          <a:r>
            <a:rPr lang="ru-RU" sz="1800" baseline="0">
              <a:latin typeface="Arial" pitchFamily="34" charset="0"/>
              <a:cs typeface="Arial" pitchFamily="34" charset="0"/>
            </a:rPr>
            <a:t> 1</a:t>
          </a:r>
          <a:endParaRPr lang="ru-RU" sz="1800">
            <a:latin typeface="Arial" pitchFamily="34" charset="0"/>
            <a:cs typeface="Arial" pitchFamily="34" charset="0"/>
          </a:endParaRPr>
        </a:p>
      </xdr:txBody>
    </xdr:sp>
    <xdr:clientData/>
  </xdr:oneCellAnchor>
  <xdr:oneCellAnchor>
    <xdr:from>
      <xdr:col>113</xdr:col>
      <xdr:colOff>657679</xdr:colOff>
      <xdr:row>103</xdr:row>
      <xdr:rowOff>151040</xdr:rowOff>
    </xdr:from>
    <xdr:ext cx="1027927" cy="394934"/>
    <xdr:sp macro="" textlink="">
      <xdr:nvSpPr>
        <xdr:cNvPr id="327" name="TextBox 326">
          <a:extLst>
            <a:ext uri="{FF2B5EF4-FFF2-40B4-BE49-F238E27FC236}">
              <a16:creationId xmlns:a16="http://schemas.microsoft.com/office/drawing/2014/main" id="{00000000-0008-0000-0200-000047010000}"/>
            </a:ext>
          </a:extLst>
        </xdr:cNvPr>
        <xdr:cNvSpPr txBox="1"/>
      </xdr:nvSpPr>
      <xdr:spPr>
        <a:xfrm>
          <a:off x="92326279" y="17086490"/>
          <a:ext cx="1027927" cy="39493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r>
            <a:rPr lang="ru-RU" sz="1800">
              <a:latin typeface="Arial" pitchFamily="34" charset="0"/>
              <a:cs typeface="Arial" pitchFamily="34" charset="0"/>
            </a:rPr>
            <a:t>Тренд 2</a:t>
          </a:r>
        </a:p>
      </xdr:txBody>
    </xdr:sp>
    <xdr:clientData/>
  </xdr:oneCellAnchor>
  <xdr:oneCellAnchor>
    <xdr:from>
      <xdr:col>117</xdr:col>
      <xdr:colOff>376918</xdr:colOff>
      <xdr:row>111</xdr:row>
      <xdr:rowOff>31297</xdr:rowOff>
    </xdr:from>
    <xdr:ext cx="194454" cy="410593"/>
    <xdr:sp macro="" textlink="">
      <xdr:nvSpPr>
        <xdr:cNvPr id="328" name="TextBox 327">
          <a:extLst>
            <a:ext uri="{FF2B5EF4-FFF2-40B4-BE49-F238E27FC236}">
              <a16:creationId xmlns:a16="http://schemas.microsoft.com/office/drawing/2014/main" id="{00000000-0008-0000-0200-000048010000}"/>
            </a:ext>
          </a:extLst>
        </xdr:cNvPr>
        <xdr:cNvSpPr txBox="1"/>
      </xdr:nvSpPr>
      <xdr:spPr>
        <a:xfrm>
          <a:off x="94083868" y="7136947"/>
          <a:ext cx="194454" cy="4105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twoCellAnchor>
    <xdr:from>
      <xdr:col>193</xdr:col>
      <xdr:colOff>57150</xdr:colOff>
      <xdr:row>46</xdr:row>
      <xdr:rowOff>58738</xdr:rowOff>
    </xdr:from>
    <xdr:to>
      <xdr:col>208</xdr:col>
      <xdr:colOff>0</xdr:colOff>
      <xdr:row>83</xdr:row>
      <xdr:rowOff>252413</xdr:rowOff>
    </xdr:to>
    <xdr:graphicFrame macro="">
      <xdr:nvGraphicFramePr>
        <xdr:cNvPr id="281" name="Chart 14113">
          <a:extLst>
            <a:ext uri="{FF2B5EF4-FFF2-40B4-BE49-F238E27FC236}">
              <a16:creationId xmlns:a16="http://schemas.microsoft.com/office/drawing/2014/main" id="{00000000-0008-0000-0200-00001901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oneCellAnchor>
    <xdr:from>
      <xdr:col>194</xdr:col>
      <xdr:colOff>450850</xdr:colOff>
      <xdr:row>49</xdr:row>
      <xdr:rowOff>15875</xdr:rowOff>
    </xdr:from>
    <xdr:ext cx="984250" cy="476250"/>
    <xdr:sp macro="" textlink="">
      <xdr:nvSpPr>
        <xdr:cNvPr id="282" name="TextBox 76">
          <a:extLst>
            <a:ext uri="{FF2B5EF4-FFF2-40B4-BE49-F238E27FC236}">
              <a16:creationId xmlns:a16="http://schemas.microsoft.com/office/drawing/2014/main" id="{00000000-0008-0000-0200-00001A010000}"/>
            </a:ext>
          </a:extLst>
        </xdr:cNvPr>
        <xdr:cNvSpPr txBox="1">
          <a:spLocks noChangeArrowheads="1"/>
        </xdr:cNvSpPr>
      </xdr:nvSpPr>
      <xdr:spPr bwMode="auto">
        <a:xfrm>
          <a:off x="133248400" y="13084175"/>
          <a:ext cx="984250" cy="476250"/>
        </a:xfrm>
        <a:prstGeom prst="rect">
          <a:avLst/>
        </a:prstGeom>
        <a:noFill/>
        <a:ln>
          <a:noFill/>
        </a:ln>
      </xdr:spPr>
      <xdr:txBody>
        <a:bodyPr vertOverflow="clip" wrap="square" lIns="36576" tIns="36576" rIns="0" bIns="0" anchor="t"/>
        <a:lstStyle/>
        <a:p>
          <a:pPr algn="ctr" rtl="0">
            <a:defRPr sz="1000"/>
          </a:pPr>
          <a:r>
            <a:rPr lang="en-US" sz="2800" b="0" i="0" u="none" strike="noStrike" baseline="0">
              <a:solidFill>
                <a:srgbClr val="000000"/>
              </a:solidFill>
              <a:latin typeface="Arial" panose="020B0604020202020204" pitchFamily="34" charset="0"/>
              <a:cs typeface="Arial" panose="020B0604020202020204" pitchFamily="34" charset="0"/>
            </a:rPr>
            <a:t>WWS</a:t>
          </a:r>
          <a:endParaRPr lang="ru-RU" sz="2800" b="0" i="0" u="none" strike="noStrike" baseline="0">
            <a:solidFill>
              <a:srgbClr val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oneCellAnchor>
  <xdr:oneCellAnchor>
    <xdr:from>
      <xdr:col>196</xdr:col>
      <xdr:colOff>376918</xdr:colOff>
      <xdr:row>65</xdr:row>
      <xdr:rowOff>31297</xdr:rowOff>
    </xdr:from>
    <xdr:ext cx="194454" cy="410593"/>
    <xdr:sp macro="" textlink="">
      <xdr:nvSpPr>
        <xdr:cNvPr id="283" name="TextBox 282">
          <a:extLst>
            <a:ext uri="{FF2B5EF4-FFF2-40B4-BE49-F238E27FC236}">
              <a16:creationId xmlns:a16="http://schemas.microsoft.com/office/drawing/2014/main" id="{00000000-0008-0000-0200-00001B010000}"/>
            </a:ext>
          </a:extLst>
        </xdr:cNvPr>
        <xdr:cNvSpPr txBox="1"/>
      </xdr:nvSpPr>
      <xdr:spPr>
        <a:xfrm>
          <a:off x="119267968" y="17900197"/>
          <a:ext cx="194454" cy="4105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203</xdr:col>
      <xdr:colOff>571500</xdr:colOff>
      <xdr:row>63</xdr:row>
      <xdr:rowOff>78469</xdr:rowOff>
    </xdr:from>
    <xdr:ext cx="1447800" cy="416831"/>
    <xdr:sp macro="" textlink="">
      <xdr:nvSpPr>
        <xdr:cNvPr id="284" name="TextBox 283">
          <a:extLst>
            <a:ext uri="{FF2B5EF4-FFF2-40B4-BE49-F238E27FC236}">
              <a16:creationId xmlns:a16="http://schemas.microsoft.com/office/drawing/2014/main" id="{00000000-0008-0000-0200-00001C010000}"/>
            </a:ext>
          </a:extLst>
        </xdr:cNvPr>
        <xdr:cNvSpPr txBox="1"/>
      </xdr:nvSpPr>
      <xdr:spPr>
        <a:xfrm>
          <a:off x="139598400" y="17337769"/>
          <a:ext cx="1447800" cy="416831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algn="ctr"/>
          <a:r>
            <a:rPr lang="ru-RU" sz="2000" baseline="0">
              <a:latin typeface="Arial" panose="020B0604020202020204" pitchFamily="34" charset="0"/>
              <a:cs typeface="Arial" panose="020B0604020202020204" pitchFamily="34" charset="0"/>
            </a:rPr>
            <a:t>Тренд 1</a:t>
          </a:r>
          <a:endParaRPr lang="ru-RU" sz="20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oneCellAnchor>
  <xdr:oneCellAnchor>
    <xdr:from>
      <xdr:col>197</xdr:col>
      <xdr:colOff>171450</xdr:colOff>
      <xdr:row>72</xdr:row>
      <xdr:rowOff>58622</xdr:rowOff>
    </xdr:from>
    <xdr:ext cx="7054850" cy="1141528"/>
    <xdr:sp macro="" textlink="">
      <xdr:nvSpPr>
        <xdr:cNvPr id="304" name="TextBox 303">
          <a:extLst>
            <a:ext uri="{FF2B5EF4-FFF2-40B4-BE49-F238E27FC236}">
              <a16:creationId xmlns:a16="http://schemas.microsoft.com/office/drawing/2014/main" id="{00000000-0008-0000-0200-000030010000}"/>
            </a:ext>
          </a:extLst>
        </xdr:cNvPr>
        <xdr:cNvSpPr txBox="1"/>
      </xdr:nvSpPr>
      <xdr:spPr>
        <a:xfrm>
          <a:off x="135274050" y="20061122"/>
          <a:ext cx="7054850" cy="114152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algn="ctr"/>
          <a:r>
            <a:rPr lang="ru-RU" sz="3200">
              <a:latin typeface="Arial" panose="020B0604020202020204" pitchFamily="34" charset="0"/>
              <a:cs typeface="Arial" panose="020B0604020202020204" pitchFamily="34" charset="0"/>
            </a:rPr>
            <a:t>Регрессия вводов</a:t>
          </a:r>
          <a:r>
            <a:rPr lang="ru-RU" sz="3200" baseline="0">
              <a:latin typeface="Arial" panose="020B0604020202020204" pitchFamily="34" charset="0"/>
              <a:cs typeface="Arial" panose="020B0604020202020204" pitchFamily="34" charset="0"/>
            </a:rPr>
            <a:t> ОФ от инвестиций в ОК в СЦ</a:t>
          </a:r>
          <a:endParaRPr lang="ru-RU" sz="32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oneCellAnchor>
  <xdr:oneCellAnchor>
    <xdr:from>
      <xdr:col>197</xdr:col>
      <xdr:colOff>693167</xdr:colOff>
      <xdr:row>68</xdr:row>
      <xdr:rowOff>89580</xdr:rowOff>
    </xdr:from>
    <xdr:ext cx="648536" cy="364221"/>
    <xdr:sp macro="" textlink="">
      <xdr:nvSpPr>
        <xdr:cNvPr id="305" name="TextBox 304">
          <a:extLst>
            <a:ext uri="{FF2B5EF4-FFF2-40B4-BE49-F238E27FC236}">
              <a16:creationId xmlns:a16="http://schemas.microsoft.com/office/drawing/2014/main" id="{00000000-0008-0000-0200-000031010000}"/>
            </a:ext>
          </a:extLst>
        </xdr:cNvPr>
        <xdr:cNvSpPr txBox="1"/>
      </xdr:nvSpPr>
      <xdr:spPr>
        <a:xfrm>
          <a:off x="135795767" y="18872880"/>
          <a:ext cx="648536" cy="36422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ru-RU" sz="1600"/>
            <a:t>2006</a:t>
          </a:r>
        </a:p>
      </xdr:txBody>
    </xdr:sp>
    <xdr:clientData/>
  </xdr:oneCellAnchor>
  <xdr:oneCellAnchor>
    <xdr:from>
      <xdr:col>201</xdr:col>
      <xdr:colOff>316366</xdr:colOff>
      <xdr:row>63</xdr:row>
      <xdr:rowOff>215106</xdr:rowOff>
    </xdr:from>
    <xdr:ext cx="649101" cy="364954"/>
    <xdr:sp macro="" textlink="">
      <xdr:nvSpPr>
        <xdr:cNvPr id="306" name="TextBox 305">
          <a:extLst>
            <a:ext uri="{FF2B5EF4-FFF2-40B4-BE49-F238E27FC236}">
              <a16:creationId xmlns:a16="http://schemas.microsoft.com/office/drawing/2014/main" id="{00000000-0008-0000-0200-000032010000}"/>
            </a:ext>
          </a:extLst>
        </xdr:cNvPr>
        <xdr:cNvSpPr txBox="1"/>
      </xdr:nvSpPr>
      <xdr:spPr>
        <a:xfrm>
          <a:off x="138047866" y="17474406"/>
          <a:ext cx="649101" cy="36495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ru-RU" sz="1600"/>
            <a:t>2008</a:t>
          </a:r>
        </a:p>
      </xdr:txBody>
    </xdr:sp>
    <xdr:clientData/>
  </xdr:oneCellAnchor>
  <xdr:oneCellAnchor>
    <xdr:from>
      <xdr:col>199</xdr:col>
      <xdr:colOff>34587</xdr:colOff>
      <xdr:row>65</xdr:row>
      <xdr:rowOff>170317</xdr:rowOff>
    </xdr:from>
    <xdr:ext cx="649474" cy="361830"/>
    <xdr:sp macro="" textlink="">
      <xdr:nvSpPr>
        <xdr:cNvPr id="313" name="TextBox 312">
          <a:extLst>
            <a:ext uri="{FF2B5EF4-FFF2-40B4-BE49-F238E27FC236}">
              <a16:creationId xmlns:a16="http://schemas.microsoft.com/office/drawing/2014/main" id="{00000000-0008-0000-0200-000039010000}"/>
            </a:ext>
          </a:extLst>
        </xdr:cNvPr>
        <xdr:cNvSpPr txBox="1"/>
      </xdr:nvSpPr>
      <xdr:spPr>
        <a:xfrm>
          <a:off x="136546887" y="18039217"/>
          <a:ext cx="649474" cy="36183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ru-RU" sz="1600"/>
            <a:t>2007</a:t>
          </a:r>
        </a:p>
      </xdr:txBody>
    </xdr:sp>
    <xdr:clientData/>
  </xdr:oneCellAnchor>
  <xdr:oneCellAnchor>
    <xdr:from>
      <xdr:col>200</xdr:col>
      <xdr:colOff>344262</xdr:colOff>
      <xdr:row>53</xdr:row>
      <xdr:rowOff>190953</xdr:rowOff>
    </xdr:from>
    <xdr:ext cx="600677" cy="342786"/>
    <xdr:sp macro="" textlink="">
      <xdr:nvSpPr>
        <xdr:cNvPr id="314" name="TextBox 313">
          <a:extLst>
            <a:ext uri="{FF2B5EF4-FFF2-40B4-BE49-F238E27FC236}">
              <a16:creationId xmlns:a16="http://schemas.microsoft.com/office/drawing/2014/main" id="{00000000-0008-0000-0200-00003A010000}"/>
            </a:ext>
          </a:extLst>
        </xdr:cNvPr>
        <xdr:cNvSpPr txBox="1"/>
      </xdr:nvSpPr>
      <xdr:spPr>
        <a:xfrm>
          <a:off x="137466162" y="14402253"/>
          <a:ext cx="600677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ru-RU" sz="1600"/>
            <a:t>20</a:t>
          </a:r>
          <a:r>
            <a:rPr lang="en-US" sz="1600"/>
            <a:t>1</a:t>
          </a:r>
          <a:r>
            <a:rPr lang="ru-RU" sz="1600"/>
            <a:t>8</a:t>
          </a:r>
        </a:p>
      </xdr:txBody>
    </xdr:sp>
    <xdr:clientData/>
  </xdr:oneCellAnchor>
  <xdr:oneCellAnchor>
    <xdr:from>
      <xdr:col>201</xdr:col>
      <xdr:colOff>376918</xdr:colOff>
      <xdr:row>65</xdr:row>
      <xdr:rowOff>31297</xdr:rowOff>
    </xdr:from>
    <xdr:ext cx="194454" cy="410593"/>
    <xdr:sp macro="" textlink="">
      <xdr:nvSpPr>
        <xdr:cNvPr id="316" name="TextBox 315">
          <a:extLst>
            <a:ext uri="{FF2B5EF4-FFF2-40B4-BE49-F238E27FC236}">
              <a16:creationId xmlns:a16="http://schemas.microsoft.com/office/drawing/2014/main" id="{00000000-0008-0000-0200-00003C010000}"/>
            </a:ext>
          </a:extLst>
        </xdr:cNvPr>
        <xdr:cNvSpPr txBox="1"/>
      </xdr:nvSpPr>
      <xdr:spPr>
        <a:xfrm>
          <a:off x="122792218" y="17900197"/>
          <a:ext cx="194454" cy="4105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twoCellAnchor>
    <xdr:from>
      <xdr:col>214</xdr:col>
      <xdr:colOff>114300</xdr:colOff>
      <xdr:row>46</xdr:row>
      <xdr:rowOff>39688</xdr:rowOff>
    </xdr:from>
    <xdr:to>
      <xdr:col>231</xdr:col>
      <xdr:colOff>127000</xdr:colOff>
      <xdr:row>83</xdr:row>
      <xdr:rowOff>233363</xdr:rowOff>
    </xdr:to>
    <xdr:graphicFrame macro="">
      <xdr:nvGraphicFramePr>
        <xdr:cNvPr id="318" name="Chart 14113">
          <a:extLst>
            <a:ext uri="{FF2B5EF4-FFF2-40B4-BE49-F238E27FC236}">
              <a16:creationId xmlns:a16="http://schemas.microsoft.com/office/drawing/2014/main" id="{00000000-0008-0000-0200-00003E01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oneCellAnchor>
    <xdr:from>
      <xdr:col>215</xdr:col>
      <xdr:colOff>622300</xdr:colOff>
      <xdr:row>48</xdr:row>
      <xdr:rowOff>15875</xdr:rowOff>
    </xdr:from>
    <xdr:ext cx="984250" cy="476250"/>
    <xdr:sp macro="" textlink="">
      <xdr:nvSpPr>
        <xdr:cNvPr id="319" name="TextBox 76">
          <a:extLst>
            <a:ext uri="{FF2B5EF4-FFF2-40B4-BE49-F238E27FC236}">
              <a16:creationId xmlns:a16="http://schemas.microsoft.com/office/drawing/2014/main" id="{00000000-0008-0000-0200-00003F010000}"/>
            </a:ext>
          </a:extLst>
        </xdr:cNvPr>
        <xdr:cNvSpPr txBox="1">
          <a:spLocks noChangeArrowheads="1"/>
        </xdr:cNvSpPr>
      </xdr:nvSpPr>
      <xdr:spPr bwMode="auto">
        <a:xfrm>
          <a:off x="148507450" y="12817475"/>
          <a:ext cx="984250" cy="476250"/>
        </a:xfrm>
        <a:prstGeom prst="rect">
          <a:avLst/>
        </a:prstGeom>
        <a:noFill/>
        <a:ln>
          <a:noFill/>
        </a:ln>
      </xdr:spPr>
      <xdr:txBody>
        <a:bodyPr vertOverflow="clip" wrap="square" lIns="36576" tIns="36576" rIns="0" bIns="0" anchor="t"/>
        <a:lstStyle/>
        <a:p>
          <a:pPr algn="ctr" rtl="0">
            <a:defRPr sz="1000"/>
          </a:pPr>
          <a:r>
            <a:rPr lang="en-US" sz="2800" b="0" i="0" u="none" strike="noStrike" baseline="0">
              <a:solidFill>
                <a:srgbClr val="000000"/>
              </a:solidFill>
              <a:latin typeface="Arial" panose="020B0604020202020204" pitchFamily="34" charset="0"/>
              <a:cs typeface="Arial" panose="020B0604020202020204" pitchFamily="34" charset="0"/>
            </a:rPr>
            <a:t>WW</a:t>
          </a:r>
          <a:endParaRPr lang="ru-RU" sz="2800" b="0" i="0" u="none" strike="noStrike" baseline="0">
            <a:solidFill>
              <a:srgbClr val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oneCellAnchor>
  <xdr:oneCellAnchor>
    <xdr:from>
      <xdr:col>218</xdr:col>
      <xdr:colOff>376918</xdr:colOff>
      <xdr:row>65</xdr:row>
      <xdr:rowOff>31297</xdr:rowOff>
    </xdr:from>
    <xdr:ext cx="194454" cy="410593"/>
    <xdr:sp macro="" textlink="">
      <xdr:nvSpPr>
        <xdr:cNvPr id="320" name="TextBox 319">
          <a:extLst>
            <a:ext uri="{FF2B5EF4-FFF2-40B4-BE49-F238E27FC236}">
              <a16:creationId xmlns:a16="http://schemas.microsoft.com/office/drawing/2014/main" id="{00000000-0008-0000-0200-000040010000}"/>
            </a:ext>
          </a:extLst>
        </xdr:cNvPr>
        <xdr:cNvSpPr txBox="1"/>
      </xdr:nvSpPr>
      <xdr:spPr>
        <a:xfrm>
          <a:off x="134736568" y="17900197"/>
          <a:ext cx="194454" cy="4105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223</xdr:col>
      <xdr:colOff>285750</xdr:colOff>
      <xdr:row>67</xdr:row>
      <xdr:rowOff>268969</xdr:rowOff>
    </xdr:from>
    <xdr:ext cx="1447800" cy="416831"/>
    <xdr:sp macro="" textlink="">
      <xdr:nvSpPr>
        <xdr:cNvPr id="321" name="TextBox 320">
          <a:extLst>
            <a:ext uri="{FF2B5EF4-FFF2-40B4-BE49-F238E27FC236}">
              <a16:creationId xmlns:a16="http://schemas.microsoft.com/office/drawing/2014/main" id="{00000000-0008-0000-0200-000041010000}"/>
            </a:ext>
          </a:extLst>
        </xdr:cNvPr>
        <xdr:cNvSpPr txBox="1"/>
      </xdr:nvSpPr>
      <xdr:spPr>
        <a:xfrm>
          <a:off x="155105100" y="18747469"/>
          <a:ext cx="1447800" cy="416831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algn="ctr"/>
          <a:r>
            <a:rPr lang="ru-RU" sz="2000" baseline="0">
              <a:latin typeface="Arial" panose="020B0604020202020204" pitchFamily="34" charset="0"/>
              <a:cs typeface="Arial" panose="020B0604020202020204" pitchFamily="34" charset="0"/>
            </a:rPr>
            <a:t>Тренд 1</a:t>
          </a:r>
          <a:endParaRPr lang="ru-RU" sz="20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oneCellAnchor>
  <xdr:oneCellAnchor>
    <xdr:from>
      <xdr:col>216</xdr:col>
      <xdr:colOff>323850</xdr:colOff>
      <xdr:row>50</xdr:row>
      <xdr:rowOff>96722</xdr:rowOff>
    </xdr:from>
    <xdr:ext cx="9277350" cy="722428"/>
    <xdr:sp macro="" textlink="">
      <xdr:nvSpPr>
        <xdr:cNvPr id="329" name="TextBox 328">
          <a:extLst>
            <a:ext uri="{FF2B5EF4-FFF2-40B4-BE49-F238E27FC236}">
              <a16:creationId xmlns:a16="http://schemas.microsoft.com/office/drawing/2014/main" id="{00000000-0008-0000-0200-000049010000}"/>
            </a:ext>
          </a:extLst>
        </xdr:cNvPr>
        <xdr:cNvSpPr txBox="1"/>
      </xdr:nvSpPr>
      <xdr:spPr>
        <a:xfrm>
          <a:off x="164458650" y="14098472"/>
          <a:ext cx="9277350" cy="72242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algn="ctr"/>
          <a:r>
            <a:rPr lang="ru-RU" sz="3200">
              <a:latin typeface="Arial" panose="020B0604020202020204" pitchFamily="34" charset="0"/>
              <a:cs typeface="Arial" panose="020B0604020202020204" pitchFamily="34" charset="0"/>
            </a:rPr>
            <a:t>Регрессия вводов</a:t>
          </a:r>
          <a:r>
            <a:rPr lang="ru-RU" sz="3200" baseline="0">
              <a:latin typeface="Arial" panose="020B0604020202020204" pitchFamily="34" charset="0"/>
              <a:cs typeface="Arial" panose="020B0604020202020204" pitchFamily="34" charset="0"/>
            </a:rPr>
            <a:t> ОФ от инвестиций в ОК</a:t>
          </a:r>
          <a:endParaRPr lang="ru-RU" sz="32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oneCellAnchor>
  <xdr:oneCellAnchor>
    <xdr:from>
      <xdr:col>217</xdr:col>
      <xdr:colOff>521717</xdr:colOff>
      <xdr:row>76</xdr:row>
      <xdr:rowOff>13380</xdr:rowOff>
    </xdr:from>
    <xdr:ext cx="648536" cy="364221"/>
    <xdr:sp macro="" textlink="">
      <xdr:nvSpPr>
        <xdr:cNvPr id="330" name="TextBox 329">
          <a:extLst>
            <a:ext uri="{FF2B5EF4-FFF2-40B4-BE49-F238E27FC236}">
              <a16:creationId xmlns:a16="http://schemas.microsoft.com/office/drawing/2014/main" id="{00000000-0008-0000-0200-00004A010000}"/>
            </a:ext>
          </a:extLst>
        </xdr:cNvPr>
        <xdr:cNvSpPr txBox="1"/>
      </xdr:nvSpPr>
      <xdr:spPr>
        <a:xfrm>
          <a:off x="150045167" y="21235080"/>
          <a:ext cx="648536" cy="36422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ru-RU" sz="1600"/>
            <a:t>2006</a:t>
          </a:r>
        </a:p>
      </xdr:txBody>
    </xdr:sp>
    <xdr:clientData/>
  </xdr:oneCellAnchor>
  <xdr:oneCellAnchor>
    <xdr:from>
      <xdr:col>219</xdr:col>
      <xdr:colOff>125866</xdr:colOff>
      <xdr:row>72</xdr:row>
      <xdr:rowOff>5556</xdr:rowOff>
    </xdr:from>
    <xdr:ext cx="649101" cy="394494"/>
    <xdr:sp macro="" textlink="">
      <xdr:nvSpPr>
        <xdr:cNvPr id="331" name="TextBox 330">
          <a:extLst>
            <a:ext uri="{FF2B5EF4-FFF2-40B4-BE49-F238E27FC236}">
              <a16:creationId xmlns:a16="http://schemas.microsoft.com/office/drawing/2014/main" id="{00000000-0008-0000-0200-00004B010000}"/>
            </a:ext>
          </a:extLst>
        </xdr:cNvPr>
        <xdr:cNvSpPr txBox="1"/>
      </xdr:nvSpPr>
      <xdr:spPr>
        <a:xfrm>
          <a:off x="151459066" y="20008056"/>
          <a:ext cx="649101" cy="39449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noAutofit/>
        </a:bodyPr>
        <a:lstStyle/>
        <a:p>
          <a:r>
            <a:rPr lang="ru-RU" sz="1600"/>
            <a:t>2008</a:t>
          </a:r>
        </a:p>
      </xdr:txBody>
    </xdr:sp>
    <xdr:clientData/>
  </xdr:oneCellAnchor>
  <xdr:oneCellAnchor>
    <xdr:from>
      <xdr:col>218</xdr:col>
      <xdr:colOff>358437</xdr:colOff>
      <xdr:row>73</xdr:row>
      <xdr:rowOff>303667</xdr:rowOff>
    </xdr:from>
    <xdr:ext cx="649474" cy="361830"/>
    <xdr:sp macro="" textlink="">
      <xdr:nvSpPr>
        <xdr:cNvPr id="332" name="TextBox 331">
          <a:extLst>
            <a:ext uri="{FF2B5EF4-FFF2-40B4-BE49-F238E27FC236}">
              <a16:creationId xmlns:a16="http://schemas.microsoft.com/office/drawing/2014/main" id="{00000000-0008-0000-0200-00004C010000}"/>
            </a:ext>
          </a:extLst>
        </xdr:cNvPr>
        <xdr:cNvSpPr txBox="1"/>
      </xdr:nvSpPr>
      <xdr:spPr>
        <a:xfrm>
          <a:off x="150777237" y="20610967"/>
          <a:ext cx="649474" cy="36183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ru-RU" sz="1600"/>
            <a:t>2007</a:t>
          </a:r>
        </a:p>
      </xdr:txBody>
    </xdr:sp>
    <xdr:clientData/>
  </xdr:oneCellAnchor>
  <xdr:oneCellAnchor>
    <xdr:from>
      <xdr:col>225</xdr:col>
      <xdr:colOff>1362</xdr:colOff>
      <xdr:row>56</xdr:row>
      <xdr:rowOff>95703</xdr:rowOff>
    </xdr:from>
    <xdr:ext cx="600677" cy="342786"/>
    <xdr:sp macro="" textlink="">
      <xdr:nvSpPr>
        <xdr:cNvPr id="333" name="TextBox 332">
          <a:extLst>
            <a:ext uri="{FF2B5EF4-FFF2-40B4-BE49-F238E27FC236}">
              <a16:creationId xmlns:a16="http://schemas.microsoft.com/office/drawing/2014/main" id="{00000000-0008-0000-0200-00004D010000}"/>
            </a:ext>
          </a:extLst>
        </xdr:cNvPr>
        <xdr:cNvSpPr txBox="1"/>
      </xdr:nvSpPr>
      <xdr:spPr>
        <a:xfrm>
          <a:off x="169622562" y="15888153"/>
          <a:ext cx="600677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ru-RU" sz="1600"/>
            <a:t>20</a:t>
          </a:r>
          <a:r>
            <a:rPr lang="en-US" sz="1600"/>
            <a:t>1</a:t>
          </a:r>
          <a:r>
            <a:rPr lang="ru-RU" sz="1600"/>
            <a:t>8</a:t>
          </a:r>
        </a:p>
      </xdr:txBody>
    </xdr:sp>
    <xdr:clientData/>
  </xdr:oneCellAnchor>
  <xdr:oneCellAnchor>
    <xdr:from>
      <xdr:col>223</xdr:col>
      <xdr:colOff>376918</xdr:colOff>
      <xdr:row>65</xdr:row>
      <xdr:rowOff>31297</xdr:rowOff>
    </xdr:from>
    <xdr:ext cx="194454" cy="410593"/>
    <xdr:sp macro="" textlink="">
      <xdr:nvSpPr>
        <xdr:cNvPr id="334" name="TextBox 333">
          <a:extLst>
            <a:ext uri="{FF2B5EF4-FFF2-40B4-BE49-F238E27FC236}">
              <a16:creationId xmlns:a16="http://schemas.microsoft.com/office/drawing/2014/main" id="{00000000-0008-0000-0200-00004E010000}"/>
            </a:ext>
          </a:extLst>
        </xdr:cNvPr>
        <xdr:cNvSpPr txBox="1"/>
      </xdr:nvSpPr>
      <xdr:spPr>
        <a:xfrm>
          <a:off x="138108418" y="17900197"/>
          <a:ext cx="194454" cy="4105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217</xdr:col>
      <xdr:colOff>438150</xdr:colOff>
      <xdr:row>54</xdr:row>
      <xdr:rowOff>76200</xdr:rowOff>
    </xdr:from>
    <xdr:ext cx="9334500" cy="446212"/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SpPr txBox="1"/>
      </xdr:nvSpPr>
      <xdr:spPr>
        <a:xfrm>
          <a:off x="165182550" y="15259050"/>
          <a:ext cx="9334500" cy="44621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2400">
              <a:latin typeface="Arial" panose="020B0604020202020204" pitchFamily="34" charset="0"/>
              <a:cs typeface="Arial" panose="020B0604020202020204" pitchFamily="34" charset="0"/>
            </a:rPr>
            <a:t>WWt = 0,9558*( 0,7*INt + 0,2*INt-</a:t>
          </a:r>
          <a:r>
            <a:rPr lang="en-US" sz="1800">
              <a:latin typeface="Arial" panose="020B0604020202020204" pitchFamily="34" charset="0"/>
              <a:cs typeface="Arial" panose="020B0604020202020204" pitchFamily="34" charset="0"/>
            </a:rPr>
            <a:t>1</a:t>
          </a:r>
          <a:r>
            <a:rPr lang="en-US" sz="2400">
              <a:latin typeface="Arial" panose="020B0604020202020204" pitchFamily="34" charset="0"/>
              <a:cs typeface="Arial" panose="020B0604020202020204" pitchFamily="34" charset="0"/>
            </a:rPr>
            <a:t> + 0,1*INt-</a:t>
          </a:r>
          <a:r>
            <a:rPr lang="en-US" sz="1800">
              <a:latin typeface="Arial" panose="020B0604020202020204" pitchFamily="34" charset="0"/>
              <a:cs typeface="Arial" panose="020B0604020202020204" pitchFamily="34" charset="0"/>
            </a:rPr>
            <a:t>2 </a:t>
          </a:r>
          <a:r>
            <a:rPr lang="en-US" sz="2400">
              <a:latin typeface="Arial" panose="020B0604020202020204" pitchFamily="34" charset="0"/>
              <a:cs typeface="Arial" panose="020B0604020202020204" pitchFamily="34" charset="0"/>
            </a:rPr>
            <a:t>) - 1632,2</a:t>
          </a:r>
          <a:endParaRPr lang="ru-RU" sz="18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oneCellAnchor>
  <xdr:twoCellAnchor>
    <xdr:from>
      <xdr:col>187</xdr:col>
      <xdr:colOff>57150</xdr:colOff>
      <xdr:row>5</xdr:row>
      <xdr:rowOff>58738</xdr:rowOff>
    </xdr:from>
    <xdr:to>
      <xdr:col>201</xdr:col>
      <xdr:colOff>0</xdr:colOff>
      <xdr:row>42</xdr:row>
      <xdr:rowOff>252413</xdr:rowOff>
    </xdr:to>
    <xdr:graphicFrame macro="">
      <xdr:nvGraphicFramePr>
        <xdr:cNvPr id="339" name="Chart 14113">
          <a:extLst>
            <a:ext uri="{FF2B5EF4-FFF2-40B4-BE49-F238E27FC236}">
              <a16:creationId xmlns:a16="http://schemas.microsoft.com/office/drawing/2014/main" id="{00000000-0008-0000-0200-00005301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oneCellAnchor>
    <xdr:from>
      <xdr:col>188</xdr:col>
      <xdr:colOff>146050</xdr:colOff>
      <xdr:row>7</xdr:row>
      <xdr:rowOff>206375</xdr:rowOff>
    </xdr:from>
    <xdr:ext cx="984250" cy="476250"/>
    <xdr:sp macro="" textlink="">
      <xdr:nvSpPr>
        <xdr:cNvPr id="340" name="TextBox 76">
          <a:extLst>
            <a:ext uri="{FF2B5EF4-FFF2-40B4-BE49-F238E27FC236}">
              <a16:creationId xmlns:a16="http://schemas.microsoft.com/office/drawing/2014/main" id="{00000000-0008-0000-0200-000054010000}"/>
            </a:ext>
          </a:extLst>
        </xdr:cNvPr>
        <xdr:cNvSpPr txBox="1">
          <a:spLocks noChangeArrowheads="1"/>
        </xdr:cNvSpPr>
      </xdr:nvSpPr>
      <xdr:spPr bwMode="auto">
        <a:xfrm>
          <a:off x="116509800" y="12557125"/>
          <a:ext cx="984250" cy="476250"/>
        </a:xfrm>
        <a:prstGeom prst="rect">
          <a:avLst/>
        </a:prstGeom>
        <a:noFill/>
        <a:ln>
          <a:noFill/>
        </a:ln>
      </xdr:spPr>
      <xdr:txBody>
        <a:bodyPr vertOverflow="clip" wrap="square" lIns="36576" tIns="36576" rIns="0" bIns="0" anchor="t"/>
        <a:lstStyle/>
        <a:p>
          <a:pPr algn="ctr" rtl="0">
            <a:defRPr sz="1000"/>
          </a:pPr>
          <a:r>
            <a:rPr lang="en-US" sz="2800" b="0" i="0" u="none" strike="noStrike" baseline="0">
              <a:solidFill>
                <a:srgbClr val="000000"/>
              </a:solidFill>
              <a:latin typeface="Arial" panose="020B0604020202020204" pitchFamily="34" charset="0"/>
              <a:cs typeface="Arial" panose="020B0604020202020204" pitchFamily="34" charset="0"/>
            </a:rPr>
            <a:t>Df</a:t>
          </a:r>
          <a:endParaRPr lang="ru-RU" sz="2800" b="0" i="0" u="none" strike="noStrike" baseline="0">
            <a:solidFill>
              <a:srgbClr val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oneCellAnchor>
  <xdr:oneCellAnchor>
    <xdr:from>
      <xdr:col>190</xdr:col>
      <xdr:colOff>376918</xdr:colOff>
      <xdr:row>24</xdr:row>
      <xdr:rowOff>31297</xdr:rowOff>
    </xdr:from>
    <xdr:ext cx="194454" cy="410593"/>
    <xdr:sp macro="" textlink="">
      <xdr:nvSpPr>
        <xdr:cNvPr id="341" name="TextBox 340">
          <a:extLst>
            <a:ext uri="{FF2B5EF4-FFF2-40B4-BE49-F238E27FC236}">
              <a16:creationId xmlns:a16="http://schemas.microsoft.com/office/drawing/2014/main" id="{00000000-0008-0000-0200-000055010000}"/>
            </a:ext>
          </a:extLst>
        </xdr:cNvPr>
        <xdr:cNvSpPr txBox="1"/>
      </xdr:nvSpPr>
      <xdr:spPr>
        <a:xfrm>
          <a:off x="118312293" y="17382672"/>
          <a:ext cx="194454" cy="4105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197</xdr:col>
      <xdr:colOff>193675</xdr:colOff>
      <xdr:row>29</xdr:row>
      <xdr:rowOff>237219</xdr:rowOff>
    </xdr:from>
    <xdr:ext cx="1447800" cy="416831"/>
    <xdr:sp macro="" textlink="">
      <xdr:nvSpPr>
        <xdr:cNvPr id="342" name="TextBox 341">
          <a:extLst>
            <a:ext uri="{FF2B5EF4-FFF2-40B4-BE49-F238E27FC236}">
              <a16:creationId xmlns:a16="http://schemas.microsoft.com/office/drawing/2014/main" id="{00000000-0008-0000-0200-000056010000}"/>
            </a:ext>
          </a:extLst>
        </xdr:cNvPr>
        <xdr:cNvSpPr txBox="1"/>
      </xdr:nvSpPr>
      <xdr:spPr>
        <a:xfrm>
          <a:off x="148624925" y="8476344"/>
          <a:ext cx="1447800" cy="416831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algn="ctr"/>
          <a:r>
            <a:rPr lang="ru-RU" sz="2400" baseline="0">
              <a:latin typeface="Arial" panose="020B0604020202020204" pitchFamily="34" charset="0"/>
              <a:cs typeface="Arial" panose="020B0604020202020204" pitchFamily="34" charset="0"/>
            </a:rPr>
            <a:t>Тренд</a:t>
          </a:r>
          <a:endParaRPr lang="ru-RU" sz="24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oneCellAnchor>
  <xdr:oneCellAnchor>
    <xdr:from>
      <xdr:col>189</xdr:col>
      <xdr:colOff>723900</xdr:colOff>
      <xdr:row>10</xdr:row>
      <xdr:rowOff>211022</xdr:rowOff>
    </xdr:from>
    <xdr:ext cx="7054850" cy="1141528"/>
    <xdr:sp macro="" textlink="">
      <xdr:nvSpPr>
        <xdr:cNvPr id="343" name="TextBox 342">
          <a:extLst>
            <a:ext uri="{FF2B5EF4-FFF2-40B4-BE49-F238E27FC236}">
              <a16:creationId xmlns:a16="http://schemas.microsoft.com/office/drawing/2014/main" id="{00000000-0008-0000-0200-000057010000}"/>
            </a:ext>
          </a:extLst>
        </xdr:cNvPr>
        <xdr:cNvSpPr txBox="1"/>
      </xdr:nvSpPr>
      <xdr:spPr>
        <a:xfrm>
          <a:off x="117865525" y="13339647"/>
          <a:ext cx="7054850" cy="114152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algn="ctr"/>
          <a:r>
            <a:rPr lang="ru-RU" sz="3200">
              <a:latin typeface="Arial" panose="020B0604020202020204" pitchFamily="34" charset="0"/>
              <a:cs typeface="Arial" panose="020B0604020202020204" pitchFamily="34" charset="0"/>
            </a:rPr>
            <a:t>Регрессия базисного дефлятора основных фондов от  </a:t>
          </a:r>
          <a:r>
            <a:rPr lang="en-US" sz="3200" i="0">
              <a:latin typeface="Arial" panose="020B0604020202020204" pitchFamily="34" charset="0"/>
              <a:cs typeface="Arial" panose="020B0604020202020204" pitchFamily="34" charset="0"/>
            </a:rPr>
            <a:t>IPC</a:t>
          </a:r>
          <a:endParaRPr lang="ru-RU" sz="3200" i="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oneCellAnchor>
  <xdr:oneCellAnchor>
    <xdr:from>
      <xdr:col>190</xdr:col>
      <xdr:colOff>655067</xdr:colOff>
      <xdr:row>32</xdr:row>
      <xdr:rowOff>64180</xdr:rowOff>
    </xdr:from>
    <xdr:ext cx="648536" cy="364221"/>
    <xdr:sp macro="" textlink="">
      <xdr:nvSpPr>
        <xdr:cNvPr id="344" name="TextBox 343">
          <a:extLst>
            <a:ext uri="{FF2B5EF4-FFF2-40B4-BE49-F238E27FC236}">
              <a16:creationId xmlns:a16="http://schemas.microsoft.com/office/drawing/2014/main" id="{00000000-0008-0000-0200-000058010000}"/>
            </a:ext>
          </a:extLst>
        </xdr:cNvPr>
        <xdr:cNvSpPr txBox="1"/>
      </xdr:nvSpPr>
      <xdr:spPr>
        <a:xfrm>
          <a:off x="144749267" y="9208180"/>
          <a:ext cx="648536" cy="36422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ru-RU" sz="1600"/>
            <a:t>2006</a:t>
          </a:r>
        </a:p>
      </xdr:txBody>
    </xdr:sp>
    <xdr:clientData/>
  </xdr:oneCellAnchor>
  <xdr:oneCellAnchor>
    <xdr:from>
      <xdr:col>191</xdr:col>
      <xdr:colOff>719591</xdr:colOff>
      <xdr:row>29</xdr:row>
      <xdr:rowOff>50006</xdr:rowOff>
    </xdr:from>
    <xdr:ext cx="649101" cy="364954"/>
    <xdr:sp macro="" textlink="">
      <xdr:nvSpPr>
        <xdr:cNvPr id="345" name="TextBox 344">
          <a:extLst>
            <a:ext uri="{FF2B5EF4-FFF2-40B4-BE49-F238E27FC236}">
              <a16:creationId xmlns:a16="http://schemas.microsoft.com/office/drawing/2014/main" id="{00000000-0008-0000-0200-000059010000}"/>
            </a:ext>
          </a:extLst>
        </xdr:cNvPr>
        <xdr:cNvSpPr txBox="1"/>
      </xdr:nvSpPr>
      <xdr:spPr>
        <a:xfrm>
          <a:off x="145575791" y="8393906"/>
          <a:ext cx="649101" cy="36495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ru-RU" sz="1600"/>
            <a:t>2008</a:t>
          </a:r>
        </a:p>
      </xdr:txBody>
    </xdr:sp>
    <xdr:clientData/>
  </xdr:oneCellAnchor>
  <xdr:oneCellAnchor>
    <xdr:from>
      <xdr:col>191</xdr:col>
      <xdr:colOff>266362</xdr:colOff>
      <xdr:row>30</xdr:row>
      <xdr:rowOff>195717</xdr:rowOff>
    </xdr:from>
    <xdr:ext cx="649474" cy="361830"/>
    <xdr:sp macro="" textlink="">
      <xdr:nvSpPr>
        <xdr:cNvPr id="346" name="TextBox 345">
          <a:extLst>
            <a:ext uri="{FF2B5EF4-FFF2-40B4-BE49-F238E27FC236}">
              <a16:creationId xmlns:a16="http://schemas.microsoft.com/office/drawing/2014/main" id="{00000000-0008-0000-0200-00005A010000}"/>
            </a:ext>
          </a:extLst>
        </xdr:cNvPr>
        <xdr:cNvSpPr txBox="1"/>
      </xdr:nvSpPr>
      <xdr:spPr>
        <a:xfrm>
          <a:off x="145122562" y="8806317"/>
          <a:ext cx="649474" cy="36183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ru-RU" sz="1600"/>
            <a:t>2007</a:t>
          </a:r>
        </a:p>
      </xdr:txBody>
    </xdr:sp>
    <xdr:clientData/>
  </xdr:oneCellAnchor>
  <xdr:oneCellAnchor>
    <xdr:from>
      <xdr:col>196</xdr:col>
      <xdr:colOff>687162</xdr:colOff>
      <xdr:row>18</xdr:row>
      <xdr:rowOff>235403</xdr:rowOff>
    </xdr:from>
    <xdr:ext cx="600677" cy="342786"/>
    <xdr:sp macro="" textlink="">
      <xdr:nvSpPr>
        <xdr:cNvPr id="347" name="TextBox 346">
          <a:extLst>
            <a:ext uri="{FF2B5EF4-FFF2-40B4-BE49-F238E27FC236}">
              <a16:creationId xmlns:a16="http://schemas.microsoft.com/office/drawing/2014/main" id="{00000000-0008-0000-0200-00005B010000}"/>
            </a:ext>
          </a:extLst>
        </xdr:cNvPr>
        <xdr:cNvSpPr txBox="1"/>
      </xdr:nvSpPr>
      <xdr:spPr>
        <a:xfrm>
          <a:off x="149372412" y="5340803"/>
          <a:ext cx="600677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ru-RU" sz="1600"/>
            <a:t>20</a:t>
          </a:r>
          <a:r>
            <a:rPr lang="en-US" sz="1600"/>
            <a:t>1</a:t>
          </a:r>
          <a:r>
            <a:rPr lang="ru-RU" sz="1600"/>
            <a:t>8</a:t>
          </a:r>
        </a:p>
      </xdr:txBody>
    </xdr:sp>
    <xdr:clientData/>
  </xdr:oneCellAnchor>
  <xdr:oneCellAnchor>
    <xdr:from>
      <xdr:col>195</xdr:col>
      <xdr:colOff>376918</xdr:colOff>
      <xdr:row>24</xdr:row>
      <xdr:rowOff>31297</xdr:rowOff>
    </xdr:from>
    <xdr:ext cx="194454" cy="410593"/>
    <xdr:sp macro="" textlink="">
      <xdr:nvSpPr>
        <xdr:cNvPr id="348" name="TextBox 347">
          <a:extLst>
            <a:ext uri="{FF2B5EF4-FFF2-40B4-BE49-F238E27FC236}">
              <a16:creationId xmlns:a16="http://schemas.microsoft.com/office/drawing/2014/main" id="{00000000-0008-0000-0200-00005C010000}"/>
            </a:ext>
          </a:extLst>
        </xdr:cNvPr>
        <xdr:cNvSpPr txBox="1"/>
      </xdr:nvSpPr>
      <xdr:spPr>
        <a:xfrm>
          <a:off x="121836543" y="17382672"/>
          <a:ext cx="194454" cy="4105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twoCellAnchor>
    <xdr:from>
      <xdr:col>206</xdr:col>
      <xdr:colOff>209550</xdr:colOff>
      <xdr:row>5</xdr:row>
      <xdr:rowOff>58738</xdr:rowOff>
    </xdr:from>
    <xdr:to>
      <xdr:col>224</xdr:col>
      <xdr:colOff>533400</xdr:colOff>
      <xdr:row>42</xdr:row>
      <xdr:rowOff>252413</xdr:rowOff>
    </xdr:to>
    <xdr:graphicFrame macro="">
      <xdr:nvGraphicFramePr>
        <xdr:cNvPr id="349" name="Chart 14113">
          <a:extLst>
            <a:ext uri="{FF2B5EF4-FFF2-40B4-BE49-F238E27FC236}">
              <a16:creationId xmlns:a16="http://schemas.microsoft.com/office/drawing/2014/main" id="{00000000-0008-0000-0200-00005D01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oneCellAnchor>
    <xdr:from>
      <xdr:col>207</xdr:col>
      <xdr:colOff>336550</xdr:colOff>
      <xdr:row>7</xdr:row>
      <xdr:rowOff>15875</xdr:rowOff>
    </xdr:from>
    <xdr:ext cx="1454150" cy="476250"/>
    <xdr:sp macro="" textlink="">
      <xdr:nvSpPr>
        <xdr:cNvPr id="350" name="TextBox 76">
          <a:extLst>
            <a:ext uri="{FF2B5EF4-FFF2-40B4-BE49-F238E27FC236}">
              <a16:creationId xmlns:a16="http://schemas.microsoft.com/office/drawing/2014/main" id="{00000000-0008-0000-0200-00005E010000}"/>
            </a:ext>
          </a:extLst>
        </xdr:cNvPr>
        <xdr:cNvSpPr txBox="1">
          <a:spLocks noChangeArrowheads="1"/>
        </xdr:cNvSpPr>
      </xdr:nvSpPr>
      <xdr:spPr bwMode="auto">
        <a:xfrm>
          <a:off x="158184850" y="1882775"/>
          <a:ext cx="1454150" cy="476250"/>
        </a:xfrm>
        <a:prstGeom prst="rect">
          <a:avLst/>
        </a:prstGeom>
        <a:noFill/>
        <a:ln>
          <a:noFill/>
        </a:ln>
      </xdr:spPr>
      <xdr:txBody>
        <a:bodyPr vertOverflow="clip" wrap="square" lIns="36576" tIns="36576" rIns="0" bIns="0" anchor="t"/>
        <a:lstStyle/>
        <a:p>
          <a:pPr algn="ctr" rtl="0">
            <a:defRPr sz="1000"/>
          </a:pPr>
          <a:r>
            <a:rPr lang="en-US" sz="2800" b="0" i="0" u="none" strike="noStrike" baseline="0">
              <a:solidFill>
                <a:srgbClr val="000000"/>
              </a:solidFill>
              <a:latin typeface="Arial" panose="020B0604020202020204" pitchFamily="34" charset="0"/>
              <a:cs typeface="Arial" panose="020B0604020202020204" pitchFamily="34" charset="0"/>
            </a:rPr>
            <a:t>Dww</a:t>
          </a:r>
          <a:endParaRPr lang="ru-RU" sz="2800" b="0" i="0" u="none" strike="noStrike" baseline="0">
            <a:solidFill>
              <a:srgbClr val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oneCellAnchor>
  <xdr:oneCellAnchor>
    <xdr:from>
      <xdr:col>209</xdr:col>
      <xdr:colOff>376918</xdr:colOff>
      <xdr:row>24</xdr:row>
      <xdr:rowOff>31297</xdr:rowOff>
    </xdr:from>
    <xdr:ext cx="194454" cy="410593"/>
    <xdr:sp macro="" textlink="">
      <xdr:nvSpPr>
        <xdr:cNvPr id="351" name="TextBox 350">
          <a:extLst>
            <a:ext uri="{FF2B5EF4-FFF2-40B4-BE49-F238E27FC236}">
              <a16:creationId xmlns:a16="http://schemas.microsoft.com/office/drawing/2014/main" id="{00000000-0008-0000-0200-00005F010000}"/>
            </a:ext>
          </a:extLst>
        </xdr:cNvPr>
        <xdr:cNvSpPr txBox="1"/>
      </xdr:nvSpPr>
      <xdr:spPr>
        <a:xfrm>
          <a:off x="144471118" y="6965497"/>
          <a:ext cx="194454" cy="4105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216</xdr:col>
      <xdr:colOff>555625</xdr:colOff>
      <xdr:row>20</xdr:row>
      <xdr:rowOff>218169</xdr:rowOff>
    </xdr:from>
    <xdr:ext cx="1447800" cy="416831"/>
    <xdr:sp macro="" textlink="">
      <xdr:nvSpPr>
        <xdr:cNvPr id="352" name="TextBox 351">
          <a:extLst>
            <a:ext uri="{FF2B5EF4-FFF2-40B4-BE49-F238E27FC236}">
              <a16:creationId xmlns:a16="http://schemas.microsoft.com/office/drawing/2014/main" id="{00000000-0008-0000-0200-000060010000}"/>
            </a:ext>
          </a:extLst>
        </xdr:cNvPr>
        <xdr:cNvSpPr txBox="1"/>
      </xdr:nvSpPr>
      <xdr:spPr>
        <a:xfrm>
          <a:off x="163833175" y="5933169"/>
          <a:ext cx="1447800" cy="416831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algn="ctr"/>
          <a:r>
            <a:rPr lang="ru-RU" sz="2400" baseline="0">
              <a:latin typeface="Arial" panose="020B0604020202020204" pitchFamily="34" charset="0"/>
              <a:cs typeface="Arial" panose="020B0604020202020204" pitchFamily="34" charset="0"/>
            </a:rPr>
            <a:t>Тренд</a:t>
          </a:r>
          <a:endParaRPr lang="ru-RU" sz="24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oneCellAnchor>
  <xdr:oneCellAnchor>
    <xdr:from>
      <xdr:col>209</xdr:col>
      <xdr:colOff>495300</xdr:colOff>
      <xdr:row>7</xdr:row>
      <xdr:rowOff>172922</xdr:rowOff>
    </xdr:from>
    <xdr:ext cx="7054850" cy="1141528"/>
    <xdr:sp macro="" textlink="">
      <xdr:nvSpPr>
        <xdr:cNvPr id="353" name="TextBox 352">
          <a:extLst>
            <a:ext uri="{FF2B5EF4-FFF2-40B4-BE49-F238E27FC236}">
              <a16:creationId xmlns:a16="http://schemas.microsoft.com/office/drawing/2014/main" id="{00000000-0008-0000-0200-000061010000}"/>
            </a:ext>
          </a:extLst>
        </xdr:cNvPr>
        <xdr:cNvSpPr txBox="1"/>
      </xdr:nvSpPr>
      <xdr:spPr>
        <a:xfrm>
          <a:off x="159505650" y="2039822"/>
          <a:ext cx="7054850" cy="114152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algn="ctr"/>
          <a:r>
            <a:rPr lang="ru-RU" sz="3200">
              <a:latin typeface="Arial" panose="020B0604020202020204" pitchFamily="34" charset="0"/>
              <a:cs typeface="Arial" panose="020B0604020202020204" pitchFamily="34" charset="0"/>
            </a:rPr>
            <a:t>Регрессия базисного дефлятора ВВОДОВ от  </a:t>
          </a:r>
          <a:r>
            <a:rPr lang="en-US" sz="3200" i="0">
              <a:latin typeface="Arial" panose="020B0604020202020204" pitchFamily="34" charset="0"/>
              <a:cs typeface="Arial" panose="020B0604020202020204" pitchFamily="34" charset="0"/>
            </a:rPr>
            <a:t>IPC</a:t>
          </a:r>
          <a:endParaRPr lang="ru-RU" sz="3200" i="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oneCellAnchor>
  <xdr:oneCellAnchor>
    <xdr:from>
      <xdr:col>212</xdr:col>
      <xdr:colOff>321692</xdr:colOff>
      <xdr:row>25</xdr:row>
      <xdr:rowOff>273730</xdr:rowOff>
    </xdr:from>
    <xdr:ext cx="648536" cy="364221"/>
    <xdr:sp macro="" textlink="">
      <xdr:nvSpPr>
        <xdr:cNvPr id="354" name="TextBox 353">
          <a:extLst>
            <a:ext uri="{FF2B5EF4-FFF2-40B4-BE49-F238E27FC236}">
              <a16:creationId xmlns:a16="http://schemas.microsoft.com/office/drawing/2014/main" id="{00000000-0008-0000-0200-000062010000}"/>
            </a:ext>
          </a:extLst>
        </xdr:cNvPr>
        <xdr:cNvSpPr txBox="1"/>
      </xdr:nvSpPr>
      <xdr:spPr>
        <a:xfrm>
          <a:off x="161217992" y="7512730"/>
          <a:ext cx="648536" cy="36422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ru-RU" sz="1600"/>
            <a:t>2006</a:t>
          </a:r>
        </a:p>
      </xdr:txBody>
    </xdr:sp>
    <xdr:clientData/>
  </xdr:oneCellAnchor>
  <xdr:oneCellAnchor>
    <xdr:from>
      <xdr:col>211</xdr:col>
      <xdr:colOff>490991</xdr:colOff>
      <xdr:row>22</xdr:row>
      <xdr:rowOff>285750</xdr:rowOff>
    </xdr:from>
    <xdr:ext cx="649101" cy="453060"/>
    <xdr:sp macro="" textlink="">
      <xdr:nvSpPr>
        <xdr:cNvPr id="355" name="TextBox 354">
          <a:extLst>
            <a:ext uri="{FF2B5EF4-FFF2-40B4-BE49-F238E27FC236}">
              <a16:creationId xmlns:a16="http://schemas.microsoft.com/office/drawing/2014/main" id="{00000000-0008-0000-0200-000063010000}"/>
            </a:ext>
          </a:extLst>
        </xdr:cNvPr>
        <xdr:cNvSpPr txBox="1"/>
      </xdr:nvSpPr>
      <xdr:spPr>
        <a:xfrm>
          <a:off x="160720541" y="6610350"/>
          <a:ext cx="649101" cy="4530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noAutofit/>
        </a:bodyPr>
        <a:lstStyle/>
        <a:p>
          <a:r>
            <a:rPr lang="ru-RU" sz="1600"/>
            <a:t>2008</a:t>
          </a:r>
        </a:p>
      </xdr:txBody>
    </xdr:sp>
    <xdr:clientData/>
  </xdr:oneCellAnchor>
  <xdr:oneCellAnchor>
    <xdr:from>
      <xdr:col>211</xdr:col>
      <xdr:colOff>285412</xdr:colOff>
      <xdr:row>24</xdr:row>
      <xdr:rowOff>138567</xdr:rowOff>
    </xdr:from>
    <xdr:ext cx="649474" cy="361830"/>
    <xdr:sp macro="" textlink="">
      <xdr:nvSpPr>
        <xdr:cNvPr id="356" name="TextBox 355">
          <a:extLst>
            <a:ext uri="{FF2B5EF4-FFF2-40B4-BE49-F238E27FC236}">
              <a16:creationId xmlns:a16="http://schemas.microsoft.com/office/drawing/2014/main" id="{00000000-0008-0000-0200-000064010000}"/>
            </a:ext>
          </a:extLst>
        </xdr:cNvPr>
        <xdr:cNvSpPr txBox="1"/>
      </xdr:nvSpPr>
      <xdr:spPr>
        <a:xfrm>
          <a:off x="160514962" y="7072767"/>
          <a:ext cx="649474" cy="36183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ru-RU" sz="1600"/>
            <a:t>2007</a:t>
          </a:r>
        </a:p>
      </xdr:txBody>
    </xdr:sp>
    <xdr:clientData/>
  </xdr:oneCellAnchor>
  <xdr:oneCellAnchor>
    <xdr:from>
      <xdr:col>219</xdr:col>
      <xdr:colOff>363312</xdr:colOff>
      <xdr:row>12</xdr:row>
      <xdr:rowOff>197303</xdr:rowOff>
    </xdr:from>
    <xdr:ext cx="600677" cy="342786"/>
    <xdr:sp macro="" textlink="">
      <xdr:nvSpPr>
        <xdr:cNvPr id="357" name="TextBox 356">
          <a:extLst>
            <a:ext uri="{FF2B5EF4-FFF2-40B4-BE49-F238E27FC236}">
              <a16:creationId xmlns:a16="http://schemas.microsoft.com/office/drawing/2014/main" id="{00000000-0008-0000-0200-000065010000}"/>
            </a:ext>
          </a:extLst>
        </xdr:cNvPr>
        <xdr:cNvSpPr txBox="1"/>
      </xdr:nvSpPr>
      <xdr:spPr>
        <a:xfrm>
          <a:off x="166612662" y="3588203"/>
          <a:ext cx="600677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ru-RU" sz="1600"/>
            <a:t>20</a:t>
          </a:r>
          <a:r>
            <a:rPr lang="en-US" sz="1600"/>
            <a:t>1</a:t>
          </a:r>
          <a:r>
            <a:rPr lang="ru-RU" sz="1600"/>
            <a:t>8</a:t>
          </a:r>
        </a:p>
      </xdr:txBody>
    </xdr:sp>
    <xdr:clientData/>
  </xdr:oneCellAnchor>
  <xdr:oneCellAnchor>
    <xdr:from>
      <xdr:col>214</xdr:col>
      <xdr:colOff>376918</xdr:colOff>
      <xdr:row>24</xdr:row>
      <xdr:rowOff>31297</xdr:rowOff>
    </xdr:from>
    <xdr:ext cx="194454" cy="410593"/>
    <xdr:sp macro="" textlink="">
      <xdr:nvSpPr>
        <xdr:cNvPr id="358" name="TextBox 357">
          <a:extLst>
            <a:ext uri="{FF2B5EF4-FFF2-40B4-BE49-F238E27FC236}">
              <a16:creationId xmlns:a16="http://schemas.microsoft.com/office/drawing/2014/main" id="{00000000-0008-0000-0200-000066010000}"/>
            </a:ext>
          </a:extLst>
        </xdr:cNvPr>
        <xdr:cNvSpPr txBox="1"/>
      </xdr:nvSpPr>
      <xdr:spPr>
        <a:xfrm>
          <a:off x="148262068" y="6965497"/>
          <a:ext cx="194454" cy="4105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twoCellAnchor>
    <xdr:from>
      <xdr:col>237</xdr:col>
      <xdr:colOff>76200</xdr:colOff>
      <xdr:row>5</xdr:row>
      <xdr:rowOff>1588</xdr:rowOff>
    </xdr:from>
    <xdr:to>
      <xdr:col>256</xdr:col>
      <xdr:colOff>571500</xdr:colOff>
      <xdr:row>42</xdr:row>
      <xdr:rowOff>195263</xdr:rowOff>
    </xdr:to>
    <xdr:graphicFrame macro="">
      <xdr:nvGraphicFramePr>
        <xdr:cNvPr id="364" name="Chart 14113">
          <a:extLst>
            <a:ext uri="{FF2B5EF4-FFF2-40B4-BE49-F238E27FC236}">
              <a16:creationId xmlns:a16="http://schemas.microsoft.com/office/drawing/2014/main" id="{00000000-0008-0000-0200-00006C01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oneCellAnchor>
    <xdr:from>
      <xdr:col>239</xdr:col>
      <xdr:colOff>69850</xdr:colOff>
      <xdr:row>6</xdr:row>
      <xdr:rowOff>196850</xdr:rowOff>
    </xdr:from>
    <xdr:ext cx="1454150" cy="476250"/>
    <xdr:sp macro="" textlink="">
      <xdr:nvSpPr>
        <xdr:cNvPr id="365" name="TextBox 76">
          <a:extLst>
            <a:ext uri="{FF2B5EF4-FFF2-40B4-BE49-F238E27FC236}">
              <a16:creationId xmlns:a16="http://schemas.microsoft.com/office/drawing/2014/main" id="{00000000-0008-0000-0200-00006D010000}"/>
            </a:ext>
          </a:extLst>
        </xdr:cNvPr>
        <xdr:cNvSpPr txBox="1">
          <a:spLocks noChangeArrowheads="1"/>
        </xdr:cNvSpPr>
      </xdr:nvSpPr>
      <xdr:spPr bwMode="auto">
        <a:xfrm>
          <a:off x="179863750" y="1797050"/>
          <a:ext cx="1454150" cy="476250"/>
        </a:xfrm>
        <a:prstGeom prst="rect">
          <a:avLst/>
        </a:prstGeom>
        <a:noFill/>
        <a:ln>
          <a:noFill/>
        </a:ln>
      </xdr:spPr>
      <xdr:txBody>
        <a:bodyPr vertOverflow="clip" wrap="square" lIns="36576" tIns="36576" rIns="0" bIns="0" anchor="t"/>
        <a:lstStyle/>
        <a:p>
          <a:pPr algn="ctr" rtl="0">
            <a:defRPr sz="1000"/>
          </a:pPr>
          <a:r>
            <a:rPr lang="en-US" sz="3200" b="0" i="0" u="none" strike="noStrike" baseline="0">
              <a:solidFill>
                <a:srgbClr val="000000"/>
              </a:solidFill>
              <a:latin typeface="Arial" panose="020B0604020202020204" pitchFamily="34" charset="0"/>
              <a:cs typeface="Arial" panose="020B0604020202020204" pitchFamily="34" charset="0"/>
            </a:rPr>
            <a:t>FS</a:t>
          </a:r>
          <a:endParaRPr lang="ru-RU" sz="3200" b="0" i="0" u="none" strike="noStrike" baseline="0">
            <a:solidFill>
              <a:srgbClr val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oneCellAnchor>
  <xdr:oneCellAnchor>
    <xdr:from>
      <xdr:col>240</xdr:col>
      <xdr:colOff>376918</xdr:colOff>
      <xdr:row>24</xdr:row>
      <xdr:rowOff>31297</xdr:rowOff>
    </xdr:from>
    <xdr:ext cx="194454" cy="410593"/>
    <xdr:sp macro="" textlink="">
      <xdr:nvSpPr>
        <xdr:cNvPr id="366" name="TextBox 365">
          <a:extLst>
            <a:ext uri="{FF2B5EF4-FFF2-40B4-BE49-F238E27FC236}">
              <a16:creationId xmlns:a16="http://schemas.microsoft.com/office/drawing/2014/main" id="{00000000-0008-0000-0200-00006E010000}"/>
            </a:ext>
          </a:extLst>
        </xdr:cNvPr>
        <xdr:cNvSpPr txBox="1"/>
      </xdr:nvSpPr>
      <xdr:spPr>
        <a:xfrm>
          <a:off x="159444418" y="6965497"/>
          <a:ext cx="194454" cy="4105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241</xdr:col>
      <xdr:colOff>446087</xdr:colOff>
      <xdr:row>27</xdr:row>
      <xdr:rowOff>218169</xdr:rowOff>
    </xdr:from>
    <xdr:ext cx="1447800" cy="416831"/>
    <xdr:sp macro="" textlink="">
      <xdr:nvSpPr>
        <xdr:cNvPr id="367" name="TextBox 366">
          <a:extLst>
            <a:ext uri="{FF2B5EF4-FFF2-40B4-BE49-F238E27FC236}">
              <a16:creationId xmlns:a16="http://schemas.microsoft.com/office/drawing/2014/main" id="{00000000-0008-0000-0200-00006F010000}"/>
            </a:ext>
          </a:extLst>
        </xdr:cNvPr>
        <xdr:cNvSpPr txBox="1"/>
      </xdr:nvSpPr>
      <xdr:spPr>
        <a:xfrm>
          <a:off x="181087712" y="7957232"/>
          <a:ext cx="1447800" cy="416831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algn="ctr"/>
          <a:r>
            <a:rPr lang="ru-RU" sz="2400" baseline="0">
              <a:latin typeface="Arial" panose="020B0604020202020204" pitchFamily="34" charset="0"/>
              <a:cs typeface="Arial" panose="020B0604020202020204" pitchFamily="34" charset="0"/>
            </a:rPr>
            <a:t>Тренд</a:t>
          </a:r>
          <a:endParaRPr lang="ru-RU" sz="24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oneCellAnchor>
  <xdr:oneCellAnchor>
    <xdr:from>
      <xdr:col>241</xdr:col>
      <xdr:colOff>533400</xdr:colOff>
      <xdr:row>9</xdr:row>
      <xdr:rowOff>20522</xdr:rowOff>
    </xdr:from>
    <xdr:ext cx="7054850" cy="1141528"/>
    <xdr:sp macro="" textlink="">
      <xdr:nvSpPr>
        <xdr:cNvPr id="368" name="TextBox 367">
          <a:extLst>
            <a:ext uri="{FF2B5EF4-FFF2-40B4-BE49-F238E27FC236}">
              <a16:creationId xmlns:a16="http://schemas.microsoft.com/office/drawing/2014/main" id="{00000000-0008-0000-0200-000070010000}"/>
            </a:ext>
          </a:extLst>
        </xdr:cNvPr>
        <xdr:cNvSpPr txBox="1"/>
      </xdr:nvSpPr>
      <xdr:spPr>
        <a:xfrm>
          <a:off x="181546500" y="2420822"/>
          <a:ext cx="7054850" cy="114152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algn="ctr"/>
          <a:r>
            <a:rPr lang="ru-RU" sz="3200">
              <a:latin typeface="Arial" panose="020B0604020202020204" pitchFamily="34" charset="0"/>
              <a:cs typeface="Arial" panose="020B0604020202020204" pitchFamily="34" charset="0"/>
            </a:rPr>
            <a:t>Динамика ОСНОВНЫХ</a:t>
          </a:r>
          <a:r>
            <a:rPr lang="ru-RU" sz="3200" baseline="0">
              <a:latin typeface="Arial" panose="020B0604020202020204" pitchFamily="34" charset="0"/>
              <a:cs typeface="Arial" panose="020B0604020202020204" pitchFamily="34" charset="0"/>
            </a:rPr>
            <a:t> ФОНДОВ в сопоставимых ценах 1995 г.</a:t>
          </a:r>
          <a:endParaRPr lang="ru-RU" sz="3200" i="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oneCellAnchor>
  <xdr:oneCellAnchor>
    <xdr:from>
      <xdr:col>245</xdr:col>
      <xdr:colOff>376918</xdr:colOff>
      <xdr:row>24</xdr:row>
      <xdr:rowOff>31297</xdr:rowOff>
    </xdr:from>
    <xdr:ext cx="194454" cy="410593"/>
    <xdr:sp macro="" textlink="">
      <xdr:nvSpPr>
        <xdr:cNvPr id="373" name="TextBox 372">
          <a:extLst>
            <a:ext uri="{FF2B5EF4-FFF2-40B4-BE49-F238E27FC236}">
              <a16:creationId xmlns:a16="http://schemas.microsoft.com/office/drawing/2014/main" id="{00000000-0008-0000-0200-000075010000}"/>
            </a:ext>
          </a:extLst>
        </xdr:cNvPr>
        <xdr:cNvSpPr txBox="1"/>
      </xdr:nvSpPr>
      <xdr:spPr>
        <a:xfrm>
          <a:off x="162492418" y="6965497"/>
          <a:ext cx="194454" cy="4105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177</xdr:col>
      <xdr:colOff>266700</xdr:colOff>
      <xdr:row>74</xdr:row>
      <xdr:rowOff>260351</xdr:rowOff>
    </xdr:from>
    <xdr:ext cx="3707297" cy="505267"/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SpPr txBox="1"/>
      </xdr:nvSpPr>
      <xdr:spPr>
        <a:xfrm>
          <a:off x="136021763" y="21215351"/>
          <a:ext cx="3707297" cy="50526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800">
              <a:latin typeface="Arial" panose="020B0604020202020204" pitchFamily="34" charset="0"/>
              <a:cs typeface="Arial" panose="020B0604020202020204" pitchFamily="34" charset="0"/>
            </a:rPr>
            <a:t>Dz = 0,8</a:t>
          </a:r>
          <a:r>
            <a:rPr lang="ru-RU" sz="2800">
              <a:latin typeface="Arial" panose="020B0604020202020204" pitchFamily="34" charset="0"/>
              <a:cs typeface="Arial" panose="020B0604020202020204" pitchFamily="34" charset="0"/>
            </a:rPr>
            <a:t>88</a:t>
          </a:r>
          <a:r>
            <a:rPr lang="en-US" sz="2800">
              <a:latin typeface="Arial" panose="020B0604020202020204" pitchFamily="34" charset="0"/>
              <a:cs typeface="Arial" panose="020B0604020202020204" pitchFamily="34" charset="0"/>
            </a:rPr>
            <a:t>*Dw </a:t>
          </a:r>
          <a:r>
            <a:rPr lang="ru-RU" sz="2800">
              <a:latin typeface="Arial" panose="020B0604020202020204" pitchFamily="34" charset="0"/>
              <a:cs typeface="Arial" panose="020B0604020202020204" pitchFamily="34" charset="0"/>
            </a:rPr>
            <a:t>-3</a:t>
          </a:r>
          <a:r>
            <a:rPr lang="en-US" sz="2800">
              <a:latin typeface="Arial" panose="020B0604020202020204" pitchFamily="34" charset="0"/>
              <a:cs typeface="Arial" panose="020B0604020202020204" pitchFamily="34" charset="0"/>
            </a:rPr>
            <a:t>,0</a:t>
          </a:r>
          <a:r>
            <a:rPr lang="ru-RU" sz="2800">
              <a:latin typeface="Arial" panose="020B0604020202020204" pitchFamily="34" charset="0"/>
              <a:cs typeface="Arial" panose="020B0604020202020204" pitchFamily="34" charset="0"/>
            </a:rPr>
            <a:t>38</a:t>
          </a:r>
        </a:p>
      </xdr:txBody>
    </xdr:sp>
    <xdr:clientData/>
  </xdr:oneCellAnchor>
  <xdr:oneCellAnchor>
    <xdr:from>
      <xdr:col>130</xdr:col>
      <xdr:colOff>152400</xdr:colOff>
      <xdr:row>119</xdr:row>
      <xdr:rowOff>19050</xdr:rowOff>
    </xdr:from>
    <xdr:ext cx="3771900" cy="514350"/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SpPr txBox="1"/>
      </xdr:nvSpPr>
      <xdr:spPr>
        <a:xfrm>
          <a:off x="100507800" y="34480500"/>
          <a:ext cx="3771900" cy="51435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2400" b="1">
              <a:latin typeface="Arial" panose="020B0604020202020204" pitchFamily="34" charset="0"/>
              <a:cs typeface="Arial" panose="020B0604020202020204" pitchFamily="34" charset="0"/>
            </a:rPr>
            <a:t>YD = 0,8584*DH</a:t>
          </a:r>
          <a:r>
            <a:rPr lang="en-US" sz="2400" b="1" baseline="0">
              <a:latin typeface="Arial" panose="020B0604020202020204" pitchFamily="34" charset="0"/>
              <a:cs typeface="Arial" panose="020B0604020202020204" pitchFamily="34" charset="0"/>
            </a:rPr>
            <a:t> - 814,01</a:t>
          </a:r>
          <a:endParaRPr lang="ru-RU" sz="2400" b="1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oneCellAnchor>
  <xdr:oneCellAnchor>
    <xdr:from>
      <xdr:col>142</xdr:col>
      <xdr:colOff>73479</xdr:colOff>
      <xdr:row>100</xdr:row>
      <xdr:rowOff>73479</xdr:rowOff>
    </xdr:from>
    <xdr:ext cx="194454" cy="426536"/>
    <xdr:sp macro="" textlink="">
      <xdr:nvSpPr>
        <xdr:cNvPr id="242" name="TextBox 241">
          <a:extLst>
            <a:ext uri="{FF2B5EF4-FFF2-40B4-BE49-F238E27FC236}">
              <a16:creationId xmlns:a16="http://schemas.microsoft.com/office/drawing/2014/main" id="{00000000-0008-0000-0200-0000F2000000}"/>
            </a:ext>
          </a:extLst>
        </xdr:cNvPr>
        <xdr:cNvSpPr txBox="1"/>
      </xdr:nvSpPr>
      <xdr:spPr>
        <a:xfrm>
          <a:off x="94942479" y="28934229"/>
          <a:ext cx="194454" cy="42653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145</xdr:col>
      <xdr:colOff>186417</xdr:colOff>
      <xdr:row>114</xdr:row>
      <xdr:rowOff>73479</xdr:rowOff>
    </xdr:from>
    <xdr:ext cx="194454" cy="426536"/>
    <xdr:sp macro="" textlink="">
      <xdr:nvSpPr>
        <xdr:cNvPr id="243" name="TextBox 242">
          <a:extLst>
            <a:ext uri="{FF2B5EF4-FFF2-40B4-BE49-F238E27FC236}">
              <a16:creationId xmlns:a16="http://schemas.microsoft.com/office/drawing/2014/main" id="{00000000-0008-0000-0200-0000F3000000}"/>
            </a:ext>
          </a:extLst>
        </xdr:cNvPr>
        <xdr:cNvSpPr txBox="1"/>
      </xdr:nvSpPr>
      <xdr:spPr>
        <a:xfrm>
          <a:off x="94236267" y="33163329"/>
          <a:ext cx="194454" cy="42653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147</xdr:col>
      <xdr:colOff>73479</xdr:colOff>
      <xdr:row>99</xdr:row>
      <xdr:rowOff>73479</xdr:rowOff>
    </xdr:from>
    <xdr:ext cx="194454" cy="426536"/>
    <xdr:sp macro="" textlink="">
      <xdr:nvSpPr>
        <xdr:cNvPr id="244" name="TextBox 243">
          <a:extLst>
            <a:ext uri="{FF2B5EF4-FFF2-40B4-BE49-F238E27FC236}">
              <a16:creationId xmlns:a16="http://schemas.microsoft.com/office/drawing/2014/main" id="{00000000-0008-0000-0200-0000F4000000}"/>
            </a:ext>
          </a:extLst>
        </xdr:cNvPr>
        <xdr:cNvSpPr txBox="1"/>
      </xdr:nvSpPr>
      <xdr:spPr>
        <a:xfrm>
          <a:off x="98085729" y="28629429"/>
          <a:ext cx="194454" cy="42653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145</xdr:col>
      <xdr:colOff>598713</xdr:colOff>
      <xdr:row>97</xdr:row>
      <xdr:rowOff>108856</xdr:rowOff>
    </xdr:from>
    <xdr:ext cx="2359245" cy="373225"/>
    <xdr:sp macro="" textlink="">
      <xdr:nvSpPr>
        <xdr:cNvPr id="245" name="TextBox 244">
          <a:extLst>
            <a:ext uri="{FF2B5EF4-FFF2-40B4-BE49-F238E27FC236}">
              <a16:creationId xmlns:a16="http://schemas.microsoft.com/office/drawing/2014/main" id="{00000000-0008-0000-0200-0000F5000000}"/>
            </a:ext>
          </a:extLst>
        </xdr:cNvPr>
        <xdr:cNvSpPr txBox="1"/>
      </xdr:nvSpPr>
      <xdr:spPr>
        <a:xfrm>
          <a:off x="97010763" y="28055206"/>
          <a:ext cx="2359245" cy="3732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ru-RU"/>
        </a:p>
      </xdr:txBody>
    </xdr:sp>
    <xdr:clientData/>
  </xdr:oneCellAnchor>
  <xdr:oneCellAnchor>
    <xdr:from>
      <xdr:col>142</xdr:col>
      <xdr:colOff>73479</xdr:colOff>
      <xdr:row>100</xdr:row>
      <xdr:rowOff>73479</xdr:rowOff>
    </xdr:from>
    <xdr:ext cx="194454" cy="426536"/>
    <xdr:sp macro="" textlink="">
      <xdr:nvSpPr>
        <xdr:cNvPr id="317" name="TextBox 41">
          <a:extLst>
            <a:ext uri="{FF2B5EF4-FFF2-40B4-BE49-F238E27FC236}">
              <a16:creationId xmlns:a16="http://schemas.microsoft.com/office/drawing/2014/main" id="{00000000-0008-0000-0200-00003D010000}"/>
            </a:ext>
          </a:extLst>
        </xdr:cNvPr>
        <xdr:cNvSpPr txBox="1"/>
      </xdr:nvSpPr>
      <xdr:spPr>
        <a:xfrm>
          <a:off x="94942479" y="28934229"/>
          <a:ext cx="194454" cy="42653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147</xdr:col>
      <xdr:colOff>73479</xdr:colOff>
      <xdr:row>99</xdr:row>
      <xdr:rowOff>73479</xdr:rowOff>
    </xdr:from>
    <xdr:ext cx="194454" cy="426536"/>
    <xdr:sp macro="" textlink="">
      <xdr:nvSpPr>
        <xdr:cNvPr id="335" name="TextBox 74">
          <a:extLst>
            <a:ext uri="{FF2B5EF4-FFF2-40B4-BE49-F238E27FC236}">
              <a16:creationId xmlns:a16="http://schemas.microsoft.com/office/drawing/2014/main" id="{00000000-0008-0000-0200-00004F010000}"/>
            </a:ext>
          </a:extLst>
        </xdr:cNvPr>
        <xdr:cNvSpPr txBox="1"/>
      </xdr:nvSpPr>
      <xdr:spPr>
        <a:xfrm>
          <a:off x="98085729" y="28629429"/>
          <a:ext cx="194454" cy="42653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145</xdr:col>
      <xdr:colOff>598713</xdr:colOff>
      <xdr:row>97</xdr:row>
      <xdr:rowOff>108856</xdr:rowOff>
    </xdr:from>
    <xdr:ext cx="2359245" cy="373225"/>
    <xdr:sp macro="" textlink="">
      <xdr:nvSpPr>
        <xdr:cNvPr id="336" name="TextBox 75">
          <a:extLst>
            <a:ext uri="{FF2B5EF4-FFF2-40B4-BE49-F238E27FC236}">
              <a16:creationId xmlns:a16="http://schemas.microsoft.com/office/drawing/2014/main" id="{00000000-0008-0000-0200-000050010000}"/>
            </a:ext>
          </a:extLst>
        </xdr:cNvPr>
        <xdr:cNvSpPr txBox="1"/>
      </xdr:nvSpPr>
      <xdr:spPr>
        <a:xfrm>
          <a:off x="97010763" y="28055206"/>
          <a:ext cx="2359245" cy="3732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ru-RU"/>
        </a:p>
      </xdr:txBody>
    </xdr:sp>
    <xdr:clientData/>
  </xdr:oneCellAnchor>
  <xdr:twoCellAnchor>
    <xdr:from>
      <xdr:col>146</xdr:col>
      <xdr:colOff>114300</xdr:colOff>
      <xdr:row>92</xdr:row>
      <xdr:rowOff>1588</xdr:rowOff>
    </xdr:from>
    <xdr:to>
      <xdr:col>160</xdr:col>
      <xdr:colOff>95250</xdr:colOff>
      <xdr:row>129</xdr:row>
      <xdr:rowOff>195263</xdr:rowOff>
    </xdr:to>
    <xdr:graphicFrame macro="">
      <xdr:nvGraphicFramePr>
        <xdr:cNvPr id="337" name="Chart 14113">
          <a:extLst>
            <a:ext uri="{FF2B5EF4-FFF2-40B4-BE49-F238E27FC236}">
              <a16:creationId xmlns:a16="http://schemas.microsoft.com/office/drawing/2014/main" id="{00000000-0008-0000-0200-00005101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oneCellAnchor>
    <xdr:from>
      <xdr:col>157</xdr:col>
      <xdr:colOff>495300</xdr:colOff>
      <xdr:row>125</xdr:row>
      <xdr:rowOff>15874</xdr:rowOff>
    </xdr:from>
    <xdr:ext cx="1181100" cy="536576"/>
    <xdr:sp macro="" textlink="">
      <xdr:nvSpPr>
        <xdr:cNvPr id="338" name="TextBox 76">
          <a:extLst>
            <a:ext uri="{FF2B5EF4-FFF2-40B4-BE49-F238E27FC236}">
              <a16:creationId xmlns:a16="http://schemas.microsoft.com/office/drawing/2014/main" id="{00000000-0008-0000-0200-000052010000}"/>
            </a:ext>
          </a:extLst>
        </xdr:cNvPr>
        <xdr:cNvSpPr txBox="1">
          <a:spLocks noChangeArrowheads="1"/>
        </xdr:cNvSpPr>
      </xdr:nvSpPr>
      <xdr:spPr bwMode="auto">
        <a:xfrm>
          <a:off x="120396000" y="36077524"/>
          <a:ext cx="1181100" cy="536576"/>
        </a:xfrm>
        <a:prstGeom prst="rect">
          <a:avLst/>
        </a:prstGeom>
        <a:noFill/>
        <a:ln>
          <a:noFill/>
        </a:ln>
      </xdr:spPr>
      <xdr:txBody>
        <a:bodyPr vertOverflow="clip" wrap="square" lIns="36576" tIns="36576" rIns="0" bIns="0" anchor="t"/>
        <a:lstStyle/>
        <a:p>
          <a:pPr algn="l" rtl="0">
            <a:defRPr sz="1000"/>
          </a:pPr>
          <a:r>
            <a:rPr lang="en-US" sz="2400" b="0" i="0" u="none" strike="noStrike" baseline="0">
              <a:solidFill>
                <a:srgbClr val="000000"/>
              </a:solidFill>
              <a:latin typeface="Calibri"/>
              <a:cs typeface="Calibri"/>
            </a:rPr>
            <a:t>  </a:t>
          </a:r>
          <a:r>
            <a:rPr lang="en-US" sz="2400" b="1" i="0" u="none" strike="noStrike" baseline="0">
              <a:solidFill>
                <a:srgbClr val="000000"/>
              </a:solidFill>
              <a:latin typeface="Calibri"/>
              <a:cs typeface="Calibri"/>
            </a:rPr>
            <a:t>WWP</a:t>
          </a:r>
          <a:endParaRPr lang="ru-RU" sz="2000" b="1" i="0" u="none" strike="noStrike" baseline="0">
            <a:solidFill>
              <a:srgbClr val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oneCellAnchor>
  <xdr:oneCellAnchor>
    <xdr:from>
      <xdr:col>147</xdr:col>
      <xdr:colOff>376918</xdr:colOff>
      <xdr:row>111</xdr:row>
      <xdr:rowOff>31297</xdr:rowOff>
    </xdr:from>
    <xdr:ext cx="194454" cy="410593"/>
    <xdr:sp macro="" textlink="">
      <xdr:nvSpPr>
        <xdr:cNvPr id="359" name="TextBox 358">
          <a:extLst>
            <a:ext uri="{FF2B5EF4-FFF2-40B4-BE49-F238E27FC236}">
              <a16:creationId xmlns:a16="http://schemas.microsoft.com/office/drawing/2014/main" id="{00000000-0008-0000-0200-000067010000}"/>
            </a:ext>
          </a:extLst>
        </xdr:cNvPr>
        <xdr:cNvSpPr txBox="1"/>
      </xdr:nvSpPr>
      <xdr:spPr>
        <a:xfrm>
          <a:off x="98389168" y="32244847"/>
          <a:ext cx="194454" cy="4105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156</xdr:col>
      <xdr:colOff>304800</xdr:colOff>
      <xdr:row>105</xdr:row>
      <xdr:rowOff>192769</xdr:rowOff>
    </xdr:from>
    <xdr:ext cx="1562100" cy="435881"/>
    <xdr:sp macro="" textlink="">
      <xdr:nvSpPr>
        <xdr:cNvPr id="360" name="TextBox 359">
          <a:extLst>
            <a:ext uri="{FF2B5EF4-FFF2-40B4-BE49-F238E27FC236}">
              <a16:creationId xmlns:a16="http://schemas.microsoft.com/office/drawing/2014/main" id="{00000000-0008-0000-0200-000068010000}"/>
            </a:ext>
          </a:extLst>
        </xdr:cNvPr>
        <xdr:cNvSpPr txBox="1"/>
      </xdr:nvSpPr>
      <xdr:spPr>
        <a:xfrm>
          <a:off x="119500650" y="30577519"/>
          <a:ext cx="1562100" cy="435881"/>
        </a:xfrm>
        <a:prstGeom prst="rect">
          <a:avLst/>
        </a:prstGeom>
        <a:solidFill>
          <a:sysClr val="window" lastClr="FFFFFF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algn="ctr"/>
          <a:r>
            <a:rPr lang="ru-RU" sz="2000" baseline="0">
              <a:latin typeface="Arial" panose="020B0604020202020204" pitchFamily="34" charset="0"/>
              <a:cs typeface="Arial" panose="020B0604020202020204" pitchFamily="34" charset="0"/>
            </a:rPr>
            <a:t>Тренд 2</a:t>
          </a:r>
          <a:endParaRPr lang="ru-RU" sz="20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oneCellAnchor>
  <xdr:oneCellAnchor>
    <xdr:from>
      <xdr:col>149</xdr:col>
      <xdr:colOff>361951</xdr:colOff>
      <xdr:row>94</xdr:row>
      <xdr:rowOff>95250</xdr:rowOff>
    </xdr:from>
    <xdr:ext cx="6191250" cy="1181100"/>
    <xdr:sp macro="" textlink="">
      <xdr:nvSpPr>
        <xdr:cNvPr id="361" name="TextBox 360">
          <a:extLst>
            <a:ext uri="{FF2B5EF4-FFF2-40B4-BE49-F238E27FC236}">
              <a16:creationId xmlns:a16="http://schemas.microsoft.com/office/drawing/2014/main" id="{00000000-0008-0000-0200-000069010000}"/>
            </a:ext>
          </a:extLst>
        </xdr:cNvPr>
        <xdr:cNvSpPr txBox="1"/>
      </xdr:nvSpPr>
      <xdr:spPr>
        <a:xfrm>
          <a:off x="114433351" y="27241500"/>
          <a:ext cx="6191250" cy="11811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algn="ctr"/>
          <a:r>
            <a:rPr lang="ru-RU" sz="3200">
              <a:latin typeface="Arial" panose="020B0604020202020204" pitchFamily="34" charset="0"/>
              <a:cs typeface="Arial" panose="020B0604020202020204" pitchFamily="34" charset="0"/>
            </a:rPr>
            <a:t>Регрессия денежных доходов населения</a:t>
          </a:r>
          <a:r>
            <a:rPr lang="en-US" sz="3200">
              <a:latin typeface="Arial" panose="020B0604020202020204" pitchFamily="34" charset="0"/>
              <a:cs typeface="Arial" panose="020B0604020202020204" pitchFamily="34" charset="0"/>
            </a:rPr>
            <a:t> </a:t>
          </a:r>
          <a:r>
            <a:rPr lang="ru-RU" sz="3200">
              <a:latin typeface="Arial" panose="020B0604020202020204" pitchFamily="34" charset="0"/>
              <a:cs typeface="Arial" panose="020B0604020202020204" pitchFamily="34" charset="0"/>
            </a:rPr>
            <a:t>от</a:t>
          </a:r>
          <a:r>
            <a:rPr lang="en-US" sz="3200" baseline="0">
              <a:latin typeface="Arial" panose="020B0604020202020204" pitchFamily="34" charset="0"/>
              <a:cs typeface="Arial" panose="020B0604020202020204" pitchFamily="34" charset="0"/>
            </a:rPr>
            <a:t> WWP</a:t>
          </a:r>
          <a:endParaRPr lang="ru-RU" sz="32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oneCellAnchor>
  <xdr:oneCellAnchor>
    <xdr:from>
      <xdr:col>150</xdr:col>
      <xdr:colOff>178817</xdr:colOff>
      <xdr:row>119</xdr:row>
      <xdr:rowOff>108630</xdr:rowOff>
    </xdr:from>
    <xdr:ext cx="648536" cy="364221"/>
    <xdr:sp macro="" textlink="">
      <xdr:nvSpPr>
        <xdr:cNvPr id="362" name="TextBox 361">
          <a:extLst>
            <a:ext uri="{FF2B5EF4-FFF2-40B4-BE49-F238E27FC236}">
              <a16:creationId xmlns:a16="http://schemas.microsoft.com/office/drawing/2014/main" id="{00000000-0008-0000-0200-00006A010000}"/>
            </a:ext>
          </a:extLst>
        </xdr:cNvPr>
        <xdr:cNvSpPr txBox="1"/>
      </xdr:nvSpPr>
      <xdr:spPr>
        <a:xfrm>
          <a:off x="114916967" y="34570080"/>
          <a:ext cx="648536" cy="36422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ru-RU" sz="1600"/>
            <a:t>2006</a:t>
          </a:r>
        </a:p>
      </xdr:txBody>
    </xdr:sp>
    <xdr:clientData/>
  </xdr:oneCellAnchor>
  <xdr:oneCellAnchor>
    <xdr:from>
      <xdr:col>151</xdr:col>
      <xdr:colOff>392566</xdr:colOff>
      <xdr:row>115</xdr:row>
      <xdr:rowOff>177006</xdr:rowOff>
    </xdr:from>
    <xdr:ext cx="649101" cy="364954"/>
    <xdr:sp macro="" textlink="">
      <xdr:nvSpPr>
        <xdr:cNvPr id="363" name="TextBox 362">
          <a:extLst>
            <a:ext uri="{FF2B5EF4-FFF2-40B4-BE49-F238E27FC236}">
              <a16:creationId xmlns:a16="http://schemas.microsoft.com/office/drawing/2014/main" id="{00000000-0008-0000-0200-00006B010000}"/>
            </a:ext>
          </a:extLst>
        </xdr:cNvPr>
        <xdr:cNvSpPr txBox="1"/>
      </xdr:nvSpPr>
      <xdr:spPr>
        <a:xfrm>
          <a:off x="115797466" y="33533556"/>
          <a:ext cx="649101" cy="36495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ru-RU" sz="1600"/>
            <a:t>2008</a:t>
          </a:r>
        </a:p>
      </xdr:txBody>
    </xdr:sp>
    <xdr:clientData/>
  </xdr:oneCellAnchor>
  <xdr:oneCellAnchor>
    <xdr:from>
      <xdr:col>150</xdr:col>
      <xdr:colOff>606087</xdr:colOff>
      <xdr:row>117</xdr:row>
      <xdr:rowOff>132217</xdr:rowOff>
    </xdr:from>
    <xdr:ext cx="649474" cy="361830"/>
    <xdr:sp macro="" textlink="">
      <xdr:nvSpPr>
        <xdr:cNvPr id="374" name="TextBox 373">
          <a:extLst>
            <a:ext uri="{FF2B5EF4-FFF2-40B4-BE49-F238E27FC236}">
              <a16:creationId xmlns:a16="http://schemas.microsoft.com/office/drawing/2014/main" id="{00000000-0008-0000-0200-000076010000}"/>
            </a:ext>
          </a:extLst>
        </xdr:cNvPr>
        <xdr:cNvSpPr txBox="1"/>
      </xdr:nvSpPr>
      <xdr:spPr>
        <a:xfrm>
          <a:off x="115344237" y="34060267"/>
          <a:ext cx="649474" cy="36183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ru-RU" sz="1600"/>
            <a:t>2007</a:t>
          </a:r>
        </a:p>
      </xdr:txBody>
    </xdr:sp>
    <xdr:clientData/>
  </xdr:oneCellAnchor>
  <xdr:oneCellAnchor>
    <xdr:from>
      <xdr:col>154</xdr:col>
      <xdr:colOff>122012</xdr:colOff>
      <xdr:row>102</xdr:row>
      <xdr:rowOff>270328</xdr:rowOff>
    </xdr:from>
    <xdr:ext cx="600677" cy="342786"/>
    <xdr:sp macro="" textlink="">
      <xdr:nvSpPr>
        <xdr:cNvPr id="375" name="TextBox 374">
          <a:extLst>
            <a:ext uri="{FF2B5EF4-FFF2-40B4-BE49-F238E27FC236}">
              <a16:creationId xmlns:a16="http://schemas.microsoft.com/office/drawing/2014/main" id="{00000000-0008-0000-0200-000077010000}"/>
            </a:ext>
          </a:extLst>
        </xdr:cNvPr>
        <xdr:cNvSpPr txBox="1"/>
      </xdr:nvSpPr>
      <xdr:spPr>
        <a:xfrm>
          <a:off x="117736712" y="29740678"/>
          <a:ext cx="600677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ru-RU" sz="1600"/>
            <a:t>20</a:t>
          </a:r>
          <a:r>
            <a:rPr lang="en-US" sz="1600"/>
            <a:t>16</a:t>
          </a:r>
          <a:endParaRPr lang="ru-RU" sz="1600"/>
        </a:p>
      </xdr:txBody>
    </xdr:sp>
    <xdr:clientData/>
  </xdr:oneCellAnchor>
  <xdr:oneCellAnchor>
    <xdr:from>
      <xdr:col>152</xdr:col>
      <xdr:colOff>247650</xdr:colOff>
      <xdr:row>119</xdr:row>
      <xdr:rowOff>171450</xdr:rowOff>
    </xdr:from>
    <xdr:ext cx="4476750" cy="571500"/>
    <xdr:sp macro="" textlink="">
      <xdr:nvSpPr>
        <xdr:cNvPr id="376" name="TextBox 375">
          <a:extLst>
            <a:ext uri="{FF2B5EF4-FFF2-40B4-BE49-F238E27FC236}">
              <a16:creationId xmlns:a16="http://schemas.microsoft.com/office/drawing/2014/main" id="{00000000-0008-0000-0200-000078010000}"/>
            </a:ext>
          </a:extLst>
        </xdr:cNvPr>
        <xdr:cNvSpPr txBox="1"/>
      </xdr:nvSpPr>
      <xdr:spPr>
        <a:xfrm>
          <a:off x="116376450" y="34632900"/>
          <a:ext cx="4476750" cy="5715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2400" b="1">
              <a:latin typeface="Arial" panose="020B0604020202020204" pitchFamily="34" charset="0"/>
              <a:cs typeface="Arial" panose="020B0604020202020204" pitchFamily="34" charset="0"/>
            </a:rPr>
            <a:t>DH = 0,1909*WWP</a:t>
          </a:r>
          <a:r>
            <a:rPr lang="en-US" sz="2400" b="1" baseline="0">
              <a:latin typeface="Arial" panose="020B0604020202020204" pitchFamily="34" charset="0"/>
              <a:cs typeface="Arial" panose="020B0604020202020204" pitchFamily="34" charset="0"/>
            </a:rPr>
            <a:t> + 37701</a:t>
          </a:r>
          <a:endParaRPr lang="ru-RU" sz="2400" b="1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oneCellAnchor>
  <xdr:oneCellAnchor>
    <xdr:from>
      <xdr:col>143</xdr:col>
      <xdr:colOff>73479</xdr:colOff>
      <xdr:row>100</xdr:row>
      <xdr:rowOff>73479</xdr:rowOff>
    </xdr:from>
    <xdr:ext cx="194454" cy="426536"/>
    <xdr:sp macro="" textlink="">
      <xdr:nvSpPr>
        <xdr:cNvPr id="377" name="TextBox 376">
          <a:extLst>
            <a:ext uri="{FF2B5EF4-FFF2-40B4-BE49-F238E27FC236}">
              <a16:creationId xmlns:a16="http://schemas.microsoft.com/office/drawing/2014/main" id="{00000000-0008-0000-0200-000079010000}"/>
            </a:ext>
          </a:extLst>
        </xdr:cNvPr>
        <xdr:cNvSpPr txBox="1"/>
      </xdr:nvSpPr>
      <xdr:spPr>
        <a:xfrm>
          <a:off x="108848979" y="28934229"/>
          <a:ext cx="194454" cy="42653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143</xdr:col>
      <xdr:colOff>73479</xdr:colOff>
      <xdr:row>100</xdr:row>
      <xdr:rowOff>73479</xdr:rowOff>
    </xdr:from>
    <xdr:ext cx="194454" cy="426536"/>
    <xdr:sp macro="" textlink="">
      <xdr:nvSpPr>
        <xdr:cNvPr id="378" name="TextBox 41">
          <a:extLst>
            <a:ext uri="{FF2B5EF4-FFF2-40B4-BE49-F238E27FC236}">
              <a16:creationId xmlns:a16="http://schemas.microsoft.com/office/drawing/2014/main" id="{00000000-0008-0000-0200-00007A010000}"/>
            </a:ext>
          </a:extLst>
        </xdr:cNvPr>
        <xdr:cNvSpPr txBox="1"/>
      </xdr:nvSpPr>
      <xdr:spPr>
        <a:xfrm>
          <a:off x="108848979" y="28934229"/>
          <a:ext cx="194454" cy="42653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144</xdr:col>
      <xdr:colOff>73479</xdr:colOff>
      <xdr:row>100</xdr:row>
      <xdr:rowOff>73479</xdr:rowOff>
    </xdr:from>
    <xdr:ext cx="194454" cy="426536"/>
    <xdr:sp macro="" textlink="">
      <xdr:nvSpPr>
        <xdr:cNvPr id="379" name="TextBox 378">
          <a:extLst>
            <a:ext uri="{FF2B5EF4-FFF2-40B4-BE49-F238E27FC236}">
              <a16:creationId xmlns:a16="http://schemas.microsoft.com/office/drawing/2014/main" id="{00000000-0008-0000-0200-00007B010000}"/>
            </a:ext>
          </a:extLst>
        </xdr:cNvPr>
        <xdr:cNvSpPr txBox="1"/>
      </xdr:nvSpPr>
      <xdr:spPr>
        <a:xfrm>
          <a:off x="108848979" y="28934229"/>
          <a:ext cx="194454" cy="42653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144</xdr:col>
      <xdr:colOff>73479</xdr:colOff>
      <xdr:row>100</xdr:row>
      <xdr:rowOff>73479</xdr:rowOff>
    </xdr:from>
    <xdr:ext cx="194454" cy="426536"/>
    <xdr:sp macro="" textlink="">
      <xdr:nvSpPr>
        <xdr:cNvPr id="380" name="TextBox 41">
          <a:extLst>
            <a:ext uri="{FF2B5EF4-FFF2-40B4-BE49-F238E27FC236}">
              <a16:creationId xmlns:a16="http://schemas.microsoft.com/office/drawing/2014/main" id="{00000000-0008-0000-0200-00007C010000}"/>
            </a:ext>
          </a:extLst>
        </xdr:cNvPr>
        <xdr:cNvSpPr txBox="1"/>
      </xdr:nvSpPr>
      <xdr:spPr>
        <a:xfrm>
          <a:off x="108848979" y="28934229"/>
          <a:ext cx="194454" cy="42653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150</xdr:col>
      <xdr:colOff>495300</xdr:colOff>
      <xdr:row>105</xdr:row>
      <xdr:rowOff>266700</xdr:rowOff>
    </xdr:from>
    <xdr:ext cx="1131848" cy="387286"/>
    <xdr:sp macro="" textlink="">
      <xdr:nvSpPr>
        <xdr:cNvPr id="18" name="TextBox 17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SpPr txBox="1"/>
      </xdr:nvSpPr>
      <xdr:spPr>
        <a:xfrm>
          <a:off x="115233450" y="30651450"/>
          <a:ext cx="1131848" cy="3872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2000">
              <a:latin typeface="Arial" panose="020B0604020202020204" pitchFamily="34" charset="0"/>
              <a:cs typeface="Arial" panose="020B0604020202020204" pitchFamily="34" charset="0"/>
            </a:rPr>
            <a:t>Тренд 1</a:t>
          </a:r>
        </a:p>
      </xdr:txBody>
    </xdr:sp>
    <xdr:clientData/>
  </xdr:oneCellAnchor>
  <xdr:oneCellAnchor>
    <xdr:from>
      <xdr:col>164</xdr:col>
      <xdr:colOff>73479</xdr:colOff>
      <xdr:row>100</xdr:row>
      <xdr:rowOff>73479</xdr:rowOff>
    </xdr:from>
    <xdr:ext cx="194454" cy="426536"/>
    <xdr:sp macro="" textlink="">
      <xdr:nvSpPr>
        <xdr:cNvPr id="381" name="TextBox 380">
          <a:extLst>
            <a:ext uri="{FF2B5EF4-FFF2-40B4-BE49-F238E27FC236}">
              <a16:creationId xmlns:a16="http://schemas.microsoft.com/office/drawing/2014/main" id="{00000000-0008-0000-0200-00007D010000}"/>
            </a:ext>
          </a:extLst>
        </xdr:cNvPr>
        <xdr:cNvSpPr txBox="1"/>
      </xdr:nvSpPr>
      <xdr:spPr>
        <a:xfrm>
          <a:off x="94942479" y="28934229"/>
          <a:ext cx="194454" cy="42653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167</xdr:col>
      <xdr:colOff>73479</xdr:colOff>
      <xdr:row>99</xdr:row>
      <xdr:rowOff>73479</xdr:rowOff>
    </xdr:from>
    <xdr:ext cx="194454" cy="426536"/>
    <xdr:sp macro="" textlink="">
      <xdr:nvSpPr>
        <xdr:cNvPr id="383" name="TextBox 382">
          <a:extLst>
            <a:ext uri="{FF2B5EF4-FFF2-40B4-BE49-F238E27FC236}">
              <a16:creationId xmlns:a16="http://schemas.microsoft.com/office/drawing/2014/main" id="{00000000-0008-0000-0200-00007F010000}"/>
            </a:ext>
          </a:extLst>
        </xdr:cNvPr>
        <xdr:cNvSpPr txBox="1"/>
      </xdr:nvSpPr>
      <xdr:spPr>
        <a:xfrm>
          <a:off x="98085729" y="28629429"/>
          <a:ext cx="194454" cy="42653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165</xdr:col>
      <xdr:colOff>598713</xdr:colOff>
      <xdr:row>97</xdr:row>
      <xdr:rowOff>108856</xdr:rowOff>
    </xdr:from>
    <xdr:ext cx="2359245" cy="373225"/>
    <xdr:sp macro="" textlink="">
      <xdr:nvSpPr>
        <xdr:cNvPr id="384" name="TextBox 383">
          <a:extLst>
            <a:ext uri="{FF2B5EF4-FFF2-40B4-BE49-F238E27FC236}">
              <a16:creationId xmlns:a16="http://schemas.microsoft.com/office/drawing/2014/main" id="{00000000-0008-0000-0200-000080010000}"/>
            </a:ext>
          </a:extLst>
        </xdr:cNvPr>
        <xdr:cNvSpPr txBox="1"/>
      </xdr:nvSpPr>
      <xdr:spPr>
        <a:xfrm>
          <a:off x="97010763" y="28055206"/>
          <a:ext cx="2359245" cy="3732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ru-RU"/>
        </a:p>
      </xdr:txBody>
    </xdr:sp>
    <xdr:clientData/>
  </xdr:oneCellAnchor>
  <xdr:oneCellAnchor>
    <xdr:from>
      <xdr:col>164</xdr:col>
      <xdr:colOff>73479</xdr:colOff>
      <xdr:row>100</xdr:row>
      <xdr:rowOff>73479</xdr:rowOff>
    </xdr:from>
    <xdr:ext cx="194454" cy="426536"/>
    <xdr:sp macro="" textlink="">
      <xdr:nvSpPr>
        <xdr:cNvPr id="385" name="TextBox 41">
          <a:extLst>
            <a:ext uri="{FF2B5EF4-FFF2-40B4-BE49-F238E27FC236}">
              <a16:creationId xmlns:a16="http://schemas.microsoft.com/office/drawing/2014/main" id="{00000000-0008-0000-0200-000081010000}"/>
            </a:ext>
          </a:extLst>
        </xdr:cNvPr>
        <xdr:cNvSpPr txBox="1"/>
      </xdr:nvSpPr>
      <xdr:spPr>
        <a:xfrm>
          <a:off x="94942479" y="28934229"/>
          <a:ext cx="194454" cy="42653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167</xdr:col>
      <xdr:colOff>73479</xdr:colOff>
      <xdr:row>99</xdr:row>
      <xdr:rowOff>73479</xdr:rowOff>
    </xdr:from>
    <xdr:ext cx="194454" cy="426536"/>
    <xdr:sp macro="" textlink="">
      <xdr:nvSpPr>
        <xdr:cNvPr id="386" name="TextBox 74">
          <a:extLst>
            <a:ext uri="{FF2B5EF4-FFF2-40B4-BE49-F238E27FC236}">
              <a16:creationId xmlns:a16="http://schemas.microsoft.com/office/drawing/2014/main" id="{00000000-0008-0000-0200-000082010000}"/>
            </a:ext>
          </a:extLst>
        </xdr:cNvPr>
        <xdr:cNvSpPr txBox="1"/>
      </xdr:nvSpPr>
      <xdr:spPr>
        <a:xfrm>
          <a:off x="98085729" y="28629429"/>
          <a:ext cx="194454" cy="42653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165</xdr:col>
      <xdr:colOff>598713</xdr:colOff>
      <xdr:row>97</xdr:row>
      <xdr:rowOff>108856</xdr:rowOff>
    </xdr:from>
    <xdr:ext cx="2359245" cy="373225"/>
    <xdr:sp macro="" textlink="">
      <xdr:nvSpPr>
        <xdr:cNvPr id="387" name="TextBox 75">
          <a:extLst>
            <a:ext uri="{FF2B5EF4-FFF2-40B4-BE49-F238E27FC236}">
              <a16:creationId xmlns:a16="http://schemas.microsoft.com/office/drawing/2014/main" id="{00000000-0008-0000-0200-000083010000}"/>
            </a:ext>
          </a:extLst>
        </xdr:cNvPr>
        <xdr:cNvSpPr txBox="1"/>
      </xdr:nvSpPr>
      <xdr:spPr>
        <a:xfrm>
          <a:off x="97010763" y="28055206"/>
          <a:ext cx="2359245" cy="3732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ru-RU"/>
        </a:p>
      </xdr:txBody>
    </xdr:sp>
    <xdr:clientData/>
  </xdr:oneCellAnchor>
  <xdr:twoCellAnchor>
    <xdr:from>
      <xdr:col>166</xdr:col>
      <xdr:colOff>114300</xdr:colOff>
      <xdr:row>92</xdr:row>
      <xdr:rowOff>39689</xdr:rowOff>
    </xdr:from>
    <xdr:to>
      <xdr:col>180</xdr:col>
      <xdr:colOff>552450</xdr:colOff>
      <xdr:row>129</xdr:row>
      <xdr:rowOff>209551</xdr:rowOff>
    </xdr:to>
    <xdr:graphicFrame macro="">
      <xdr:nvGraphicFramePr>
        <xdr:cNvPr id="388" name="Chart 14113">
          <a:extLst>
            <a:ext uri="{FF2B5EF4-FFF2-40B4-BE49-F238E27FC236}">
              <a16:creationId xmlns:a16="http://schemas.microsoft.com/office/drawing/2014/main" id="{00000000-0008-0000-0200-00008401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oneCellAnchor>
    <xdr:from>
      <xdr:col>167</xdr:col>
      <xdr:colOff>171450</xdr:colOff>
      <xdr:row>93</xdr:row>
      <xdr:rowOff>206374</xdr:rowOff>
    </xdr:from>
    <xdr:ext cx="857250" cy="536576"/>
    <xdr:sp macro="" textlink="">
      <xdr:nvSpPr>
        <xdr:cNvPr id="389" name="TextBox 76">
          <a:extLst>
            <a:ext uri="{FF2B5EF4-FFF2-40B4-BE49-F238E27FC236}">
              <a16:creationId xmlns:a16="http://schemas.microsoft.com/office/drawing/2014/main" id="{00000000-0008-0000-0200-000085010000}"/>
            </a:ext>
          </a:extLst>
        </xdr:cNvPr>
        <xdr:cNvSpPr txBox="1">
          <a:spLocks noChangeArrowheads="1"/>
        </xdr:cNvSpPr>
      </xdr:nvSpPr>
      <xdr:spPr bwMode="auto">
        <a:xfrm>
          <a:off x="128149350" y="27124024"/>
          <a:ext cx="857250" cy="536576"/>
        </a:xfrm>
        <a:prstGeom prst="rect">
          <a:avLst/>
        </a:prstGeom>
        <a:noFill/>
        <a:ln>
          <a:noFill/>
        </a:ln>
      </xdr:spPr>
      <xdr:txBody>
        <a:bodyPr vertOverflow="clip" wrap="square" lIns="36576" tIns="36576" rIns="0" bIns="0" anchor="t"/>
        <a:lstStyle/>
        <a:p>
          <a:pPr algn="l" rtl="0">
            <a:defRPr sz="1000"/>
          </a:pPr>
          <a:r>
            <a:rPr lang="en-US" sz="2400" b="0" i="0" u="none" strike="noStrike" baseline="0">
              <a:solidFill>
                <a:srgbClr val="000000"/>
              </a:solidFill>
              <a:latin typeface="Arial" panose="020B0604020202020204" pitchFamily="34" charset="0"/>
              <a:cs typeface="Arial" panose="020B0604020202020204" pitchFamily="34" charset="0"/>
            </a:rPr>
            <a:t>  </a:t>
          </a:r>
          <a:r>
            <a:rPr lang="en-US" sz="2800" b="1" i="0" u="none" strike="noStrike" baseline="0">
              <a:solidFill>
                <a:srgbClr val="000000"/>
              </a:solidFill>
              <a:latin typeface="Arial" panose="020B0604020202020204" pitchFamily="34" charset="0"/>
              <a:cs typeface="Arial" panose="020B0604020202020204" pitchFamily="34" charset="0"/>
            </a:rPr>
            <a:t>Pd</a:t>
          </a:r>
          <a:endParaRPr lang="ru-RU" sz="2400" b="1" i="0" u="none" strike="noStrike" baseline="0">
            <a:solidFill>
              <a:srgbClr val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oneCellAnchor>
  <xdr:oneCellAnchor>
    <xdr:from>
      <xdr:col>167</xdr:col>
      <xdr:colOff>376918</xdr:colOff>
      <xdr:row>111</xdr:row>
      <xdr:rowOff>31297</xdr:rowOff>
    </xdr:from>
    <xdr:ext cx="194454" cy="410593"/>
    <xdr:sp macro="" textlink="">
      <xdr:nvSpPr>
        <xdr:cNvPr id="390" name="TextBox 389">
          <a:extLst>
            <a:ext uri="{FF2B5EF4-FFF2-40B4-BE49-F238E27FC236}">
              <a16:creationId xmlns:a16="http://schemas.microsoft.com/office/drawing/2014/main" id="{00000000-0008-0000-0200-000086010000}"/>
            </a:ext>
          </a:extLst>
        </xdr:cNvPr>
        <xdr:cNvSpPr txBox="1"/>
      </xdr:nvSpPr>
      <xdr:spPr>
        <a:xfrm>
          <a:off x="98389168" y="32244847"/>
          <a:ext cx="194454" cy="4105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170</xdr:col>
      <xdr:colOff>457200</xdr:colOff>
      <xdr:row>103</xdr:row>
      <xdr:rowOff>288019</xdr:rowOff>
    </xdr:from>
    <xdr:ext cx="1181100" cy="435881"/>
    <xdr:sp macro="" textlink="">
      <xdr:nvSpPr>
        <xdr:cNvPr id="391" name="TextBox 390">
          <a:extLst>
            <a:ext uri="{FF2B5EF4-FFF2-40B4-BE49-F238E27FC236}">
              <a16:creationId xmlns:a16="http://schemas.microsoft.com/office/drawing/2014/main" id="{00000000-0008-0000-0200-000087010000}"/>
            </a:ext>
          </a:extLst>
        </xdr:cNvPr>
        <xdr:cNvSpPr txBox="1"/>
      </xdr:nvSpPr>
      <xdr:spPr>
        <a:xfrm>
          <a:off x="130683000" y="30101269"/>
          <a:ext cx="1181100" cy="435881"/>
        </a:xfrm>
        <a:prstGeom prst="rect">
          <a:avLst/>
        </a:prstGeom>
        <a:solidFill>
          <a:sysClr val="window" lastClr="FFFFFF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algn="ctr"/>
          <a:r>
            <a:rPr lang="ru-RU" sz="2000" baseline="0">
              <a:latin typeface="Arial" panose="020B0604020202020204" pitchFamily="34" charset="0"/>
              <a:cs typeface="Arial" panose="020B0604020202020204" pitchFamily="34" charset="0"/>
            </a:rPr>
            <a:t>тренд</a:t>
          </a:r>
          <a:r>
            <a:rPr lang="en-US" sz="2000" baseline="0">
              <a:latin typeface="Arial" panose="020B0604020202020204" pitchFamily="34" charset="0"/>
              <a:cs typeface="Arial" panose="020B0604020202020204" pitchFamily="34" charset="0"/>
            </a:rPr>
            <a:t> 1</a:t>
          </a:r>
          <a:endParaRPr lang="ru-RU" sz="20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oneCellAnchor>
  <xdr:oneCellAnchor>
    <xdr:from>
      <xdr:col>168</xdr:col>
      <xdr:colOff>438150</xdr:colOff>
      <xdr:row>94</xdr:row>
      <xdr:rowOff>228600</xdr:rowOff>
    </xdr:from>
    <xdr:ext cx="7524750" cy="666750"/>
    <xdr:sp macro="" textlink="">
      <xdr:nvSpPr>
        <xdr:cNvPr id="392" name="TextBox 391">
          <a:extLst>
            <a:ext uri="{FF2B5EF4-FFF2-40B4-BE49-F238E27FC236}">
              <a16:creationId xmlns:a16="http://schemas.microsoft.com/office/drawing/2014/main" id="{00000000-0008-0000-0200-000088010000}"/>
            </a:ext>
          </a:extLst>
        </xdr:cNvPr>
        <xdr:cNvSpPr txBox="1"/>
      </xdr:nvSpPr>
      <xdr:spPr>
        <a:xfrm>
          <a:off x="129197100" y="27412950"/>
          <a:ext cx="7524750" cy="66675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algn="ctr"/>
          <a:r>
            <a:rPr lang="ru-RU" sz="3600">
              <a:latin typeface="Arial" panose="020B0604020202020204" pitchFamily="34" charset="0"/>
              <a:cs typeface="Arial" panose="020B0604020202020204" pitchFamily="34" charset="0"/>
            </a:rPr>
            <a:t>Динамика базисного темпа КП ДХ </a:t>
          </a:r>
        </a:p>
      </xdr:txBody>
    </xdr:sp>
    <xdr:clientData/>
  </xdr:oneCellAnchor>
  <xdr:oneCellAnchor>
    <xdr:from>
      <xdr:col>163</xdr:col>
      <xdr:colOff>73479</xdr:colOff>
      <xdr:row>100</xdr:row>
      <xdr:rowOff>73479</xdr:rowOff>
    </xdr:from>
    <xdr:ext cx="194454" cy="426536"/>
    <xdr:sp macro="" textlink="">
      <xdr:nvSpPr>
        <xdr:cNvPr id="400" name="TextBox 399">
          <a:extLst>
            <a:ext uri="{FF2B5EF4-FFF2-40B4-BE49-F238E27FC236}">
              <a16:creationId xmlns:a16="http://schemas.microsoft.com/office/drawing/2014/main" id="{00000000-0008-0000-0200-000090010000}"/>
            </a:ext>
          </a:extLst>
        </xdr:cNvPr>
        <xdr:cNvSpPr txBox="1"/>
      </xdr:nvSpPr>
      <xdr:spPr>
        <a:xfrm>
          <a:off x="125727279" y="28972329"/>
          <a:ext cx="194454" cy="42653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163</xdr:col>
      <xdr:colOff>73479</xdr:colOff>
      <xdr:row>100</xdr:row>
      <xdr:rowOff>73479</xdr:rowOff>
    </xdr:from>
    <xdr:ext cx="194454" cy="426536"/>
    <xdr:sp macro="" textlink="">
      <xdr:nvSpPr>
        <xdr:cNvPr id="401" name="TextBox 41">
          <a:extLst>
            <a:ext uri="{FF2B5EF4-FFF2-40B4-BE49-F238E27FC236}">
              <a16:creationId xmlns:a16="http://schemas.microsoft.com/office/drawing/2014/main" id="{00000000-0008-0000-0200-000091010000}"/>
            </a:ext>
          </a:extLst>
        </xdr:cNvPr>
        <xdr:cNvSpPr txBox="1"/>
      </xdr:nvSpPr>
      <xdr:spPr>
        <a:xfrm>
          <a:off x="125727279" y="28972329"/>
          <a:ext cx="194454" cy="42653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165</xdr:col>
      <xdr:colOff>73479</xdr:colOff>
      <xdr:row>100</xdr:row>
      <xdr:rowOff>73479</xdr:rowOff>
    </xdr:from>
    <xdr:ext cx="194454" cy="426536"/>
    <xdr:sp macro="" textlink="">
      <xdr:nvSpPr>
        <xdr:cNvPr id="402" name="TextBox 401">
          <a:extLst>
            <a:ext uri="{FF2B5EF4-FFF2-40B4-BE49-F238E27FC236}">
              <a16:creationId xmlns:a16="http://schemas.microsoft.com/office/drawing/2014/main" id="{00000000-0008-0000-0200-000092010000}"/>
            </a:ext>
          </a:extLst>
        </xdr:cNvPr>
        <xdr:cNvSpPr txBox="1"/>
      </xdr:nvSpPr>
      <xdr:spPr>
        <a:xfrm>
          <a:off x="125727279" y="28972329"/>
          <a:ext cx="194454" cy="42653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165</xdr:col>
      <xdr:colOff>73479</xdr:colOff>
      <xdr:row>100</xdr:row>
      <xdr:rowOff>73479</xdr:rowOff>
    </xdr:from>
    <xdr:ext cx="194454" cy="426536"/>
    <xdr:sp macro="" textlink="">
      <xdr:nvSpPr>
        <xdr:cNvPr id="403" name="TextBox 41">
          <a:extLst>
            <a:ext uri="{FF2B5EF4-FFF2-40B4-BE49-F238E27FC236}">
              <a16:creationId xmlns:a16="http://schemas.microsoft.com/office/drawing/2014/main" id="{00000000-0008-0000-0200-000093010000}"/>
            </a:ext>
          </a:extLst>
        </xdr:cNvPr>
        <xdr:cNvSpPr txBox="1"/>
      </xdr:nvSpPr>
      <xdr:spPr>
        <a:xfrm>
          <a:off x="125727279" y="28972329"/>
          <a:ext cx="194454" cy="42653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174</xdr:col>
      <xdr:colOff>209550</xdr:colOff>
      <xdr:row>104</xdr:row>
      <xdr:rowOff>38100</xdr:rowOff>
    </xdr:from>
    <xdr:ext cx="1092671" cy="387286"/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SpPr txBox="1"/>
      </xdr:nvSpPr>
      <xdr:spPr>
        <a:xfrm>
          <a:off x="133388100" y="30156150"/>
          <a:ext cx="1092671" cy="3872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2000">
              <a:latin typeface="Arial" panose="020B0604020202020204" pitchFamily="34" charset="0"/>
              <a:cs typeface="Arial" panose="020B0604020202020204" pitchFamily="34" charset="0"/>
            </a:rPr>
            <a:t>тренд</a:t>
          </a:r>
          <a:r>
            <a:rPr lang="ru-RU" sz="2000" baseline="0">
              <a:latin typeface="Arial" panose="020B0604020202020204" pitchFamily="34" charset="0"/>
              <a:cs typeface="Arial" panose="020B0604020202020204" pitchFamily="34" charset="0"/>
            </a:rPr>
            <a:t> 2</a:t>
          </a:r>
          <a:endParaRPr lang="ru-RU" sz="20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oneCellAnchor>
  <xdr:oneCellAnchor>
    <xdr:from>
      <xdr:col>176</xdr:col>
      <xdr:colOff>209550</xdr:colOff>
      <xdr:row>104</xdr:row>
      <xdr:rowOff>95250</xdr:rowOff>
    </xdr:from>
    <xdr:ext cx="1092671" cy="387286"/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SpPr txBox="1"/>
      </xdr:nvSpPr>
      <xdr:spPr>
        <a:xfrm>
          <a:off x="134874000" y="30213300"/>
          <a:ext cx="1092671" cy="3872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2000">
              <a:latin typeface="Arial" panose="020B0604020202020204" pitchFamily="34" charset="0"/>
              <a:cs typeface="Arial" panose="020B0604020202020204" pitchFamily="34" charset="0"/>
            </a:rPr>
            <a:t>тренд 3</a:t>
          </a:r>
        </a:p>
      </xdr:txBody>
    </xdr:sp>
    <xdr:clientData/>
  </xdr:oneCellAnchor>
  <xdr:oneCellAnchor>
    <xdr:from>
      <xdr:col>183</xdr:col>
      <xdr:colOff>73479</xdr:colOff>
      <xdr:row>100</xdr:row>
      <xdr:rowOff>73479</xdr:rowOff>
    </xdr:from>
    <xdr:ext cx="194454" cy="426536"/>
    <xdr:sp macro="" textlink="">
      <xdr:nvSpPr>
        <xdr:cNvPr id="418" name="TextBox 417">
          <a:extLst>
            <a:ext uri="{FF2B5EF4-FFF2-40B4-BE49-F238E27FC236}">
              <a16:creationId xmlns:a16="http://schemas.microsoft.com/office/drawing/2014/main" id="{00000000-0008-0000-0200-0000A2010000}"/>
            </a:ext>
          </a:extLst>
        </xdr:cNvPr>
        <xdr:cNvSpPr txBox="1"/>
      </xdr:nvSpPr>
      <xdr:spPr>
        <a:xfrm>
          <a:off x="108848979" y="28972329"/>
          <a:ext cx="194454" cy="42653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186</xdr:col>
      <xdr:colOff>186417</xdr:colOff>
      <xdr:row>114</xdr:row>
      <xdr:rowOff>73479</xdr:rowOff>
    </xdr:from>
    <xdr:ext cx="194454" cy="426536"/>
    <xdr:sp macro="" textlink="">
      <xdr:nvSpPr>
        <xdr:cNvPr id="419" name="TextBox 418">
          <a:extLst>
            <a:ext uri="{FF2B5EF4-FFF2-40B4-BE49-F238E27FC236}">
              <a16:creationId xmlns:a16="http://schemas.microsoft.com/office/drawing/2014/main" id="{00000000-0008-0000-0200-0000A3010000}"/>
            </a:ext>
          </a:extLst>
        </xdr:cNvPr>
        <xdr:cNvSpPr txBox="1"/>
      </xdr:nvSpPr>
      <xdr:spPr>
        <a:xfrm>
          <a:off x="111343167" y="33201429"/>
          <a:ext cx="194454" cy="42653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188</xdr:col>
      <xdr:colOff>73479</xdr:colOff>
      <xdr:row>99</xdr:row>
      <xdr:rowOff>73479</xdr:rowOff>
    </xdr:from>
    <xdr:ext cx="194454" cy="426536"/>
    <xdr:sp macro="" textlink="">
      <xdr:nvSpPr>
        <xdr:cNvPr id="420" name="TextBox 419">
          <a:extLst>
            <a:ext uri="{FF2B5EF4-FFF2-40B4-BE49-F238E27FC236}">
              <a16:creationId xmlns:a16="http://schemas.microsoft.com/office/drawing/2014/main" id="{00000000-0008-0000-0200-0000A4010000}"/>
            </a:ext>
          </a:extLst>
        </xdr:cNvPr>
        <xdr:cNvSpPr txBox="1"/>
      </xdr:nvSpPr>
      <xdr:spPr>
        <a:xfrm>
          <a:off x="112830429" y="28667529"/>
          <a:ext cx="194454" cy="42653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186</xdr:col>
      <xdr:colOff>598713</xdr:colOff>
      <xdr:row>97</xdr:row>
      <xdr:rowOff>108856</xdr:rowOff>
    </xdr:from>
    <xdr:ext cx="2359245" cy="373225"/>
    <xdr:sp macro="" textlink="">
      <xdr:nvSpPr>
        <xdr:cNvPr id="421" name="TextBox 420">
          <a:extLst>
            <a:ext uri="{FF2B5EF4-FFF2-40B4-BE49-F238E27FC236}">
              <a16:creationId xmlns:a16="http://schemas.microsoft.com/office/drawing/2014/main" id="{00000000-0008-0000-0200-0000A5010000}"/>
            </a:ext>
          </a:extLst>
        </xdr:cNvPr>
        <xdr:cNvSpPr txBox="1"/>
      </xdr:nvSpPr>
      <xdr:spPr>
        <a:xfrm>
          <a:off x="111755463" y="28093306"/>
          <a:ext cx="2359245" cy="3732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ru-RU"/>
        </a:p>
      </xdr:txBody>
    </xdr:sp>
    <xdr:clientData/>
  </xdr:oneCellAnchor>
  <xdr:oneCellAnchor>
    <xdr:from>
      <xdr:col>183</xdr:col>
      <xdr:colOff>73479</xdr:colOff>
      <xdr:row>100</xdr:row>
      <xdr:rowOff>73479</xdr:rowOff>
    </xdr:from>
    <xdr:ext cx="194454" cy="426536"/>
    <xdr:sp macro="" textlink="">
      <xdr:nvSpPr>
        <xdr:cNvPr id="422" name="TextBox 41">
          <a:extLst>
            <a:ext uri="{FF2B5EF4-FFF2-40B4-BE49-F238E27FC236}">
              <a16:creationId xmlns:a16="http://schemas.microsoft.com/office/drawing/2014/main" id="{00000000-0008-0000-0200-0000A6010000}"/>
            </a:ext>
          </a:extLst>
        </xdr:cNvPr>
        <xdr:cNvSpPr txBox="1"/>
      </xdr:nvSpPr>
      <xdr:spPr>
        <a:xfrm>
          <a:off x="108848979" y="28972329"/>
          <a:ext cx="194454" cy="42653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188</xdr:col>
      <xdr:colOff>73479</xdr:colOff>
      <xdr:row>99</xdr:row>
      <xdr:rowOff>73479</xdr:rowOff>
    </xdr:from>
    <xdr:ext cx="194454" cy="426536"/>
    <xdr:sp macro="" textlink="">
      <xdr:nvSpPr>
        <xdr:cNvPr id="423" name="TextBox 74">
          <a:extLst>
            <a:ext uri="{FF2B5EF4-FFF2-40B4-BE49-F238E27FC236}">
              <a16:creationId xmlns:a16="http://schemas.microsoft.com/office/drawing/2014/main" id="{00000000-0008-0000-0200-0000A7010000}"/>
            </a:ext>
          </a:extLst>
        </xdr:cNvPr>
        <xdr:cNvSpPr txBox="1"/>
      </xdr:nvSpPr>
      <xdr:spPr>
        <a:xfrm>
          <a:off x="112830429" y="28667529"/>
          <a:ext cx="194454" cy="42653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186</xdr:col>
      <xdr:colOff>598713</xdr:colOff>
      <xdr:row>97</xdr:row>
      <xdr:rowOff>108856</xdr:rowOff>
    </xdr:from>
    <xdr:ext cx="2359245" cy="373225"/>
    <xdr:sp macro="" textlink="">
      <xdr:nvSpPr>
        <xdr:cNvPr id="424" name="TextBox 75">
          <a:extLst>
            <a:ext uri="{FF2B5EF4-FFF2-40B4-BE49-F238E27FC236}">
              <a16:creationId xmlns:a16="http://schemas.microsoft.com/office/drawing/2014/main" id="{00000000-0008-0000-0200-0000A8010000}"/>
            </a:ext>
          </a:extLst>
        </xdr:cNvPr>
        <xdr:cNvSpPr txBox="1"/>
      </xdr:nvSpPr>
      <xdr:spPr>
        <a:xfrm>
          <a:off x="111755463" y="28093306"/>
          <a:ext cx="2359245" cy="3732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ru-RU"/>
        </a:p>
      </xdr:txBody>
    </xdr:sp>
    <xdr:clientData/>
  </xdr:oneCellAnchor>
  <xdr:twoCellAnchor>
    <xdr:from>
      <xdr:col>187</xdr:col>
      <xdr:colOff>114300</xdr:colOff>
      <xdr:row>92</xdr:row>
      <xdr:rowOff>1588</xdr:rowOff>
    </xdr:from>
    <xdr:to>
      <xdr:col>201</xdr:col>
      <xdr:colOff>95250</xdr:colOff>
      <xdr:row>129</xdr:row>
      <xdr:rowOff>195263</xdr:rowOff>
    </xdr:to>
    <xdr:graphicFrame macro="">
      <xdr:nvGraphicFramePr>
        <xdr:cNvPr id="425" name="Chart 14113">
          <a:extLst>
            <a:ext uri="{FF2B5EF4-FFF2-40B4-BE49-F238E27FC236}">
              <a16:creationId xmlns:a16="http://schemas.microsoft.com/office/drawing/2014/main" id="{00000000-0008-0000-0200-0000A901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oneCellAnchor>
    <xdr:from>
      <xdr:col>199</xdr:col>
      <xdr:colOff>76200</xdr:colOff>
      <xdr:row>124</xdr:row>
      <xdr:rowOff>149224</xdr:rowOff>
    </xdr:from>
    <xdr:ext cx="1181100" cy="536576"/>
    <xdr:sp macro="" textlink="">
      <xdr:nvSpPr>
        <xdr:cNvPr id="426" name="TextBox 76">
          <a:extLst>
            <a:ext uri="{FF2B5EF4-FFF2-40B4-BE49-F238E27FC236}">
              <a16:creationId xmlns:a16="http://schemas.microsoft.com/office/drawing/2014/main" id="{00000000-0008-0000-0200-0000AA010000}"/>
            </a:ext>
          </a:extLst>
        </xdr:cNvPr>
        <xdr:cNvSpPr txBox="1">
          <a:spLocks noChangeArrowheads="1"/>
        </xdr:cNvSpPr>
      </xdr:nvSpPr>
      <xdr:spPr bwMode="auto">
        <a:xfrm>
          <a:off x="151866600" y="35982274"/>
          <a:ext cx="1181100" cy="536576"/>
        </a:xfrm>
        <a:prstGeom prst="rect">
          <a:avLst/>
        </a:prstGeom>
        <a:noFill/>
        <a:ln>
          <a:noFill/>
        </a:ln>
      </xdr:spPr>
      <xdr:txBody>
        <a:bodyPr vertOverflow="clip" wrap="square" lIns="36576" tIns="36576" rIns="0" bIns="0" anchor="t"/>
        <a:lstStyle/>
        <a:p>
          <a:pPr algn="l" rtl="0">
            <a:defRPr sz="1000"/>
          </a:pPr>
          <a:r>
            <a:rPr lang="en-US" sz="2400" b="0" i="0" u="none" strike="noStrike" baseline="0">
              <a:solidFill>
                <a:srgbClr val="000000"/>
              </a:solidFill>
              <a:latin typeface="Calibri"/>
              <a:cs typeface="Calibri"/>
            </a:rPr>
            <a:t>  </a:t>
          </a:r>
          <a:r>
            <a:rPr lang="en-US" sz="2400" b="1" i="0" u="none" strike="noStrike" baseline="0">
              <a:solidFill>
                <a:srgbClr val="000000"/>
              </a:solidFill>
              <a:latin typeface="Calibri"/>
              <a:cs typeface="Calibri"/>
            </a:rPr>
            <a:t>WWP</a:t>
          </a:r>
          <a:endParaRPr lang="ru-RU" sz="2000" b="1" i="0" u="none" strike="noStrike" baseline="0">
            <a:solidFill>
              <a:srgbClr val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oneCellAnchor>
  <xdr:oneCellAnchor>
    <xdr:from>
      <xdr:col>188</xdr:col>
      <xdr:colOff>376918</xdr:colOff>
      <xdr:row>111</xdr:row>
      <xdr:rowOff>31297</xdr:rowOff>
    </xdr:from>
    <xdr:ext cx="194454" cy="410593"/>
    <xdr:sp macro="" textlink="">
      <xdr:nvSpPr>
        <xdr:cNvPr id="427" name="TextBox 426">
          <a:extLst>
            <a:ext uri="{FF2B5EF4-FFF2-40B4-BE49-F238E27FC236}">
              <a16:creationId xmlns:a16="http://schemas.microsoft.com/office/drawing/2014/main" id="{00000000-0008-0000-0200-0000AB010000}"/>
            </a:ext>
          </a:extLst>
        </xdr:cNvPr>
        <xdr:cNvSpPr txBox="1"/>
      </xdr:nvSpPr>
      <xdr:spPr>
        <a:xfrm>
          <a:off x="113133868" y="32282947"/>
          <a:ext cx="194454" cy="4105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197</xdr:col>
      <xdr:colOff>190500</xdr:colOff>
      <xdr:row>106</xdr:row>
      <xdr:rowOff>40369</xdr:rowOff>
    </xdr:from>
    <xdr:ext cx="1562100" cy="435881"/>
    <xdr:sp macro="" textlink="">
      <xdr:nvSpPr>
        <xdr:cNvPr id="428" name="TextBox 427">
          <a:extLst>
            <a:ext uri="{FF2B5EF4-FFF2-40B4-BE49-F238E27FC236}">
              <a16:creationId xmlns:a16="http://schemas.microsoft.com/office/drawing/2014/main" id="{00000000-0008-0000-0200-0000AC010000}"/>
            </a:ext>
          </a:extLst>
        </xdr:cNvPr>
        <xdr:cNvSpPr txBox="1"/>
      </xdr:nvSpPr>
      <xdr:spPr>
        <a:xfrm>
          <a:off x="150171150" y="30768019"/>
          <a:ext cx="1562100" cy="435881"/>
        </a:xfrm>
        <a:prstGeom prst="rect">
          <a:avLst/>
        </a:prstGeom>
        <a:solidFill>
          <a:sysClr val="window" lastClr="FFFFFF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algn="ctr"/>
          <a:r>
            <a:rPr lang="ru-RU" sz="2000" baseline="0">
              <a:latin typeface="Arial" panose="020B0604020202020204" pitchFamily="34" charset="0"/>
              <a:cs typeface="Arial" panose="020B0604020202020204" pitchFamily="34" charset="0"/>
            </a:rPr>
            <a:t>Тренд 2</a:t>
          </a:r>
          <a:endParaRPr lang="ru-RU" sz="20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oneCellAnchor>
  <xdr:oneCellAnchor>
    <xdr:from>
      <xdr:col>189</xdr:col>
      <xdr:colOff>342900</xdr:colOff>
      <xdr:row>96</xdr:row>
      <xdr:rowOff>76200</xdr:rowOff>
    </xdr:from>
    <xdr:ext cx="7677149" cy="742950"/>
    <xdr:sp macro="" textlink="">
      <xdr:nvSpPr>
        <xdr:cNvPr id="429" name="TextBox 428">
          <a:extLst>
            <a:ext uri="{FF2B5EF4-FFF2-40B4-BE49-F238E27FC236}">
              <a16:creationId xmlns:a16="http://schemas.microsoft.com/office/drawing/2014/main" id="{00000000-0008-0000-0200-0000AD010000}"/>
            </a:ext>
          </a:extLst>
        </xdr:cNvPr>
        <xdr:cNvSpPr txBox="1"/>
      </xdr:nvSpPr>
      <xdr:spPr>
        <a:xfrm>
          <a:off x="144094200" y="27793950"/>
          <a:ext cx="7677149" cy="74295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algn="ctr"/>
          <a:r>
            <a:rPr lang="ru-RU" sz="3200">
              <a:latin typeface="Arial" panose="020B0604020202020204" pitchFamily="34" charset="0"/>
              <a:cs typeface="Arial" panose="020B0604020202020204" pitchFamily="34" charset="0"/>
            </a:rPr>
            <a:t>Регрессия оплаты труда</a:t>
          </a:r>
          <a:r>
            <a:rPr lang="en-US" sz="3200">
              <a:latin typeface="Arial" panose="020B0604020202020204" pitchFamily="34" charset="0"/>
              <a:cs typeface="Arial" panose="020B0604020202020204" pitchFamily="34" charset="0"/>
            </a:rPr>
            <a:t> </a:t>
          </a:r>
          <a:r>
            <a:rPr lang="ru-RU" sz="3200">
              <a:latin typeface="Arial" panose="020B0604020202020204" pitchFamily="34" charset="0"/>
              <a:cs typeface="Arial" panose="020B0604020202020204" pitchFamily="34" charset="0"/>
            </a:rPr>
            <a:t>от</a:t>
          </a:r>
          <a:r>
            <a:rPr lang="en-US" sz="3200" baseline="0">
              <a:latin typeface="Arial" panose="020B0604020202020204" pitchFamily="34" charset="0"/>
              <a:cs typeface="Arial" panose="020B0604020202020204" pitchFamily="34" charset="0"/>
            </a:rPr>
            <a:t> WWP</a:t>
          </a:r>
          <a:endParaRPr lang="ru-RU" sz="32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oneCellAnchor>
  <xdr:oneCellAnchor>
    <xdr:from>
      <xdr:col>191</xdr:col>
      <xdr:colOff>178817</xdr:colOff>
      <xdr:row>119</xdr:row>
      <xdr:rowOff>108630</xdr:rowOff>
    </xdr:from>
    <xdr:ext cx="648536" cy="364221"/>
    <xdr:sp macro="" textlink="">
      <xdr:nvSpPr>
        <xdr:cNvPr id="430" name="TextBox 429">
          <a:extLst>
            <a:ext uri="{FF2B5EF4-FFF2-40B4-BE49-F238E27FC236}">
              <a16:creationId xmlns:a16="http://schemas.microsoft.com/office/drawing/2014/main" id="{00000000-0008-0000-0200-0000AE010000}"/>
            </a:ext>
          </a:extLst>
        </xdr:cNvPr>
        <xdr:cNvSpPr txBox="1"/>
      </xdr:nvSpPr>
      <xdr:spPr>
        <a:xfrm>
          <a:off x="114916967" y="34608180"/>
          <a:ext cx="648536" cy="36422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ru-RU" sz="1600"/>
            <a:t>2006</a:t>
          </a:r>
        </a:p>
      </xdr:txBody>
    </xdr:sp>
    <xdr:clientData/>
  </xdr:oneCellAnchor>
  <xdr:oneCellAnchor>
    <xdr:from>
      <xdr:col>192</xdr:col>
      <xdr:colOff>392566</xdr:colOff>
      <xdr:row>115</xdr:row>
      <xdr:rowOff>177006</xdr:rowOff>
    </xdr:from>
    <xdr:ext cx="649101" cy="364954"/>
    <xdr:sp macro="" textlink="">
      <xdr:nvSpPr>
        <xdr:cNvPr id="431" name="TextBox 430">
          <a:extLst>
            <a:ext uri="{FF2B5EF4-FFF2-40B4-BE49-F238E27FC236}">
              <a16:creationId xmlns:a16="http://schemas.microsoft.com/office/drawing/2014/main" id="{00000000-0008-0000-0200-0000AF010000}"/>
            </a:ext>
          </a:extLst>
        </xdr:cNvPr>
        <xdr:cNvSpPr txBox="1"/>
      </xdr:nvSpPr>
      <xdr:spPr>
        <a:xfrm>
          <a:off x="115797466" y="33571656"/>
          <a:ext cx="649101" cy="36495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ru-RU" sz="1600"/>
            <a:t>2008</a:t>
          </a:r>
        </a:p>
      </xdr:txBody>
    </xdr:sp>
    <xdr:clientData/>
  </xdr:oneCellAnchor>
  <xdr:oneCellAnchor>
    <xdr:from>
      <xdr:col>191</xdr:col>
      <xdr:colOff>606087</xdr:colOff>
      <xdr:row>117</xdr:row>
      <xdr:rowOff>132217</xdr:rowOff>
    </xdr:from>
    <xdr:ext cx="649474" cy="361830"/>
    <xdr:sp macro="" textlink="">
      <xdr:nvSpPr>
        <xdr:cNvPr id="432" name="TextBox 431">
          <a:extLst>
            <a:ext uri="{FF2B5EF4-FFF2-40B4-BE49-F238E27FC236}">
              <a16:creationId xmlns:a16="http://schemas.microsoft.com/office/drawing/2014/main" id="{00000000-0008-0000-0200-0000B0010000}"/>
            </a:ext>
          </a:extLst>
        </xdr:cNvPr>
        <xdr:cNvSpPr txBox="1"/>
      </xdr:nvSpPr>
      <xdr:spPr>
        <a:xfrm>
          <a:off x="115344237" y="34098367"/>
          <a:ext cx="649474" cy="36183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ru-RU" sz="1600"/>
            <a:t>2007</a:t>
          </a:r>
        </a:p>
      </xdr:txBody>
    </xdr:sp>
    <xdr:clientData/>
  </xdr:oneCellAnchor>
  <xdr:oneCellAnchor>
    <xdr:from>
      <xdr:col>196</xdr:col>
      <xdr:colOff>445862</xdr:colOff>
      <xdr:row>103</xdr:row>
      <xdr:rowOff>136978</xdr:rowOff>
    </xdr:from>
    <xdr:ext cx="600677" cy="342786"/>
    <xdr:sp macro="" textlink="">
      <xdr:nvSpPr>
        <xdr:cNvPr id="433" name="TextBox 432">
          <a:extLst>
            <a:ext uri="{FF2B5EF4-FFF2-40B4-BE49-F238E27FC236}">
              <a16:creationId xmlns:a16="http://schemas.microsoft.com/office/drawing/2014/main" id="{00000000-0008-0000-0200-0000B1010000}"/>
            </a:ext>
          </a:extLst>
        </xdr:cNvPr>
        <xdr:cNvSpPr txBox="1"/>
      </xdr:nvSpPr>
      <xdr:spPr>
        <a:xfrm>
          <a:off x="149588312" y="29950228"/>
          <a:ext cx="600677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ru-RU" sz="1600"/>
            <a:t>20</a:t>
          </a:r>
          <a:r>
            <a:rPr lang="en-US" sz="1600"/>
            <a:t>16</a:t>
          </a:r>
          <a:endParaRPr lang="ru-RU" sz="1600"/>
        </a:p>
      </xdr:txBody>
    </xdr:sp>
    <xdr:clientData/>
  </xdr:oneCellAnchor>
  <xdr:oneCellAnchor>
    <xdr:from>
      <xdr:col>192</xdr:col>
      <xdr:colOff>533400</xdr:colOff>
      <xdr:row>119</xdr:row>
      <xdr:rowOff>152400</xdr:rowOff>
    </xdr:from>
    <xdr:ext cx="4476750" cy="571500"/>
    <xdr:sp macro="" textlink="">
      <xdr:nvSpPr>
        <xdr:cNvPr id="434" name="TextBox 433">
          <a:extLst>
            <a:ext uri="{FF2B5EF4-FFF2-40B4-BE49-F238E27FC236}">
              <a16:creationId xmlns:a16="http://schemas.microsoft.com/office/drawing/2014/main" id="{00000000-0008-0000-0200-0000B2010000}"/>
            </a:ext>
          </a:extLst>
        </xdr:cNvPr>
        <xdr:cNvSpPr txBox="1"/>
      </xdr:nvSpPr>
      <xdr:spPr>
        <a:xfrm>
          <a:off x="146570700" y="34651950"/>
          <a:ext cx="4476750" cy="5715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ru-RU" sz="2400" b="1">
              <a:latin typeface="Arial" panose="020B0604020202020204" pitchFamily="34" charset="0"/>
              <a:cs typeface="Arial" panose="020B0604020202020204" pitchFamily="34" charset="0"/>
            </a:rPr>
            <a:t>ОТ</a:t>
          </a:r>
          <a:r>
            <a:rPr lang="en-US" sz="2400" b="1">
              <a:latin typeface="Arial" panose="020B0604020202020204" pitchFamily="34" charset="0"/>
              <a:cs typeface="Arial" panose="020B0604020202020204" pitchFamily="34" charset="0"/>
            </a:rPr>
            <a:t> = 0,</a:t>
          </a:r>
          <a:r>
            <a:rPr lang="ru-RU" sz="2400" b="1">
              <a:latin typeface="Arial" panose="020B0604020202020204" pitchFamily="34" charset="0"/>
              <a:cs typeface="Arial" panose="020B0604020202020204" pitchFamily="34" charset="0"/>
            </a:rPr>
            <a:t>3889</a:t>
          </a:r>
          <a:r>
            <a:rPr lang="en-US" sz="2400" b="1">
              <a:latin typeface="Arial" panose="020B0604020202020204" pitchFamily="34" charset="0"/>
              <a:cs typeface="Arial" panose="020B0604020202020204" pitchFamily="34" charset="0"/>
            </a:rPr>
            <a:t>*WWP</a:t>
          </a:r>
          <a:r>
            <a:rPr lang="en-US" sz="2400" b="1" baseline="0">
              <a:latin typeface="Arial" panose="020B0604020202020204" pitchFamily="34" charset="0"/>
              <a:cs typeface="Arial" panose="020B0604020202020204" pitchFamily="34" charset="0"/>
            </a:rPr>
            <a:t> + </a:t>
          </a:r>
          <a:r>
            <a:rPr lang="ru-RU" sz="2400" b="1" baseline="0">
              <a:latin typeface="Arial" panose="020B0604020202020204" pitchFamily="34" charset="0"/>
              <a:cs typeface="Arial" panose="020B0604020202020204" pitchFamily="34" charset="0"/>
            </a:rPr>
            <a:t>7900,7</a:t>
          </a:r>
          <a:endParaRPr lang="ru-RU" sz="2400" b="1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oneCellAnchor>
  <xdr:oneCellAnchor>
    <xdr:from>
      <xdr:col>184</xdr:col>
      <xdr:colOff>73479</xdr:colOff>
      <xdr:row>100</xdr:row>
      <xdr:rowOff>73479</xdr:rowOff>
    </xdr:from>
    <xdr:ext cx="194454" cy="426536"/>
    <xdr:sp macro="" textlink="">
      <xdr:nvSpPr>
        <xdr:cNvPr id="435" name="TextBox 434">
          <a:extLst>
            <a:ext uri="{FF2B5EF4-FFF2-40B4-BE49-F238E27FC236}">
              <a16:creationId xmlns:a16="http://schemas.microsoft.com/office/drawing/2014/main" id="{00000000-0008-0000-0200-0000B3010000}"/>
            </a:ext>
          </a:extLst>
        </xdr:cNvPr>
        <xdr:cNvSpPr txBox="1"/>
      </xdr:nvSpPr>
      <xdr:spPr>
        <a:xfrm>
          <a:off x="109668129" y="28972329"/>
          <a:ext cx="194454" cy="42653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184</xdr:col>
      <xdr:colOff>73479</xdr:colOff>
      <xdr:row>100</xdr:row>
      <xdr:rowOff>73479</xdr:rowOff>
    </xdr:from>
    <xdr:ext cx="194454" cy="426536"/>
    <xdr:sp macro="" textlink="">
      <xdr:nvSpPr>
        <xdr:cNvPr id="436" name="TextBox 41">
          <a:extLst>
            <a:ext uri="{FF2B5EF4-FFF2-40B4-BE49-F238E27FC236}">
              <a16:creationId xmlns:a16="http://schemas.microsoft.com/office/drawing/2014/main" id="{00000000-0008-0000-0200-0000B4010000}"/>
            </a:ext>
          </a:extLst>
        </xdr:cNvPr>
        <xdr:cNvSpPr txBox="1"/>
      </xdr:nvSpPr>
      <xdr:spPr>
        <a:xfrm>
          <a:off x="109668129" y="28972329"/>
          <a:ext cx="194454" cy="42653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185</xdr:col>
      <xdr:colOff>73479</xdr:colOff>
      <xdr:row>100</xdr:row>
      <xdr:rowOff>73479</xdr:rowOff>
    </xdr:from>
    <xdr:ext cx="194454" cy="426536"/>
    <xdr:sp macro="" textlink="">
      <xdr:nvSpPr>
        <xdr:cNvPr id="437" name="TextBox 436">
          <a:extLst>
            <a:ext uri="{FF2B5EF4-FFF2-40B4-BE49-F238E27FC236}">
              <a16:creationId xmlns:a16="http://schemas.microsoft.com/office/drawing/2014/main" id="{00000000-0008-0000-0200-0000B5010000}"/>
            </a:ext>
          </a:extLst>
        </xdr:cNvPr>
        <xdr:cNvSpPr txBox="1"/>
      </xdr:nvSpPr>
      <xdr:spPr>
        <a:xfrm>
          <a:off x="110392029" y="28972329"/>
          <a:ext cx="194454" cy="42653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185</xdr:col>
      <xdr:colOff>73479</xdr:colOff>
      <xdr:row>100</xdr:row>
      <xdr:rowOff>73479</xdr:rowOff>
    </xdr:from>
    <xdr:ext cx="194454" cy="426536"/>
    <xdr:sp macro="" textlink="">
      <xdr:nvSpPr>
        <xdr:cNvPr id="438" name="TextBox 41">
          <a:extLst>
            <a:ext uri="{FF2B5EF4-FFF2-40B4-BE49-F238E27FC236}">
              <a16:creationId xmlns:a16="http://schemas.microsoft.com/office/drawing/2014/main" id="{00000000-0008-0000-0200-0000B6010000}"/>
            </a:ext>
          </a:extLst>
        </xdr:cNvPr>
        <xdr:cNvSpPr txBox="1"/>
      </xdr:nvSpPr>
      <xdr:spPr>
        <a:xfrm>
          <a:off x="110392029" y="28972329"/>
          <a:ext cx="194454" cy="42653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191</xdr:col>
      <xdr:colOff>19050</xdr:colOff>
      <xdr:row>106</xdr:row>
      <xdr:rowOff>0</xdr:rowOff>
    </xdr:from>
    <xdr:ext cx="1131848" cy="387286"/>
    <xdr:sp macro="" textlink="">
      <xdr:nvSpPr>
        <xdr:cNvPr id="439" name="TextBox 438">
          <a:extLst>
            <a:ext uri="{FF2B5EF4-FFF2-40B4-BE49-F238E27FC236}">
              <a16:creationId xmlns:a16="http://schemas.microsoft.com/office/drawing/2014/main" id="{00000000-0008-0000-0200-0000B7010000}"/>
            </a:ext>
          </a:extLst>
        </xdr:cNvPr>
        <xdr:cNvSpPr txBox="1"/>
      </xdr:nvSpPr>
      <xdr:spPr>
        <a:xfrm>
          <a:off x="145332450" y="30727650"/>
          <a:ext cx="1131848" cy="3872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2000">
              <a:latin typeface="Arial" panose="020B0604020202020204" pitchFamily="34" charset="0"/>
              <a:cs typeface="Arial" panose="020B0604020202020204" pitchFamily="34" charset="0"/>
            </a:rPr>
            <a:t>Тренд 1</a:t>
          </a:r>
        </a:p>
      </xdr:txBody>
    </xdr:sp>
    <xdr:clientData/>
  </xdr:oneCellAnchor>
  <xdr:oneCellAnchor>
    <xdr:from>
      <xdr:col>143</xdr:col>
      <xdr:colOff>73479</xdr:colOff>
      <xdr:row>141</xdr:row>
      <xdr:rowOff>73479</xdr:rowOff>
    </xdr:from>
    <xdr:ext cx="194454" cy="426536"/>
    <xdr:sp macro="" textlink="">
      <xdr:nvSpPr>
        <xdr:cNvPr id="382" name="TextBox 381">
          <a:extLst>
            <a:ext uri="{FF2B5EF4-FFF2-40B4-BE49-F238E27FC236}">
              <a16:creationId xmlns:a16="http://schemas.microsoft.com/office/drawing/2014/main" id="{00000000-0008-0000-0200-00007E010000}"/>
            </a:ext>
          </a:extLst>
        </xdr:cNvPr>
        <xdr:cNvSpPr txBox="1"/>
      </xdr:nvSpPr>
      <xdr:spPr>
        <a:xfrm>
          <a:off x="108848979" y="28972329"/>
          <a:ext cx="194454" cy="42653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146</xdr:col>
      <xdr:colOff>186417</xdr:colOff>
      <xdr:row>155</xdr:row>
      <xdr:rowOff>73479</xdr:rowOff>
    </xdr:from>
    <xdr:ext cx="194454" cy="426536"/>
    <xdr:sp macro="" textlink="">
      <xdr:nvSpPr>
        <xdr:cNvPr id="393" name="TextBox 392">
          <a:extLst>
            <a:ext uri="{FF2B5EF4-FFF2-40B4-BE49-F238E27FC236}">
              <a16:creationId xmlns:a16="http://schemas.microsoft.com/office/drawing/2014/main" id="{00000000-0008-0000-0200-000089010000}"/>
            </a:ext>
          </a:extLst>
        </xdr:cNvPr>
        <xdr:cNvSpPr txBox="1"/>
      </xdr:nvSpPr>
      <xdr:spPr>
        <a:xfrm>
          <a:off x="111343167" y="33201429"/>
          <a:ext cx="194454" cy="42653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148</xdr:col>
      <xdr:colOff>73479</xdr:colOff>
      <xdr:row>140</xdr:row>
      <xdr:rowOff>73479</xdr:rowOff>
    </xdr:from>
    <xdr:ext cx="194454" cy="426536"/>
    <xdr:sp macro="" textlink="">
      <xdr:nvSpPr>
        <xdr:cNvPr id="394" name="TextBox 393">
          <a:extLst>
            <a:ext uri="{FF2B5EF4-FFF2-40B4-BE49-F238E27FC236}">
              <a16:creationId xmlns:a16="http://schemas.microsoft.com/office/drawing/2014/main" id="{00000000-0008-0000-0200-00008A010000}"/>
            </a:ext>
          </a:extLst>
        </xdr:cNvPr>
        <xdr:cNvSpPr txBox="1"/>
      </xdr:nvSpPr>
      <xdr:spPr>
        <a:xfrm>
          <a:off x="112830429" y="28667529"/>
          <a:ext cx="194454" cy="42653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146</xdr:col>
      <xdr:colOff>598713</xdr:colOff>
      <xdr:row>138</xdr:row>
      <xdr:rowOff>108856</xdr:rowOff>
    </xdr:from>
    <xdr:ext cx="2359245" cy="373225"/>
    <xdr:sp macro="" textlink="">
      <xdr:nvSpPr>
        <xdr:cNvPr id="395" name="TextBox 394">
          <a:extLst>
            <a:ext uri="{FF2B5EF4-FFF2-40B4-BE49-F238E27FC236}">
              <a16:creationId xmlns:a16="http://schemas.microsoft.com/office/drawing/2014/main" id="{00000000-0008-0000-0200-00008B010000}"/>
            </a:ext>
          </a:extLst>
        </xdr:cNvPr>
        <xdr:cNvSpPr txBox="1"/>
      </xdr:nvSpPr>
      <xdr:spPr>
        <a:xfrm>
          <a:off x="111755463" y="28093306"/>
          <a:ext cx="2359245" cy="3732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ru-RU"/>
        </a:p>
      </xdr:txBody>
    </xdr:sp>
    <xdr:clientData/>
  </xdr:oneCellAnchor>
  <xdr:oneCellAnchor>
    <xdr:from>
      <xdr:col>143</xdr:col>
      <xdr:colOff>73479</xdr:colOff>
      <xdr:row>141</xdr:row>
      <xdr:rowOff>73479</xdr:rowOff>
    </xdr:from>
    <xdr:ext cx="194454" cy="426536"/>
    <xdr:sp macro="" textlink="">
      <xdr:nvSpPr>
        <xdr:cNvPr id="396" name="TextBox 41">
          <a:extLst>
            <a:ext uri="{FF2B5EF4-FFF2-40B4-BE49-F238E27FC236}">
              <a16:creationId xmlns:a16="http://schemas.microsoft.com/office/drawing/2014/main" id="{00000000-0008-0000-0200-00008C010000}"/>
            </a:ext>
          </a:extLst>
        </xdr:cNvPr>
        <xdr:cNvSpPr txBox="1"/>
      </xdr:nvSpPr>
      <xdr:spPr>
        <a:xfrm>
          <a:off x="108848979" y="28972329"/>
          <a:ext cx="194454" cy="42653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148</xdr:col>
      <xdr:colOff>73479</xdr:colOff>
      <xdr:row>140</xdr:row>
      <xdr:rowOff>73479</xdr:rowOff>
    </xdr:from>
    <xdr:ext cx="194454" cy="426536"/>
    <xdr:sp macro="" textlink="">
      <xdr:nvSpPr>
        <xdr:cNvPr id="397" name="TextBox 74">
          <a:extLst>
            <a:ext uri="{FF2B5EF4-FFF2-40B4-BE49-F238E27FC236}">
              <a16:creationId xmlns:a16="http://schemas.microsoft.com/office/drawing/2014/main" id="{00000000-0008-0000-0200-00008D010000}"/>
            </a:ext>
          </a:extLst>
        </xdr:cNvPr>
        <xdr:cNvSpPr txBox="1"/>
      </xdr:nvSpPr>
      <xdr:spPr>
        <a:xfrm>
          <a:off x="112830429" y="28667529"/>
          <a:ext cx="194454" cy="42653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146</xdr:col>
      <xdr:colOff>598713</xdr:colOff>
      <xdr:row>138</xdr:row>
      <xdr:rowOff>108856</xdr:rowOff>
    </xdr:from>
    <xdr:ext cx="2359245" cy="373225"/>
    <xdr:sp macro="" textlink="">
      <xdr:nvSpPr>
        <xdr:cNvPr id="398" name="TextBox 75">
          <a:extLst>
            <a:ext uri="{FF2B5EF4-FFF2-40B4-BE49-F238E27FC236}">
              <a16:creationId xmlns:a16="http://schemas.microsoft.com/office/drawing/2014/main" id="{00000000-0008-0000-0200-00008E010000}"/>
            </a:ext>
          </a:extLst>
        </xdr:cNvPr>
        <xdr:cNvSpPr txBox="1"/>
      </xdr:nvSpPr>
      <xdr:spPr>
        <a:xfrm>
          <a:off x="111755463" y="28093306"/>
          <a:ext cx="2359245" cy="3732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ru-RU"/>
        </a:p>
      </xdr:txBody>
    </xdr:sp>
    <xdr:clientData/>
  </xdr:oneCellAnchor>
  <xdr:twoCellAnchor>
    <xdr:from>
      <xdr:col>147</xdr:col>
      <xdr:colOff>114300</xdr:colOff>
      <xdr:row>133</xdr:row>
      <xdr:rowOff>1588</xdr:rowOff>
    </xdr:from>
    <xdr:to>
      <xdr:col>161</xdr:col>
      <xdr:colOff>95250</xdr:colOff>
      <xdr:row>170</xdr:row>
      <xdr:rowOff>195263</xdr:rowOff>
    </xdr:to>
    <xdr:graphicFrame macro="">
      <xdr:nvGraphicFramePr>
        <xdr:cNvPr id="399" name="Chart 14113">
          <a:extLst>
            <a:ext uri="{FF2B5EF4-FFF2-40B4-BE49-F238E27FC236}">
              <a16:creationId xmlns:a16="http://schemas.microsoft.com/office/drawing/2014/main" id="{00000000-0008-0000-0200-00008F01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oneCellAnchor>
    <xdr:from>
      <xdr:col>158</xdr:col>
      <xdr:colOff>495300</xdr:colOff>
      <xdr:row>166</xdr:row>
      <xdr:rowOff>15874</xdr:rowOff>
    </xdr:from>
    <xdr:ext cx="1181100" cy="536576"/>
    <xdr:sp macro="" textlink="">
      <xdr:nvSpPr>
        <xdr:cNvPr id="404" name="TextBox 76">
          <a:extLst>
            <a:ext uri="{FF2B5EF4-FFF2-40B4-BE49-F238E27FC236}">
              <a16:creationId xmlns:a16="http://schemas.microsoft.com/office/drawing/2014/main" id="{00000000-0008-0000-0200-000094010000}"/>
            </a:ext>
          </a:extLst>
        </xdr:cNvPr>
        <xdr:cNvSpPr txBox="1">
          <a:spLocks noChangeArrowheads="1"/>
        </xdr:cNvSpPr>
      </xdr:nvSpPr>
      <xdr:spPr bwMode="auto">
        <a:xfrm>
          <a:off x="120396000" y="36115624"/>
          <a:ext cx="1181100" cy="536576"/>
        </a:xfrm>
        <a:prstGeom prst="rect">
          <a:avLst/>
        </a:prstGeom>
        <a:noFill/>
        <a:ln>
          <a:noFill/>
        </a:ln>
      </xdr:spPr>
      <xdr:txBody>
        <a:bodyPr vertOverflow="clip" wrap="square" lIns="36576" tIns="36576" rIns="0" bIns="0" anchor="t"/>
        <a:lstStyle/>
        <a:p>
          <a:pPr algn="l" rtl="0">
            <a:defRPr sz="1000"/>
          </a:pPr>
          <a:r>
            <a:rPr lang="en-US" sz="2400" b="0" i="0" u="none" strike="noStrike" baseline="0">
              <a:solidFill>
                <a:srgbClr val="000000"/>
              </a:solidFill>
              <a:latin typeface="Calibri"/>
              <a:cs typeface="Calibri"/>
            </a:rPr>
            <a:t>  </a:t>
          </a:r>
          <a:r>
            <a:rPr lang="en-US" sz="2400" b="1" i="0" u="none" strike="noStrike" baseline="0">
              <a:solidFill>
                <a:srgbClr val="000000"/>
              </a:solidFill>
              <a:latin typeface="Calibri"/>
              <a:cs typeface="Calibri"/>
            </a:rPr>
            <a:t>WWP</a:t>
          </a:r>
          <a:endParaRPr lang="ru-RU" sz="2000" b="1" i="0" u="none" strike="noStrike" baseline="0">
            <a:solidFill>
              <a:srgbClr val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oneCellAnchor>
  <xdr:oneCellAnchor>
    <xdr:from>
      <xdr:col>148</xdr:col>
      <xdr:colOff>376918</xdr:colOff>
      <xdr:row>152</xdr:row>
      <xdr:rowOff>31297</xdr:rowOff>
    </xdr:from>
    <xdr:ext cx="194454" cy="410593"/>
    <xdr:sp macro="" textlink="">
      <xdr:nvSpPr>
        <xdr:cNvPr id="405" name="TextBox 404">
          <a:extLst>
            <a:ext uri="{FF2B5EF4-FFF2-40B4-BE49-F238E27FC236}">
              <a16:creationId xmlns:a16="http://schemas.microsoft.com/office/drawing/2014/main" id="{00000000-0008-0000-0200-000095010000}"/>
            </a:ext>
          </a:extLst>
        </xdr:cNvPr>
        <xdr:cNvSpPr txBox="1"/>
      </xdr:nvSpPr>
      <xdr:spPr>
        <a:xfrm>
          <a:off x="113133868" y="32282947"/>
          <a:ext cx="194454" cy="4105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157</xdr:col>
      <xdr:colOff>304800</xdr:colOff>
      <xdr:row>140</xdr:row>
      <xdr:rowOff>97519</xdr:rowOff>
    </xdr:from>
    <xdr:ext cx="1562100" cy="435881"/>
    <xdr:sp macro="" textlink="">
      <xdr:nvSpPr>
        <xdr:cNvPr id="406" name="TextBox 405">
          <a:extLst>
            <a:ext uri="{FF2B5EF4-FFF2-40B4-BE49-F238E27FC236}">
              <a16:creationId xmlns:a16="http://schemas.microsoft.com/office/drawing/2014/main" id="{00000000-0008-0000-0200-000096010000}"/>
            </a:ext>
          </a:extLst>
        </xdr:cNvPr>
        <xdr:cNvSpPr txBox="1"/>
      </xdr:nvSpPr>
      <xdr:spPr>
        <a:xfrm>
          <a:off x="119500650" y="40121569"/>
          <a:ext cx="1562100" cy="435881"/>
        </a:xfrm>
        <a:prstGeom prst="rect">
          <a:avLst/>
        </a:prstGeom>
        <a:solidFill>
          <a:sysClr val="window" lastClr="FFFFFF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algn="ctr"/>
          <a:r>
            <a:rPr lang="ru-RU" sz="2000" baseline="0">
              <a:latin typeface="Arial" panose="020B0604020202020204" pitchFamily="34" charset="0"/>
              <a:cs typeface="Arial" panose="020B0604020202020204" pitchFamily="34" charset="0"/>
            </a:rPr>
            <a:t>Тренд 2</a:t>
          </a:r>
          <a:endParaRPr lang="ru-RU" sz="20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oneCellAnchor>
  <xdr:oneCellAnchor>
    <xdr:from>
      <xdr:col>150</xdr:col>
      <xdr:colOff>361951</xdr:colOff>
      <xdr:row>135</xdr:row>
      <xdr:rowOff>95250</xdr:rowOff>
    </xdr:from>
    <xdr:ext cx="6191250" cy="1181100"/>
    <xdr:sp macro="" textlink="">
      <xdr:nvSpPr>
        <xdr:cNvPr id="407" name="TextBox 406">
          <a:extLst>
            <a:ext uri="{FF2B5EF4-FFF2-40B4-BE49-F238E27FC236}">
              <a16:creationId xmlns:a16="http://schemas.microsoft.com/office/drawing/2014/main" id="{00000000-0008-0000-0200-000097010000}"/>
            </a:ext>
          </a:extLst>
        </xdr:cNvPr>
        <xdr:cNvSpPr txBox="1"/>
      </xdr:nvSpPr>
      <xdr:spPr>
        <a:xfrm>
          <a:off x="114433351" y="27279600"/>
          <a:ext cx="6191250" cy="11811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algn="ctr"/>
          <a:r>
            <a:rPr lang="ru-RU" sz="3200">
              <a:latin typeface="Arial" panose="020B0604020202020204" pitchFamily="34" charset="0"/>
              <a:cs typeface="Arial" panose="020B0604020202020204" pitchFamily="34" charset="0"/>
            </a:rPr>
            <a:t>Регрессия прочих денежных доходов населения</a:t>
          </a:r>
          <a:r>
            <a:rPr lang="en-US" sz="3200">
              <a:latin typeface="Arial" panose="020B0604020202020204" pitchFamily="34" charset="0"/>
              <a:cs typeface="Arial" panose="020B0604020202020204" pitchFamily="34" charset="0"/>
            </a:rPr>
            <a:t> </a:t>
          </a:r>
          <a:r>
            <a:rPr lang="ru-RU" sz="3200">
              <a:latin typeface="Arial" panose="020B0604020202020204" pitchFamily="34" charset="0"/>
              <a:cs typeface="Arial" panose="020B0604020202020204" pitchFamily="34" charset="0"/>
            </a:rPr>
            <a:t>от</a:t>
          </a:r>
          <a:r>
            <a:rPr lang="en-US" sz="3200" baseline="0">
              <a:latin typeface="Arial" panose="020B0604020202020204" pitchFamily="34" charset="0"/>
              <a:cs typeface="Arial" panose="020B0604020202020204" pitchFamily="34" charset="0"/>
            </a:rPr>
            <a:t> WWP</a:t>
          </a:r>
          <a:endParaRPr lang="ru-RU" sz="32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oneCellAnchor>
  <xdr:oneCellAnchor>
    <xdr:from>
      <xdr:col>149</xdr:col>
      <xdr:colOff>540767</xdr:colOff>
      <xdr:row>157</xdr:row>
      <xdr:rowOff>108630</xdr:rowOff>
    </xdr:from>
    <xdr:ext cx="648536" cy="364221"/>
    <xdr:sp macro="" textlink="">
      <xdr:nvSpPr>
        <xdr:cNvPr id="408" name="TextBox 407">
          <a:extLst>
            <a:ext uri="{FF2B5EF4-FFF2-40B4-BE49-F238E27FC236}">
              <a16:creationId xmlns:a16="http://schemas.microsoft.com/office/drawing/2014/main" id="{00000000-0008-0000-0200-000098010000}"/>
            </a:ext>
          </a:extLst>
        </xdr:cNvPr>
        <xdr:cNvSpPr txBox="1"/>
      </xdr:nvSpPr>
      <xdr:spPr>
        <a:xfrm>
          <a:off x="114002567" y="45199980"/>
          <a:ext cx="648536" cy="36422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ru-RU" sz="1600"/>
            <a:t>2006</a:t>
          </a:r>
        </a:p>
      </xdr:txBody>
    </xdr:sp>
    <xdr:clientData/>
  </xdr:oneCellAnchor>
  <xdr:oneCellAnchor>
    <xdr:from>
      <xdr:col>152</xdr:col>
      <xdr:colOff>278266</xdr:colOff>
      <xdr:row>157</xdr:row>
      <xdr:rowOff>196056</xdr:rowOff>
    </xdr:from>
    <xdr:ext cx="649101" cy="364954"/>
    <xdr:sp macro="" textlink="">
      <xdr:nvSpPr>
        <xdr:cNvPr id="409" name="TextBox 408">
          <a:extLst>
            <a:ext uri="{FF2B5EF4-FFF2-40B4-BE49-F238E27FC236}">
              <a16:creationId xmlns:a16="http://schemas.microsoft.com/office/drawing/2014/main" id="{00000000-0008-0000-0200-000099010000}"/>
            </a:ext>
          </a:extLst>
        </xdr:cNvPr>
        <xdr:cNvSpPr txBox="1"/>
      </xdr:nvSpPr>
      <xdr:spPr>
        <a:xfrm>
          <a:off x="115683166" y="45287406"/>
          <a:ext cx="649101" cy="36495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ru-RU" sz="1600"/>
            <a:t>2008</a:t>
          </a:r>
        </a:p>
      </xdr:txBody>
    </xdr:sp>
    <xdr:clientData/>
  </xdr:oneCellAnchor>
  <xdr:oneCellAnchor>
    <xdr:from>
      <xdr:col>150</xdr:col>
      <xdr:colOff>472737</xdr:colOff>
      <xdr:row>155</xdr:row>
      <xdr:rowOff>265567</xdr:rowOff>
    </xdr:from>
    <xdr:ext cx="649474" cy="361830"/>
    <xdr:sp macro="" textlink="">
      <xdr:nvSpPr>
        <xdr:cNvPr id="410" name="TextBox 409">
          <a:extLst>
            <a:ext uri="{FF2B5EF4-FFF2-40B4-BE49-F238E27FC236}">
              <a16:creationId xmlns:a16="http://schemas.microsoft.com/office/drawing/2014/main" id="{00000000-0008-0000-0200-00009A010000}"/>
            </a:ext>
          </a:extLst>
        </xdr:cNvPr>
        <xdr:cNvSpPr txBox="1"/>
      </xdr:nvSpPr>
      <xdr:spPr>
        <a:xfrm>
          <a:off x="114544137" y="44823517"/>
          <a:ext cx="649474" cy="36183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ru-RU" sz="1600"/>
            <a:t>2007</a:t>
          </a:r>
        </a:p>
      </xdr:txBody>
    </xdr:sp>
    <xdr:clientData/>
  </xdr:oneCellAnchor>
  <xdr:oneCellAnchor>
    <xdr:from>
      <xdr:col>156</xdr:col>
      <xdr:colOff>141062</xdr:colOff>
      <xdr:row>145</xdr:row>
      <xdr:rowOff>41728</xdr:rowOff>
    </xdr:from>
    <xdr:ext cx="600677" cy="342786"/>
    <xdr:sp macro="" textlink="">
      <xdr:nvSpPr>
        <xdr:cNvPr id="411" name="TextBox 410">
          <a:extLst>
            <a:ext uri="{FF2B5EF4-FFF2-40B4-BE49-F238E27FC236}">
              <a16:creationId xmlns:a16="http://schemas.microsoft.com/office/drawing/2014/main" id="{00000000-0008-0000-0200-00009B010000}"/>
            </a:ext>
          </a:extLst>
        </xdr:cNvPr>
        <xdr:cNvSpPr txBox="1"/>
      </xdr:nvSpPr>
      <xdr:spPr>
        <a:xfrm>
          <a:off x="118536812" y="41589778"/>
          <a:ext cx="600677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ru-RU" sz="1600"/>
            <a:t>20</a:t>
          </a:r>
          <a:r>
            <a:rPr lang="en-US" sz="1600"/>
            <a:t>16</a:t>
          </a:r>
          <a:endParaRPr lang="ru-RU" sz="1600"/>
        </a:p>
      </xdr:txBody>
    </xdr:sp>
    <xdr:clientData/>
  </xdr:oneCellAnchor>
  <xdr:oneCellAnchor>
    <xdr:from>
      <xdr:col>153</xdr:col>
      <xdr:colOff>247650</xdr:colOff>
      <xdr:row>160</xdr:row>
      <xdr:rowOff>171450</xdr:rowOff>
    </xdr:from>
    <xdr:ext cx="4476750" cy="571500"/>
    <xdr:sp macro="" textlink="">
      <xdr:nvSpPr>
        <xdr:cNvPr id="412" name="TextBox 411">
          <a:extLst>
            <a:ext uri="{FF2B5EF4-FFF2-40B4-BE49-F238E27FC236}">
              <a16:creationId xmlns:a16="http://schemas.microsoft.com/office/drawing/2014/main" id="{00000000-0008-0000-0200-00009C010000}"/>
            </a:ext>
          </a:extLst>
        </xdr:cNvPr>
        <xdr:cNvSpPr txBox="1"/>
      </xdr:nvSpPr>
      <xdr:spPr>
        <a:xfrm>
          <a:off x="116376450" y="34671000"/>
          <a:ext cx="4476750" cy="5715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2400" b="1">
              <a:latin typeface="Arial" panose="020B0604020202020204" pitchFamily="34" charset="0"/>
              <a:cs typeface="Arial" panose="020B0604020202020204" pitchFamily="34" charset="0"/>
            </a:rPr>
            <a:t>PDH = -0,2007*WWP</a:t>
          </a:r>
          <a:r>
            <a:rPr lang="en-US" sz="2400" b="1" baseline="0">
              <a:latin typeface="Arial" panose="020B0604020202020204" pitchFamily="34" charset="0"/>
              <a:cs typeface="Arial" panose="020B0604020202020204" pitchFamily="34" charset="0"/>
            </a:rPr>
            <a:t> + 30064</a:t>
          </a:r>
          <a:endParaRPr lang="ru-RU" sz="2400" b="1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oneCellAnchor>
  <xdr:oneCellAnchor>
    <xdr:from>
      <xdr:col>144</xdr:col>
      <xdr:colOff>73479</xdr:colOff>
      <xdr:row>141</xdr:row>
      <xdr:rowOff>73479</xdr:rowOff>
    </xdr:from>
    <xdr:ext cx="194454" cy="426536"/>
    <xdr:sp macro="" textlink="">
      <xdr:nvSpPr>
        <xdr:cNvPr id="413" name="TextBox 412">
          <a:extLst>
            <a:ext uri="{FF2B5EF4-FFF2-40B4-BE49-F238E27FC236}">
              <a16:creationId xmlns:a16="http://schemas.microsoft.com/office/drawing/2014/main" id="{00000000-0008-0000-0200-00009D010000}"/>
            </a:ext>
          </a:extLst>
        </xdr:cNvPr>
        <xdr:cNvSpPr txBox="1"/>
      </xdr:nvSpPr>
      <xdr:spPr>
        <a:xfrm>
          <a:off x="109668129" y="28972329"/>
          <a:ext cx="194454" cy="42653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144</xdr:col>
      <xdr:colOff>73479</xdr:colOff>
      <xdr:row>141</xdr:row>
      <xdr:rowOff>73479</xdr:rowOff>
    </xdr:from>
    <xdr:ext cx="194454" cy="426536"/>
    <xdr:sp macro="" textlink="">
      <xdr:nvSpPr>
        <xdr:cNvPr id="414" name="TextBox 41">
          <a:extLst>
            <a:ext uri="{FF2B5EF4-FFF2-40B4-BE49-F238E27FC236}">
              <a16:creationId xmlns:a16="http://schemas.microsoft.com/office/drawing/2014/main" id="{00000000-0008-0000-0200-00009E010000}"/>
            </a:ext>
          </a:extLst>
        </xdr:cNvPr>
        <xdr:cNvSpPr txBox="1"/>
      </xdr:nvSpPr>
      <xdr:spPr>
        <a:xfrm>
          <a:off x="109668129" y="28972329"/>
          <a:ext cx="194454" cy="42653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145</xdr:col>
      <xdr:colOff>73479</xdr:colOff>
      <xdr:row>141</xdr:row>
      <xdr:rowOff>73479</xdr:rowOff>
    </xdr:from>
    <xdr:ext cx="194454" cy="426536"/>
    <xdr:sp macro="" textlink="">
      <xdr:nvSpPr>
        <xdr:cNvPr id="415" name="TextBox 414">
          <a:extLst>
            <a:ext uri="{FF2B5EF4-FFF2-40B4-BE49-F238E27FC236}">
              <a16:creationId xmlns:a16="http://schemas.microsoft.com/office/drawing/2014/main" id="{00000000-0008-0000-0200-00009F010000}"/>
            </a:ext>
          </a:extLst>
        </xdr:cNvPr>
        <xdr:cNvSpPr txBox="1"/>
      </xdr:nvSpPr>
      <xdr:spPr>
        <a:xfrm>
          <a:off x="110392029" y="28972329"/>
          <a:ext cx="194454" cy="42653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145</xdr:col>
      <xdr:colOff>73479</xdr:colOff>
      <xdr:row>141</xdr:row>
      <xdr:rowOff>73479</xdr:rowOff>
    </xdr:from>
    <xdr:ext cx="194454" cy="426536"/>
    <xdr:sp macro="" textlink="">
      <xdr:nvSpPr>
        <xdr:cNvPr id="416" name="TextBox 41">
          <a:extLst>
            <a:ext uri="{FF2B5EF4-FFF2-40B4-BE49-F238E27FC236}">
              <a16:creationId xmlns:a16="http://schemas.microsoft.com/office/drawing/2014/main" id="{00000000-0008-0000-0200-0000A0010000}"/>
            </a:ext>
          </a:extLst>
        </xdr:cNvPr>
        <xdr:cNvSpPr txBox="1"/>
      </xdr:nvSpPr>
      <xdr:spPr>
        <a:xfrm>
          <a:off x="110392029" y="28972329"/>
          <a:ext cx="194454" cy="42653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151</xdr:col>
      <xdr:colOff>304800</xdr:colOff>
      <xdr:row>140</xdr:row>
      <xdr:rowOff>171450</xdr:rowOff>
    </xdr:from>
    <xdr:ext cx="1131848" cy="387286"/>
    <xdr:sp macro="" textlink="">
      <xdr:nvSpPr>
        <xdr:cNvPr id="417" name="TextBox 416">
          <a:extLst>
            <a:ext uri="{FF2B5EF4-FFF2-40B4-BE49-F238E27FC236}">
              <a16:creationId xmlns:a16="http://schemas.microsoft.com/office/drawing/2014/main" id="{00000000-0008-0000-0200-0000A1010000}"/>
            </a:ext>
          </a:extLst>
        </xdr:cNvPr>
        <xdr:cNvSpPr txBox="1"/>
      </xdr:nvSpPr>
      <xdr:spPr>
        <a:xfrm>
          <a:off x="115042950" y="40195500"/>
          <a:ext cx="1131848" cy="3872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2000">
              <a:latin typeface="Arial" panose="020B0604020202020204" pitchFamily="34" charset="0"/>
              <a:cs typeface="Arial" panose="020B0604020202020204" pitchFamily="34" charset="0"/>
            </a:rPr>
            <a:t>Тренд 1</a:t>
          </a:r>
        </a:p>
      </xdr:txBody>
    </xdr:sp>
    <xdr:clientData/>
  </xdr:oneCellAnchor>
  <xdr:oneCellAnchor>
    <xdr:from>
      <xdr:col>192</xdr:col>
      <xdr:colOff>57150</xdr:colOff>
      <xdr:row>16</xdr:row>
      <xdr:rowOff>19050</xdr:rowOff>
    </xdr:from>
    <xdr:ext cx="4226413" cy="505267"/>
    <xdr:sp macro="" textlink="">
      <xdr:nvSpPr>
        <xdr:cNvPr id="21" name="TextBox 20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SpPr txBox="1"/>
      </xdr:nvSpPr>
      <xdr:spPr>
        <a:xfrm>
          <a:off x="146094450" y="4514850"/>
          <a:ext cx="4226413" cy="50526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800" b="1">
              <a:latin typeface="Arial" panose="020B0604020202020204" pitchFamily="34" charset="0"/>
              <a:cs typeface="Arial" panose="020B0604020202020204" pitchFamily="34" charset="0"/>
            </a:rPr>
            <a:t>Df = 1,1042*IPC - 0,3884</a:t>
          </a:r>
          <a:endParaRPr lang="ru-RU" sz="2800" b="1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oneCellAnchor>
  <xdr:oneCellAnchor>
    <xdr:from>
      <xdr:col>110</xdr:col>
      <xdr:colOff>495300</xdr:colOff>
      <xdr:row>118</xdr:row>
      <xdr:rowOff>0</xdr:rowOff>
    </xdr:from>
    <xdr:ext cx="4154342" cy="446212"/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00000000-0008-0000-0200-000016000000}"/>
            </a:ext>
          </a:extLst>
        </xdr:cNvPr>
        <xdr:cNvSpPr txBox="1"/>
      </xdr:nvSpPr>
      <xdr:spPr>
        <a:xfrm>
          <a:off x="86067900" y="34232850"/>
          <a:ext cx="4154342" cy="44621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400" b="1">
              <a:latin typeface="Arial" panose="020B0604020202020204" pitchFamily="34" charset="0"/>
              <a:cs typeface="Arial" panose="020B0604020202020204" pitchFamily="34" charset="0"/>
            </a:rPr>
            <a:t>LZ =0,0071*WWPS + 52,535</a:t>
          </a:r>
          <a:endParaRPr lang="ru-RU" sz="2400" b="1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oneCellAnchor>
  <xdr:oneCellAnchor>
    <xdr:from>
      <xdr:col>125</xdr:col>
      <xdr:colOff>73479</xdr:colOff>
      <xdr:row>141</xdr:row>
      <xdr:rowOff>73479</xdr:rowOff>
    </xdr:from>
    <xdr:ext cx="194454" cy="426536"/>
    <xdr:sp macro="" textlink="">
      <xdr:nvSpPr>
        <xdr:cNvPr id="457" name="TextBox 456">
          <a:extLst>
            <a:ext uri="{FF2B5EF4-FFF2-40B4-BE49-F238E27FC236}">
              <a16:creationId xmlns:a16="http://schemas.microsoft.com/office/drawing/2014/main" id="{00000000-0008-0000-0200-0000C9010000}"/>
            </a:ext>
          </a:extLst>
        </xdr:cNvPr>
        <xdr:cNvSpPr txBox="1"/>
      </xdr:nvSpPr>
      <xdr:spPr>
        <a:xfrm>
          <a:off x="94680542" y="28029354"/>
          <a:ext cx="194454" cy="42653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124</xdr:col>
      <xdr:colOff>186417</xdr:colOff>
      <xdr:row>155</xdr:row>
      <xdr:rowOff>73479</xdr:rowOff>
    </xdr:from>
    <xdr:ext cx="194454" cy="426536"/>
    <xdr:sp macro="" textlink="">
      <xdr:nvSpPr>
        <xdr:cNvPr id="458" name="TextBox 457">
          <a:extLst>
            <a:ext uri="{FF2B5EF4-FFF2-40B4-BE49-F238E27FC236}">
              <a16:creationId xmlns:a16="http://schemas.microsoft.com/office/drawing/2014/main" id="{00000000-0008-0000-0200-0000CA010000}"/>
            </a:ext>
          </a:extLst>
        </xdr:cNvPr>
        <xdr:cNvSpPr txBox="1"/>
      </xdr:nvSpPr>
      <xdr:spPr>
        <a:xfrm>
          <a:off x="93983855" y="32006042"/>
          <a:ext cx="194454" cy="42653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129</xdr:col>
      <xdr:colOff>73479</xdr:colOff>
      <xdr:row>140</xdr:row>
      <xdr:rowOff>73479</xdr:rowOff>
    </xdr:from>
    <xdr:ext cx="194454" cy="426536"/>
    <xdr:sp macro="" textlink="">
      <xdr:nvSpPr>
        <xdr:cNvPr id="459" name="TextBox 458">
          <a:extLst>
            <a:ext uri="{FF2B5EF4-FFF2-40B4-BE49-F238E27FC236}">
              <a16:creationId xmlns:a16="http://schemas.microsoft.com/office/drawing/2014/main" id="{00000000-0008-0000-0200-0000CB010000}"/>
            </a:ext>
          </a:extLst>
        </xdr:cNvPr>
        <xdr:cNvSpPr txBox="1"/>
      </xdr:nvSpPr>
      <xdr:spPr>
        <a:xfrm>
          <a:off x="97823792" y="27743604"/>
          <a:ext cx="194454" cy="42653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127</xdr:col>
      <xdr:colOff>598713</xdr:colOff>
      <xdr:row>138</xdr:row>
      <xdr:rowOff>108856</xdr:rowOff>
    </xdr:from>
    <xdr:ext cx="2359245" cy="373225"/>
    <xdr:sp macro="" textlink="">
      <xdr:nvSpPr>
        <xdr:cNvPr id="460" name="TextBox 459">
          <a:extLst>
            <a:ext uri="{FF2B5EF4-FFF2-40B4-BE49-F238E27FC236}">
              <a16:creationId xmlns:a16="http://schemas.microsoft.com/office/drawing/2014/main" id="{00000000-0008-0000-0200-0000CC010000}"/>
            </a:ext>
          </a:extLst>
        </xdr:cNvPr>
        <xdr:cNvSpPr txBox="1"/>
      </xdr:nvSpPr>
      <xdr:spPr>
        <a:xfrm>
          <a:off x="96753588" y="27207481"/>
          <a:ext cx="2359245" cy="3732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ru-RU"/>
        </a:p>
      </xdr:txBody>
    </xdr:sp>
    <xdr:clientData/>
  </xdr:oneCellAnchor>
  <xdr:oneCellAnchor>
    <xdr:from>
      <xdr:col>125</xdr:col>
      <xdr:colOff>73479</xdr:colOff>
      <xdr:row>141</xdr:row>
      <xdr:rowOff>73479</xdr:rowOff>
    </xdr:from>
    <xdr:ext cx="194454" cy="426536"/>
    <xdr:sp macro="" textlink="">
      <xdr:nvSpPr>
        <xdr:cNvPr id="461" name="TextBox 41">
          <a:extLst>
            <a:ext uri="{FF2B5EF4-FFF2-40B4-BE49-F238E27FC236}">
              <a16:creationId xmlns:a16="http://schemas.microsoft.com/office/drawing/2014/main" id="{00000000-0008-0000-0200-0000CD010000}"/>
            </a:ext>
          </a:extLst>
        </xdr:cNvPr>
        <xdr:cNvSpPr txBox="1"/>
      </xdr:nvSpPr>
      <xdr:spPr>
        <a:xfrm>
          <a:off x="94680542" y="28029354"/>
          <a:ext cx="194454" cy="42653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129</xdr:col>
      <xdr:colOff>73479</xdr:colOff>
      <xdr:row>140</xdr:row>
      <xdr:rowOff>73479</xdr:rowOff>
    </xdr:from>
    <xdr:ext cx="194454" cy="426536"/>
    <xdr:sp macro="" textlink="">
      <xdr:nvSpPr>
        <xdr:cNvPr id="462" name="TextBox 74">
          <a:extLst>
            <a:ext uri="{FF2B5EF4-FFF2-40B4-BE49-F238E27FC236}">
              <a16:creationId xmlns:a16="http://schemas.microsoft.com/office/drawing/2014/main" id="{00000000-0008-0000-0200-0000CE010000}"/>
            </a:ext>
          </a:extLst>
        </xdr:cNvPr>
        <xdr:cNvSpPr txBox="1"/>
      </xdr:nvSpPr>
      <xdr:spPr>
        <a:xfrm>
          <a:off x="97823792" y="27743604"/>
          <a:ext cx="194454" cy="42653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127</xdr:col>
      <xdr:colOff>598713</xdr:colOff>
      <xdr:row>138</xdr:row>
      <xdr:rowOff>108856</xdr:rowOff>
    </xdr:from>
    <xdr:ext cx="2359245" cy="373225"/>
    <xdr:sp macro="" textlink="">
      <xdr:nvSpPr>
        <xdr:cNvPr id="463" name="TextBox 75">
          <a:extLst>
            <a:ext uri="{FF2B5EF4-FFF2-40B4-BE49-F238E27FC236}">
              <a16:creationId xmlns:a16="http://schemas.microsoft.com/office/drawing/2014/main" id="{00000000-0008-0000-0200-0000CF010000}"/>
            </a:ext>
          </a:extLst>
        </xdr:cNvPr>
        <xdr:cNvSpPr txBox="1"/>
      </xdr:nvSpPr>
      <xdr:spPr>
        <a:xfrm>
          <a:off x="96753588" y="27207481"/>
          <a:ext cx="2359245" cy="3732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ru-RU"/>
        </a:p>
      </xdr:txBody>
    </xdr:sp>
    <xdr:clientData/>
  </xdr:oneCellAnchor>
  <xdr:twoCellAnchor>
    <xdr:from>
      <xdr:col>126</xdr:col>
      <xdr:colOff>57150</xdr:colOff>
      <xdr:row>133</xdr:row>
      <xdr:rowOff>39688</xdr:rowOff>
    </xdr:from>
    <xdr:to>
      <xdr:col>139</xdr:col>
      <xdr:colOff>609600</xdr:colOff>
      <xdr:row>170</xdr:row>
      <xdr:rowOff>233363</xdr:rowOff>
    </xdr:to>
    <xdr:graphicFrame macro="">
      <xdr:nvGraphicFramePr>
        <xdr:cNvPr id="464" name="Chart 14113">
          <a:extLst>
            <a:ext uri="{FF2B5EF4-FFF2-40B4-BE49-F238E27FC236}">
              <a16:creationId xmlns:a16="http://schemas.microsoft.com/office/drawing/2014/main" id="{00000000-0008-0000-0200-0000D001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oneCellAnchor>
    <xdr:from>
      <xdr:col>127</xdr:col>
      <xdr:colOff>438150</xdr:colOff>
      <xdr:row>135</xdr:row>
      <xdr:rowOff>53974</xdr:rowOff>
    </xdr:from>
    <xdr:ext cx="857250" cy="536576"/>
    <xdr:sp macro="" textlink="">
      <xdr:nvSpPr>
        <xdr:cNvPr id="465" name="TextBox 76">
          <a:extLst>
            <a:ext uri="{FF2B5EF4-FFF2-40B4-BE49-F238E27FC236}">
              <a16:creationId xmlns:a16="http://schemas.microsoft.com/office/drawing/2014/main" id="{00000000-0008-0000-0200-0000D1010000}"/>
            </a:ext>
          </a:extLst>
        </xdr:cNvPr>
        <xdr:cNvSpPr txBox="1">
          <a:spLocks noChangeArrowheads="1"/>
        </xdr:cNvSpPr>
      </xdr:nvSpPr>
      <xdr:spPr bwMode="auto">
        <a:xfrm>
          <a:off x="96593025" y="26366787"/>
          <a:ext cx="857250" cy="536576"/>
        </a:xfrm>
        <a:prstGeom prst="rect">
          <a:avLst/>
        </a:prstGeom>
        <a:noFill/>
        <a:ln>
          <a:noFill/>
        </a:ln>
      </xdr:spPr>
      <xdr:txBody>
        <a:bodyPr vertOverflow="clip" wrap="square" lIns="36576" tIns="36576" rIns="0" bIns="0" anchor="t"/>
        <a:lstStyle/>
        <a:p>
          <a:pPr algn="l" rtl="0">
            <a:defRPr sz="1000"/>
          </a:pPr>
          <a:r>
            <a:rPr lang="en-US" sz="2400" b="0" i="0" u="none" strike="noStrike" baseline="0">
              <a:solidFill>
                <a:srgbClr val="000000"/>
              </a:solidFill>
              <a:latin typeface="Calibri"/>
              <a:cs typeface="Calibri"/>
            </a:rPr>
            <a:t>  </a:t>
          </a:r>
          <a:r>
            <a:rPr lang="en-US" sz="2400" b="1" i="0" u="none" strike="noStrike" baseline="0">
              <a:solidFill>
                <a:srgbClr val="000000"/>
              </a:solidFill>
              <a:latin typeface="Arial" panose="020B0604020202020204" pitchFamily="34" charset="0"/>
              <a:cs typeface="Arial" panose="020B0604020202020204" pitchFamily="34" charset="0"/>
            </a:rPr>
            <a:t>RDH</a:t>
          </a:r>
          <a:endParaRPr lang="ru-RU" sz="2000" b="1" i="0" u="none" strike="noStrike" baseline="0">
            <a:solidFill>
              <a:srgbClr val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oneCellAnchor>
  <xdr:oneCellAnchor>
    <xdr:from>
      <xdr:col>129</xdr:col>
      <xdr:colOff>376918</xdr:colOff>
      <xdr:row>152</xdr:row>
      <xdr:rowOff>31297</xdr:rowOff>
    </xdr:from>
    <xdr:ext cx="194454" cy="410593"/>
    <xdr:sp macro="" textlink="">
      <xdr:nvSpPr>
        <xdr:cNvPr id="466" name="TextBox 465">
          <a:extLst>
            <a:ext uri="{FF2B5EF4-FFF2-40B4-BE49-F238E27FC236}">
              <a16:creationId xmlns:a16="http://schemas.microsoft.com/office/drawing/2014/main" id="{00000000-0008-0000-0200-0000D2010000}"/>
            </a:ext>
          </a:extLst>
        </xdr:cNvPr>
        <xdr:cNvSpPr txBox="1"/>
      </xdr:nvSpPr>
      <xdr:spPr>
        <a:xfrm>
          <a:off x="98127231" y="31130422"/>
          <a:ext cx="194454" cy="4105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127</xdr:col>
      <xdr:colOff>793751</xdr:colOff>
      <xdr:row>162</xdr:row>
      <xdr:rowOff>222249</xdr:rowOff>
    </xdr:from>
    <xdr:ext cx="603250" cy="365126"/>
    <xdr:sp macro="" textlink="">
      <xdr:nvSpPr>
        <xdr:cNvPr id="467" name="TextBox 466">
          <a:extLst>
            <a:ext uri="{FF2B5EF4-FFF2-40B4-BE49-F238E27FC236}">
              <a16:creationId xmlns:a16="http://schemas.microsoft.com/office/drawing/2014/main" id="{00000000-0008-0000-0200-0000D3010000}"/>
            </a:ext>
          </a:extLst>
        </xdr:cNvPr>
        <xdr:cNvSpPr txBox="1"/>
      </xdr:nvSpPr>
      <xdr:spPr>
        <a:xfrm>
          <a:off x="98028126" y="46370874"/>
          <a:ext cx="603250" cy="365126"/>
        </a:xfrm>
        <a:prstGeom prst="rect">
          <a:avLst/>
        </a:prstGeom>
        <a:solidFill>
          <a:sysClr val="window" lastClr="FFFFFF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algn="ctr"/>
          <a:r>
            <a:rPr lang="ru-RU" sz="1400">
              <a:latin typeface="Arial" panose="020B0604020202020204" pitchFamily="34" charset="0"/>
              <a:cs typeface="Arial" panose="020B0604020202020204" pitchFamily="34" charset="0"/>
            </a:rPr>
            <a:t>1998</a:t>
          </a:r>
        </a:p>
      </xdr:txBody>
    </xdr:sp>
    <xdr:clientData/>
  </xdr:oneCellAnchor>
  <xdr:oneCellAnchor>
    <xdr:from>
      <xdr:col>128</xdr:col>
      <xdr:colOff>714375</xdr:colOff>
      <xdr:row>137</xdr:row>
      <xdr:rowOff>241300</xdr:rowOff>
    </xdr:from>
    <xdr:ext cx="6686551" cy="1181100"/>
    <xdr:sp macro="" textlink="">
      <xdr:nvSpPr>
        <xdr:cNvPr id="468" name="TextBox 467">
          <a:extLst>
            <a:ext uri="{FF2B5EF4-FFF2-40B4-BE49-F238E27FC236}">
              <a16:creationId xmlns:a16="http://schemas.microsoft.com/office/drawing/2014/main" id="{00000000-0008-0000-0200-0000D4010000}"/>
            </a:ext>
          </a:extLst>
        </xdr:cNvPr>
        <xdr:cNvSpPr txBox="1"/>
      </xdr:nvSpPr>
      <xdr:spPr>
        <a:xfrm>
          <a:off x="98790125" y="39150925"/>
          <a:ext cx="6686551" cy="11811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algn="ctr"/>
          <a:r>
            <a:rPr lang="ru-RU" sz="3200">
              <a:latin typeface="Arial" panose="020B0604020202020204" pitchFamily="34" charset="0"/>
              <a:cs typeface="Arial" panose="020B0604020202020204" pitchFamily="34" charset="0"/>
            </a:rPr>
            <a:t>Динамика реальных денежных доходов населения</a:t>
          </a:r>
        </a:p>
      </xdr:txBody>
    </xdr:sp>
    <xdr:clientData/>
  </xdr:oneCellAnchor>
  <xdr:oneCellAnchor>
    <xdr:from>
      <xdr:col>129</xdr:col>
      <xdr:colOff>550292</xdr:colOff>
      <xdr:row>151</xdr:row>
      <xdr:rowOff>127680</xdr:rowOff>
    </xdr:from>
    <xdr:ext cx="648536" cy="364221"/>
    <xdr:sp macro="" textlink="">
      <xdr:nvSpPr>
        <xdr:cNvPr id="469" name="TextBox 468">
          <a:extLst>
            <a:ext uri="{FF2B5EF4-FFF2-40B4-BE49-F238E27FC236}">
              <a16:creationId xmlns:a16="http://schemas.microsoft.com/office/drawing/2014/main" id="{00000000-0008-0000-0200-0000D5010000}"/>
            </a:ext>
          </a:extLst>
        </xdr:cNvPr>
        <xdr:cNvSpPr txBox="1"/>
      </xdr:nvSpPr>
      <xdr:spPr>
        <a:xfrm>
          <a:off x="99356292" y="43228305"/>
          <a:ext cx="648536" cy="36422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ru-RU" sz="1600"/>
            <a:t>2006</a:t>
          </a:r>
        </a:p>
      </xdr:txBody>
    </xdr:sp>
    <xdr:clientData/>
  </xdr:oneCellAnchor>
  <xdr:oneCellAnchor>
    <xdr:from>
      <xdr:col>130</xdr:col>
      <xdr:colOff>284616</xdr:colOff>
      <xdr:row>147</xdr:row>
      <xdr:rowOff>221456</xdr:rowOff>
    </xdr:from>
    <xdr:ext cx="649101" cy="364954"/>
    <xdr:sp macro="" textlink="">
      <xdr:nvSpPr>
        <xdr:cNvPr id="470" name="TextBox 469">
          <a:extLst>
            <a:ext uri="{FF2B5EF4-FFF2-40B4-BE49-F238E27FC236}">
              <a16:creationId xmlns:a16="http://schemas.microsoft.com/office/drawing/2014/main" id="{00000000-0008-0000-0200-0000D6010000}"/>
            </a:ext>
          </a:extLst>
        </xdr:cNvPr>
        <xdr:cNvSpPr txBox="1"/>
      </xdr:nvSpPr>
      <xdr:spPr>
        <a:xfrm>
          <a:off x="99836741" y="42115581"/>
          <a:ext cx="649101" cy="36495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ru-RU" sz="1600"/>
            <a:t>2008</a:t>
          </a:r>
        </a:p>
      </xdr:txBody>
    </xdr:sp>
    <xdr:clientData/>
  </xdr:oneCellAnchor>
  <xdr:oneCellAnchor>
    <xdr:from>
      <xdr:col>130</xdr:col>
      <xdr:colOff>15537</xdr:colOff>
      <xdr:row>149</xdr:row>
      <xdr:rowOff>106817</xdr:rowOff>
    </xdr:from>
    <xdr:ext cx="649474" cy="361830"/>
    <xdr:sp macro="" textlink="">
      <xdr:nvSpPr>
        <xdr:cNvPr id="471" name="TextBox 470">
          <a:extLst>
            <a:ext uri="{FF2B5EF4-FFF2-40B4-BE49-F238E27FC236}">
              <a16:creationId xmlns:a16="http://schemas.microsoft.com/office/drawing/2014/main" id="{00000000-0008-0000-0200-0000D7010000}"/>
            </a:ext>
          </a:extLst>
        </xdr:cNvPr>
        <xdr:cNvSpPr txBox="1"/>
      </xdr:nvSpPr>
      <xdr:spPr>
        <a:xfrm>
          <a:off x="99567662" y="42604192"/>
          <a:ext cx="649474" cy="36183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ru-RU" sz="1600"/>
            <a:t>2007</a:t>
          </a:r>
        </a:p>
      </xdr:txBody>
    </xdr:sp>
    <xdr:clientData/>
  </xdr:oneCellAnchor>
  <xdr:oneCellAnchor>
    <xdr:from>
      <xdr:col>134</xdr:col>
      <xdr:colOff>283937</xdr:colOff>
      <xdr:row>143</xdr:row>
      <xdr:rowOff>210003</xdr:rowOff>
    </xdr:from>
    <xdr:ext cx="600677" cy="342786"/>
    <xdr:sp macro="" textlink="">
      <xdr:nvSpPr>
        <xdr:cNvPr id="472" name="TextBox 471">
          <a:extLst>
            <a:ext uri="{FF2B5EF4-FFF2-40B4-BE49-F238E27FC236}">
              <a16:creationId xmlns:a16="http://schemas.microsoft.com/office/drawing/2014/main" id="{00000000-0008-0000-0200-0000D8010000}"/>
            </a:ext>
          </a:extLst>
        </xdr:cNvPr>
        <xdr:cNvSpPr txBox="1"/>
      </xdr:nvSpPr>
      <xdr:spPr>
        <a:xfrm>
          <a:off x="102741187" y="40897628"/>
          <a:ext cx="600677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ru-RU" sz="1600"/>
            <a:t>20</a:t>
          </a:r>
          <a:r>
            <a:rPr lang="en-US" sz="1600"/>
            <a:t>16</a:t>
          </a:r>
          <a:endParaRPr lang="ru-RU" sz="1600"/>
        </a:p>
      </xdr:txBody>
    </xdr:sp>
    <xdr:clientData/>
  </xdr:oneCellAnchor>
  <xdr:oneCellAnchor>
    <xdr:from>
      <xdr:col>132</xdr:col>
      <xdr:colOff>9525</xdr:colOff>
      <xdr:row>153</xdr:row>
      <xdr:rowOff>241300</xdr:rowOff>
    </xdr:from>
    <xdr:ext cx="2498725" cy="514350"/>
    <xdr:sp macro="" textlink="">
      <xdr:nvSpPr>
        <xdr:cNvPr id="473" name="TextBox 472">
          <a:extLst>
            <a:ext uri="{FF2B5EF4-FFF2-40B4-BE49-F238E27FC236}">
              <a16:creationId xmlns:a16="http://schemas.microsoft.com/office/drawing/2014/main" id="{00000000-0008-0000-0200-0000D9010000}"/>
            </a:ext>
          </a:extLst>
        </xdr:cNvPr>
        <xdr:cNvSpPr txBox="1"/>
      </xdr:nvSpPr>
      <xdr:spPr>
        <a:xfrm>
          <a:off x="101069775" y="43945175"/>
          <a:ext cx="2498725" cy="51435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2400" b="1">
              <a:latin typeface="Arial" panose="020B0604020202020204" pitchFamily="34" charset="0"/>
              <a:cs typeface="Arial" panose="020B0604020202020204" pitchFamily="34" charset="0"/>
            </a:rPr>
            <a:t>RDH = DH / IPC</a:t>
          </a:r>
          <a:endParaRPr lang="ru-RU" sz="2400" b="1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oneCellAnchor>
  <xdr:oneCellAnchor>
    <xdr:from>
      <xdr:col>161</xdr:col>
      <xdr:colOff>376918</xdr:colOff>
      <xdr:row>66</xdr:row>
      <xdr:rowOff>31297</xdr:rowOff>
    </xdr:from>
    <xdr:ext cx="194454" cy="410593"/>
    <xdr:sp macro="" textlink="">
      <xdr:nvSpPr>
        <xdr:cNvPr id="449" name="TextBox 448">
          <a:extLst>
            <a:ext uri="{FF2B5EF4-FFF2-40B4-BE49-F238E27FC236}">
              <a16:creationId xmlns:a16="http://schemas.microsoft.com/office/drawing/2014/main" id="{00000000-0008-0000-0200-0000C1010000}"/>
            </a:ext>
          </a:extLst>
        </xdr:cNvPr>
        <xdr:cNvSpPr txBox="1"/>
      </xdr:nvSpPr>
      <xdr:spPr>
        <a:xfrm>
          <a:off x="135393793" y="7032172"/>
          <a:ext cx="194454" cy="4105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157</xdr:col>
      <xdr:colOff>385083</xdr:colOff>
      <xdr:row>60</xdr:row>
      <xdr:rowOff>27669</xdr:rowOff>
    </xdr:from>
    <xdr:ext cx="2576994" cy="383734"/>
    <xdr:sp macro="" textlink="">
      <xdr:nvSpPr>
        <xdr:cNvPr id="450" name="TextBox 449">
          <a:extLst>
            <a:ext uri="{FF2B5EF4-FFF2-40B4-BE49-F238E27FC236}">
              <a16:creationId xmlns:a16="http://schemas.microsoft.com/office/drawing/2014/main" id="{00000000-0008-0000-0200-0000C2010000}"/>
            </a:ext>
          </a:extLst>
        </xdr:cNvPr>
        <xdr:cNvSpPr txBox="1"/>
      </xdr:nvSpPr>
      <xdr:spPr>
        <a:xfrm>
          <a:off x="132449208" y="5314044"/>
          <a:ext cx="2576994" cy="383734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algn="ctr"/>
          <a:endParaRPr lang="ru-RU" sz="1800"/>
        </a:p>
      </xdr:txBody>
    </xdr:sp>
    <xdr:clientData/>
  </xdr:oneCellAnchor>
  <xdr:oneCellAnchor>
    <xdr:from>
      <xdr:col>163</xdr:col>
      <xdr:colOff>413314</xdr:colOff>
      <xdr:row>67</xdr:row>
      <xdr:rowOff>2040</xdr:rowOff>
    </xdr:from>
    <xdr:ext cx="184731" cy="409122"/>
    <xdr:sp macro="" textlink="">
      <xdr:nvSpPr>
        <xdr:cNvPr id="451" name="TextBox 450">
          <a:extLst>
            <a:ext uri="{FF2B5EF4-FFF2-40B4-BE49-F238E27FC236}">
              <a16:creationId xmlns:a16="http://schemas.microsoft.com/office/drawing/2014/main" id="{00000000-0008-0000-0200-0000C3010000}"/>
            </a:ext>
          </a:extLst>
        </xdr:cNvPr>
        <xdr:cNvSpPr txBox="1"/>
      </xdr:nvSpPr>
      <xdr:spPr>
        <a:xfrm>
          <a:off x="136858939" y="7288665"/>
          <a:ext cx="184731" cy="40912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 sz="1600"/>
        </a:p>
      </xdr:txBody>
    </xdr:sp>
    <xdr:clientData/>
  </xdr:oneCellAnchor>
  <xdr:oneCellAnchor>
    <xdr:from>
      <xdr:col>164</xdr:col>
      <xdr:colOff>30616</xdr:colOff>
      <xdr:row>59</xdr:row>
      <xdr:rowOff>30956</xdr:rowOff>
    </xdr:from>
    <xdr:ext cx="184731" cy="421039"/>
    <xdr:sp macro="" textlink="">
      <xdr:nvSpPr>
        <xdr:cNvPr id="452" name="TextBox 451">
          <a:extLst>
            <a:ext uri="{FF2B5EF4-FFF2-40B4-BE49-F238E27FC236}">
              <a16:creationId xmlns:a16="http://schemas.microsoft.com/office/drawing/2014/main" id="{00000000-0008-0000-0200-0000C4010000}"/>
            </a:ext>
          </a:extLst>
        </xdr:cNvPr>
        <xdr:cNvSpPr txBox="1"/>
      </xdr:nvSpPr>
      <xdr:spPr>
        <a:xfrm>
          <a:off x="137095366" y="5031581"/>
          <a:ext cx="184731" cy="42103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 sz="1600"/>
        </a:p>
      </xdr:txBody>
    </xdr:sp>
    <xdr:clientData/>
  </xdr:oneCellAnchor>
  <xdr:oneCellAnchor>
    <xdr:from>
      <xdr:col>163</xdr:col>
      <xdr:colOff>265000</xdr:colOff>
      <xdr:row>61</xdr:row>
      <xdr:rowOff>221118</xdr:rowOff>
    </xdr:from>
    <xdr:ext cx="194454" cy="405960"/>
    <xdr:sp macro="" textlink="">
      <xdr:nvSpPr>
        <xdr:cNvPr id="453" name="TextBox 452">
          <a:extLst>
            <a:ext uri="{FF2B5EF4-FFF2-40B4-BE49-F238E27FC236}">
              <a16:creationId xmlns:a16="http://schemas.microsoft.com/office/drawing/2014/main" id="{00000000-0008-0000-0200-0000C5010000}"/>
            </a:ext>
          </a:extLst>
        </xdr:cNvPr>
        <xdr:cNvSpPr txBox="1"/>
      </xdr:nvSpPr>
      <xdr:spPr>
        <a:xfrm>
          <a:off x="136710625" y="5793243"/>
          <a:ext cx="194454" cy="4059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 sz="1600"/>
        </a:p>
      </xdr:txBody>
    </xdr:sp>
    <xdr:clientData/>
  </xdr:oneCellAnchor>
  <xdr:twoCellAnchor>
    <xdr:from>
      <xdr:col>151</xdr:col>
      <xdr:colOff>95250</xdr:colOff>
      <xdr:row>46</xdr:row>
      <xdr:rowOff>31749</xdr:rowOff>
    </xdr:from>
    <xdr:to>
      <xdr:col>165</xdr:col>
      <xdr:colOff>742949</xdr:colOff>
      <xdr:row>83</xdr:row>
      <xdr:rowOff>254000</xdr:rowOff>
    </xdr:to>
    <xdr:graphicFrame macro="">
      <xdr:nvGraphicFramePr>
        <xdr:cNvPr id="454" name="Диаграмма 172">
          <a:extLst>
            <a:ext uri="{FF2B5EF4-FFF2-40B4-BE49-F238E27FC236}">
              <a16:creationId xmlns:a16="http://schemas.microsoft.com/office/drawing/2014/main" id="{00000000-0008-0000-0200-0000C601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oneCellAnchor>
    <xdr:from>
      <xdr:col>152</xdr:col>
      <xdr:colOff>561975</xdr:colOff>
      <xdr:row>47</xdr:row>
      <xdr:rowOff>209550</xdr:rowOff>
    </xdr:from>
    <xdr:ext cx="902683" cy="446212"/>
    <xdr:sp macro="" textlink="">
      <xdr:nvSpPr>
        <xdr:cNvPr id="455" name="TextBox 454">
          <a:extLst>
            <a:ext uri="{FF2B5EF4-FFF2-40B4-BE49-F238E27FC236}">
              <a16:creationId xmlns:a16="http://schemas.microsoft.com/office/drawing/2014/main" id="{00000000-0008-0000-0200-0000C7010000}"/>
            </a:ext>
          </a:extLst>
        </xdr:cNvPr>
        <xdr:cNvSpPr txBox="1"/>
      </xdr:nvSpPr>
      <xdr:spPr>
        <a:xfrm>
          <a:off x="117738525" y="13430250"/>
          <a:ext cx="902683" cy="44621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r>
            <a:rPr lang="en-US" sz="2400" b="1">
              <a:latin typeface="Arial" pitchFamily="34" charset="0"/>
              <a:cs typeface="Arial" pitchFamily="34" charset="0"/>
            </a:rPr>
            <a:t>WBS</a:t>
          </a:r>
          <a:endParaRPr lang="ru-RU" sz="2400" b="1">
            <a:latin typeface="Arial" pitchFamily="34" charset="0"/>
            <a:cs typeface="Arial" pitchFamily="34" charset="0"/>
          </a:endParaRPr>
        </a:p>
      </xdr:txBody>
    </xdr:sp>
    <xdr:clientData/>
  </xdr:oneCellAnchor>
  <xdr:oneCellAnchor>
    <xdr:from>
      <xdr:col>163</xdr:col>
      <xdr:colOff>415925</xdr:colOff>
      <xdr:row>79</xdr:row>
      <xdr:rowOff>231775</xdr:rowOff>
    </xdr:from>
    <xdr:ext cx="970907" cy="446212"/>
    <xdr:sp macro="" textlink="">
      <xdr:nvSpPr>
        <xdr:cNvPr id="456" name="TextBox 455">
          <a:extLst>
            <a:ext uri="{FF2B5EF4-FFF2-40B4-BE49-F238E27FC236}">
              <a16:creationId xmlns:a16="http://schemas.microsoft.com/office/drawing/2014/main" id="{00000000-0008-0000-0200-0000C8010000}"/>
            </a:ext>
          </a:extLst>
        </xdr:cNvPr>
        <xdr:cNvSpPr txBox="1"/>
      </xdr:nvSpPr>
      <xdr:spPr>
        <a:xfrm>
          <a:off x="125726825" y="23034625"/>
          <a:ext cx="970907" cy="44621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r>
            <a:rPr lang="en-US" sz="2400" b="1">
              <a:latin typeface="Arial" pitchFamily="34" charset="0"/>
              <a:cs typeface="Arial" pitchFamily="34" charset="0"/>
            </a:rPr>
            <a:t>WWS</a:t>
          </a:r>
          <a:endParaRPr lang="ru-RU" sz="2400" b="1">
            <a:latin typeface="Arial" pitchFamily="34" charset="0"/>
            <a:cs typeface="Arial" pitchFamily="34" charset="0"/>
          </a:endParaRPr>
        </a:p>
      </xdr:txBody>
    </xdr:sp>
    <xdr:clientData/>
  </xdr:oneCellAnchor>
  <xdr:oneCellAnchor>
    <xdr:from>
      <xdr:col>155</xdr:col>
      <xdr:colOff>114300</xdr:colOff>
      <xdr:row>49</xdr:row>
      <xdr:rowOff>119059</xdr:rowOff>
    </xdr:from>
    <xdr:ext cx="6648450" cy="1328741"/>
    <xdr:sp macro="" textlink="">
      <xdr:nvSpPr>
        <xdr:cNvPr id="474" name="TextBox 473">
          <a:extLst>
            <a:ext uri="{FF2B5EF4-FFF2-40B4-BE49-F238E27FC236}">
              <a16:creationId xmlns:a16="http://schemas.microsoft.com/office/drawing/2014/main" id="{00000000-0008-0000-0200-0000DA010000}"/>
            </a:ext>
          </a:extLst>
        </xdr:cNvPr>
        <xdr:cNvSpPr txBox="1"/>
      </xdr:nvSpPr>
      <xdr:spPr>
        <a:xfrm>
          <a:off x="119653050" y="13854109"/>
          <a:ext cx="6648450" cy="13287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noAutofit/>
        </a:bodyPr>
        <a:lstStyle/>
        <a:p>
          <a:r>
            <a:rPr lang="ru-RU" sz="2400" b="1">
              <a:latin typeface="Arial" pitchFamily="34" charset="0"/>
              <a:cs typeface="Arial" pitchFamily="34" charset="0"/>
            </a:rPr>
            <a:t>РЕГРЕССИЯ ВЫБЫТИЯ  от</a:t>
          </a:r>
          <a:r>
            <a:rPr lang="en-US" sz="2400" b="1">
              <a:latin typeface="Arial" pitchFamily="34" charset="0"/>
              <a:cs typeface="Arial" pitchFamily="34" charset="0"/>
            </a:rPr>
            <a:t> </a:t>
          </a:r>
          <a:r>
            <a:rPr lang="ru-RU" sz="2400" b="1">
              <a:latin typeface="Arial" pitchFamily="34" charset="0"/>
              <a:cs typeface="Arial" pitchFamily="34" charset="0"/>
            </a:rPr>
            <a:t>ВВОДОВ ОФ</a:t>
          </a:r>
        </a:p>
        <a:p>
          <a:r>
            <a:rPr lang="ru-RU" sz="2400">
              <a:latin typeface="Arial" pitchFamily="34" charset="0"/>
              <a:cs typeface="Arial" pitchFamily="34" charset="0"/>
            </a:rPr>
            <a:t>        </a:t>
          </a:r>
          <a:endParaRPr lang="en-US" sz="2000">
            <a:latin typeface="Arial" pitchFamily="34" charset="0"/>
            <a:cs typeface="Arial" pitchFamily="34" charset="0"/>
          </a:endParaRPr>
        </a:p>
        <a:p>
          <a:r>
            <a:rPr lang="en-US" sz="2400">
              <a:latin typeface="Arial" pitchFamily="34" charset="0"/>
              <a:cs typeface="Arial" pitchFamily="34" charset="0"/>
            </a:rPr>
            <a:t>        WBS</a:t>
          </a:r>
          <a:r>
            <a:rPr lang="ru-RU" sz="2400" baseline="0">
              <a:latin typeface="Arial" pitchFamily="34" charset="0"/>
              <a:cs typeface="Arial" pitchFamily="34" charset="0"/>
            </a:rPr>
            <a:t> = 0,5</a:t>
          </a:r>
          <a:r>
            <a:rPr lang="en-US" sz="2400" baseline="0">
              <a:latin typeface="Arial" pitchFamily="34" charset="0"/>
              <a:cs typeface="Arial" pitchFamily="34" charset="0"/>
            </a:rPr>
            <a:t>435</a:t>
          </a:r>
          <a:r>
            <a:rPr lang="ru-RU" sz="2400" baseline="0">
              <a:latin typeface="Arial" pitchFamily="34" charset="0"/>
              <a:cs typeface="Arial" pitchFamily="34" charset="0"/>
            </a:rPr>
            <a:t>*</a:t>
          </a:r>
          <a:r>
            <a:rPr lang="en-US" sz="2400" baseline="0">
              <a:latin typeface="Arial" pitchFamily="34" charset="0"/>
              <a:cs typeface="Arial" pitchFamily="34" charset="0"/>
            </a:rPr>
            <a:t>WWS</a:t>
          </a:r>
          <a:r>
            <a:rPr lang="ru-RU" sz="2400" baseline="0">
              <a:latin typeface="Arial" pitchFamily="34" charset="0"/>
              <a:cs typeface="Arial" pitchFamily="34" charset="0"/>
            </a:rPr>
            <a:t> + </a:t>
          </a:r>
          <a:r>
            <a:rPr lang="en-US" sz="2400" baseline="0">
              <a:latin typeface="Arial" pitchFamily="34" charset="0"/>
              <a:cs typeface="Arial" pitchFamily="34" charset="0"/>
            </a:rPr>
            <a:t>7</a:t>
          </a:r>
          <a:r>
            <a:rPr lang="ru-RU" sz="2400" baseline="0">
              <a:latin typeface="Arial" pitchFamily="34" charset="0"/>
              <a:cs typeface="Arial" pitchFamily="34" charset="0"/>
            </a:rPr>
            <a:t>0,</a:t>
          </a:r>
          <a:r>
            <a:rPr lang="en-US" sz="2400" baseline="0">
              <a:latin typeface="Arial" pitchFamily="34" charset="0"/>
              <a:cs typeface="Arial" pitchFamily="34" charset="0"/>
            </a:rPr>
            <a:t>941</a:t>
          </a:r>
          <a:endParaRPr lang="ru-RU" sz="2400">
            <a:latin typeface="Arial" pitchFamily="34" charset="0"/>
            <a:cs typeface="Arial" pitchFamily="34" charset="0"/>
          </a:endParaRPr>
        </a:p>
      </xdr:txBody>
    </xdr:sp>
    <xdr:clientData/>
  </xdr:oneCellAnchor>
  <xdr:twoCellAnchor>
    <xdr:from>
      <xdr:col>237</xdr:col>
      <xdr:colOff>114300</xdr:colOff>
      <xdr:row>46</xdr:row>
      <xdr:rowOff>39688</xdr:rowOff>
    </xdr:from>
    <xdr:to>
      <xdr:col>256</xdr:col>
      <xdr:colOff>552450</xdr:colOff>
      <xdr:row>83</xdr:row>
      <xdr:rowOff>233363</xdr:rowOff>
    </xdr:to>
    <xdr:graphicFrame macro="">
      <xdr:nvGraphicFramePr>
        <xdr:cNvPr id="446" name="Chart 14113">
          <a:extLst>
            <a:ext uri="{FF2B5EF4-FFF2-40B4-BE49-F238E27FC236}">
              <a16:creationId xmlns:a16="http://schemas.microsoft.com/office/drawing/2014/main" id="{00000000-0008-0000-0200-0000BE01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oneCellAnchor>
    <xdr:from>
      <xdr:col>239</xdr:col>
      <xdr:colOff>3174</xdr:colOff>
      <xdr:row>48</xdr:row>
      <xdr:rowOff>15875</xdr:rowOff>
    </xdr:from>
    <xdr:ext cx="1330325" cy="476250"/>
    <xdr:sp macro="" textlink="">
      <xdr:nvSpPr>
        <xdr:cNvPr id="447" name="TextBox 76">
          <a:extLst>
            <a:ext uri="{FF2B5EF4-FFF2-40B4-BE49-F238E27FC236}">
              <a16:creationId xmlns:a16="http://schemas.microsoft.com/office/drawing/2014/main" id="{00000000-0008-0000-0200-0000BF010000}"/>
            </a:ext>
          </a:extLst>
        </xdr:cNvPr>
        <xdr:cNvSpPr txBox="1">
          <a:spLocks noChangeArrowheads="1"/>
        </xdr:cNvSpPr>
      </xdr:nvSpPr>
      <xdr:spPr bwMode="auto">
        <a:xfrm>
          <a:off x="179606574" y="13598525"/>
          <a:ext cx="1330325" cy="476250"/>
        </a:xfrm>
        <a:prstGeom prst="rect">
          <a:avLst/>
        </a:prstGeom>
        <a:noFill/>
        <a:ln>
          <a:noFill/>
        </a:ln>
      </xdr:spPr>
      <xdr:txBody>
        <a:bodyPr vertOverflow="clip" wrap="square" lIns="36576" tIns="36576" rIns="0" bIns="0" anchor="t"/>
        <a:lstStyle/>
        <a:p>
          <a:pPr algn="ctr" rtl="0">
            <a:defRPr sz="1000"/>
          </a:pPr>
          <a:r>
            <a:rPr lang="en-US" sz="2800" b="0" i="0" u="none" strike="noStrike" baseline="0">
              <a:solidFill>
                <a:srgbClr val="000000"/>
              </a:solidFill>
              <a:latin typeface="Arial" panose="020B0604020202020204" pitchFamily="34" charset="0"/>
              <a:cs typeface="Arial" panose="020B0604020202020204" pitchFamily="34" charset="0"/>
            </a:rPr>
            <a:t>WWS</a:t>
          </a:r>
          <a:endParaRPr lang="ru-RU" sz="2800" b="0" i="0" u="none" strike="noStrike" baseline="0">
            <a:solidFill>
              <a:srgbClr val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oneCellAnchor>
  <xdr:oneCellAnchor>
    <xdr:from>
      <xdr:col>241</xdr:col>
      <xdr:colOff>376918</xdr:colOff>
      <xdr:row>65</xdr:row>
      <xdr:rowOff>31297</xdr:rowOff>
    </xdr:from>
    <xdr:ext cx="194454" cy="410593"/>
    <xdr:sp macro="" textlink="">
      <xdr:nvSpPr>
        <xdr:cNvPr id="448" name="TextBox 447">
          <a:extLst>
            <a:ext uri="{FF2B5EF4-FFF2-40B4-BE49-F238E27FC236}">
              <a16:creationId xmlns:a16="http://schemas.microsoft.com/office/drawing/2014/main" id="{00000000-0008-0000-0200-0000C0010000}"/>
            </a:ext>
          </a:extLst>
        </xdr:cNvPr>
        <xdr:cNvSpPr txBox="1"/>
      </xdr:nvSpPr>
      <xdr:spPr>
        <a:xfrm>
          <a:off x="166016668" y="18681247"/>
          <a:ext cx="194454" cy="4105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244</xdr:col>
      <xdr:colOff>590550</xdr:colOff>
      <xdr:row>78</xdr:row>
      <xdr:rowOff>268969</xdr:rowOff>
    </xdr:from>
    <xdr:ext cx="1447800" cy="416831"/>
    <xdr:sp macro="" textlink="">
      <xdr:nvSpPr>
        <xdr:cNvPr id="475" name="TextBox 474">
          <a:extLst>
            <a:ext uri="{FF2B5EF4-FFF2-40B4-BE49-F238E27FC236}">
              <a16:creationId xmlns:a16="http://schemas.microsoft.com/office/drawing/2014/main" id="{00000000-0008-0000-0200-0000DB010000}"/>
            </a:ext>
          </a:extLst>
        </xdr:cNvPr>
        <xdr:cNvSpPr txBox="1"/>
      </xdr:nvSpPr>
      <xdr:spPr>
        <a:xfrm>
          <a:off x="183241950" y="22881319"/>
          <a:ext cx="1447800" cy="416831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algn="ctr"/>
          <a:r>
            <a:rPr lang="ru-RU" sz="2000" baseline="0">
              <a:latin typeface="Arial" panose="020B0604020202020204" pitchFamily="34" charset="0"/>
              <a:cs typeface="Arial" panose="020B0604020202020204" pitchFamily="34" charset="0"/>
            </a:rPr>
            <a:t>Тренд 1</a:t>
          </a:r>
          <a:endParaRPr lang="ru-RU" sz="20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oneCellAnchor>
  <xdr:oneCellAnchor>
    <xdr:from>
      <xdr:col>238</xdr:col>
      <xdr:colOff>533400</xdr:colOff>
      <xdr:row>50</xdr:row>
      <xdr:rowOff>96722</xdr:rowOff>
    </xdr:from>
    <xdr:ext cx="9677400" cy="1160578"/>
    <xdr:sp macro="" textlink="">
      <xdr:nvSpPr>
        <xdr:cNvPr id="476" name="TextBox 475">
          <a:extLst>
            <a:ext uri="{FF2B5EF4-FFF2-40B4-BE49-F238E27FC236}">
              <a16:creationId xmlns:a16="http://schemas.microsoft.com/office/drawing/2014/main" id="{00000000-0008-0000-0200-0000DC010000}"/>
            </a:ext>
          </a:extLst>
        </xdr:cNvPr>
        <xdr:cNvSpPr txBox="1"/>
      </xdr:nvSpPr>
      <xdr:spPr>
        <a:xfrm>
          <a:off x="179527200" y="14212772"/>
          <a:ext cx="9677400" cy="116057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algn="ctr"/>
          <a:r>
            <a:rPr lang="ru-RU" sz="3200">
              <a:latin typeface="Arial" panose="020B0604020202020204" pitchFamily="34" charset="0"/>
              <a:cs typeface="Arial" panose="020B0604020202020204" pitchFamily="34" charset="0"/>
            </a:rPr>
            <a:t>Сравнение</a:t>
          </a:r>
          <a:r>
            <a:rPr lang="ru-RU" sz="3200" baseline="0">
              <a:latin typeface="Arial" panose="020B0604020202020204" pitchFamily="34" charset="0"/>
              <a:cs typeface="Arial" panose="020B0604020202020204" pitchFamily="34" charset="0"/>
            </a:rPr>
            <a:t> наблюдаемых и расчётных</a:t>
          </a:r>
          <a:r>
            <a:rPr lang="ru-RU" sz="3200">
              <a:latin typeface="Arial" panose="020B0604020202020204" pitchFamily="34" charset="0"/>
              <a:cs typeface="Arial" panose="020B0604020202020204" pitchFamily="34" charset="0"/>
            </a:rPr>
            <a:t> вводов</a:t>
          </a:r>
          <a:r>
            <a:rPr lang="ru-RU" sz="3200" baseline="0">
              <a:latin typeface="Arial" panose="020B0604020202020204" pitchFamily="34" charset="0"/>
              <a:cs typeface="Arial" panose="020B0604020202020204" pitchFamily="34" charset="0"/>
            </a:rPr>
            <a:t> ОФ </a:t>
          </a:r>
          <a:endParaRPr lang="ru-RU" sz="32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oneCellAnchor>
  <xdr:oneCellAnchor>
    <xdr:from>
      <xdr:col>243</xdr:col>
      <xdr:colOff>216917</xdr:colOff>
      <xdr:row>57</xdr:row>
      <xdr:rowOff>261030</xdr:rowOff>
    </xdr:from>
    <xdr:ext cx="648536" cy="364221"/>
    <xdr:sp macro="" textlink="">
      <xdr:nvSpPr>
        <xdr:cNvPr id="477" name="TextBox 476">
          <a:extLst>
            <a:ext uri="{FF2B5EF4-FFF2-40B4-BE49-F238E27FC236}">
              <a16:creationId xmlns:a16="http://schemas.microsoft.com/office/drawing/2014/main" id="{00000000-0008-0000-0200-0000DD010000}"/>
            </a:ext>
          </a:extLst>
        </xdr:cNvPr>
        <xdr:cNvSpPr txBox="1"/>
      </xdr:nvSpPr>
      <xdr:spPr>
        <a:xfrm>
          <a:off x="182258717" y="16472580"/>
          <a:ext cx="648536" cy="36422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ru-RU" sz="1600"/>
            <a:t>2006</a:t>
          </a:r>
        </a:p>
      </xdr:txBody>
    </xdr:sp>
    <xdr:clientData/>
  </xdr:oneCellAnchor>
  <xdr:oneCellAnchor>
    <xdr:from>
      <xdr:col>244</xdr:col>
      <xdr:colOff>221116</xdr:colOff>
      <xdr:row>57</xdr:row>
      <xdr:rowOff>196056</xdr:rowOff>
    </xdr:from>
    <xdr:ext cx="649101" cy="394494"/>
    <xdr:sp macro="" textlink="">
      <xdr:nvSpPr>
        <xdr:cNvPr id="478" name="TextBox 477">
          <a:extLst>
            <a:ext uri="{FF2B5EF4-FFF2-40B4-BE49-F238E27FC236}">
              <a16:creationId xmlns:a16="http://schemas.microsoft.com/office/drawing/2014/main" id="{00000000-0008-0000-0200-0000DE010000}"/>
            </a:ext>
          </a:extLst>
        </xdr:cNvPr>
        <xdr:cNvSpPr txBox="1"/>
      </xdr:nvSpPr>
      <xdr:spPr>
        <a:xfrm>
          <a:off x="182872516" y="16407606"/>
          <a:ext cx="649101" cy="39449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noAutofit/>
        </a:bodyPr>
        <a:lstStyle/>
        <a:p>
          <a:r>
            <a:rPr lang="ru-RU" sz="1600"/>
            <a:t>2008</a:t>
          </a:r>
        </a:p>
      </xdr:txBody>
    </xdr:sp>
    <xdr:clientData/>
  </xdr:oneCellAnchor>
  <xdr:oneCellAnchor>
    <xdr:from>
      <xdr:col>243</xdr:col>
      <xdr:colOff>148887</xdr:colOff>
      <xdr:row>56</xdr:row>
      <xdr:rowOff>198892</xdr:rowOff>
    </xdr:from>
    <xdr:ext cx="649474" cy="361830"/>
    <xdr:sp macro="" textlink="">
      <xdr:nvSpPr>
        <xdr:cNvPr id="479" name="TextBox 478">
          <a:extLst>
            <a:ext uri="{FF2B5EF4-FFF2-40B4-BE49-F238E27FC236}">
              <a16:creationId xmlns:a16="http://schemas.microsoft.com/office/drawing/2014/main" id="{00000000-0008-0000-0200-0000DF010000}"/>
            </a:ext>
          </a:extLst>
        </xdr:cNvPr>
        <xdr:cNvSpPr txBox="1"/>
      </xdr:nvSpPr>
      <xdr:spPr>
        <a:xfrm>
          <a:off x="182190687" y="16105642"/>
          <a:ext cx="649474" cy="36183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ru-RU" sz="1600"/>
            <a:t>2007</a:t>
          </a:r>
        </a:p>
      </xdr:txBody>
    </xdr:sp>
    <xdr:clientData/>
  </xdr:oneCellAnchor>
  <xdr:oneCellAnchor>
    <xdr:from>
      <xdr:col>248</xdr:col>
      <xdr:colOff>1362</xdr:colOff>
      <xdr:row>56</xdr:row>
      <xdr:rowOff>95703</xdr:rowOff>
    </xdr:from>
    <xdr:ext cx="600677" cy="342786"/>
    <xdr:sp macro="" textlink="">
      <xdr:nvSpPr>
        <xdr:cNvPr id="480" name="TextBox 479">
          <a:extLst>
            <a:ext uri="{FF2B5EF4-FFF2-40B4-BE49-F238E27FC236}">
              <a16:creationId xmlns:a16="http://schemas.microsoft.com/office/drawing/2014/main" id="{00000000-0008-0000-0200-0000E0010000}"/>
            </a:ext>
          </a:extLst>
        </xdr:cNvPr>
        <xdr:cNvSpPr txBox="1"/>
      </xdr:nvSpPr>
      <xdr:spPr>
        <a:xfrm>
          <a:off x="169908312" y="16002453"/>
          <a:ext cx="600677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ru-RU" sz="1600"/>
            <a:t>20</a:t>
          </a:r>
          <a:r>
            <a:rPr lang="en-US" sz="1600"/>
            <a:t>1</a:t>
          </a:r>
          <a:r>
            <a:rPr lang="ru-RU" sz="1600"/>
            <a:t>8</a:t>
          </a:r>
        </a:p>
      </xdr:txBody>
    </xdr:sp>
    <xdr:clientData/>
  </xdr:oneCellAnchor>
  <xdr:oneCellAnchor>
    <xdr:from>
      <xdr:col>246</xdr:col>
      <xdr:colOff>376918</xdr:colOff>
      <xdr:row>65</xdr:row>
      <xdr:rowOff>31297</xdr:rowOff>
    </xdr:from>
    <xdr:ext cx="194454" cy="410593"/>
    <xdr:sp macro="" textlink="">
      <xdr:nvSpPr>
        <xdr:cNvPr id="481" name="TextBox 480">
          <a:extLst>
            <a:ext uri="{FF2B5EF4-FFF2-40B4-BE49-F238E27FC236}">
              <a16:creationId xmlns:a16="http://schemas.microsoft.com/office/drawing/2014/main" id="{00000000-0008-0000-0200-0000E1010000}"/>
            </a:ext>
          </a:extLst>
        </xdr:cNvPr>
        <xdr:cNvSpPr txBox="1"/>
      </xdr:nvSpPr>
      <xdr:spPr>
        <a:xfrm>
          <a:off x="169064668" y="18681247"/>
          <a:ext cx="194454" cy="4105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251</xdr:col>
      <xdr:colOff>571500</xdr:colOff>
      <xdr:row>22</xdr:row>
      <xdr:rowOff>214312</xdr:rowOff>
    </xdr:from>
    <xdr:ext cx="1412374" cy="468013"/>
    <xdr:sp macro="" textlink="">
      <xdr:nvSpPr>
        <xdr:cNvPr id="23" name="TextBox 22">
          <a:extLst>
            <a:ext uri="{FF2B5EF4-FFF2-40B4-BE49-F238E27FC236}">
              <a16:creationId xmlns:a16="http://schemas.microsoft.com/office/drawing/2014/main" id="{00000000-0008-0000-0200-000017000000}"/>
            </a:ext>
          </a:extLst>
        </xdr:cNvPr>
        <xdr:cNvSpPr txBox="1"/>
      </xdr:nvSpPr>
      <xdr:spPr>
        <a:xfrm>
          <a:off x="187404375" y="6548437"/>
          <a:ext cx="1412374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2400"/>
            <a:t>ПРОГНОЗ</a:t>
          </a:r>
        </a:p>
      </xdr:txBody>
    </xdr:sp>
    <xdr:clientData/>
  </xdr:oneCellAnchor>
</xdr:wsDr>
</file>

<file path=xl/drawings/drawing99.xml><?xml version="1.0" encoding="utf-8"?>
<c:userShapes xmlns:c="http://schemas.openxmlformats.org/drawingml/2006/chart">
  <cdr:relSizeAnchor xmlns:cdr="http://schemas.openxmlformats.org/drawingml/2006/chartDrawing">
    <cdr:from>
      <cdr:x>0.15977</cdr:x>
      <cdr:y>0.0711</cdr:y>
    </cdr:from>
    <cdr:to>
      <cdr:x>0.98875</cdr:x>
      <cdr:y>0.17155</cdr:y>
    </cdr:to>
    <cdr:sp macro="" textlink="">
      <cdr:nvSpPr>
        <cdr:cNvPr id="153601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790819" y="396634"/>
          <a:ext cx="5397500" cy="66064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27432" rIns="36576" bIns="27432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ru-RU" sz="1500" b="0" i="0" strike="noStrike">
              <a:solidFill>
                <a:srgbClr val="000000"/>
              </a:solidFill>
              <a:latin typeface="Arial Cyr"/>
            </a:rPr>
            <a:t> </a:t>
          </a:r>
          <a:r>
            <a:rPr lang="ru-RU" sz="1800" b="0" i="0" strike="noStrike">
              <a:solidFill>
                <a:srgbClr val="000000"/>
              </a:solidFill>
              <a:latin typeface="Arial Cyr"/>
            </a:rPr>
            <a:t>КОЭФФИЦИЕНТ ИЗМЕНЕНИЯ  ЗАПАСОВ  МОС</a:t>
          </a:r>
        </a:p>
      </cdr:txBody>
    </cdr:sp>
  </cdr:relSizeAnchor>
  <cdr:relSizeAnchor xmlns:cdr="http://schemas.openxmlformats.org/drawingml/2006/chartDrawing">
    <cdr:from>
      <cdr:x>0.33103</cdr:x>
      <cdr:y>0.19294</cdr:y>
    </cdr:from>
    <cdr:to>
      <cdr:x>0.76518</cdr:x>
      <cdr:y>0.26237</cdr:y>
    </cdr:to>
    <cdr:sp macro="" textlink="">
      <cdr:nvSpPr>
        <cdr:cNvPr id="153602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900705" y="1163146"/>
          <a:ext cx="2831932" cy="44532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27432" rIns="36576" bIns="27432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en-US" sz="1600" b="0" i="0" strike="noStrike">
              <a:solidFill>
                <a:srgbClr val="000000"/>
              </a:solidFill>
              <a:latin typeface="Arial Cyr"/>
            </a:rPr>
            <a:t>eSt = ( WNS - WNOKSt ) / XOS</a:t>
          </a:r>
        </a:p>
      </cdr:txBody>
    </cdr:sp>
  </cdr:relSizeAnchor>
  <cdr:relSizeAnchor xmlns:cdr="http://schemas.openxmlformats.org/drawingml/2006/chartDrawing">
    <cdr:from>
      <cdr:x>0.26573</cdr:x>
      <cdr:y>0.74958</cdr:y>
    </cdr:from>
    <cdr:to>
      <cdr:x>0.38284</cdr:x>
      <cdr:y>0.80129</cdr:y>
    </cdr:to>
    <cdr:sp macro="" textlink="">
      <cdr:nvSpPr>
        <cdr:cNvPr id="153603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497160" y="4744343"/>
          <a:ext cx="769790" cy="33056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27432" rIns="36576" bIns="27432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ru-RU" sz="1475" b="0" i="0" strike="noStrike">
              <a:solidFill>
                <a:srgbClr val="000000"/>
              </a:solidFill>
              <a:latin typeface="Arial Cyr"/>
            </a:rPr>
            <a:t>отчёт</a:t>
          </a:r>
        </a:p>
      </cdr:txBody>
    </cdr:sp>
  </cdr:relSizeAnchor>
  <cdr:relSizeAnchor xmlns:cdr="http://schemas.openxmlformats.org/drawingml/2006/chartDrawing">
    <cdr:from>
      <cdr:x>0.68791</cdr:x>
      <cdr:y>0.7488</cdr:y>
    </cdr:from>
    <cdr:to>
      <cdr:x>0.82113</cdr:x>
      <cdr:y>0.801</cdr:y>
    </cdr:to>
    <cdr:sp macro="" textlink="">
      <cdr:nvSpPr>
        <cdr:cNvPr id="153604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267352" y="4731643"/>
          <a:ext cx="878729" cy="33673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27432" rIns="36576" bIns="27432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ru-RU" sz="1475" b="0" i="0" strike="noStrike">
              <a:solidFill>
                <a:srgbClr val="000000"/>
              </a:solidFill>
              <a:latin typeface="Arial Cyr"/>
            </a:rPr>
            <a:t>прогноз</a:t>
          </a:r>
        </a:p>
      </cdr:txBody>
    </cdr:sp>
  </cdr:relSizeAnchor>
</c:userShapes>
</file>

<file path=xl/drawings/drawing100.xml><?xml version="1.0" encoding="utf-8"?>
<c:userShapes xmlns:c="http://schemas.openxmlformats.org/drawingml/2006/chart">
  <cdr:relSizeAnchor xmlns:cdr="http://schemas.openxmlformats.org/drawingml/2006/chartDrawing">
    <cdr:from>
      <cdr:x>0.35971</cdr:x>
      <cdr:y>0.60047</cdr:y>
    </cdr:from>
    <cdr:to>
      <cdr:x>0.41343</cdr:x>
      <cdr:y>0.66155</cdr:y>
    </cdr:to>
    <cdr:sp macro="" textlink="">
      <cdr:nvSpPr>
        <cdr:cNvPr id="24577" name="Text Box 102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562435" y="4750390"/>
          <a:ext cx="402563" cy="49200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45720" tIns="36576" rIns="45720" bIns="36576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en-US" sz="2150" b="0" i="0" strike="noStrike">
              <a:solidFill>
                <a:srgbClr val="000000"/>
              </a:solidFill>
              <a:latin typeface="Arial Cyr"/>
            </a:rPr>
            <a:t>r</a:t>
          </a:r>
          <a:endParaRPr lang="ru-RU" sz="2150" b="0" i="0" strike="noStrike">
            <a:solidFill>
              <a:srgbClr val="000000"/>
            </a:solidFill>
            <a:latin typeface="Arial Cyr"/>
          </a:endParaRPr>
        </a:p>
      </cdr:txBody>
    </cdr:sp>
  </cdr:relSizeAnchor>
  <cdr:relSizeAnchor xmlns:cdr="http://schemas.openxmlformats.org/drawingml/2006/chartDrawing">
    <cdr:from>
      <cdr:x>0.26556</cdr:x>
      <cdr:y>0.3159</cdr:y>
    </cdr:from>
    <cdr:to>
      <cdr:x>0.32369</cdr:x>
      <cdr:y>0.37648</cdr:y>
    </cdr:to>
    <cdr:sp macro="" textlink="">
      <cdr:nvSpPr>
        <cdr:cNvPr id="24578" name="Text Box 1026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853141" y="2471108"/>
          <a:ext cx="436896" cy="48624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45720" tIns="36576" rIns="45720" bIns="36576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en-US" sz="1975" b="0" i="0" strike="noStrike">
              <a:solidFill>
                <a:srgbClr val="000000"/>
              </a:solidFill>
              <a:latin typeface="Arial Cyr"/>
            </a:rPr>
            <a:t>d</a:t>
          </a:r>
        </a:p>
      </cdr:txBody>
    </cdr:sp>
  </cdr:relSizeAnchor>
  <cdr:relSizeAnchor xmlns:cdr="http://schemas.openxmlformats.org/drawingml/2006/chartDrawing">
    <cdr:from>
      <cdr:x>0.24568</cdr:x>
      <cdr:y>0.79397</cdr:y>
    </cdr:from>
    <cdr:to>
      <cdr:x>0.37278</cdr:x>
      <cdr:y>0.84101</cdr:y>
    </cdr:to>
    <cdr:sp macro="" textlink="">
      <cdr:nvSpPr>
        <cdr:cNvPr id="24579" name="Text Box 1027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704959" y="6276586"/>
          <a:ext cx="953575" cy="37586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32004" rIns="36576" bIns="32004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ru-RU" sz="1575" b="0" i="0" strike="noStrike">
              <a:solidFill>
                <a:srgbClr val="000000"/>
              </a:solidFill>
              <a:latin typeface="Arial Cyr"/>
            </a:rPr>
            <a:t>отчёт</a:t>
          </a:r>
        </a:p>
      </cdr:txBody>
    </cdr:sp>
  </cdr:relSizeAnchor>
  <cdr:relSizeAnchor xmlns:cdr="http://schemas.openxmlformats.org/drawingml/2006/chartDrawing">
    <cdr:from>
      <cdr:x>0.66823</cdr:x>
      <cdr:y>0.78452</cdr:y>
    </cdr:from>
    <cdr:to>
      <cdr:x>0.82364</cdr:x>
      <cdr:y>0.83574</cdr:y>
    </cdr:to>
    <cdr:sp macro="" textlink="">
      <cdr:nvSpPr>
        <cdr:cNvPr id="24580" name="Text Box 1028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881956" y="6203383"/>
          <a:ext cx="1167460" cy="40251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27432" rIns="36576" bIns="27432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ru-RU" sz="1375" b="0" i="0" strike="noStrike">
              <a:solidFill>
                <a:srgbClr val="000000"/>
              </a:solidFill>
              <a:latin typeface="Arial Cyr"/>
            </a:rPr>
            <a:t>прогноз</a:t>
          </a:r>
        </a:p>
      </cdr:txBody>
    </cdr:sp>
  </cdr:relSizeAnchor>
  <cdr:relSizeAnchor xmlns:cdr="http://schemas.openxmlformats.org/drawingml/2006/chartDrawing">
    <cdr:from>
      <cdr:x>0.61143</cdr:x>
      <cdr:y>0.225</cdr:y>
    </cdr:from>
    <cdr:to>
      <cdr:x>0.90109</cdr:x>
      <cdr:y>0.27967</cdr:y>
    </cdr:to>
    <cdr:sp macro="" textlink="">
      <cdr:nvSpPr>
        <cdr:cNvPr id="24581" name="Text Box 1029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447619" y="1289086"/>
          <a:ext cx="2179032" cy="43496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45720" tIns="32004" rIns="45720" bIns="32004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en-US" sz="1600" b="0" i="0" strike="noStrike">
              <a:solidFill>
                <a:srgbClr val="000000"/>
              </a:solidFill>
              <a:latin typeface="Arial Cyr"/>
            </a:rPr>
            <a:t>r </a:t>
          </a:r>
          <a:r>
            <a:rPr lang="en-US" sz="1400" b="0" i="0" strike="noStrike">
              <a:solidFill>
                <a:srgbClr val="000000"/>
              </a:solidFill>
              <a:latin typeface="Arial Cyr"/>
            </a:rPr>
            <a:t>= RBJ / WWP</a:t>
          </a:r>
        </a:p>
      </cdr:txBody>
    </cdr:sp>
  </cdr:relSizeAnchor>
  <cdr:relSizeAnchor xmlns:cdr="http://schemas.openxmlformats.org/drawingml/2006/chartDrawing">
    <cdr:from>
      <cdr:x>0.15485</cdr:x>
      <cdr:y>0.22438</cdr:y>
    </cdr:from>
    <cdr:to>
      <cdr:x>0.49722</cdr:x>
      <cdr:y>0.28939</cdr:y>
    </cdr:to>
    <cdr:sp macro="" textlink="">
      <cdr:nvSpPr>
        <cdr:cNvPr id="24582" name="Text Box 1030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014649" y="1247871"/>
          <a:ext cx="2576036" cy="51700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45720" tIns="32004" rIns="45720" bIns="32004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en-US" sz="1400" b="0" i="0" strike="noStrike">
              <a:solidFill>
                <a:srgbClr val="000000"/>
              </a:solidFill>
              <a:latin typeface="Arial Cyr"/>
            </a:rPr>
            <a:t>d = DBJ / WWP</a:t>
          </a:r>
        </a:p>
      </cdr:txBody>
    </cdr:sp>
  </cdr:relSizeAnchor>
  <cdr:relSizeAnchor xmlns:cdr="http://schemas.openxmlformats.org/drawingml/2006/chartDrawing">
    <cdr:from>
      <cdr:x>0.13136</cdr:x>
      <cdr:y>0.09882</cdr:y>
    </cdr:from>
    <cdr:to>
      <cdr:x>0.9616</cdr:x>
      <cdr:y>0.19998</cdr:y>
    </cdr:to>
    <cdr:sp macro="" textlink="">
      <cdr:nvSpPr>
        <cdr:cNvPr id="28199943" name="TextBox 7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138014" y="887005"/>
          <a:ext cx="7172625" cy="90478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27432" tIns="22860" rIns="27432" bIns="0" anchor="t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ru-RU" sz="1800" b="0" i="0" strike="noStrike">
              <a:solidFill>
                <a:srgbClr val="000000"/>
              </a:solidFill>
              <a:latin typeface="Calibri"/>
            </a:rPr>
            <a:t>ДОХОДЫ И РАСХОДЫ  КОНСОЛИДИРОВАННОГО  БЮДЖЕТА</a:t>
          </a:r>
        </a:p>
      </cdr:txBody>
    </cdr:sp>
  </cdr:relSizeAnchor>
</c:userShapes>
</file>

<file path=xl/drawings/drawing101.xml><?xml version="1.0" encoding="utf-8"?>
<c:userShapes xmlns:c="http://schemas.openxmlformats.org/drawingml/2006/chart">
  <cdr:relSizeAnchor xmlns:cdr="http://schemas.openxmlformats.org/drawingml/2006/chartDrawing">
    <cdr:from>
      <cdr:x>0.32638</cdr:x>
      <cdr:y>0.76512</cdr:y>
    </cdr:from>
    <cdr:to>
      <cdr:x>0.43483</cdr:x>
      <cdr:y>0.83947</cdr:y>
    </cdr:to>
    <cdr:sp macro="" textlink="">
      <cdr:nvSpPr>
        <cdr:cNvPr id="5121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491152" y="8118539"/>
          <a:ext cx="1160044" cy="78891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27432" rIns="36576" bIns="27432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ru-RU" sz="2400" b="0" i="0" strike="noStrike">
              <a:solidFill>
                <a:srgbClr val="000000"/>
              </a:solidFill>
              <a:latin typeface="Arial Cyr"/>
            </a:rPr>
            <a:t>отчёт</a:t>
          </a:r>
        </a:p>
      </cdr:txBody>
    </cdr:sp>
  </cdr:relSizeAnchor>
  <cdr:relSizeAnchor xmlns:cdr="http://schemas.openxmlformats.org/drawingml/2006/chartDrawing">
    <cdr:from>
      <cdr:x>0.76673</cdr:x>
      <cdr:y>0.75856</cdr:y>
    </cdr:from>
    <cdr:to>
      <cdr:x>0.90745</cdr:x>
      <cdr:y>0.83292</cdr:y>
    </cdr:to>
    <cdr:sp macro="" textlink="">
      <cdr:nvSpPr>
        <cdr:cNvPr id="5122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8201434" y="8048917"/>
          <a:ext cx="1505222" cy="78902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27432" rIns="36576" bIns="27432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ru-RU" sz="2400" b="0" i="0" strike="noStrike">
              <a:solidFill>
                <a:srgbClr val="000000"/>
              </a:solidFill>
              <a:latin typeface="Arial Cyr"/>
            </a:rPr>
            <a:t>прогноз</a:t>
          </a:r>
        </a:p>
      </cdr:txBody>
    </cdr:sp>
  </cdr:relSizeAnchor>
  <cdr:relSizeAnchor xmlns:cdr="http://schemas.openxmlformats.org/drawingml/2006/chartDrawing">
    <cdr:from>
      <cdr:x>0.39542</cdr:x>
      <cdr:y>0.1744</cdr:y>
    </cdr:from>
    <cdr:to>
      <cdr:x>0.69101</cdr:x>
      <cdr:y>0.23735</cdr:y>
    </cdr:to>
    <cdr:sp macro="" textlink="">
      <cdr:nvSpPr>
        <cdr:cNvPr id="5124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229640" y="1850534"/>
          <a:ext cx="3161759" cy="66795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45720" tIns="36576" rIns="45720" bIns="36576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en-US" sz="2800" b="1" i="0" strike="noStrike">
              <a:solidFill>
                <a:srgbClr val="000000"/>
              </a:solidFill>
              <a:latin typeface="Arial Cyr"/>
            </a:rPr>
            <a:t>IPCt = IPCt-1 *</a:t>
          </a:r>
          <a:r>
            <a:rPr lang="en-US" sz="2800" b="1" i="0" strike="noStrike" baseline="0">
              <a:solidFill>
                <a:srgbClr val="000000"/>
              </a:solidFill>
              <a:latin typeface="Arial Cyr"/>
            </a:rPr>
            <a:t> ipt</a:t>
          </a:r>
          <a:endParaRPr lang="en-US" sz="2800" b="1" i="0" strike="noStrike">
            <a:solidFill>
              <a:srgbClr val="000000"/>
            </a:solidFill>
            <a:latin typeface="Arial Cyr"/>
          </a:endParaRPr>
        </a:p>
      </cdr:txBody>
    </cdr:sp>
  </cdr:relSizeAnchor>
  <cdr:relSizeAnchor xmlns:cdr="http://schemas.openxmlformats.org/drawingml/2006/chartDrawing">
    <cdr:from>
      <cdr:x>0.1023</cdr:x>
      <cdr:y>0.09074</cdr:y>
    </cdr:from>
    <cdr:to>
      <cdr:x>0.94229</cdr:x>
      <cdr:y>0.13989</cdr:y>
    </cdr:to>
    <cdr:sp macro="" textlink="">
      <cdr:nvSpPr>
        <cdr:cNvPr id="5125" name="Text Box 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888669" y="969775"/>
          <a:ext cx="7296825" cy="52526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27432" rIns="36576" bIns="27432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ru-RU" sz="2400" b="1" i="0" strike="noStrike">
              <a:solidFill>
                <a:srgbClr val="000000"/>
              </a:solidFill>
              <a:latin typeface="Arial Cyr"/>
            </a:rPr>
            <a:t>БАЗИСНЫЙ</a:t>
          </a:r>
          <a:r>
            <a:rPr lang="en-US" sz="2400" b="1" i="0" strike="noStrike">
              <a:solidFill>
                <a:srgbClr val="000000"/>
              </a:solidFill>
              <a:latin typeface="Arial Cyr"/>
            </a:rPr>
            <a:t> </a:t>
          </a:r>
          <a:r>
            <a:rPr lang="ru-RU" sz="2400" b="1" i="0" strike="noStrike">
              <a:solidFill>
                <a:srgbClr val="000000"/>
              </a:solidFill>
              <a:latin typeface="Arial Cyr"/>
            </a:rPr>
            <a:t> ИНДЕКС</a:t>
          </a:r>
          <a:r>
            <a:rPr lang="ru-RU" sz="2400" b="1" i="0" strike="noStrike" baseline="0">
              <a:solidFill>
                <a:srgbClr val="000000"/>
              </a:solidFill>
              <a:latin typeface="Arial Cyr"/>
            </a:rPr>
            <a:t> </a:t>
          </a:r>
          <a:r>
            <a:rPr lang="en-US" sz="2400" b="1" i="0" strike="noStrike" baseline="0">
              <a:solidFill>
                <a:srgbClr val="000000"/>
              </a:solidFill>
              <a:latin typeface="Arial Cyr"/>
            </a:rPr>
            <a:t> </a:t>
          </a:r>
          <a:r>
            <a:rPr lang="ru-RU" sz="2400" b="1" i="0" strike="noStrike" baseline="0">
              <a:solidFill>
                <a:srgbClr val="000000"/>
              </a:solidFill>
              <a:latin typeface="Arial Cyr"/>
            </a:rPr>
            <a:t>ПОТРЕБИТЕЛЬСКИХ </a:t>
          </a:r>
          <a:r>
            <a:rPr lang="en-US" sz="2400" b="1" i="0" strike="noStrike" baseline="0">
              <a:solidFill>
                <a:srgbClr val="000000"/>
              </a:solidFill>
              <a:latin typeface="Arial Cyr"/>
            </a:rPr>
            <a:t> </a:t>
          </a:r>
          <a:r>
            <a:rPr lang="ru-RU" sz="2400" b="1" i="0" strike="noStrike" baseline="0">
              <a:solidFill>
                <a:srgbClr val="000000"/>
              </a:solidFill>
              <a:latin typeface="Arial Cyr"/>
            </a:rPr>
            <a:t>ЦЕН</a:t>
          </a:r>
          <a:endParaRPr lang="ru-RU" sz="2400" b="1" i="0" strike="noStrike">
            <a:solidFill>
              <a:srgbClr val="000000"/>
            </a:solidFill>
            <a:latin typeface="Arial Cyr"/>
          </a:endParaRPr>
        </a:p>
      </cdr:txBody>
    </cdr:sp>
  </cdr:relSizeAnchor>
  <cdr:relSizeAnchor xmlns:cdr="http://schemas.openxmlformats.org/drawingml/2006/chartDrawing">
    <cdr:from>
      <cdr:x>0.18538</cdr:x>
      <cdr:y>0.15243</cdr:y>
    </cdr:from>
    <cdr:to>
      <cdr:x>0.30802</cdr:x>
      <cdr:y>0.27108</cdr:y>
    </cdr:to>
    <cdr:sp macro="" textlink="">
      <cdr:nvSpPr>
        <cdr:cNvPr id="7" name="TextBox 6"/>
        <cdr:cNvSpPr txBox="1"/>
      </cdr:nvSpPr>
      <cdr:spPr>
        <a:xfrm xmlns:a="http://schemas.openxmlformats.org/drawingml/2006/main">
          <a:off x="1403350" y="12192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ru-RU"/>
        </a:p>
      </cdr:txBody>
    </cdr:sp>
  </cdr:relSizeAnchor>
  <cdr:relSizeAnchor xmlns:cdr="http://schemas.openxmlformats.org/drawingml/2006/chartDrawing">
    <cdr:from>
      <cdr:x>0.23425</cdr:x>
      <cdr:y>0.16578</cdr:y>
    </cdr:from>
    <cdr:to>
      <cdr:x>0.30921</cdr:x>
      <cdr:y>0.18891</cdr:y>
    </cdr:to>
    <cdr:sp macro="" textlink="">
      <cdr:nvSpPr>
        <cdr:cNvPr id="8" name="TextBox 7"/>
        <cdr:cNvSpPr txBox="1"/>
      </cdr:nvSpPr>
      <cdr:spPr>
        <a:xfrm xmlns:a="http://schemas.openxmlformats.org/drawingml/2006/main">
          <a:off x="2034883" y="1771650"/>
          <a:ext cx="651167" cy="24724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ru-RU" sz="20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</c:userShapes>
</file>

<file path=xl/drawings/drawing102.xml><?xml version="1.0" encoding="utf-8"?>
<c:userShapes xmlns:c="http://schemas.openxmlformats.org/drawingml/2006/chart">
  <cdr:relSizeAnchor xmlns:cdr="http://schemas.openxmlformats.org/drawingml/2006/chartDrawing">
    <cdr:from>
      <cdr:x>0.26498</cdr:x>
      <cdr:y>0.71347</cdr:y>
    </cdr:from>
    <cdr:to>
      <cdr:x>0.37537</cdr:x>
      <cdr:y>0.75335</cdr:y>
    </cdr:to>
    <cdr:sp macro="" textlink="">
      <cdr:nvSpPr>
        <cdr:cNvPr id="8193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350810" y="4612242"/>
          <a:ext cx="659940" cy="26319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27432" rIns="36576" bIns="27432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ru-RU" sz="2400" b="0" i="0" strike="noStrike">
              <a:solidFill>
                <a:srgbClr val="000000"/>
              </a:solidFill>
              <a:latin typeface="Arial Cyr"/>
            </a:rPr>
            <a:t>отчёт</a:t>
          </a:r>
        </a:p>
      </cdr:txBody>
    </cdr:sp>
  </cdr:relSizeAnchor>
  <cdr:relSizeAnchor xmlns:cdr="http://schemas.openxmlformats.org/drawingml/2006/chartDrawing">
    <cdr:from>
      <cdr:x>0.65981</cdr:x>
      <cdr:y>0.69679</cdr:y>
    </cdr:from>
    <cdr:to>
      <cdr:x>0.80119</cdr:x>
      <cdr:y>0.75146</cdr:y>
    </cdr:to>
    <cdr:sp macro="" textlink="">
      <cdr:nvSpPr>
        <cdr:cNvPr id="8194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7202307" y="7957666"/>
          <a:ext cx="1543255" cy="6243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27432" rIns="36576" bIns="27432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ru-RU" sz="2400" b="0" i="0" strike="noStrike">
              <a:solidFill>
                <a:srgbClr val="000000"/>
              </a:solidFill>
              <a:latin typeface="Arial Cyr"/>
            </a:rPr>
            <a:t>прогноз</a:t>
          </a:r>
        </a:p>
      </cdr:txBody>
    </cdr:sp>
  </cdr:relSizeAnchor>
  <cdr:relSizeAnchor xmlns:cdr="http://schemas.openxmlformats.org/drawingml/2006/chartDrawing">
    <cdr:from>
      <cdr:x>0.22393</cdr:x>
      <cdr:y>0.1708</cdr:y>
    </cdr:from>
    <cdr:to>
      <cdr:x>0.30137</cdr:x>
      <cdr:y>0.22201</cdr:y>
    </cdr:to>
    <cdr:sp macro="" textlink="">
      <cdr:nvSpPr>
        <cdr:cNvPr id="8195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108123" y="1044381"/>
          <a:ext cx="464086" cy="33794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ru-RU"/>
        </a:p>
      </cdr:txBody>
    </cdr:sp>
  </cdr:relSizeAnchor>
  <cdr:relSizeAnchor xmlns:cdr="http://schemas.openxmlformats.org/drawingml/2006/chartDrawing">
    <cdr:from>
      <cdr:x>0.30519</cdr:x>
      <cdr:y>0.51213</cdr:y>
    </cdr:from>
    <cdr:to>
      <cdr:x>0.50401</cdr:x>
      <cdr:y>0.55717</cdr:y>
    </cdr:to>
    <cdr:sp macro="" textlink="">
      <cdr:nvSpPr>
        <cdr:cNvPr id="8196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708268" y="4647178"/>
          <a:ext cx="1764354" cy="40869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22860" rIns="36576" bIns="22860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en-US" sz="2000" b="0" i="0" strike="noStrike">
              <a:solidFill>
                <a:srgbClr val="000000"/>
              </a:solidFill>
              <a:latin typeface="Arial Cyr"/>
            </a:rPr>
            <a:t>n1=CN1 / XO</a:t>
          </a:r>
        </a:p>
      </cdr:txBody>
    </cdr:sp>
  </cdr:relSizeAnchor>
  <cdr:relSizeAnchor xmlns:cdr="http://schemas.openxmlformats.org/drawingml/2006/chartDrawing">
    <cdr:from>
      <cdr:x>0.29855</cdr:x>
      <cdr:y>0.23791</cdr:y>
    </cdr:from>
    <cdr:to>
      <cdr:x>0.53246</cdr:x>
      <cdr:y>0.28788</cdr:y>
    </cdr:to>
    <cdr:sp macro="" textlink="">
      <cdr:nvSpPr>
        <cdr:cNvPr id="8197" name="Text Box 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649375" y="2158831"/>
          <a:ext cx="2075747" cy="4534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22860" rIns="36576" bIns="22860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en-US" sz="2000" b="0" i="0" strike="noStrike">
              <a:solidFill>
                <a:srgbClr val="000000"/>
              </a:solidFill>
              <a:latin typeface="Times New Roman"/>
              <a:cs typeface="Times New Roman"/>
            </a:rPr>
            <a:t>n2=CN2 / (XO+IM)</a:t>
          </a:r>
        </a:p>
      </cdr:txBody>
    </cdr:sp>
  </cdr:relSizeAnchor>
  <cdr:relSizeAnchor xmlns:cdr="http://schemas.openxmlformats.org/drawingml/2006/chartDrawing">
    <cdr:from>
      <cdr:x>0.19737</cdr:x>
      <cdr:y>0.08314</cdr:y>
    </cdr:from>
    <cdr:to>
      <cdr:x>0.87516</cdr:x>
      <cdr:y>0.13805</cdr:y>
    </cdr:to>
    <cdr:sp macro="" textlink="">
      <cdr:nvSpPr>
        <cdr:cNvPr id="8198" name="Text Box 6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095375" y="546392"/>
          <a:ext cx="4691063" cy="43008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22860" rIns="36576" bIns="22860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ru-RU" sz="2800" b="0" i="0" strike="noStrike">
              <a:solidFill>
                <a:srgbClr val="000000"/>
              </a:solidFill>
              <a:latin typeface="Arial Cyr"/>
            </a:rPr>
            <a:t>КОЭФФИЦИЕНТЫ ЧИСТЫХ НАЛОГОВ</a:t>
          </a:r>
        </a:p>
      </cdr:txBody>
    </cdr:sp>
  </cdr:relSizeAnchor>
</c:userShapes>
</file>

<file path=xl/drawings/drawing103.xml><?xml version="1.0" encoding="utf-8"?>
<c:userShapes xmlns:c="http://schemas.openxmlformats.org/drawingml/2006/chart">
  <cdr:relSizeAnchor xmlns:cdr="http://schemas.openxmlformats.org/drawingml/2006/chartDrawing">
    <cdr:from>
      <cdr:x>0.15977</cdr:x>
      <cdr:y>0.0711</cdr:y>
    </cdr:from>
    <cdr:to>
      <cdr:x>0.91928</cdr:x>
      <cdr:y>0.17155</cdr:y>
    </cdr:to>
    <cdr:sp macro="" textlink="">
      <cdr:nvSpPr>
        <cdr:cNvPr id="153601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633917" y="786035"/>
          <a:ext cx="7767262" cy="111051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27432" rIns="36576" bIns="27432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ru-RU" sz="1600" b="0" i="0" strike="noStrike">
              <a:solidFill>
                <a:srgbClr val="000000"/>
              </a:solidFill>
              <a:latin typeface="Arial Cyr"/>
            </a:rPr>
            <a:t> </a:t>
          </a:r>
          <a:r>
            <a:rPr lang="ru-RU" sz="2400" b="0" i="0" strike="noStrike">
              <a:solidFill>
                <a:srgbClr val="000000"/>
              </a:solidFill>
              <a:latin typeface="Arial Cyr"/>
            </a:rPr>
            <a:t>КОЭФФИЦИЕНТ ИЗМЕНЕНИЯ  ЗАПАСОВ  МОС</a:t>
          </a:r>
        </a:p>
      </cdr:txBody>
    </cdr:sp>
  </cdr:relSizeAnchor>
  <cdr:relSizeAnchor xmlns:cdr="http://schemas.openxmlformats.org/drawingml/2006/chartDrawing">
    <cdr:from>
      <cdr:x>0.33103</cdr:x>
      <cdr:y>0.19294</cdr:y>
    </cdr:from>
    <cdr:to>
      <cdr:x>0.77026</cdr:x>
      <cdr:y>0.26237</cdr:y>
    </cdr:to>
    <cdr:sp macro="" textlink="">
      <cdr:nvSpPr>
        <cdr:cNvPr id="153602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85337" y="2133019"/>
          <a:ext cx="4491841" cy="76757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27432" rIns="36576" bIns="27432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en-US" sz="2000" b="0" i="0" strike="noStrike">
              <a:solidFill>
                <a:srgbClr val="000000"/>
              </a:solidFill>
              <a:latin typeface="Arial Cyr"/>
            </a:rPr>
            <a:t>eSt = ( WNS - WNOKSt ) / XOS</a:t>
          </a:r>
        </a:p>
      </cdr:txBody>
    </cdr:sp>
  </cdr:relSizeAnchor>
  <cdr:relSizeAnchor xmlns:cdr="http://schemas.openxmlformats.org/drawingml/2006/chartDrawing">
    <cdr:from>
      <cdr:x>0.26573</cdr:x>
      <cdr:y>0.81958</cdr:y>
    </cdr:from>
    <cdr:to>
      <cdr:x>0.38284</cdr:x>
      <cdr:y>0.87129</cdr:y>
    </cdr:to>
    <cdr:sp macro="" textlink="">
      <cdr:nvSpPr>
        <cdr:cNvPr id="153603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966648" y="7434421"/>
          <a:ext cx="866722" cy="46906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27432" rIns="36576" bIns="27432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ru-RU" sz="2000" b="0" i="0" strike="noStrike">
              <a:solidFill>
                <a:srgbClr val="000000"/>
              </a:solidFill>
              <a:latin typeface="Arial Cyr"/>
            </a:rPr>
            <a:t>отчёт</a:t>
          </a:r>
        </a:p>
      </cdr:txBody>
    </cdr:sp>
  </cdr:relSizeAnchor>
  <cdr:relSizeAnchor xmlns:cdr="http://schemas.openxmlformats.org/drawingml/2006/chartDrawing">
    <cdr:from>
      <cdr:x>0.71365</cdr:x>
      <cdr:y>0.8188</cdr:y>
    </cdr:from>
    <cdr:to>
      <cdr:x>0.84687</cdr:x>
      <cdr:y>0.871</cdr:y>
    </cdr:to>
    <cdr:sp macro="" textlink="">
      <cdr:nvSpPr>
        <cdr:cNvPr id="153604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281670" y="7427346"/>
          <a:ext cx="985952" cy="47350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27432" rIns="36576" bIns="27432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ru-RU" sz="2000" b="0" i="0" strike="noStrike">
              <a:solidFill>
                <a:srgbClr val="000000"/>
              </a:solidFill>
              <a:latin typeface="Arial Cyr"/>
            </a:rPr>
            <a:t>прогноз</a:t>
          </a:r>
        </a:p>
      </cdr:txBody>
    </cdr:sp>
  </cdr:relSizeAnchor>
</c:userShapes>
</file>

<file path=xl/drawings/drawing104.xml><?xml version="1.0" encoding="utf-8"?>
<c:userShapes xmlns:c="http://schemas.openxmlformats.org/drawingml/2006/chart">
  <cdr:relSizeAnchor xmlns:cdr="http://schemas.openxmlformats.org/drawingml/2006/chartDrawing">
    <cdr:from>
      <cdr:x>0.35971</cdr:x>
      <cdr:y>0.60047</cdr:y>
    </cdr:from>
    <cdr:to>
      <cdr:x>0.41343</cdr:x>
      <cdr:y>0.66155</cdr:y>
    </cdr:to>
    <cdr:sp macro="" textlink="">
      <cdr:nvSpPr>
        <cdr:cNvPr id="24577" name="Text Box 102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562435" y="4750390"/>
          <a:ext cx="402563" cy="49200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45720" tIns="36576" rIns="45720" bIns="36576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en-US" sz="3200" b="1" i="0" strike="noStrike">
              <a:solidFill>
                <a:srgbClr val="000000"/>
              </a:solidFill>
              <a:latin typeface="Arial Cyr"/>
            </a:rPr>
            <a:t>r</a:t>
          </a:r>
          <a:endParaRPr lang="ru-RU" sz="3200" b="1" i="0" strike="noStrike">
            <a:solidFill>
              <a:srgbClr val="000000"/>
            </a:solidFill>
            <a:latin typeface="Arial Cyr"/>
          </a:endParaRPr>
        </a:p>
      </cdr:txBody>
    </cdr:sp>
  </cdr:relSizeAnchor>
  <cdr:relSizeAnchor xmlns:cdr="http://schemas.openxmlformats.org/drawingml/2006/chartDrawing">
    <cdr:from>
      <cdr:x>0.33749</cdr:x>
      <cdr:y>0.37256</cdr:y>
    </cdr:from>
    <cdr:to>
      <cdr:x>0.39562</cdr:x>
      <cdr:y>0.43314</cdr:y>
    </cdr:to>
    <cdr:sp macro="" textlink="">
      <cdr:nvSpPr>
        <cdr:cNvPr id="24578" name="Text Box 1026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664633" y="3757975"/>
          <a:ext cx="631205" cy="61106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45720" tIns="36576" rIns="45720" bIns="36576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en-US" sz="3200" b="0" i="0" strike="noStrike">
              <a:solidFill>
                <a:srgbClr val="000000"/>
              </a:solidFill>
              <a:latin typeface="Arial Cyr"/>
            </a:rPr>
            <a:t>d</a:t>
          </a:r>
        </a:p>
      </cdr:txBody>
    </cdr:sp>
  </cdr:relSizeAnchor>
  <cdr:relSizeAnchor xmlns:cdr="http://schemas.openxmlformats.org/drawingml/2006/chartDrawing">
    <cdr:from>
      <cdr:x>0.24568</cdr:x>
      <cdr:y>0.79397</cdr:y>
    </cdr:from>
    <cdr:to>
      <cdr:x>0.37278</cdr:x>
      <cdr:y>0.84101</cdr:y>
    </cdr:to>
    <cdr:sp macro="" textlink="">
      <cdr:nvSpPr>
        <cdr:cNvPr id="24579" name="Text Box 1027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704959" y="6276586"/>
          <a:ext cx="953575" cy="37586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32004" rIns="36576" bIns="32004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ru-RU" sz="2400" b="0" i="0" strike="noStrike">
              <a:solidFill>
                <a:srgbClr val="000000"/>
              </a:solidFill>
              <a:latin typeface="Arial Cyr"/>
            </a:rPr>
            <a:t>отчёт</a:t>
          </a:r>
        </a:p>
      </cdr:txBody>
    </cdr:sp>
  </cdr:relSizeAnchor>
  <cdr:relSizeAnchor xmlns:cdr="http://schemas.openxmlformats.org/drawingml/2006/chartDrawing">
    <cdr:from>
      <cdr:x>0.66823</cdr:x>
      <cdr:y>0.78452</cdr:y>
    </cdr:from>
    <cdr:to>
      <cdr:x>0.82364</cdr:x>
      <cdr:y>0.83574</cdr:y>
    </cdr:to>
    <cdr:sp macro="" textlink="">
      <cdr:nvSpPr>
        <cdr:cNvPr id="24580" name="Text Box 1028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881956" y="6203383"/>
          <a:ext cx="1167460" cy="40251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27432" rIns="36576" bIns="27432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ru-RU" sz="2400" b="0" i="0" strike="noStrike">
              <a:solidFill>
                <a:srgbClr val="000000"/>
              </a:solidFill>
              <a:latin typeface="Arial Cyr"/>
            </a:rPr>
            <a:t>прогноз</a:t>
          </a:r>
          <a:endParaRPr lang="ru-RU" sz="2800" b="0" i="0" strike="noStrike">
            <a:solidFill>
              <a:srgbClr val="000000"/>
            </a:solidFill>
            <a:latin typeface="Arial Cyr"/>
          </a:endParaRPr>
        </a:p>
      </cdr:txBody>
    </cdr:sp>
  </cdr:relSizeAnchor>
  <cdr:relSizeAnchor xmlns:cdr="http://schemas.openxmlformats.org/drawingml/2006/chartDrawing">
    <cdr:from>
      <cdr:x>0.61143</cdr:x>
      <cdr:y>0.225</cdr:y>
    </cdr:from>
    <cdr:to>
      <cdr:x>0.90109</cdr:x>
      <cdr:y>0.27967</cdr:y>
    </cdr:to>
    <cdr:sp macro="" textlink="">
      <cdr:nvSpPr>
        <cdr:cNvPr id="24581" name="Text Box 1029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447619" y="1289086"/>
          <a:ext cx="2179032" cy="43496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45720" tIns="32004" rIns="45720" bIns="32004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en-US" sz="2800" b="1" i="0" strike="noStrike">
              <a:solidFill>
                <a:srgbClr val="000000"/>
              </a:solidFill>
              <a:latin typeface="Arial Cyr"/>
            </a:rPr>
            <a:t>r </a:t>
          </a:r>
          <a:r>
            <a:rPr lang="en-US" sz="2400" b="1" i="0" strike="noStrike">
              <a:solidFill>
                <a:srgbClr val="000000"/>
              </a:solidFill>
              <a:latin typeface="Arial Cyr"/>
            </a:rPr>
            <a:t>= RBJ / WWP</a:t>
          </a:r>
        </a:p>
      </cdr:txBody>
    </cdr:sp>
  </cdr:relSizeAnchor>
  <cdr:relSizeAnchor xmlns:cdr="http://schemas.openxmlformats.org/drawingml/2006/chartDrawing">
    <cdr:from>
      <cdr:x>0.20526</cdr:x>
      <cdr:y>0.22438</cdr:y>
    </cdr:from>
    <cdr:to>
      <cdr:x>0.45088</cdr:x>
      <cdr:y>0.28939</cdr:y>
    </cdr:to>
    <cdr:sp macro="" textlink="">
      <cdr:nvSpPr>
        <cdr:cNvPr id="24582" name="Text Box 1030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228850" y="2263315"/>
          <a:ext cx="2667000" cy="6557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45720" tIns="32004" rIns="45720" bIns="32004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en-US" sz="2400" b="1" i="0" strike="noStrike">
              <a:solidFill>
                <a:srgbClr val="000000"/>
              </a:solidFill>
              <a:latin typeface="Arial Cyr"/>
            </a:rPr>
            <a:t>d = DBJ / WWP</a:t>
          </a:r>
        </a:p>
      </cdr:txBody>
    </cdr:sp>
  </cdr:relSizeAnchor>
  <cdr:relSizeAnchor xmlns:cdr="http://schemas.openxmlformats.org/drawingml/2006/chartDrawing">
    <cdr:from>
      <cdr:x>0.18772</cdr:x>
      <cdr:y>0.09882</cdr:y>
    </cdr:from>
    <cdr:to>
      <cdr:x>0.89825</cdr:x>
      <cdr:y>0.18319</cdr:y>
    </cdr:to>
    <cdr:sp macro="" textlink="">
      <cdr:nvSpPr>
        <cdr:cNvPr id="28199943" name="TextBox 7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038350" y="996795"/>
          <a:ext cx="7715250" cy="851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27432" tIns="22860" rIns="27432" bIns="0" anchor="t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ru-RU" sz="2400" b="0" i="0" strike="noStrike">
              <a:solidFill>
                <a:srgbClr val="000000"/>
              </a:solidFill>
              <a:latin typeface="Arial" panose="020B0604020202020204" pitchFamily="34" charset="0"/>
              <a:cs typeface="Arial" panose="020B0604020202020204" pitchFamily="34" charset="0"/>
            </a:rPr>
            <a:t>КОЭФФИЦИЕНТЫ ДОХОДОВ И РАСХОДОВ  КОНСОЛИДИРОВАННОГО  БЮДЖЕТА</a:t>
          </a:r>
        </a:p>
      </cdr:txBody>
    </cdr:sp>
  </cdr:relSizeAnchor>
</c:userShapes>
</file>

<file path=xl/drawings/drawing105.xml><?xml version="1.0" encoding="utf-8"?>
<c:userShapes xmlns:c="http://schemas.openxmlformats.org/drawingml/2006/chart">
  <cdr:relSizeAnchor xmlns:cdr="http://schemas.openxmlformats.org/drawingml/2006/chartDrawing">
    <cdr:from>
      <cdr:x>0.31184</cdr:x>
      <cdr:y>0.81679</cdr:y>
    </cdr:from>
    <cdr:to>
      <cdr:x>0.44064</cdr:x>
      <cdr:y>0.89188</cdr:y>
    </cdr:to>
    <cdr:sp macro="" textlink="">
      <cdr:nvSpPr>
        <cdr:cNvPr id="5121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258436" y="8791264"/>
          <a:ext cx="1345821" cy="80821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27432" rIns="36576" bIns="27432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ru-RU" sz="2400" b="0" i="0" strike="noStrike">
              <a:solidFill>
                <a:srgbClr val="000000"/>
              </a:solidFill>
              <a:latin typeface="Arial" panose="020B0604020202020204" pitchFamily="34" charset="0"/>
              <a:cs typeface="Arial" panose="020B0604020202020204" pitchFamily="34" charset="0"/>
            </a:rPr>
            <a:t>отчёт</a:t>
          </a:r>
        </a:p>
      </cdr:txBody>
    </cdr:sp>
  </cdr:relSizeAnchor>
  <cdr:relSizeAnchor xmlns:cdr="http://schemas.openxmlformats.org/drawingml/2006/chartDrawing">
    <cdr:from>
      <cdr:x>0.75031</cdr:x>
      <cdr:y>0.81746</cdr:y>
    </cdr:from>
    <cdr:to>
      <cdr:x>0.89128</cdr:x>
      <cdr:y>0.8923</cdr:y>
    </cdr:to>
    <cdr:sp macro="" textlink="">
      <cdr:nvSpPr>
        <cdr:cNvPr id="5122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7839922" y="8798474"/>
          <a:ext cx="1472986" cy="80552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27432" rIns="36576" bIns="27432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ru-RU" sz="2400" b="0" i="0" strike="noStrike">
              <a:solidFill>
                <a:srgbClr val="000000"/>
              </a:solidFill>
              <a:latin typeface="Arial" panose="020B0604020202020204" pitchFamily="34" charset="0"/>
              <a:cs typeface="Arial" panose="020B0604020202020204" pitchFamily="34" charset="0"/>
            </a:rPr>
            <a:t>прогноз</a:t>
          </a:r>
        </a:p>
      </cdr:txBody>
    </cdr:sp>
  </cdr:relSizeAnchor>
  <cdr:relSizeAnchor xmlns:cdr="http://schemas.openxmlformats.org/drawingml/2006/chartDrawing">
    <cdr:from>
      <cdr:x>0.1297</cdr:x>
      <cdr:y>0.03226</cdr:y>
    </cdr:from>
    <cdr:to>
      <cdr:x>0.19598</cdr:x>
      <cdr:y>0.0975</cdr:y>
    </cdr:to>
    <cdr:sp macro="" textlink="">
      <cdr:nvSpPr>
        <cdr:cNvPr id="5124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346160" y="350602"/>
          <a:ext cx="687925" cy="70903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45720" tIns="36576" rIns="45720" bIns="36576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en-US" sz="3200" b="0" i="0" strike="noStrike">
              <a:solidFill>
                <a:srgbClr val="000000"/>
              </a:solidFill>
              <a:latin typeface="Arial Cyr"/>
            </a:rPr>
            <a:t>ip</a:t>
          </a:r>
        </a:p>
      </cdr:txBody>
    </cdr:sp>
  </cdr:relSizeAnchor>
  <cdr:relSizeAnchor xmlns:cdr="http://schemas.openxmlformats.org/drawingml/2006/chartDrawing">
    <cdr:from>
      <cdr:x>0.26479</cdr:x>
      <cdr:y>0.1324</cdr:y>
    </cdr:from>
    <cdr:to>
      <cdr:x>0.88769</cdr:x>
      <cdr:y>0.23986</cdr:y>
    </cdr:to>
    <cdr:sp macro="" textlink="">
      <cdr:nvSpPr>
        <cdr:cNvPr id="5125" name="Text Box 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271229" y="1576388"/>
          <a:ext cx="7695260" cy="127944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27432" rIns="36576" bIns="27432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ru-RU" sz="2400" b="1" i="0" strike="noStrike">
              <a:solidFill>
                <a:srgbClr val="000000"/>
              </a:solidFill>
              <a:latin typeface="Arial Cyr"/>
            </a:rPr>
            <a:t>ГОДОВОЙ  ИНДЕКС</a:t>
          </a:r>
          <a:r>
            <a:rPr lang="ru-RU" sz="2400" b="1" i="0" strike="noStrike" baseline="0">
              <a:solidFill>
                <a:srgbClr val="000000"/>
              </a:solidFill>
              <a:latin typeface="Arial Cyr"/>
            </a:rPr>
            <a:t> </a:t>
          </a:r>
          <a:r>
            <a:rPr lang="en-US" sz="2400" b="1" i="0" strike="noStrike" baseline="0">
              <a:solidFill>
                <a:srgbClr val="000000"/>
              </a:solidFill>
              <a:latin typeface="Arial Cyr"/>
            </a:rPr>
            <a:t> </a:t>
          </a:r>
          <a:r>
            <a:rPr lang="ru-RU" sz="2400" b="1" i="0" strike="noStrike" baseline="0">
              <a:solidFill>
                <a:srgbClr val="000000"/>
              </a:solidFill>
              <a:latin typeface="Arial Cyr"/>
            </a:rPr>
            <a:t>ПОТРЕБИТЕЛЬСКИХ </a:t>
          </a:r>
          <a:r>
            <a:rPr lang="en-US" sz="2400" b="1" i="0" strike="noStrike" baseline="0">
              <a:solidFill>
                <a:srgbClr val="000000"/>
              </a:solidFill>
              <a:latin typeface="Arial Cyr"/>
            </a:rPr>
            <a:t> </a:t>
          </a:r>
          <a:r>
            <a:rPr lang="ru-RU" sz="2400" b="1" i="0" strike="noStrike" baseline="0">
              <a:solidFill>
                <a:srgbClr val="000000"/>
              </a:solidFill>
              <a:latin typeface="Arial Cyr"/>
            </a:rPr>
            <a:t>ЦЕН</a:t>
          </a:r>
          <a:endParaRPr lang="ru-RU" sz="2400" b="1" i="0" strike="noStrike">
            <a:solidFill>
              <a:srgbClr val="000000"/>
            </a:solidFill>
            <a:latin typeface="Arial Cyr"/>
          </a:endParaRPr>
        </a:p>
      </cdr:txBody>
    </cdr:sp>
  </cdr:relSizeAnchor>
</c:userShapes>
</file>

<file path=xl/drawings/drawing106.xml><?xml version="1.0" encoding="utf-8"?>
<c:userShapes xmlns:c="http://schemas.openxmlformats.org/drawingml/2006/chart">
  <cdr:relSizeAnchor xmlns:cdr="http://schemas.openxmlformats.org/drawingml/2006/chartDrawing">
    <cdr:from>
      <cdr:x>0.29998</cdr:x>
      <cdr:y>0.80268</cdr:y>
    </cdr:from>
    <cdr:to>
      <cdr:x>0.47955</cdr:x>
      <cdr:y>0.85858</cdr:y>
    </cdr:to>
    <cdr:sp macro="" textlink="">
      <cdr:nvSpPr>
        <cdr:cNvPr id="3074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957207" y="8526035"/>
          <a:ext cx="1770228" cy="59376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22860" rIns="36576" bIns="22860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ru-RU" sz="1600" b="0" i="0" strike="noStrike">
              <a:solidFill>
                <a:srgbClr val="000000"/>
              </a:solidFill>
              <a:latin typeface="Arial Cyr"/>
            </a:rPr>
            <a:t>отчёт</a:t>
          </a:r>
          <a:r>
            <a:rPr lang="ru-RU" sz="1400" b="0" i="0" strike="noStrike">
              <a:solidFill>
                <a:srgbClr val="000000"/>
              </a:solidFill>
              <a:latin typeface="Arial Cyr"/>
            </a:rPr>
            <a:t> </a:t>
          </a:r>
        </a:p>
      </cdr:txBody>
    </cdr:sp>
  </cdr:relSizeAnchor>
  <cdr:relSizeAnchor xmlns:cdr="http://schemas.openxmlformats.org/drawingml/2006/chartDrawing">
    <cdr:from>
      <cdr:x>0.71693</cdr:x>
      <cdr:y>0.822</cdr:y>
    </cdr:from>
    <cdr:to>
      <cdr:x>0.87164</cdr:x>
      <cdr:y>0.87076</cdr:y>
    </cdr:to>
    <cdr:sp macro="" textlink="">
      <cdr:nvSpPr>
        <cdr:cNvPr id="3075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7067579" y="8731201"/>
          <a:ext cx="1525154" cy="51792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22860" rIns="36576" bIns="22860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ru-RU" sz="1600" b="0" i="0" strike="noStrike">
              <a:solidFill>
                <a:srgbClr val="000000"/>
              </a:solidFill>
              <a:latin typeface="Arial Cyr"/>
            </a:rPr>
            <a:t>прогноз</a:t>
          </a:r>
        </a:p>
      </cdr:txBody>
    </cdr:sp>
  </cdr:relSizeAnchor>
  <cdr:relSizeAnchor xmlns:cdr="http://schemas.openxmlformats.org/drawingml/2006/chartDrawing">
    <cdr:from>
      <cdr:x>0.15186</cdr:x>
      <cdr:y>0.08876</cdr:y>
    </cdr:from>
    <cdr:to>
      <cdr:x>0.90009</cdr:x>
      <cdr:y>0.18483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1385661" y="956802"/>
          <a:ext cx="6827434" cy="103551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algn="ctr"/>
          <a:r>
            <a:rPr lang="ru-RU" sz="2400">
              <a:latin typeface="Arial" pitchFamily="34" charset="0"/>
              <a:cs typeface="Arial" pitchFamily="34" charset="0"/>
            </a:rPr>
            <a:t>ДИНАМИКА  КОЭФФИЦИЕНТОВ  ОБНОВЛЕНИЯ И </a:t>
          </a:r>
          <a:endParaRPr lang="en-US" sz="2400">
            <a:latin typeface="Arial" pitchFamily="34" charset="0"/>
            <a:cs typeface="Arial" pitchFamily="34" charset="0"/>
          </a:endParaRPr>
        </a:p>
        <a:p xmlns:a="http://schemas.openxmlformats.org/drawingml/2006/main">
          <a:pPr algn="ctr"/>
          <a:r>
            <a:rPr lang="ru-RU" sz="2400">
              <a:latin typeface="Arial" pitchFamily="34" charset="0"/>
              <a:cs typeface="Arial" pitchFamily="34" charset="0"/>
            </a:rPr>
            <a:t> ВЫБЫТИЯ  ОФ</a:t>
          </a:r>
        </a:p>
      </cdr:txBody>
    </cdr:sp>
  </cdr:relSizeAnchor>
  <cdr:relSizeAnchor xmlns:cdr="http://schemas.openxmlformats.org/drawingml/2006/chartDrawing">
    <cdr:from>
      <cdr:x>0.35979</cdr:x>
      <cdr:y>0.36367</cdr:y>
    </cdr:from>
    <cdr:to>
      <cdr:x>0.54466</cdr:x>
      <cdr:y>0.40406</cdr:y>
    </cdr:to>
    <cdr:sp macro="" textlink="">
      <cdr:nvSpPr>
        <cdr:cNvPr id="6" name="TextBox 5"/>
        <cdr:cNvSpPr txBox="1"/>
      </cdr:nvSpPr>
      <cdr:spPr>
        <a:xfrm xmlns:a="http://schemas.openxmlformats.org/drawingml/2006/main">
          <a:off x="3507652" y="3584810"/>
          <a:ext cx="1802351" cy="39813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2400">
              <a:latin typeface="Arial" pitchFamily="34" charset="0"/>
              <a:cs typeface="Arial" pitchFamily="34" charset="0"/>
            </a:rPr>
            <a:t>k</a:t>
          </a:r>
          <a:r>
            <a:rPr lang="ru-RU" sz="1600">
              <a:latin typeface="Arial" pitchFamily="34" charset="0"/>
              <a:cs typeface="Arial" pitchFamily="34" charset="0"/>
            </a:rPr>
            <a:t>об= </a:t>
          </a:r>
          <a:r>
            <a:rPr lang="en-US" sz="1600">
              <a:latin typeface="Arial" pitchFamily="34" charset="0"/>
              <a:cs typeface="Arial" pitchFamily="34" charset="0"/>
            </a:rPr>
            <a:t>WWSt / FSt</a:t>
          </a:r>
          <a:endParaRPr lang="ru-RU" sz="1600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0.59431</cdr:x>
      <cdr:y>0.27819</cdr:y>
    </cdr:from>
    <cdr:to>
      <cdr:x>0.71372</cdr:x>
      <cdr:y>0.39632</cdr:y>
    </cdr:to>
    <cdr:sp macro="" textlink="">
      <cdr:nvSpPr>
        <cdr:cNvPr id="7" name="TextBox 6"/>
        <cdr:cNvSpPr txBox="1"/>
      </cdr:nvSpPr>
      <cdr:spPr>
        <a:xfrm xmlns:a="http://schemas.openxmlformats.org/drawingml/2006/main">
          <a:off x="4572000" y="2178844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ru-RU"/>
        </a:p>
      </cdr:txBody>
    </cdr:sp>
  </cdr:relSizeAnchor>
  <cdr:relSizeAnchor xmlns:cdr="http://schemas.openxmlformats.org/drawingml/2006/chartDrawing">
    <cdr:from>
      <cdr:x>0.60667</cdr:x>
      <cdr:y>0.26883</cdr:y>
    </cdr:from>
    <cdr:to>
      <cdr:x>0.72608</cdr:x>
      <cdr:y>0.38721</cdr:y>
    </cdr:to>
    <cdr:sp macro="" textlink="">
      <cdr:nvSpPr>
        <cdr:cNvPr id="8" name="TextBox 7"/>
        <cdr:cNvSpPr txBox="1"/>
      </cdr:nvSpPr>
      <cdr:spPr>
        <a:xfrm xmlns:a="http://schemas.openxmlformats.org/drawingml/2006/main">
          <a:off x="4667250" y="21074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ru-RU"/>
        </a:p>
      </cdr:txBody>
    </cdr:sp>
  </cdr:relSizeAnchor>
  <cdr:relSizeAnchor xmlns:cdr="http://schemas.openxmlformats.org/drawingml/2006/chartDrawing">
    <cdr:from>
      <cdr:x>0.43596</cdr:x>
      <cdr:y>0.16582</cdr:y>
    </cdr:from>
    <cdr:to>
      <cdr:x>0.55513</cdr:x>
      <cdr:y>0.28371</cdr:y>
    </cdr:to>
    <cdr:sp macro="" textlink="">
      <cdr:nvSpPr>
        <cdr:cNvPr id="9" name="TextBox 8"/>
        <cdr:cNvSpPr txBox="1"/>
      </cdr:nvSpPr>
      <cdr:spPr>
        <a:xfrm xmlns:a="http://schemas.openxmlformats.org/drawingml/2006/main">
          <a:off x="3357562" y="1309687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ru-RU"/>
        </a:p>
      </cdr:txBody>
    </cdr:sp>
  </cdr:relSizeAnchor>
  <cdr:relSizeAnchor xmlns:cdr="http://schemas.openxmlformats.org/drawingml/2006/chartDrawing">
    <cdr:from>
      <cdr:x>0.32731</cdr:x>
      <cdr:y>0.22588</cdr:y>
    </cdr:from>
    <cdr:to>
      <cdr:x>0.63204</cdr:x>
      <cdr:y>0.27541</cdr:y>
    </cdr:to>
    <cdr:sp macro="" textlink="">
      <cdr:nvSpPr>
        <cdr:cNvPr id="10" name="TextBox 9"/>
        <cdr:cNvSpPr txBox="1"/>
      </cdr:nvSpPr>
      <cdr:spPr>
        <a:xfrm xmlns:a="http://schemas.openxmlformats.org/drawingml/2006/main">
          <a:off x="2986614" y="2434814"/>
          <a:ext cx="2780548" cy="5338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2000" b="1"/>
            <a:t>FSt = FSt-1+ WWSt - WBSt</a:t>
          </a:r>
          <a:endParaRPr lang="ru-RU" sz="2000" b="1"/>
        </a:p>
      </cdr:txBody>
    </cdr:sp>
  </cdr:relSizeAnchor>
  <cdr:relSizeAnchor xmlns:cdr="http://schemas.openxmlformats.org/drawingml/2006/chartDrawing">
    <cdr:from>
      <cdr:x>0.37703</cdr:x>
      <cdr:y>0.32072</cdr:y>
    </cdr:from>
    <cdr:to>
      <cdr:x>0.4884</cdr:x>
      <cdr:y>0.41633</cdr:y>
    </cdr:to>
    <cdr:sp macro="" textlink="">
      <cdr:nvSpPr>
        <cdr:cNvPr id="11" name="TextBox 10"/>
        <cdr:cNvSpPr txBox="1"/>
      </cdr:nvSpPr>
      <cdr:spPr>
        <a:xfrm xmlns:a="http://schemas.openxmlformats.org/drawingml/2006/main">
          <a:off x="3095625" y="306705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ru-RU" sz="1100"/>
        </a:p>
      </cdr:txBody>
    </cdr:sp>
  </cdr:relSizeAnchor>
  <cdr:relSizeAnchor xmlns:cdr="http://schemas.openxmlformats.org/drawingml/2006/chartDrawing">
    <cdr:from>
      <cdr:x>0.38399</cdr:x>
      <cdr:y>0.31474</cdr:y>
    </cdr:from>
    <cdr:to>
      <cdr:x>0.49536</cdr:x>
      <cdr:y>0.41036</cdr:y>
    </cdr:to>
    <cdr:sp macro="" textlink="">
      <cdr:nvSpPr>
        <cdr:cNvPr id="12" name="TextBox 11"/>
        <cdr:cNvSpPr txBox="1"/>
      </cdr:nvSpPr>
      <cdr:spPr>
        <a:xfrm xmlns:a="http://schemas.openxmlformats.org/drawingml/2006/main">
          <a:off x="3152775" y="30099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ru-RU" sz="1100"/>
        </a:p>
      </cdr:txBody>
    </cdr:sp>
  </cdr:relSizeAnchor>
  <cdr:relSizeAnchor xmlns:cdr="http://schemas.openxmlformats.org/drawingml/2006/chartDrawing">
    <cdr:from>
      <cdr:x>0.35313</cdr:x>
      <cdr:y>0.53676</cdr:y>
    </cdr:from>
    <cdr:to>
      <cdr:x>0.57355</cdr:x>
      <cdr:y>0.58058</cdr:y>
    </cdr:to>
    <cdr:sp macro="" textlink="">
      <cdr:nvSpPr>
        <cdr:cNvPr id="13" name="TextBox 12"/>
        <cdr:cNvSpPr txBox="1"/>
      </cdr:nvSpPr>
      <cdr:spPr>
        <a:xfrm xmlns:a="http://schemas.openxmlformats.org/drawingml/2006/main">
          <a:off x="3442812" y="5290935"/>
          <a:ext cx="2148939" cy="43194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600">
              <a:latin typeface="Arial" pitchFamily="34" charset="0"/>
              <a:cs typeface="Arial" pitchFamily="34" charset="0"/>
            </a:rPr>
            <a:t>k</a:t>
          </a:r>
          <a:r>
            <a:rPr lang="ru-RU" sz="1600">
              <a:latin typeface="Arial" pitchFamily="34" charset="0"/>
              <a:cs typeface="Arial" pitchFamily="34" charset="0"/>
            </a:rPr>
            <a:t>выб = </a:t>
          </a:r>
          <a:r>
            <a:rPr lang="en-US" sz="1600">
              <a:latin typeface="Arial" pitchFamily="34" charset="0"/>
              <a:cs typeface="Arial" pitchFamily="34" charset="0"/>
            </a:rPr>
            <a:t>WBSt / FSt-1</a:t>
          </a:r>
          <a:endParaRPr lang="ru-RU" sz="1600">
            <a:latin typeface="Arial" pitchFamily="34" charset="0"/>
            <a:cs typeface="Arial" pitchFamily="34" charset="0"/>
          </a:endParaRPr>
        </a:p>
      </cdr:txBody>
    </cdr:sp>
  </cdr:relSizeAnchor>
</c:userShapes>
</file>

<file path=xl/drawings/drawing107.xml><?xml version="1.0" encoding="utf-8"?>
<c:userShapes xmlns:c="http://schemas.openxmlformats.org/drawingml/2006/chart">
  <cdr:relSizeAnchor xmlns:cdr="http://schemas.openxmlformats.org/drawingml/2006/chartDrawing">
    <cdr:from>
      <cdr:x>0.21939</cdr:x>
      <cdr:y>0.824</cdr:y>
    </cdr:from>
    <cdr:to>
      <cdr:x>0.33027</cdr:x>
      <cdr:y>0.88168</cdr:y>
    </cdr:to>
    <cdr:sp macro="" textlink="">
      <cdr:nvSpPr>
        <cdr:cNvPr id="38917" name="Text Box 3077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257299" y="3657600"/>
          <a:ext cx="757220" cy="25867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endParaRPr lang="ru-RU"/>
        </a:p>
      </cdr:txBody>
    </cdr:sp>
  </cdr:relSizeAnchor>
  <cdr:relSizeAnchor xmlns:cdr="http://schemas.openxmlformats.org/drawingml/2006/chartDrawing">
    <cdr:from>
      <cdr:x>0.6162</cdr:x>
      <cdr:y>0.8243</cdr:y>
    </cdr:from>
    <cdr:to>
      <cdr:x>0.74785</cdr:x>
      <cdr:y>0.8811</cdr:y>
    </cdr:to>
    <cdr:sp macro="" textlink="">
      <cdr:nvSpPr>
        <cdr:cNvPr id="38918" name="Text Box 3078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962399" y="3660009"/>
          <a:ext cx="898175" cy="25476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endParaRPr lang="ru-RU"/>
        </a:p>
      </cdr:txBody>
    </cdr:sp>
  </cdr:relSizeAnchor>
  <cdr:relSizeAnchor xmlns:cdr="http://schemas.openxmlformats.org/drawingml/2006/chartDrawing">
    <cdr:from>
      <cdr:x>0.44092</cdr:x>
      <cdr:y>0.24044</cdr:y>
    </cdr:from>
    <cdr:to>
      <cdr:x>0.57181</cdr:x>
      <cdr:y>0.40691</cdr:y>
    </cdr:to>
    <cdr:sp macro="" textlink="">
      <cdr:nvSpPr>
        <cdr:cNvPr id="4" name="TextBox 3"/>
        <cdr:cNvSpPr txBox="1"/>
      </cdr:nvSpPr>
      <cdr:spPr>
        <a:xfrm xmlns:a="http://schemas.openxmlformats.org/drawingml/2006/main">
          <a:off x="2828925" y="12573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/>
        <a:p xmlns:a="http://schemas.openxmlformats.org/drawingml/2006/main">
          <a:endParaRPr lang="ru-RU"/>
        </a:p>
      </cdr:txBody>
    </cdr:sp>
  </cdr:relSizeAnchor>
  <cdr:relSizeAnchor xmlns:cdr="http://schemas.openxmlformats.org/drawingml/2006/chartDrawing">
    <cdr:from>
      <cdr:x>0.49628</cdr:x>
      <cdr:y>0.51602</cdr:y>
    </cdr:from>
    <cdr:to>
      <cdr:x>0.60188</cdr:x>
      <cdr:y>0.5869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3219450" y="2771775"/>
          <a:ext cx="733425" cy="3905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/>
        <a:p xmlns:a="http://schemas.openxmlformats.org/drawingml/2006/main">
          <a:endParaRPr lang="ru-RU"/>
        </a:p>
      </cdr:txBody>
    </cdr:sp>
  </cdr:relSizeAnchor>
  <cdr:relSizeAnchor xmlns:cdr="http://schemas.openxmlformats.org/drawingml/2006/chartDrawing">
    <cdr:from>
      <cdr:x>0.69363</cdr:x>
      <cdr:y>0.36226</cdr:y>
    </cdr:from>
    <cdr:to>
      <cdr:x>0.81964</cdr:x>
      <cdr:y>0.40989</cdr:y>
    </cdr:to>
    <cdr:sp macro="" textlink="">
      <cdr:nvSpPr>
        <cdr:cNvPr id="28182533" name="TextBox 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711151" y="3000302"/>
          <a:ext cx="1037526" cy="39448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27432" tIns="27432" rIns="0" bIns="0" anchor="t" upright="1"/>
        <a:lstStyle xmlns:a="http://schemas.openxmlformats.org/drawingml/2006/main"/>
        <a:p xmlns:a="http://schemas.openxmlformats.org/drawingml/2006/main">
          <a:pPr algn="l" rtl="1">
            <a:defRPr sz="1000"/>
          </a:pPr>
          <a:r>
            <a:rPr lang="en-US" sz="1800" b="0" i="0" strike="noStrike">
              <a:solidFill>
                <a:srgbClr val="000000"/>
              </a:solidFill>
              <a:latin typeface="Arial" panose="020B0604020202020204" pitchFamily="34" charset="0"/>
              <a:cs typeface="Arial" panose="020B0604020202020204" pitchFamily="34" charset="0"/>
            </a:rPr>
            <a:t>pW </a:t>
          </a:r>
          <a:r>
            <a:rPr lang="ru-RU" sz="1800" b="0" i="0" strike="noStrike">
              <a:solidFill>
                <a:srgbClr val="000000"/>
              </a:solidFill>
              <a:latin typeface="Arial" panose="020B0604020202020204" pitchFamily="34" charset="0"/>
              <a:cs typeface="Arial" panose="020B0604020202020204" pitchFamily="34" charset="0"/>
            </a:rPr>
            <a:t>исп</a:t>
          </a:r>
        </a:p>
      </cdr:txBody>
    </cdr:sp>
  </cdr:relSizeAnchor>
</c:userShapes>
</file>

<file path=xl/drawings/drawing108.xml><?xml version="1.0" encoding="utf-8"?>
<c:userShapes xmlns:c="http://schemas.openxmlformats.org/drawingml/2006/chart">
  <cdr:relSizeAnchor xmlns:cdr="http://schemas.openxmlformats.org/drawingml/2006/chartDrawing">
    <cdr:from>
      <cdr:x>0.2167</cdr:x>
      <cdr:y>0.82424</cdr:y>
    </cdr:from>
    <cdr:to>
      <cdr:x>0.32806</cdr:x>
      <cdr:y>0.88168</cdr:y>
    </cdr:to>
    <cdr:sp macro="" textlink="">
      <cdr:nvSpPr>
        <cdr:cNvPr id="38917" name="Text Box 3077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257299" y="3657600"/>
          <a:ext cx="757220" cy="25867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endParaRPr lang="ru-RU"/>
        </a:p>
      </cdr:txBody>
    </cdr:sp>
  </cdr:relSizeAnchor>
  <cdr:relSizeAnchor xmlns:cdr="http://schemas.openxmlformats.org/drawingml/2006/chartDrawing">
    <cdr:from>
      <cdr:x>0.61571</cdr:x>
      <cdr:y>0.8243</cdr:y>
    </cdr:from>
    <cdr:to>
      <cdr:x>0.74761</cdr:x>
      <cdr:y>0.8811</cdr:y>
    </cdr:to>
    <cdr:sp macro="" textlink="">
      <cdr:nvSpPr>
        <cdr:cNvPr id="38918" name="Text Box 3078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962399" y="3660009"/>
          <a:ext cx="898175" cy="25476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endParaRPr lang="ru-RU"/>
        </a:p>
      </cdr:txBody>
    </cdr:sp>
  </cdr:relSizeAnchor>
  <cdr:relSizeAnchor xmlns:cdr="http://schemas.openxmlformats.org/drawingml/2006/chartDrawing">
    <cdr:from>
      <cdr:x>0.43871</cdr:x>
      <cdr:y>0.24044</cdr:y>
    </cdr:from>
    <cdr:to>
      <cdr:x>0.57059</cdr:x>
      <cdr:y>0.40691</cdr:y>
    </cdr:to>
    <cdr:sp macro="" textlink="">
      <cdr:nvSpPr>
        <cdr:cNvPr id="4" name="TextBox 3"/>
        <cdr:cNvSpPr txBox="1"/>
      </cdr:nvSpPr>
      <cdr:spPr>
        <a:xfrm xmlns:a="http://schemas.openxmlformats.org/drawingml/2006/main">
          <a:off x="2828925" y="12573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/>
        <a:p xmlns:a="http://schemas.openxmlformats.org/drawingml/2006/main">
          <a:endParaRPr lang="ru-RU"/>
        </a:p>
      </cdr:txBody>
    </cdr:sp>
  </cdr:relSizeAnchor>
  <cdr:relSizeAnchor xmlns:cdr="http://schemas.openxmlformats.org/drawingml/2006/chartDrawing">
    <cdr:from>
      <cdr:x>0.49506</cdr:x>
      <cdr:y>0.51602</cdr:y>
    </cdr:from>
    <cdr:to>
      <cdr:x>0.60065</cdr:x>
      <cdr:y>0.5869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3219450" y="2771775"/>
          <a:ext cx="733425" cy="3905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/>
        <a:p xmlns:a="http://schemas.openxmlformats.org/drawingml/2006/main">
          <a:endParaRPr lang="ru-RU"/>
        </a:p>
      </cdr:txBody>
    </cdr:sp>
  </cdr:relSizeAnchor>
  <cdr:relSizeAnchor xmlns:cdr="http://schemas.openxmlformats.org/drawingml/2006/chartDrawing">
    <cdr:from>
      <cdr:x>0.77242</cdr:x>
      <cdr:y>0.30194</cdr:y>
    </cdr:from>
    <cdr:to>
      <cdr:x>0.86878</cdr:x>
      <cdr:y>0.3505</cdr:y>
    </cdr:to>
    <cdr:sp macro="" textlink="">
      <cdr:nvSpPr>
        <cdr:cNvPr id="28184581" name="TextBox 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261100" y="2513605"/>
          <a:ext cx="781050" cy="40422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1">
            <a:defRPr sz="1000"/>
          </a:pPr>
          <a:r>
            <a:rPr lang="en-US" sz="2400" b="0" i="0" strike="noStrike">
              <a:solidFill>
                <a:srgbClr val="000000"/>
              </a:solidFill>
              <a:latin typeface="Arial Narrow" panose="020B0606020202030204" pitchFamily="34" charset="0"/>
            </a:rPr>
            <a:t>P</a:t>
          </a:r>
          <a:r>
            <a:rPr lang="en-US" sz="2000" b="0" i="0" strike="noStrike">
              <a:solidFill>
                <a:srgbClr val="000000"/>
              </a:solidFill>
              <a:latin typeface="Arial Narrow" panose="020B0606020202030204" pitchFamily="34" charset="0"/>
            </a:rPr>
            <a:t>w </a:t>
          </a:r>
          <a:r>
            <a:rPr lang="ru-RU" sz="2000" b="0" i="0" strike="noStrike">
              <a:solidFill>
                <a:srgbClr val="000000"/>
              </a:solidFill>
              <a:latin typeface="Arial Narrow" panose="020B0606020202030204" pitchFamily="34" charset="0"/>
            </a:rPr>
            <a:t>исп</a:t>
          </a:r>
        </a:p>
      </cdr:txBody>
    </cdr:sp>
  </cdr:relSizeAnchor>
  <cdr:relSizeAnchor xmlns:cdr="http://schemas.openxmlformats.org/drawingml/2006/chartDrawing">
    <cdr:from>
      <cdr:x>0.43704</cdr:x>
      <cdr:y>0.31339</cdr:y>
    </cdr:from>
    <cdr:to>
      <cdr:x>0.58052</cdr:x>
      <cdr:y>0.47515</cdr:y>
    </cdr:to>
    <cdr:sp macro="" textlink="">
      <cdr:nvSpPr>
        <cdr:cNvPr id="7" name="TextBox 6"/>
        <cdr:cNvSpPr txBox="1"/>
      </cdr:nvSpPr>
      <cdr:spPr>
        <a:xfrm xmlns:a="http://schemas.openxmlformats.org/drawingml/2006/main">
          <a:off x="2797969" y="1800225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ru-RU"/>
        </a:p>
      </cdr:txBody>
    </cdr:sp>
  </cdr:relSizeAnchor>
</c:userShapes>
</file>

<file path=xl/drawings/drawing109.xml><?xml version="1.0" encoding="utf-8"?>
<c:userShapes xmlns:c="http://schemas.openxmlformats.org/drawingml/2006/chart">
  <cdr:relSizeAnchor xmlns:cdr="http://schemas.openxmlformats.org/drawingml/2006/chartDrawing">
    <cdr:from>
      <cdr:x>0.30273</cdr:x>
      <cdr:y>0.80036</cdr:y>
    </cdr:from>
    <cdr:to>
      <cdr:x>0.41797</cdr:x>
      <cdr:y>0.84492</cdr:y>
    </cdr:to>
    <cdr:sp macro="" textlink="">
      <cdr:nvSpPr>
        <cdr:cNvPr id="18433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559889" y="5147837"/>
          <a:ext cx="661761" cy="28833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27432" rIns="36576" bIns="27432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ru-RU" sz="2400" b="0" i="0" strike="noStrike">
              <a:solidFill>
                <a:srgbClr val="000000"/>
              </a:solidFill>
              <a:latin typeface="Arial Cyr"/>
            </a:rPr>
            <a:t>отчёт </a:t>
          </a:r>
        </a:p>
      </cdr:txBody>
    </cdr:sp>
  </cdr:relSizeAnchor>
  <cdr:relSizeAnchor xmlns:cdr="http://schemas.openxmlformats.org/drawingml/2006/chartDrawing">
    <cdr:from>
      <cdr:x>0.65655</cdr:x>
      <cdr:y>0.79543</cdr:y>
    </cdr:from>
    <cdr:to>
      <cdr:x>0.80912</cdr:x>
      <cdr:y>0.84418</cdr:y>
    </cdr:to>
    <cdr:sp macro="" textlink="">
      <cdr:nvSpPr>
        <cdr:cNvPr id="18434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588835" y="5115283"/>
          <a:ext cx="875981" cy="31468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27432" rIns="36576" bIns="27432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ru-RU" sz="2400" b="0" i="0" strike="noStrike">
              <a:solidFill>
                <a:srgbClr val="000000"/>
              </a:solidFill>
              <a:latin typeface="Arial Cyr"/>
            </a:rPr>
            <a:t>прогноз</a:t>
          </a:r>
        </a:p>
      </cdr:txBody>
    </cdr:sp>
  </cdr:relSizeAnchor>
  <cdr:relSizeAnchor xmlns:cdr="http://schemas.openxmlformats.org/drawingml/2006/chartDrawing">
    <cdr:from>
      <cdr:x>0.21478</cdr:x>
      <cdr:y>0.10237</cdr:y>
    </cdr:from>
    <cdr:to>
      <cdr:x>0.90667</cdr:x>
      <cdr:y>0.20108</cdr:y>
    </cdr:to>
    <cdr:sp macro="" textlink="">
      <cdr:nvSpPr>
        <cdr:cNvPr id="18436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751187" y="1086232"/>
          <a:ext cx="5641256" cy="104736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27432" rIns="36576" bIns="27432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ru-RU" sz="2800" b="0" i="0" strike="noStrike">
              <a:solidFill>
                <a:srgbClr val="000000"/>
              </a:solidFill>
              <a:latin typeface="+mn-lt"/>
              <a:ea typeface="+mn-ea"/>
              <a:cs typeface="+mn-cs"/>
            </a:rPr>
            <a:t>ФОНДООТДАЧА ПО ВЫПУСКУ  </a:t>
          </a:r>
        </a:p>
        <a:p xmlns:a="http://schemas.openxmlformats.org/drawingml/2006/main">
          <a:pPr algn="ctr" rtl="1">
            <a:defRPr sz="1000"/>
          </a:pPr>
          <a:r>
            <a:rPr lang="ru-RU" sz="2800" b="0" i="0" strike="noStrike">
              <a:solidFill>
                <a:srgbClr val="000000"/>
              </a:solidFill>
              <a:latin typeface="+mn-lt"/>
              <a:ea typeface="+mn-ea"/>
              <a:cs typeface="+mn-cs"/>
            </a:rPr>
            <a:t>В СОЦ 1995 </a:t>
          </a:r>
        </a:p>
      </cdr:txBody>
    </cdr:sp>
  </cdr:relSizeAnchor>
  <cdr:relSizeAnchor xmlns:cdr="http://schemas.openxmlformats.org/drawingml/2006/chartDrawing">
    <cdr:from>
      <cdr:x>0.35602</cdr:x>
      <cdr:y>0.65562</cdr:y>
    </cdr:from>
    <cdr:to>
      <cdr:x>0.63841</cdr:x>
      <cdr:y>0.70087</cdr:y>
    </cdr:to>
    <cdr:sp macro="" textlink="">
      <cdr:nvSpPr>
        <cdr:cNvPr id="18438" name="Text Box 6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458921" y="7493737"/>
          <a:ext cx="2743560" cy="51720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en-US" sz="2000" b="1" i="0" strike="noStrike">
              <a:solidFill>
                <a:srgbClr val="000000"/>
              </a:solidFill>
              <a:latin typeface="Arial Cyr"/>
            </a:rPr>
            <a:t>FOS = XOS / FS</a:t>
          </a:r>
        </a:p>
      </cdr:txBody>
    </cdr:sp>
  </cdr:relSizeAnchor>
  <cdr:relSizeAnchor xmlns:cdr="http://schemas.openxmlformats.org/drawingml/2006/chartDrawing">
    <cdr:from>
      <cdr:x>0.71583</cdr:x>
      <cdr:y>0.56192</cdr:y>
    </cdr:from>
    <cdr:to>
      <cdr:x>0.80588</cdr:x>
      <cdr:y>0.605</cdr:y>
    </cdr:to>
    <cdr:sp macro="" textlink="">
      <cdr:nvSpPr>
        <cdr:cNvPr id="6" name="TextBox 5"/>
        <cdr:cNvSpPr txBox="1"/>
      </cdr:nvSpPr>
      <cdr:spPr>
        <a:xfrm xmlns:a="http://schemas.openxmlformats.org/drawingml/2006/main">
          <a:off x="6954679" y="6422747"/>
          <a:ext cx="874872" cy="49240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2000">
              <a:latin typeface="Arial" panose="020B0604020202020204" pitchFamily="34" charset="0"/>
              <a:cs typeface="Arial" panose="020B0604020202020204" pitchFamily="34" charset="0"/>
            </a:rPr>
            <a:t>Тренд </a:t>
          </a:r>
        </a:p>
      </cdr:txBody>
    </cdr:sp>
  </cdr:relSizeAnchor>
</c:userShapes>
</file>

<file path=xl/drawings/drawing110.xml><?xml version="1.0" encoding="utf-8"?>
<c:userShapes xmlns:c="http://schemas.openxmlformats.org/drawingml/2006/chart">
  <cdr:relSizeAnchor xmlns:cdr="http://schemas.openxmlformats.org/drawingml/2006/chartDrawing">
    <cdr:from>
      <cdr:x>0.06438</cdr:x>
      <cdr:y>0.03777</cdr:y>
    </cdr:from>
    <cdr:to>
      <cdr:x>0.16672</cdr:x>
      <cdr:y>0.08184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19125" y="381000"/>
          <a:ext cx="984250" cy="444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2000">
              <a:latin typeface="Arial" pitchFamily="34" charset="0"/>
              <a:cs typeface="Arial" pitchFamily="34" charset="0"/>
            </a:rPr>
            <a:t>   POk</a:t>
          </a:r>
          <a:endParaRPr lang="ru-RU" sz="2000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0.86827</cdr:x>
      <cdr:y>0.87189</cdr:y>
    </cdr:from>
    <cdr:to>
      <cdr:x>0.96335</cdr:x>
      <cdr:y>0.96254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8350250" y="879475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2400">
              <a:latin typeface="Arial" pitchFamily="34" charset="0"/>
              <a:cs typeface="Arial" pitchFamily="34" charset="0"/>
            </a:rPr>
            <a:t>Pn</a:t>
          </a:r>
          <a:endParaRPr lang="ru-RU" sz="2400">
            <a:latin typeface="Arial" pitchFamily="34" charset="0"/>
            <a:cs typeface="Arial" pitchFamily="34" charset="0"/>
          </a:endParaRPr>
        </a:p>
      </cdr:txBody>
    </cdr:sp>
  </cdr:relSizeAnchor>
</c:userShapes>
</file>

<file path=xl/drawings/drawing111.xml><?xml version="1.0" encoding="utf-8"?>
<c:userShapes xmlns:c="http://schemas.openxmlformats.org/drawingml/2006/chart">
  <cdr:relSizeAnchor xmlns:cdr="http://schemas.openxmlformats.org/drawingml/2006/chartDrawing">
    <cdr:from>
      <cdr:x>0.48622</cdr:x>
      <cdr:y>0.68571</cdr:y>
    </cdr:from>
    <cdr:to>
      <cdr:x>0.57958</cdr:x>
      <cdr:y>0.77233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4762500" y="7239001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/>
            <a:t>ТРЕНД</a:t>
          </a:r>
        </a:p>
        <a:p xmlns:a="http://schemas.openxmlformats.org/drawingml/2006/main">
          <a:endParaRPr lang="ru-RU" sz="1800"/>
        </a:p>
      </cdr:txBody>
    </cdr:sp>
  </cdr:relSizeAnchor>
</c:userShapes>
</file>

<file path=xl/drawings/drawing112.xml><?xml version="1.0" encoding="utf-8"?>
<c:userShapes xmlns:c="http://schemas.openxmlformats.org/drawingml/2006/chart">
  <cdr:relSizeAnchor xmlns:cdr="http://schemas.openxmlformats.org/drawingml/2006/chartDrawing">
    <cdr:from>
      <cdr:x>0.3721</cdr:x>
      <cdr:y>0.62056</cdr:y>
    </cdr:from>
    <cdr:to>
      <cdr:x>0.4303</cdr:x>
      <cdr:y>0.65229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898627" y="6966886"/>
          <a:ext cx="609873" cy="35625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600"/>
            <a:t>2009</a:t>
          </a:r>
        </a:p>
      </cdr:txBody>
    </cdr:sp>
  </cdr:relSizeAnchor>
  <cdr:relSizeAnchor xmlns:cdr="http://schemas.openxmlformats.org/drawingml/2006/chartDrawing">
    <cdr:from>
      <cdr:x>0.66327</cdr:x>
      <cdr:y>0.3465</cdr:y>
    </cdr:from>
    <cdr:to>
      <cdr:x>0.72787</cdr:x>
      <cdr:y>0.38765</cdr:y>
    </cdr:to>
    <cdr:sp macro="" textlink="">
      <cdr:nvSpPr>
        <cdr:cNvPr id="4" name="TextBox 3"/>
        <cdr:cNvSpPr txBox="1"/>
      </cdr:nvSpPr>
      <cdr:spPr>
        <a:xfrm xmlns:a="http://schemas.openxmlformats.org/drawingml/2006/main">
          <a:off x="6949446" y="3890082"/>
          <a:ext cx="676847" cy="46198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600"/>
            <a:t>20</a:t>
          </a:r>
          <a:r>
            <a:rPr lang="en-US" sz="1600"/>
            <a:t>16</a:t>
          </a:r>
          <a:endParaRPr lang="ru-RU" sz="1600"/>
        </a:p>
      </cdr:txBody>
    </cdr:sp>
  </cdr:relSizeAnchor>
  <cdr:relSizeAnchor xmlns:cdr="http://schemas.openxmlformats.org/drawingml/2006/chartDrawing">
    <cdr:from>
      <cdr:x>0.63834</cdr:x>
      <cdr:y>0.37982</cdr:y>
    </cdr:from>
    <cdr:to>
      <cdr:x>0.72142</cdr:x>
      <cdr:y>0.41917</cdr:y>
    </cdr:to>
    <cdr:sp macro="" textlink="">
      <cdr:nvSpPr>
        <cdr:cNvPr id="30086148" name="Text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688195" y="4264204"/>
          <a:ext cx="870470" cy="44177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91440" tIns="45720" rIns="91440" bIns="45720" anchor="t" upright="1"/>
        <a:lstStyle xmlns:a="http://schemas.openxmlformats.org/drawingml/2006/main"/>
        <a:p xmlns:a="http://schemas.openxmlformats.org/drawingml/2006/main">
          <a:pPr algn="l" rtl="1">
            <a:defRPr sz="1000"/>
          </a:pPr>
          <a:r>
            <a:rPr lang="ru-RU" sz="1600" b="0" i="0" strike="noStrike">
              <a:solidFill>
                <a:srgbClr val="000000"/>
              </a:solidFill>
              <a:latin typeface="Calibri"/>
            </a:rPr>
            <a:t>20</a:t>
          </a:r>
          <a:r>
            <a:rPr lang="en-US" sz="1600" b="0" i="0" strike="noStrike">
              <a:solidFill>
                <a:srgbClr val="000000"/>
              </a:solidFill>
              <a:latin typeface="Calibri"/>
            </a:rPr>
            <a:t>15</a:t>
          </a:r>
          <a:endParaRPr lang="ru-RU" sz="1600" b="0" i="0" strike="noStrike">
            <a:solidFill>
              <a:srgbClr val="000000"/>
            </a:solidFill>
            <a:latin typeface="Calibri"/>
          </a:endParaRPr>
        </a:p>
      </cdr:txBody>
    </cdr:sp>
  </cdr:relSizeAnchor>
  <cdr:relSizeAnchor xmlns:cdr="http://schemas.openxmlformats.org/drawingml/2006/chartDrawing">
    <cdr:from>
      <cdr:x>0.27126</cdr:x>
      <cdr:y>0.73921</cdr:y>
    </cdr:from>
    <cdr:to>
      <cdr:x>0.34274</cdr:x>
      <cdr:y>0.77531</cdr:y>
    </cdr:to>
    <cdr:sp macro="" textlink="">
      <cdr:nvSpPr>
        <cdr:cNvPr id="30086149" name="TextBox 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842136" y="8298989"/>
          <a:ext cx="748932" cy="40527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91440" tIns="45720" rIns="91440" bIns="45720" anchor="t" upright="1"/>
        <a:lstStyle xmlns:a="http://schemas.openxmlformats.org/drawingml/2006/main"/>
        <a:p xmlns:a="http://schemas.openxmlformats.org/drawingml/2006/main">
          <a:pPr algn="l" rtl="1">
            <a:defRPr sz="1000"/>
          </a:pPr>
          <a:r>
            <a:rPr lang="ru-RU" sz="1600" b="0" i="0" strike="noStrike">
              <a:solidFill>
                <a:srgbClr val="000000"/>
              </a:solidFill>
              <a:latin typeface="Calibri"/>
            </a:rPr>
            <a:t>2005</a:t>
          </a:r>
        </a:p>
      </cdr:txBody>
    </cdr:sp>
  </cdr:relSizeAnchor>
  <cdr:relSizeAnchor xmlns:cdr="http://schemas.openxmlformats.org/drawingml/2006/chartDrawing">
    <cdr:from>
      <cdr:x>0.4238</cdr:x>
      <cdr:y>0.57367</cdr:y>
    </cdr:from>
    <cdr:to>
      <cdr:x>0.50123</cdr:x>
      <cdr:y>0.60897</cdr:y>
    </cdr:to>
    <cdr:sp macro="" textlink="">
      <cdr:nvSpPr>
        <cdr:cNvPr id="8" name="TextBox 7"/>
        <cdr:cNvSpPr txBox="1"/>
      </cdr:nvSpPr>
      <cdr:spPr>
        <a:xfrm xmlns:a="http://schemas.openxmlformats.org/drawingml/2006/main">
          <a:off x="4440323" y="6440528"/>
          <a:ext cx="811273" cy="3963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600"/>
            <a:t>2010</a:t>
          </a:r>
        </a:p>
      </cdr:txBody>
    </cdr:sp>
  </cdr:relSizeAnchor>
  <cdr:relSizeAnchor xmlns:cdr="http://schemas.openxmlformats.org/drawingml/2006/chartDrawing">
    <cdr:from>
      <cdr:x>0.49027</cdr:x>
      <cdr:y>0.53698</cdr:y>
    </cdr:from>
    <cdr:to>
      <cdr:x>0.57954</cdr:x>
      <cdr:y>0.57089</cdr:y>
    </cdr:to>
    <cdr:sp macro="" textlink="">
      <cdr:nvSpPr>
        <cdr:cNvPr id="30086151" name="TextBox 6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136807" y="6028589"/>
          <a:ext cx="935327" cy="38070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91440" tIns="45720" rIns="91440" bIns="45720" anchor="t" upright="1"/>
        <a:lstStyle xmlns:a="http://schemas.openxmlformats.org/drawingml/2006/main"/>
        <a:p xmlns:a="http://schemas.openxmlformats.org/drawingml/2006/main">
          <a:pPr algn="l" rtl="1">
            <a:defRPr sz="1000"/>
          </a:pPr>
          <a:r>
            <a:rPr lang="ru-RU" sz="1600" b="0" i="0" strike="noStrike">
              <a:solidFill>
                <a:srgbClr val="000000"/>
              </a:solidFill>
              <a:latin typeface="Calibri"/>
            </a:rPr>
            <a:t>2011</a:t>
          </a:r>
        </a:p>
      </cdr:txBody>
    </cdr:sp>
  </cdr:relSizeAnchor>
  <cdr:relSizeAnchor xmlns:cdr="http://schemas.openxmlformats.org/drawingml/2006/chartDrawing">
    <cdr:from>
      <cdr:x>0.53938</cdr:x>
      <cdr:y>0.50739</cdr:y>
    </cdr:from>
    <cdr:to>
      <cdr:x>0.60717</cdr:x>
      <cdr:y>0.53795</cdr:y>
    </cdr:to>
    <cdr:sp macro="" textlink="">
      <cdr:nvSpPr>
        <cdr:cNvPr id="30086152" name="TextBox 8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651319" y="5696341"/>
          <a:ext cx="710270" cy="34309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91440" tIns="45720" rIns="91440" bIns="45720" anchor="t" upright="1"/>
        <a:lstStyle xmlns:a="http://schemas.openxmlformats.org/drawingml/2006/main"/>
        <a:p xmlns:a="http://schemas.openxmlformats.org/drawingml/2006/main">
          <a:pPr algn="l" rtl="1">
            <a:defRPr sz="1000"/>
          </a:pPr>
          <a:r>
            <a:rPr lang="ru-RU" sz="1600" b="0" i="0" strike="noStrike">
              <a:solidFill>
                <a:srgbClr val="000000"/>
              </a:solidFill>
              <a:latin typeface="Calibri"/>
            </a:rPr>
            <a:t>2012</a:t>
          </a:r>
        </a:p>
      </cdr:txBody>
    </cdr:sp>
  </cdr:relSizeAnchor>
  <cdr:relSizeAnchor xmlns:cdr="http://schemas.openxmlformats.org/drawingml/2006/chartDrawing">
    <cdr:from>
      <cdr:x>0.81667</cdr:x>
      <cdr:y>0.87888</cdr:y>
    </cdr:from>
    <cdr:to>
      <cdr:x>0.95228</cdr:x>
      <cdr:y>0.92255</cdr:y>
    </cdr:to>
    <cdr:sp macro="" textlink="">
      <cdr:nvSpPr>
        <cdr:cNvPr id="30086146" name="Text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8401051" y="9428899"/>
          <a:ext cx="1395020" cy="46850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l" rtl="1">
            <a:defRPr sz="1000"/>
          </a:pPr>
          <a:r>
            <a:rPr lang="en-US" sz="2800" b="0" i="0" strike="noStrike" baseline="0">
              <a:solidFill>
                <a:srgbClr val="000000"/>
              </a:solidFill>
              <a:latin typeface="Arial" panose="020B0604020202020204" pitchFamily="34" charset="0"/>
              <a:cs typeface="Arial" panose="020B0604020202020204" pitchFamily="34" charset="0"/>
            </a:rPr>
            <a:t>    Dw</a:t>
          </a:r>
          <a:r>
            <a:rPr lang="ru-RU" sz="2000" b="0" i="0" strike="noStrike" baseline="0">
              <a:solidFill>
                <a:srgbClr val="000000"/>
              </a:solidFill>
              <a:latin typeface="Arial" panose="020B0604020202020204" pitchFamily="34" charset="0"/>
              <a:cs typeface="Arial" panose="020B0604020202020204" pitchFamily="34" charset="0"/>
            </a:rPr>
            <a:t> </a:t>
          </a:r>
          <a:endParaRPr lang="en-US" sz="2000" b="0" i="0" strike="noStrike">
            <a:solidFill>
              <a:srgbClr val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0.56953</cdr:x>
      <cdr:y>0.47009</cdr:y>
    </cdr:from>
    <cdr:to>
      <cdr:x>0.6425</cdr:x>
      <cdr:y>0.50341</cdr:y>
    </cdr:to>
    <cdr:sp macro="" textlink="">
      <cdr:nvSpPr>
        <cdr:cNvPr id="10" name="TextBox 9"/>
        <cdr:cNvSpPr txBox="1"/>
      </cdr:nvSpPr>
      <cdr:spPr>
        <a:xfrm xmlns:a="http://schemas.openxmlformats.org/drawingml/2006/main">
          <a:off x="5967266" y="5277603"/>
          <a:ext cx="764544" cy="3740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/>
        <a:p xmlns:a="http://schemas.openxmlformats.org/drawingml/2006/main">
          <a:r>
            <a:rPr lang="en-US" sz="1600"/>
            <a:t>2013</a:t>
          </a:r>
          <a:endParaRPr lang="ru-RU" sz="1600"/>
        </a:p>
      </cdr:txBody>
    </cdr:sp>
  </cdr:relSizeAnchor>
  <cdr:relSizeAnchor xmlns:cdr="http://schemas.openxmlformats.org/drawingml/2006/chartDrawing">
    <cdr:from>
      <cdr:x>0.6073</cdr:x>
      <cdr:y>0.44145</cdr:y>
    </cdr:from>
    <cdr:to>
      <cdr:x>0.65985</cdr:x>
      <cdr:y>0.46821</cdr:y>
    </cdr:to>
    <cdr:sp macro="" textlink="">
      <cdr:nvSpPr>
        <cdr:cNvPr id="11" name="TextBox 10"/>
        <cdr:cNvSpPr txBox="1"/>
      </cdr:nvSpPr>
      <cdr:spPr>
        <a:xfrm xmlns:a="http://schemas.openxmlformats.org/drawingml/2006/main">
          <a:off x="6363002" y="4956023"/>
          <a:ext cx="550592" cy="30042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400">
              <a:latin typeface="Arial" pitchFamily="34" charset="0"/>
              <a:cs typeface="Arial" pitchFamily="34" charset="0"/>
            </a:rPr>
            <a:t>2014</a:t>
          </a:r>
        </a:p>
      </cdr:txBody>
    </cdr:sp>
  </cdr:relSizeAnchor>
  <cdr:relSizeAnchor xmlns:cdr="http://schemas.openxmlformats.org/drawingml/2006/chartDrawing">
    <cdr:from>
      <cdr:x>0.69902</cdr:x>
      <cdr:y>0.32544</cdr:y>
    </cdr:from>
    <cdr:to>
      <cdr:x>0.76142</cdr:x>
      <cdr:y>0.35678</cdr:y>
    </cdr:to>
    <cdr:sp macro="" textlink="">
      <cdr:nvSpPr>
        <cdr:cNvPr id="12" name="TextBox 11"/>
        <cdr:cNvSpPr txBox="1"/>
      </cdr:nvSpPr>
      <cdr:spPr>
        <a:xfrm xmlns:a="http://schemas.openxmlformats.org/drawingml/2006/main">
          <a:off x="7324020" y="3581370"/>
          <a:ext cx="653796" cy="3448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400">
              <a:latin typeface="Arial" pitchFamily="34" charset="0"/>
              <a:cs typeface="Arial" pitchFamily="34" charset="0"/>
            </a:rPr>
            <a:t>201?</a:t>
          </a:r>
        </a:p>
      </cdr:txBody>
    </cdr:sp>
  </cdr:relSizeAnchor>
  <cdr:relSizeAnchor xmlns:cdr="http://schemas.openxmlformats.org/drawingml/2006/chartDrawing">
    <cdr:from>
      <cdr:x>0.25</cdr:x>
      <cdr:y>0.43826</cdr:y>
    </cdr:from>
    <cdr:to>
      <cdr:x>0.38864</cdr:x>
      <cdr:y>0.47721</cdr:y>
    </cdr:to>
    <cdr:sp macro="" textlink="">
      <cdr:nvSpPr>
        <cdr:cNvPr id="13" name="TextBox 12"/>
        <cdr:cNvSpPr txBox="1"/>
      </cdr:nvSpPr>
      <cdr:spPr>
        <a:xfrm xmlns:a="http://schemas.openxmlformats.org/drawingml/2006/main">
          <a:off x="2619374" y="4822825"/>
          <a:ext cx="1452563" cy="4286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/>
        <a:p xmlns:a="http://schemas.openxmlformats.org/drawingml/2006/main">
          <a:r>
            <a:rPr lang="ru-RU" sz="2400">
              <a:latin typeface="Arial" pitchFamily="34" charset="0"/>
              <a:cs typeface="Arial" pitchFamily="34" charset="0"/>
            </a:rPr>
            <a:t>Тренд1</a:t>
          </a:r>
        </a:p>
      </cdr:txBody>
    </cdr:sp>
  </cdr:relSizeAnchor>
</c:userShapes>
</file>

<file path=xl/drawings/drawing113.xml><?xml version="1.0" encoding="utf-8"?>
<c:userShapes xmlns:c="http://schemas.openxmlformats.org/drawingml/2006/chart">
  <cdr:relSizeAnchor xmlns:cdr="http://schemas.openxmlformats.org/drawingml/2006/chartDrawing">
    <cdr:from>
      <cdr:x>0.42483</cdr:x>
      <cdr:y>0.61874</cdr:y>
    </cdr:from>
    <cdr:to>
      <cdr:x>0.5072</cdr:x>
      <cdr:y>0.65307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4473378" y="6411121"/>
          <a:ext cx="867346" cy="3557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600"/>
            <a:t>2009</a:t>
          </a:r>
        </a:p>
      </cdr:txBody>
    </cdr:sp>
  </cdr:relSizeAnchor>
  <cdr:relSizeAnchor xmlns:cdr="http://schemas.openxmlformats.org/drawingml/2006/chartDrawing">
    <cdr:from>
      <cdr:x>0.6133</cdr:x>
      <cdr:y>0.19534</cdr:y>
    </cdr:from>
    <cdr:to>
      <cdr:x>0.6779</cdr:x>
      <cdr:y>0.23649</cdr:y>
    </cdr:to>
    <cdr:sp macro="" textlink="">
      <cdr:nvSpPr>
        <cdr:cNvPr id="4" name="TextBox 3"/>
        <cdr:cNvSpPr txBox="1"/>
      </cdr:nvSpPr>
      <cdr:spPr>
        <a:xfrm xmlns:a="http://schemas.openxmlformats.org/drawingml/2006/main">
          <a:off x="6472616" y="2095695"/>
          <a:ext cx="681769" cy="44147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600"/>
            <a:t>20</a:t>
          </a:r>
          <a:r>
            <a:rPr lang="en-US" sz="1600"/>
            <a:t>17</a:t>
          </a:r>
          <a:endParaRPr lang="ru-RU" sz="1600"/>
        </a:p>
      </cdr:txBody>
    </cdr:sp>
  </cdr:relSizeAnchor>
  <cdr:relSizeAnchor xmlns:cdr="http://schemas.openxmlformats.org/drawingml/2006/chartDrawing">
    <cdr:from>
      <cdr:x>0.63742</cdr:x>
      <cdr:y>0.16271</cdr:y>
    </cdr:from>
    <cdr:to>
      <cdr:x>0.70387</cdr:x>
      <cdr:y>0.20074</cdr:y>
    </cdr:to>
    <cdr:sp macro="" textlink="">
      <cdr:nvSpPr>
        <cdr:cNvPr id="30086148" name="Text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727118" y="1745569"/>
          <a:ext cx="701293" cy="40799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91440" tIns="45720" rIns="91440" bIns="45720" anchor="t" upright="1"/>
        <a:lstStyle xmlns:a="http://schemas.openxmlformats.org/drawingml/2006/main"/>
        <a:p xmlns:a="http://schemas.openxmlformats.org/drawingml/2006/main">
          <a:pPr algn="l" rtl="1">
            <a:defRPr sz="1000"/>
          </a:pPr>
          <a:r>
            <a:rPr lang="ru-RU" sz="1600" b="0" i="0" strike="noStrike">
              <a:solidFill>
                <a:srgbClr val="000000"/>
              </a:solidFill>
              <a:latin typeface="Calibri"/>
            </a:rPr>
            <a:t>20</a:t>
          </a:r>
          <a:r>
            <a:rPr lang="en-US" sz="1600" b="0" i="0" strike="noStrike">
              <a:solidFill>
                <a:srgbClr val="000000"/>
              </a:solidFill>
              <a:latin typeface="Calibri"/>
            </a:rPr>
            <a:t>18</a:t>
          </a:r>
          <a:endParaRPr lang="ru-RU" sz="1600" b="0" i="0" strike="noStrike">
            <a:solidFill>
              <a:srgbClr val="000000"/>
            </a:solidFill>
            <a:latin typeface="Calibri"/>
          </a:endParaRPr>
        </a:p>
      </cdr:txBody>
    </cdr:sp>
  </cdr:relSizeAnchor>
  <cdr:relSizeAnchor xmlns:cdr="http://schemas.openxmlformats.org/drawingml/2006/chartDrawing">
    <cdr:from>
      <cdr:x>0.24382</cdr:x>
      <cdr:y>0.78257</cdr:y>
    </cdr:from>
    <cdr:to>
      <cdr:x>0.3153</cdr:x>
      <cdr:y>0.8239</cdr:y>
    </cdr:to>
    <cdr:sp macro="" textlink="">
      <cdr:nvSpPr>
        <cdr:cNvPr id="30086149" name="TextBox 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619600" y="8306264"/>
          <a:ext cx="767995" cy="43867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91440" tIns="45720" rIns="91440" bIns="45720" anchor="t" upright="1"/>
        <a:lstStyle xmlns:a="http://schemas.openxmlformats.org/drawingml/2006/main"/>
        <a:p xmlns:a="http://schemas.openxmlformats.org/drawingml/2006/main">
          <a:pPr algn="l" rtl="1">
            <a:defRPr sz="1000"/>
          </a:pPr>
          <a:r>
            <a:rPr lang="ru-RU" sz="1600" b="0" i="0" strike="noStrike">
              <a:solidFill>
                <a:srgbClr val="000000"/>
              </a:solidFill>
              <a:latin typeface="Calibri"/>
            </a:rPr>
            <a:t>2005</a:t>
          </a:r>
        </a:p>
      </cdr:txBody>
    </cdr:sp>
  </cdr:relSizeAnchor>
  <cdr:relSizeAnchor xmlns:cdr="http://schemas.openxmlformats.org/drawingml/2006/chartDrawing">
    <cdr:from>
      <cdr:x>0.46929</cdr:x>
      <cdr:y>0.56776</cdr:y>
    </cdr:from>
    <cdr:to>
      <cdr:x>0.54672</cdr:x>
      <cdr:y>0.60306</cdr:y>
    </cdr:to>
    <cdr:sp macro="" textlink="">
      <cdr:nvSpPr>
        <cdr:cNvPr id="8" name="TextBox 7"/>
        <cdr:cNvSpPr txBox="1"/>
      </cdr:nvSpPr>
      <cdr:spPr>
        <a:xfrm xmlns:a="http://schemas.openxmlformats.org/drawingml/2006/main">
          <a:off x="4941566" y="5882878"/>
          <a:ext cx="815329" cy="36576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600"/>
            <a:t>2010</a:t>
          </a:r>
        </a:p>
      </cdr:txBody>
    </cdr:sp>
  </cdr:relSizeAnchor>
  <cdr:relSizeAnchor xmlns:cdr="http://schemas.openxmlformats.org/drawingml/2006/chartDrawing">
    <cdr:from>
      <cdr:x>0.40405</cdr:x>
      <cdr:y>0.45411</cdr:y>
    </cdr:from>
    <cdr:to>
      <cdr:x>0.49332</cdr:x>
      <cdr:y>0.48802</cdr:y>
    </cdr:to>
    <cdr:sp macro="" textlink="">
      <cdr:nvSpPr>
        <cdr:cNvPr id="30086151" name="TextBox 6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341202" y="4819938"/>
          <a:ext cx="959135" cy="35992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91440" tIns="45720" rIns="91440" bIns="45720" anchor="t" upright="1"/>
        <a:lstStyle xmlns:a="http://schemas.openxmlformats.org/drawingml/2006/main"/>
        <a:p xmlns:a="http://schemas.openxmlformats.org/drawingml/2006/main">
          <a:pPr algn="l" rtl="1">
            <a:defRPr sz="1000"/>
          </a:pPr>
          <a:r>
            <a:rPr lang="ru-RU" sz="1600" b="0" i="0" strike="noStrike">
              <a:solidFill>
                <a:srgbClr val="000000"/>
              </a:solidFill>
              <a:latin typeface="Calibri"/>
            </a:rPr>
            <a:t>2011</a:t>
          </a:r>
        </a:p>
      </cdr:txBody>
    </cdr:sp>
  </cdr:relSizeAnchor>
  <cdr:relSizeAnchor xmlns:cdr="http://schemas.openxmlformats.org/drawingml/2006/chartDrawing">
    <cdr:from>
      <cdr:x>0.4439</cdr:x>
      <cdr:y>0.40559</cdr:y>
    </cdr:from>
    <cdr:to>
      <cdr:x>0.50408</cdr:x>
      <cdr:y>0.43599</cdr:y>
    </cdr:to>
    <cdr:sp macro="" textlink="">
      <cdr:nvSpPr>
        <cdr:cNvPr id="30086152" name="TextBox 8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684768" y="4304928"/>
          <a:ext cx="635122" cy="32266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91440" tIns="45720" rIns="91440" bIns="45720" anchor="t" upright="1"/>
        <a:lstStyle xmlns:a="http://schemas.openxmlformats.org/drawingml/2006/main"/>
        <a:p xmlns:a="http://schemas.openxmlformats.org/drawingml/2006/main">
          <a:pPr algn="l" rtl="1">
            <a:defRPr sz="1000"/>
          </a:pPr>
          <a:r>
            <a:rPr lang="ru-RU" sz="1600" b="0" i="0" strike="noStrike">
              <a:solidFill>
                <a:srgbClr val="000000"/>
              </a:solidFill>
              <a:latin typeface="Calibri"/>
            </a:rPr>
            <a:t>2012</a:t>
          </a:r>
        </a:p>
      </cdr:txBody>
    </cdr:sp>
  </cdr:relSizeAnchor>
  <cdr:relSizeAnchor xmlns:cdr="http://schemas.openxmlformats.org/drawingml/2006/chartDrawing">
    <cdr:from>
      <cdr:x>0.83779</cdr:x>
      <cdr:y>0.89857</cdr:y>
    </cdr:from>
    <cdr:to>
      <cdr:x>0.94118</cdr:x>
      <cdr:y>0.94243</cdr:y>
    </cdr:to>
    <cdr:sp macro="" textlink="">
      <cdr:nvSpPr>
        <cdr:cNvPr id="30086146" name="Text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8410914" y="9588806"/>
          <a:ext cx="1037886" cy="4680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l" rtl="1">
            <a:defRPr sz="1000"/>
          </a:pPr>
          <a:r>
            <a:rPr lang="en-US" sz="2000" b="0" i="0" strike="noStrike" baseline="0">
              <a:solidFill>
                <a:srgbClr val="000000"/>
              </a:solidFill>
              <a:latin typeface="Arial" panose="020B0604020202020204" pitchFamily="34" charset="0"/>
              <a:cs typeface="Arial" panose="020B0604020202020204" pitchFamily="34" charset="0"/>
            </a:rPr>
            <a:t>    </a:t>
          </a:r>
          <a:r>
            <a:rPr lang="en-US" sz="2400" b="1" i="0" strike="noStrike" baseline="0">
              <a:solidFill>
                <a:srgbClr val="000000"/>
              </a:solidFill>
              <a:latin typeface="Arial" panose="020B0604020202020204" pitchFamily="34" charset="0"/>
              <a:cs typeface="Arial" panose="020B0604020202020204" pitchFamily="34" charset="0"/>
            </a:rPr>
            <a:t>DH</a:t>
          </a:r>
          <a:r>
            <a:rPr lang="ru-RU" sz="2000" b="0" i="0" strike="noStrike" baseline="0">
              <a:solidFill>
                <a:srgbClr val="000000"/>
              </a:solidFill>
              <a:latin typeface="Arial" panose="020B0604020202020204" pitchFamily="34" charset="0"/>
              <a:cs typeface="Arial" panose="020B0604020202020204" pitchFamily="34" charset="0"/>
            </a:rPr>
            <a:t> </a:t>
          </a:r>
          <a:endParaRPr lang="en-US" sz="2000" b="0" i="0" strike="noStrike">
            <a:solidFill>
              <a:srgbClr val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0.49563</cdr:x>
      <cdr:y>0.33494</cdr:y>
    </cdr:from>
    <cdr:to>
      <cdr:x>0.5686</cdr:x>
      <cdr:y>0.36826</cdr:y>
    </cdr:to>
    <cdr:sp macro="" textlink="">
      <cdr:nvSpPr>
        <cdr:cNvPr id="10" name="TextBox 9"/>
        <cdr:cNvSpPr txBox="1"/>
      </cdr:nvSpPr>
      <cdr:spPr>
        <a:xfrm xmlns:a="http://schemas.openxmlformats.org/drawingml/2006/main">
          <a:off x="5230764" y="3555014"/>
          <a:ext cx="770104" cy="3536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/>
        <a:p xmlns:a="http://schemas.openxmlformats.org/drawingml/2006/main">
          <a:r>
            <a:rPr lang="en-US" sz="1600"/>
            <a:t>2013</a:t>
          </a:r>
          <a:endParaRPr lang="ru-RU" sz="1600"/>
        </a:p>
      </cdr:txBody>
    </cdr:sp>
  </cdr:relSizeAnchor>
  <cdr:relSizeAnchor xmlns:cdr="http://schemas.openxmlformats.org/drawingml/2006/chartDrawing">
    <cdr:from>
      <cdr:x>0.52463</cdr:x>
      <cdr:y>0.28221</cdr:y>
    </cdr:from>
    <cdr:to>
      <cdr:x>0.58543</cdr:x>
      <cdr:y>0.31512</cdr:y>
    </cdr:to>
    <cdr:sp macro="" textlink="">
      <cdr:nvSpPr>
        <cdr:cNvPr id="11" name="TextBox 10"/>
        <cdr:cNvSpPr txBox="1"/>
      </cdr:nvSpPr>
      <cdr:spPr>
        <a:xfrm xmlns:a="http://schemas.openxmlformats.org/drawingml/2006/main">
          <a:off x="5536812" y="2995375"/>
          <a:ext cx="641665" cy="3493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400">
              <a:latin typeface="Arial" pitchFamily="34" charset="0"/>
              <a:cs typeface="Arial" pitchFamily="34" charset="0"/>
            </a:rPr>
            <a:t>2014</a:t>
          </a:r>
        </a:p>
      </cdr:txBody>
    </cdr:sp>
  </cdr:relSizeAnchor>
  <cdr:relSizeAnchor xmlns:cdr="http://schemas.openxmlformats.org/drawingml/2006/chartDrawing">
    <cdr:from>
      <cdr:x>0.67008</cdr:x>
      <cdr:y>0.29626</cdr:y>
    </cdr:from>
    <cdr:to>
      <cdr:x>0.73248</cdr:x>
      <cdr:y>0.3276</cdr:y>
    </cdr:to>
    <cdr:sp macro="" textlink="">
      <cdr:nvSpPr>
        <cdr:cNvPr id="12" name="TextBox 11"/>
        <cdr:cNvSpPr txBox="1"/>
      </cdr:nvSpPr>
      <cdr:spPr>
        <a:xfrm xmlns:a="http://schemas.openxmlformats.org/drawingml/2006/main">
          <a:off x="7199483" y="3144469"/>
          <a:ext cx="670438" cy="33264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400">
              <a:latin typeface="Arial" pitchFamily="34" charset="0"/>
              <a:cs typeface="Arial" pitchFamily="34" charset="0"/>
            </a:rPr>
            <a:t>2015</a:t>
          </a:r>
        </a:p>
      </cdr:txBody>
    </cdr:sp>
  </cdr:relSizeAnchor>
</c:userShapes>
</file>

<file path=xl/drawings/drawing114.xml><?xml version="1.0" encoding="utf-8"?>
<c:userShapes xmlns:c="http://schemas.openxmlformats.org/drawingml/2006/chart">
  <cdr:relSizeAnchor xmlns:cdr="http://schemas.openxmlformats.org/drawingml/2006/chartDrawing">
    <cdr:from>
      <cdr:x>0.85993</cdr:x>
      <cdr:y>0.86694</cdr:y>
    </cdr:from>
    <cdr:to>
      <cdr:x>0.96783</cdr:x>
      <cdr:y>0.9061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9078173" y="8615395"/>
          <a:ext cx="1139086" cy="3891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baseline="0">
              <a:latin typeface="Arial" pitchFamily="34" charset="0"/>
              <a:cs typeface="Arial" pitchFamily="34" charset="0"/>
            </a:rPr>
            <a:t>  </a:t>
          </a:r>
          <a:r>
            <a:rPr lang="ru-RU" sz="1800" baseline="0">
              <a:latin typeface="Arial" pitchFamily="34" charset="0"/>
              <a:cs typeface="Arial" pitchFamily="34" charset="0"/>
            </a:rPr>
            <a:t>Годы  </a:t>
          </a:r>
          <a:endParaRPr lang="ru-RU" sz="1800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0.08002</cdr:x>
      <cdr:y>0.03148</cdr:y>
    </cdr:from>
    <cdr:to>
      <cdr:x>0.96109</cdr:x>
      <cdr:y>0.0945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41503" y="276502"/>
          <a:ext cx="8164373" cy="55353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2400">
              <a:latin typeface="Arial" pitchFamily="34" charset="0"/>
              <a:cs typeface="Arial" pitchFamily="34" charset="0"/>
            </a:rPr>
            <a:t>kRU - </a:t>
          </a:r>
          <a:r>
            <a:rPr lang="ru-RU" sz="2400">
              <a:latin typeface="Arial" pitchFamily="34" charset="0"/>
              <a:cs typeface="Arial" pitchFamily="34" charset="0"/>
            </a:rPr>
            <a:t>коэффициент реальной удельной оплаты труда     </a:t>
          </a:r>
        </a:p>
      </cdr:txBody>
    </cdr:sp>
  </cdr:relSizeAnchor>
  <cdr:relSizeAnchor xmlns:cdr="http://schemas.openxmlformats.org/drawingml/2006/chartDrawing">
    <cdr:from>
      <cdr:x>0.3239</cdr:x>
      <cdr:y>0.13434</cdr:y>
    </cdr:from>
    <cdr:to>
      <cdr:x>0.66078</cdr:x>
      <cdr:y>0.18495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2966906" y="1175419"/>
          <a:ext cx="3085779" cy="442807"/>
        </a:xfrm>
        <a:prstGeom xmlns:a="http://schemas.openxmlformats.org/drawingml/2006/main" prst="rect">
          <a:avLst/>
        </a:prstGeom>
        <a:noFill xmlns:a="http://schemas.openxmlformats.org/drawingml/2006/main"/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2400" baseline="0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rPr>
            <a:t>kRU = UOT / (UOTo*IPC)</a:t>
          </a:r>
          <a:endParaRPr lang="ru-RU" sz="2400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0.41347</cdr:x>
      <cdr:y>0.5832</cdr:y>
    </cdr:from>
    <cdr:to>
      <cdr:x>0.71676</cdr:x>
      <cdr:y>0.68771</cdr:y>
    </cdr:to>
    <cdr:sp macro="" textlink="">
      <cdr:nvSpPr>
        <cdr:cNvPr id="6" name="TextBox 5"/>
        <cdr:cNvSpPr txBox="1"/>
      </cdr:nvSpPr>
      <cdr:spPr>
        <a:xfrm xmlns:a="http://schemas.openxmlformats.org/drawingml/2006/main">
          <a:off x="3787320" y="5102679"/>
          <a:ext cx="2778125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ru-RU" sz="1100"/>
        </a:p>
      </cdr:txBody>
    </cdr:sp>
  </cdr:relSizeAnchor>
  <cdr:relSizeAnchor xmlns:cdr="http://schemas.openxmlformats.org/drawingml/2006/chartDrawing">
    <cdr:from>
      <cdr:x>0.32508</cdr:x>
      <cdr:y>0.63401</cdr:y>
    </cdr:from>
    <cdr:to>
      <cdr:x>0.81035</cdr:x>
      <cdr:y>0.70658</cdr:y>
    </cdr:to>
    <cdr:sp macro="" textlink="">
      <cdr:nvSpPr>
        <cdr:cNvPr id="7" name="TextBox 6"/>
        <cdr:cNvSpPr txBox="1"/>
      </cdr:nvSpPr>
      <cdr:spPr>
        <a:xfrm xmlns:a="http://schemas.openxmlformats.org/drawingml/2006/main">
          <a:off x="2977696" y="5547179"/>
          <a:ext cx="4445000" cy="635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2400">
              <a:latin typeface="Arial" panose="020B0604020202020204" pitchFamily="34" charset="0"/>
              <a:cs typeface="Arial" panose="020B0604020202020204" pitchFamily="34" charset="0"/>
            </a:rPr>
            <a:t>OT = kRU*IPC*LZ*UOTo</a:t>
          </a:r>
          <a:endParaRPr lang="ru-RU" sz="24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</c:userShapes>
</file>

<file path=xl/drawings/drawing115.xml><?xml version="1.0" encoding="utf-8"?>
<c:userShapes xmlns:c="http://schemas.openxmlformats.org/drawingml/2006/chart">
  <cdr:relSizeAnchor xmlns:cdr="http://schemas.openxmlformats.org/drawingml/2006/chartDrawing">
    <cdr:from>
      <cdr:x>0.21939</cdr:x>
      <cdr:y>0.824</cdr:y>
    </cdr:from>
    <cdr:to>
      <cdr:x>0.33027</cdr:x>
      <cdr:y>0.88168</cdr:y>
    </cdr:to>
    <cdr:sp macro="" textlink="">
      <cdr:nvSpPr>
        <cdr:cNvPr id="38917" name="Text Box 3077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257299" y="3657600"/>
          <a:ext cx="757220" cy="25867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endParaRPr lang="ru-RU"/>
        </a:p>
      </cdr:txBody>
    </cdr:sp>
  </cdr:relSizeAnchor>
  <cdr:relSizeAnchor xmlns:cdr="http://schemas.openxmlformats.org/drawingml/2006/chartDrawing">
    <cdr:from>
      <cdr:x>0.6162</cdr:x>
      <cdr:y>0.8243</cdr:y>
    </cdr:from>
    <cdr:to>
      <cdr:x>0.74785</cdr:x>
      <cdr:y>0.8811</cdr:y>
    </cdr:to>
    <cdr:sp macro="" textlink="">
      <cdr:nvSpPr>
        <cdr:cNvPr id="38918" name="Text Box 3078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962399" y="3660009"/>
          <a:ext cx="898175" cy="25476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endParaRPr lang="ru-RU"/>
        </a:p>
      </cdr:txBody>
    </cdr:sp>
  </cdr:relSizeAnchor>
  <cdr:relSizeAnchor xmlns:cdr="http://schemas.openxmlformats.org/drawingml/2006/chartDrawing">
    <cdr:from>
      <cdr:x>0.44092</cdr:x>
      <cdr:y>0.24044</cdr:y>
    </cdr:from>
    <cdr:to>
      <cdr:x>0.57181</cdr:x>
      <cdr:y>0.40691</cdr:y>
    </cdr:to>
    <cdr:sp macro="" textlink="">
      <cdr:nvSpPr>
        <cdr:cNvPr id="4" name="TextBox 3"/>
        <cdr:cNvSpPr txBox="1"/>
      </cdr:nvSpPr>
      <cdr:spPr>
        <a:xfrm xmlns:a="http://schemas.openxmlformats.org/drawingml/2006/main">
          <a:off x="2828925" y="12573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/>
        <a:p xmlns:a="http://schemas.openxmlformats.org/drawingml/2006/main">
          <a:endParaRPr lang="ru-RU"/>
        </a:p>
      </cdr:txBody>
    </cdr:sp>
  </cdr:relSizeAnchor>
  <cdr:relSizeAnchor xmlns:cdr="http://schemas.openxmlformats.org/drawingml/2006/chartDrawing">
    <cdr:from>
      <cdr:x>0.49628</cdr:x>
      <cdr:y>0.51602</cdr:y>
    </cdr:from>
    <cdr:to>
      <cdr:x>0.60188</cdr:x>
      <cdr:y>0.5869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3219450" y="2771775"/>
          <a:ext cx="733425" cy="3905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/>
        <a:p xmlns:a="http://schemas.openxmlformats.org/drawingml/2006/main">
          <a:endParaRPr lang="ru-RU"/>
        </a:p>
      </cdr:txBody>
    </cdr:sp>
  </cdr:relSizeAnchor>
  <cdr:relSizeAnchor xmlns:cdr="http://schemas.openxmlformats.org/drawingml/2006/chartDrawing">
    <cdr:from>
      <cdr:x>0.79504</cdr:x>
      <cdr:y>0.25199</cdr:y>
    </cdr:from>
    <cdr:to>
      <cdr:x>0.87755</cdr:x>
      <cdr:y>0.29813</cdr:y>
    </cdr:to>
    <cdr:sp macro="" textlink="">
      <cdr:nvSpPr>
        <cdr:cNvPr id="28182533" name="TextBox 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596573" y="1959028"/>
          <a:ext cx="684609" cy="35872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27432" tIns="27432" rIns="0" bIns="0" anchor="t" upright="1"/>
        <a:lstStyle xmlns:a="http://schemas.openxmlformats.org/drawingml/2006/main"/>
        <a:p xmlns:a="http://schemas.openxmlformats.org/drawingml/2006/main">
          <a:pPr algn="l" rtl="1">
            <a:defRPr sz="1000"/>
          </a:pPr>
          <a:r>
            <a:rPr lang="en-US" sz="2000" b="0" i="0" strike="noStrike" baseline="0">
              <a:solidFill>
                <a:srgbClr val="000000"/>
              </a:solidFill>
              <a:latin typeface="Arial" panose="020B0604020202020204" pitchFamily="34" charset="0"/>
              <a:cs typeface="Arial" panose="020B0604020202020204" pitchFamily="34" charset="0"/>
            </a:rPr>
            <a:t>  Pe</a:t>
          </a:r>
          <a:endParaRPr lang="ru-RU" sz="2000" b="0" i="0" strike="noStrike">
            <a:solidFill>
              <a:srgbClr val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</c:userShapes>
</file>

<file path=xl/drawings/drawing116.xml><?xml version="1.0" encoding="utf-8"?>
<c:userShapes xmlns:c="http://schemas.openxmlformats.org/drawingml/2006/chart">
  <cdr:relSizeAnchor xmlns:cdr="http://schemas.openxmlformats.org/drawingml/2006/chartDrawing">
    <cdr:from>
      <cdr:x>0.21939</cdr:x>
      <cdr:y>0.824</cdr:y>
    </cdr:from>
    <cdr:to>
      <cdr:x>0.33027</cdr:x>
      <cdr:y>0.88168</cdr:y>
    </cdr:to>
    <cdr:sp macro="" textlink="">
      <cdr:nvSpPr>
        <cdr:cNvPr id="38917" name="Text Box 3077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257299" y="3657600"/>
          <a:ext cx="757220" cy="25867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endParaRPr lang="ru-RU"/>
        </a:p>
      </cdr:txBody>
    </cdr:sp>
  </cdr:relSizeAnchor>
  <cdr:relSizeAnchor xmlns:cdr="http://schemas.openxmlformats.org/drawingml/2006/chartDrawing">
    <cdr:from>
      <cdr:x>0.6162</cdr:x>
      <cdr:y>0.8243</cdr:y>
    </cdr:from>
    <cdr:to>
      <cdr:x>0.74785</cdr:x>
      <cdr:y>0.8811</cdr:y>
    </cdr:to>
    <cdr:sp macro="" textlink="">
      <cdr:nvSpPr>
        <cdr:cNvPr id="38918" name="Text Box 3078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962399" y="3660009"/>
          <a:ext cx="898175" cy="25476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endParaRPr lang="ru-RU"/>
        </a:p>
      </cdr:txBody>
    </cdr:sp>
  </cdr:relSizeAnchor>
  <cdr:relSizeAnchor xmlns:cdr="http://schemas.openxmlformats.org/drawingml/2006/chartDrawing">
    <cdr:from>
      <cdr:x>0.44092</cdr:x>
      <cdr:y>0.24044</cdr:y>
    </cdr:from>
    <cdr:to>
      <cdr:x>0.57181</cdr:x>
      <cdr:y>0.40691</cdr:y>
    </cdr:to>
    <cdr:sp macro="" textlink="">
      <cdr:nvSpPr>
        <cdr:cNvPr id="4" name="TextBox 3"/>
        <cdr:cNvSpPr txBox="1"/>
      </cdr:nvSpPr>
      <cdr:spPr>
        <a:xfrm xmlns:a="http://schemas.openxmlformats.org/drawingml/2006/main">
          <a:off x="2828925" y="12573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/>
        <a:p xmlns:a="http://schemas.openxmlformats.org/drawingml/2006/main">
          <a:endParaRPr lang="ru-RU"/>
        </a:p>
      </cdr:txBody>
    </cdr:sp>
  </cdr:relSizeAnchor>
  <cdr:relSizeAnchor xmlns:cdr="http://schemas.openxmlformats.org/drawingml/2006/chartDrawing">
    <cdr:from>
      <cdr:x>0.49628</cdr:x>
      <cdr:y>0.51602</cdr:y>
    </cdr:from>
    <cdr:to>
      <cdr:x>0.60188</cdr:x>
      <cdr:y>0.5869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3219450" y="2771775"/>
          <a:ext cx="733425" cy="3905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/>
        <a:p xmlns:a="http://schemas.openxmlformats.org/drawingml/2006/main">
          <a:endParaRPr lang="ru-RU"/>
        </a:p>
      </cdr:txBody>
    </cdr:sp>
  </cdr:relSizeAnchor>
  <cdr:relSizeAnchor xmlns:cdr="http://schemas.openxmlformats.org/drawingml/2006/chartDrawing">
    <cdr:from>
      <cdr:x>0.6369</cdr:x>
      <cdr:y>0.57054</cdr:y>
    </cdr:from>
    <cdr:to>
      <cdr:x>0.73766</cdr:x>
      <cdr:y>0.62077</cdr:y>
    </cdr:to>
    <cdr:sp macro="" textlink="">
      <cdr:nvSpPr>
        <cdr:cNvPr id="28182533" name="TextBox 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395731" y="4435528"/>
          <a:ext cx="853576" cy="39047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27432" tIns="27432" rIns="0" bIns="0" anchor="t" upright="1"/>
        <a:lstStyle xmlns:a="http://schemas.openxmlformats.org/drawingml/2006/main"/>
        <a:p xmlns:a="http://schemas.openxmlformats.org/drawingml/2006/main">
          <a:pPr algn="l" rtl="1">
            <a:defRPr sz="1000"/>
          </a:pPr>
          <a:r>
            <a:rPr lang="en-US" sz="1800" b="0" i="0" strike="noStrike">
              <a:solidFill>
                <a:srgbClr val="000000"/>
              </a:solidFill>
              <a:latin typeface="Arial" panose="020B0604020202020204" pitchFamily="34" charset="0"/>
              <a:cs typeface="Arial" panose="020B0604020202020204" pitchFamily="34" charset="0"/>
            </a:rPr>
            <a:t>   </a:t>
          </a:r>
          <a:r>
            <a:rPr lang="en-US" sz="2000" b="0" i="0" strike="noStrike">
              <a:solidFill>
                <a:srgbClr val="000000"/>
              </a:solidFill>
              <a:latin typeface="Arial" panose="020B0604020202020204" pitchFamily="34" charset="0"/>
              <a:cs typeface="Arial" panose="020B0604020202020204" pitchFamily="34" charset="0"/>
            </a:rPr>
            <a:t>Dem</a:t>
          </a:r>
          <a:endParaRPr lang="ru-RU" sz="2000" b="0" i="0" strike="noStrike">
            <a:solidFill>
              <a:srgbClr val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</c:userShapes>
</file>

<file path=xl/drawings/drawing117.xml><?xml version="1.0" encoding="utf-8"?>
<c:userShapes xmlns:c="http://schemas.openxmlformats.org/drawingml/2006/chart">
  <cdr:relSizeAnchor xmlns:cdr="http://schemas.openxmlformats.org/drawingml/2006/chartDrawing">
    <cdr:from>
      <cdr:x>0.21939</cdr:x>
      <cdr:y>0.824</cdr:y>
    </cdr:from>
    <cdr:to>
      <cdr:x>0.33027</cdr:x>
      <cdr:y>0.88168</cdr:y>
    </cdr:to>
    <cdr:sp macro="" textlink="">
      <cdr:nvSpPr>
        <cdr:cNvPr id="38917" name="Text Box 3077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257299" y="3657600"/>
          <a:ext cx="757220" cy="25867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endParaRPr lang="ru-RU"/>
        </a:p>
      </cdr:txBody>
    </cdr:sp>
  </cdr:relSizeAnchor>
  <cdr:relSizeAnchor xmlns:cdr="http://schemas.openxmlformats.org/drawingml/2006/chartDrawing">
    <cdr:from>
      <cdr:x>0.6162</cdr:x>
      <cdr:y>0.8243</cdr:y>
    </cdr:from>
    <cdr:to>
      <cdr:x>0.74785</cdr:x>
      <cdr:y>0.8811</cdr:y>
    </cdr:to>
    <cdr:sp macro="" textlink="">
      <cdr:nvSpPr>
        <cdr:cNvPr id="38918" name="Text Box 3078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962399" y="3660009"/>
          <a:ext cx="898175" cy="25476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endParaRPr lang="ru-RU"/>
        </a:p>
      </cdr:txBody>
    </cdr:sp>
  </cdr:relSizeAnchor>
  <cdr:relSizeAnchor xmlns:cdr="http://schemas.openxmlformats.org/drawingml/2006/chartDrawing">
    <cdr:from>
      <cdr:x>0.44092</cdr:x>
      <cdr:y>0.24044</cdr:y>
    </cdr:from>
    <cdr:to>
      <cdr:x>0.57181</cdr:x>
      <cdr:y>0.40691</cdr:y>
    </cdr:to>
    <cdr:sp macro="" textlink="">
      <cdr:nvSpPr>
        <cdr:cNvPr id="4" name="TextBox 3"/>
        <cdr:cNvSpPr txBox="1"/>
      </cdr:nvSpPr>
      <cdr:spPr>
        <a:xfrm xmlns:a="http://schemas.openxmlformats.org/drawingml/2006/main">
          <a:off x="2828925" y="12573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/>
        <a:p xmlns:a="http://schemas.openxmlformats.org/drawingml/2006/main">
          <a:endParaRPr lang="ru-RU"/>
        </a:p>
      </cdr:txBody>
    </cdr:sp>
  </cdr:relSizeAnchor>
  <cdr:relSizeAnchor xmlns:cdr="http://schemas.openxmlformats.org/drawingml/2006/chartDrawing">
    <cdr:from>
      <cdr:x>0.49628</cdr:x>
      <cdr:y>0.51602</cdr:y>
    </cdr:from>
    <cdr:to>
      <cdr:x>0.60188</cdr:x>
      <cdr:y>0.5869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3219450" y="2771775"/>
          <a:ext cx="733425" cy="3905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/>
        <a:p xmlns:a="http://schemas.openxmlformats.org/drawingml/2006/main">
          <a:endParaRPr lang="ru-RU"/>
        </a:p>
      </cdr:txBody>
    </cdr:sp>
  </cdr:relSizeAnchor>
  <cdr:relSizeAnchor xmlns:cdr="http://schemas.openxmlformats.org/drawingml/2006/chartDrawing">
    <cdr:from>
      <cdr:x>0.30176</cdr:x>
      <cdr:y>0.56954</cdr:y>
    </cdr:from>
    <cdr:to>
      <cdr:x>0.38427</cdr:x>
      <cdr:y>0.61568</cdr:y>
    </cdr:to>
    <cdr:sp macro="" textlink="">
      <cdr:nvSpPr>
        <cdr:cNvPr id="28182533" name="TextBox 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404373" y="6502640"/>
          <a:ext cx="930851" cy="5267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27432" tIns="27432" rIns="0" bIns="0" anchor="t" upright="1"/>
        <a:lstStyle xmlns:a="http://schemas.openxmlformats.org/drawingml/2006/main"/>
        <a:p xmlns:a="http://schemas.openxmlformats.org/drawingml/2006/main">
          <a:pPr algn="l" rtl="1">
            <a:defRPr sz="1000"/>
          </a:pPr>
          <a:r>
            <a:rPr lang="en-US" sz="2000" b="0" i="0" strike="noStrike" baseline="0">
              <a:solidFill>
                <a:srgbClr val="000000"/>
              </a:solidFill>
              <a:latin typeface="Arial" panose="020B0604020202020204" pitchFamily="34" charset="0"/>
              <a:cs typeface="Arial" panose="020B0604020202020204" pitchFamily="34" charset="0"/>
            </a:rPr>
            <a:t>  </a:t>
          </a:r>
          <a:r>
            <a:rPr lang="en-US" sz="2400" b="0" i="0" strike="noStrike" baseline="0">
              <a:solidFill>
                <a:srgbClr val="000000"/>
              </a:solidFill>
              <a:latin typeface="Arial" panose="020B0604020202020204" pitchFamily="34" charset="0"/>
              <a:cs typeface="Arial" panose="020B0604020202020204" pitchFamily="34" charset="0"/>
            </a:rPr>
            <a:t>aS</a:t>
          </a:r>
          <a:endParaRPr lang="ru-RU" sz="2400" b="0" i="0" strike="noStrike">
            <a:solidFill>
              <a:srgbClr val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</c:userShapes>
</file>

<file path=xl/drawings/drawing118.xml><?xml version="1.0" encoding="utf-8"?>
<c:userShapes xmlns:c="http://schemas.openxmlformats.org/drawingml/2006/chart">
  <cdr:relSizeAnchor xmlns:cdr="http://schemas.openxmlformats.org/drawingml/2006/chartDrawing">
    <cdr:from>
      <cdr:x>0.80974</cdr:x>
      <cdr:y>0.64223</cdr:y>
    </cdr:from>
    <cdr:to>
      <cdr:x>0.86872</cdr:x>
      <cdr:y>0.67195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10170524" y="7830099"/>
          <a:ext cx="740806" cy="3623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ТРЕНД</a:t>
          </a:r>
        </a:p>
      </cdr:txBody>
    </cdr:sp>
  </cdr:relSizeAnchor>
</c:userShapes>
</file>

<file path=xl/drawings/drawing119.xml><?xml version="1.0" encoding="utf-8"?>
<c:userShapes xmlns:c="http://schemas.openxmlformats.org/drawingml/2006/chart">
  <cdr:relSizeAnchor xmlns:cdr="http://schemas.openxmlformats.org/drawingml/2006/chartDrawing">
    <cdr:from>
      <cdr:x>0.08002</cdr:x>
      <cdr:y>0.03148</cdr:y>
    </cdr:from>
    <cdr:to>
      <cdr:x>0.16463</cdr:x>
      <cdr:y>0.09005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675175" y="287353"/>
          <a:ext cx="713888" cy="5346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</a:t>
          </a:r>
        </a:p>
      </cdr:txBody>
    </cdr:sp>
  </cdr:relSizeAnchor>
  <cdr:relSizeAnchor xmlns:cdr="http://schemas.openxmlformats.org/drawingml/2006/chartDrawing">
    <cdr:from>
      <cdr:x>0.30977</cdr:x>
      <cdr:y>0.14553</cdr:y>
    </cdr:from>
    <cdr:to>
      <cdr:x>0.79935</cdr:x>
      <cdr:y>0.25213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2837993" y="1452269"/>
          <a:ext cx="4485374" cy="10637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ДИНАМИКА</a:t>
          </a:r>
          <a:r>
            <a:rPr lang="ru-RU" sz="2000" b="1" baseline="0">
              <a:latin typeface="Arial" pitchFamily="34" charset="0"/>
              <a:cs typeface="Arial" pitchFamily="34" charset="0"/>
            </a:rPr>
            <a:t>  ИН</a:t>
          </a:r>
          <a:r>
            <a:rPr lang="ru-RU" sz="2000" b="1">
              <a:latin typeface="Arial" pitchFamily="34" charset="0"/>
              <a:cs typeface="Arial" pitchFamily="34" charset="0"/>
            </a:rPr>
            <a:t>ВЕСТИЦИЙ</a:t>
          </a:r>
          <a:r>
            <a:rPr lang="en-US" sz="2000" b="1">
              <a:latin typeface="Arial" pitchFamily="34" charset="0"/>
              <a:cs typeface="Arial" pitchFamily="34" charset="0"/>
            </a:rPr>
            <a:t> </a:t>
          </a:r>
          <a:r>
            <a:rPr lang="ru-RU" sz="2000" b="1">
              <a:latin typeface="Arial" pitchFamily="34" charset="0"/>
              <a:cs typeface="Arial" pitchFamily="34" charset="0"/>
            </a:rPr>
            <a:t> В ОК</a:t>
          </a:r>
          <a:r>
            <a:rPr lang="en-US" sz="2000" b="1">
              <a:latin typeface="Arial" pitchFamily="34" charset="0"/>
              <a:cs typeface="Arial" pitchFamily="34" charset="0"/>
            </a:rPr>
            <a:t> </a:t>
          </a:r>
        </a:p>
        <a:p xmlns:a="http://schemas.openxmlformats.org/drawingml/2006/main">
          <a:r>
            <a:rPr lang="en-US" sz="2000" b="1">
              <a:latin typeface="Arial" pitchFamily="34" charset="0"/>
              <a:cs typeface="Arial" pitchFamily="34" charset="0"/>
            </a:rPr>
            <a:t>  </a:t>
          </a:r>
          <a:r>
            <a:rPr lang="ru-RU" sz="2000" b="1">
              <a:latin typeface="Arial" pitchFamily="34" charset="0"/>
              <a:cs typeface="Arial" pitchFamily="34" charset="0"/>
            </a:rPr>
            <a:t>в ценах 1995г.</a:t>
          </a:r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en-US" sz="2000" b="0">
              <a:latin typeface="Arial" pitchFamily="34" charset="0"/>
              <a:cs typeface="Arial" pitchFamily="34" charset="0"/>
            </a:rPr>
            <a:t> </a:t>
          </a:r>
          <a:endParaRPr lang="ru-RU" sz="2000" b="0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en-US" sz="2000" b="1">
              <a:latin typeface="Arial" pitchFamily="34" charset="0"/>
              <a:cs typeface="Arial" pitchFamily="34" charset="0"/>
            </a:rPr>
            <a:t>               </a:t>
          </a:r>
          <a:endParaRPr lang="ru-RU" sz="20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0.6784</cdr:x>
      <cdr:y>0.88132</cdr:y>
    </cdr:from>
    <cdr:to>
      <cdr:x>0.91285</cdr:x>
      <cdr:y>0.92495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C62E565B-F758-4D5E-85D4-ACC5727F5068}"/>
            </a:ext>
          </a:extLst>
        </cdr:cNvPr>
        <cdr:cNvSpPr txBox="1"/>
      </cdr:nvSpPr>
      <cdr:spPr>
        <a:xfrm xmlns:a="http://schemas.openxmlformats.org/drawingml/2006/main">
          <a:off x="6178686" y="8450494"/>
          <a:ext cx="2135280" cy="4183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baseline="0">
              <a:latin typeface="Arial" pitchFamily="34" charset="0"/>
              <a:cs typeface="Arial" pitchFamily="34" charset="0"/>
            </a:rPr>
            <a:t>  </a:t>
          </a:r>
          <a:r>
            <a:rPr lang="ru-RU" sz="1800" baseline="0">
              <a:latin typeface="Arial" pitchFamily="34" charset="0"/>
              <a:cs typeface="Arial" pitchFamily="34" charset="0"/>
            </a:rPr>
            <a:t>фактор  </a:t>
          </a:r>
          <a:r>
            <a:rPr lang="ru-RU" sz="1800" b="1" baseline="0">
              <a:latin typeface="Arial" pitchFamily="34" charset="0"/>
              <a:cs typeface="Arial" pitchFamily="34" charset="0"/>
            </a:rPr>
            <a:t>- время</a:t>
          </a:r>
          <a:endParaRPr lang="ru-RU" sz="18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0.82042</cdr:x>
      <cdr:y>0.41486</cdr:y>
    </cdr:from>
    <cdr:to>
      <cdr:x>0.96339</cdr:x>
      <cdr:y>0.4603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C05C57E-6B9F-4CA9-9390-B31B20F966A5}"/>
            </a:ext>
          </a:extLst>
        </cdr:cNvPr>
        <cdr:cNvSpPr txBox="1"/>
      </cdr:nvSpPr>
      <cdr:spPr>
        <a:xfrm xmlns:a="http://schemas.openxmlformats.org/drawingml/2006/main">
          <a:off x="7516409" y="4139880"/>
          <a:ext cx="1309847" cy="4534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Тренд</a:t>
          </a:r>
          <a:r>
            <a:rPr lang="en-US" sz="1800" baseline="0">
              <a:latin typeface="Arial" pitchFamily="34" charset="0"/>
              <a:cs typeface="Arial" pitchFamily="34" charset="0"/>
            </a:rPr>
            <a:t> </a:t>
          </a:r>
          <a:r>
            <a:rPr lang="ru-RU" sz="1600" b="0">
              <a:latin typeface="Arial" pitchFamily="34" charset="0"/>
              <a:cs typeface="Arial" pitchFamily="34" charset="0"/>
            </a:rPr>
            <a:t> </a:t>
          </a:r>
          <a:r>
            <a:rPr lang="ru-RU" sz="1800" b="0">
              <a:latin typeface="Arial" pitchFamily="34" charset="0"/>
              <a:cs typeface="Arial" pitchFamily="34" charset="0"/>
            </a:rPr>
            <a:t> </a:t>
          </a:r>
        </a:p>
      </cdr:txBody>
    </cdr:sp>
  </cdr:relSizeAnchor>
  <cdr:relSizeAnchor xmlns:cdr="http://schemas.openxmlformats.org/drawingml/2006/chartDrawing">
    <cdr:from>
      <cdr:x>0.0954</cdr:x>
      <cdr:y>0.04508</cdr:y>
    </cdr:from>
    <cdr:to>
      <cdr:x>0.46024</cdr:x>
      <cdr:y>0.08858</cdr:y>
    </cdr:to>
    <cdr:sp macro="" textlink="">
      <cdr:nvSpPr>
        <cdr:cNvPr id="9" name="TextBox 5">
          <a:extLst xmlns:a="http://schemas.openxmlformats.org/drawingml/2006/main">
            <a:ext uri="{FF2B5EF4-FFF2-40B4-BE49-F238E27FC236}">
              <a16:creationId xmlns:a16="http://schemas.microsoft.com/office/drawing/2014/main" id="{71F1EE7D-ED1E-453C-A8EA-CE26BCBCF352}"/>
            </a:ext>
          </a:extLst>
        </cdr:cNvPr>
        <cdr:cNvSpPr txBox="1"/>
      </cdr:nvSpPr>
      <cdr:spPr>
        <a:xfrm xmlns:a="http://schemas.openxmlformats.org/drawingml/2006/main">
          <a:off x="805267" y="411496"/>
          <a:ext cx="3079573" cy="3970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>
              <a:latin typeface="Arial" pitchFamily="34" charset="0"/>
              <a:cs typeface="Arial" pitchFamily="34" charset="0"/>
            </a:rPr>
            <a:t> </a:t>
          </a:r>
          <a:r>
            <a:rPr lang="en-US" sz="2000" b="1">
              <a:latin typeface="Arial" pitchFamily="34" charset="0"/>
              <a:cs typeface="Arial" pitchFamily="34" charset="0"/>
            </a:rPr>
            <a:t>INS</a:t>
          </a:r>
          <a:r>
            <a:rPr lang="ru-RU" sz="1800">
              <a:latin typeface="Arial" pitchFamily="34" charset="0"/>
              <a:cs typeface="Arial" pitchFamily="34" charset="0"/>
            </a:rPr>
            <a:t> (млрд руб 1995 г.)  </a:t>
          </a:r>
        </a:p>
      </cdr:txBody>
    </cdr:sp>
  </cdr:relSizeAnchor>
</c:userShapes>
</file>

<file path=xl/drawings/drawing120.xml><?xml version="1.0" encoding="utf-8"?>
<c:userShapes xmlns:c="http://schemas.openxmlformats.org/drawingml/2006/chart">
  <cdr:relSizeAnchor xmlns:cdr="http://schemas.openxmlformats.org/drawingml/2006/chartDrawing">
    <cdr:from>
      <cdr:x>0.08002</cdr:x>
      <cdr:y>0.03148</cdr:y>
    </cdr:from>
    <cdr:to>
      <cdr:x>0.16463</cdr:x>
      <cdr:y>0.09005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675175" y="287353"/>
          <a:ext cx="713888" cy="5346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</a:t>
          </a:r>
        </a:p>
      </cdr:txBody>
    </cdr:sp>
  </cdr:relSizeAnchor>
  <cdr:relSizeAnchor xmlns:cdr="http://schemas.openxmlformats.org/drawingml/2006/chartDrawing">
    <cdr:from>
      <cdr:x>0.30977</cdr:x>
      <cdr:y>0.14553</cdr:y>
    </cdr:from>
    <cdr:to>
      <cdr:x>0.79935</cdr:x>
      <cdr:y>0.25213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2837993" y="1452269"/>
          <a:ext cx="4485374" cy="10637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ДИНАМИКА</a:t>
          </a:r>
          <a:r>
            <a:rPr lang="ru-RU" sz="2000" b="1" baseline="0">
              <a:latin typeface="Arial" pitchFamily="34" charset="0"/>
              <a:cs typeface="Arial" pitchFamily="34" charset="0"/>
            </a:rPr>
            <a:t>  ИН</a:t>
          </a:r>
          <a:r>
            <a:rPr lang="ru-RU" sz="2000" b="1">
              <a:latin typeface="Arial" pitchFamily="34" charset="0"/>
              <a:cs typeface="Arial" pitchFamily="34" charset="0"/>
            </a:rPr>
            <a:t>ВЕСТИЦИЙ</a:t>
          </a:r>
          <a:r>
            <a:rPr lang="en-US" sz="2000" b="1">
              <a:latin typeface="Arial" pitchFamily="34" charset="0"/>
              <a:cs typeface="Arial" pitchFamily="34" charset="0"/>
            </a:rPr>
            <a:t> </a:t>
          </a:r>
          <a:r>
            <a:rPr lang="ru-RU" sz="2000" b="1">
              <a:latin typeface="Arial" pitchFamily="34" charset="0"/>
              <a:cs typeface="Arial" pitchFamily="34" charset="0"/>
            </a:rPr>
            <a:t> В ОК</a:t>
          </a:r>
          <a:r>
            <a:rPr lang="en-US" sz="2000" b="1">
              <a:latin typeface="Arial" pitchFamily="34" charset="0"/>
              <a:cs typeface="Arial" pitchFamily="34" charset="0"/>
            </a:rPr>
            <a:t> </a:t>
          </a:r>
        </a:p>
        <a:p xmlns:a="http://schemas.openxmlformats.org/drawingml/2006/main">
          <a:r>
            <a:rPr lang="en-US" sz="2000" b="1">
              <a:latin typeface="Arial" pitchFamily="34" charset="0"/>
              <a:cs typeface="Arial" pitchFamily="34" charset="0"/>
            </a:rPr>
            <a:t>  </a:t>
          </a:r>
          <a:r>
            <a:rPr lang="ru-RU" sz="2000" b="1">
              <a:latin typeface="Arial" pitchFamily="34" charset="0"/>
              <a:cs typeface="Arial" pitchFamily="34" charset="0"/>
            </a:rPr>
            <a:t>в ценах 1995г.</a:t>
          </a:r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en-US" sz="2000" b="0">
              <a:latin typeface="Arial" pitchFamily="34" charset="0"/>
              <a:cs typeface="Arial" pitchFamily="34" charset="0"/>
            </a:rPr>
            <a:t> </a:t>
          </a:r>
          <a:endParaRPr lang="ru-RU" sz="2000" b="0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en-US" sz="2000" b="1">
              <a:latin typeface="Arial" pitchFamily="34" charset="0"/>
              <a:cs typeface="Arial" pitchFamily="34" charset="0"/>
            </a:rPr>
            <a:t>               </a:t>
          </a:r>
          <a:endParaRPr lang="ru-RU" sz="20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0.6784</cdr:x>
      <cdr:y>0.88132</cdr:y>
    </cdr:from>
    <cdr:to>
      <cdr:x>0.91285</cdr:x>
      <cdr:y>0.92495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C62E565B-F758-4D5E-85D4-ACC5727F5068}"/>
            </a:ext>
          </a:extLst>
        </cdr:cNvPr>
        <cdr:cNvSpPr txBox="1"/>
      </cdr:nvSpPr>
      <cdr:spPr>
        <a:xfrm xmlns:a="http://schemas.openxmlformats.org/drawingml/2006/main">
          <a:off x="6178686" y="8450494"/>
          <a:ext cx="2135280" cy="4183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baseline="0">
              <a:latin typeface="Arial" pitchFamily="34" charset="0"/>
              <a:cs typeface="Arial" pitchFamily="34" charset="0"/>
            </a:rPr>
            <a:t>  </a:t>
          </a:r>
          <a:r>
            <a:rPr lang="ru-RU" sz="1800" baseline="0">
              <a:latin typeface="Arial" pitchFamily="34" charset="0"/>
              <a:cs typeface="Arial" pitchFamily="34" charset="0"/>
            </a:rPr>
            <a:t>фактор  </a:t>
          </a:r>
          <a:r>
            <a:rPr lang="ru-RU" sz="1800" b="1" baseline="0">
              <a:latin typeface="Arial" pitchFamily="34" charset="0"/>
              <a:cs typeface="Arial" pitchFamily="34" charset="0"/>
            </a:rPr>
            <a:t>- время</a:t>
          </a:r>
          <a:endParaRPr lang="ru-RU" sz="18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0.82042</cdr:x>
      <cdr:y>0.41486</cdr:y>
    </cdr:from>
    <cdr:to>
      <cdr:x>0.96339</cdr:x>
      <cdr:y>0.4603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C05C57E-6B9F-4CA9-9390-B31B20F966A5}"/>
            </a:ext>
          </a:extLst>
        </cdr:cNvPr>
        <cdr:cNvSpPr txBox="1"/>
      </cdr:nvSpPr>
      <cdr:spPr>
        <a:xfrm xmlns:a="http://schemas.openxmlformats.org/drawingml/2006/main">
          <a:off x="7516409" y="4139880"/>
          <a:ext cx="1309847" cy="4534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Тренд</a:t>
          </a:r>
          <a:r>
            <a:rPr lang="en-US" sz="1800" baseline="0">
              <a:latin typeface="Arial" pitchFamily="34" charset="0"/>
              <a:cs typeface="Arial" pitchFamily="34" charset="0"/>
            </a:rPr>
            <a:t> </a:t>
          </a:r>
          <a:r>
            <a:rPr lang="ru-RU" sz="1600" b="0">
              <a:latin typeface="Arial" pitchFamily="34" charset="0"/>
              <a:cs typeface="Arial" pitchFamily="34" charset="0"/>
            </a:rPr>
            <a:t> </a:t>
          </a:r>
          <a:r>
            <a:rPr lang="ru-RU" sz="1800" b="0">
              <a:latin typeface="Arial" pitchFamily="34" charset="0"/>
              <a:cs typeface="Arial" pitchFamily="34" charset="0"/>
            </a:rPr>
            <a:t> </a:t>
          </a:r>
        </a:p>
      </cdr:txBody>
    </cdr:sp>
  </cdr:relSizeAnchor>
  <cdr:relSizeAnchor xmlns:cdr="http://schemas.openxmlformats.org/drawingml/2006/chartDrawing">
    <cdr:from>
      <cdr:x>0.0954</cdr:x>
      <cdr:y>0.04508</cdr:y>
    </cdr:from>
    <cdr:to>
      <cdr:x>0.46024</cdr:x>
      <cdr:y>0.08858</cdr:y>
    </cdr:to>
    <cdr:sp macro="" textlink="">
      <cdr:nvSpPr>
        <cdr:cNvPr id="9" name="TextBox 5">
          <a:extLst xmlns:a="http://schemas.openxmlformats.org/drawingml/2006/main">
            <a:ext uri="{FF2B5EF4-FFF2-40B4-BE49-F238E27FC236}">
              <a16:creationId xmlns:a16="http://schemas.microsoft.com/office/drawing/2014/main" id="{71F1EE7D-ED1E-453C-A8EA-CE26BCBCF352}"/>
            </a:ext>
          </a:extLst>
        </cdr:cNvPr>
        <cdr:cNvSpPr txBox="1"/>
      </cdr:nvSpPr>
      <cdr:spPr>
        <a:xfrm xmlns:a="http://schemas.openxmlformats.org/drawingml/2006/main">
          <a:off x="805267" y="411496"/>
          <a:ext cx="3079573" cy="3970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>
              <a:latin typeface="Arial" pitchFamily="34" charset="0"/>
              <a:cs typeface="Arial" pitchFamily="34" charset="0"/>
            </a:rPr>
            <a:t> </a:t>
          </a:r>
          <a:r>
            <a:rPr lang="en-US" sz="2000" b="1">
              <a:latin typeface="Arial" pitchFamily="34" charset="0"/>
              <a:cs typeface="Arial" pitchFamily="34" charset="0"/>
            </a:rPr>
            <a:t>INS</a:t>
          </a:r>
          <a:r>
            <a:rPr lang="ru-RU" sz="1800">
              <a:latin typeface="Arial" pitchFamily="34" charset="0"/>
              <a:cs typeface="Arial" pitchFamily="34" charset="0"/>
            </a:rPr>
            <a:t> (млрд руб 1995 г.)  </a:t>
          </a:r>
        </a:p>
      </cdr:txBody>
    </cdr:sp>
  </cdr:relSizeAnchor>
</c:userShapes>
</file>

<file path=xl/drawings/drawing121.xml><?xml version="1.0" encoding="utf-8"?>
<c:userShapes xmlns:c="http://schemas.openxmlformats.org/drawingml/2006/chart">
  <cdr:relSizeAnchor xmlns:cdr="http://schemas.openxmlformats.org/drawingml/2006/chartDrawing">
    <cdr:from>
      <cdr:x>0.08002</cdr:x>
      <cdr:y>0.03148</cdr:y>
    </cdr:from>
    <cdr:to>
      <cdr:x>0.16463</cdr:x>
      <cdr:y>0.09005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675175" y="287353"/>
          <a:ext cx="713888" cy="5346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</a:t>
          </a:r>
        </a:p>
      </cdr:txBody>
    </cdr:sp>
  </cdr:relSizeAnchor>
  <cdr:relSizeAnchor xmlns:cdr="http://schemas.openxmlformats.org/drawingml/2006/chartDrawing">
    <cdr:from>
      <cdr:x>0.30977</cdr:x>
      <cdr:y>0.14553</cdr:y>
    </cdr:from>
    <cdr:to>
      <cdr:x>0.79935</cdr:x>
      <cdr:y>0.25213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2837993" y="1452269"/>
          <a:ext cx="4485374" cy="10637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ДИНАМИКА</a:t>
          </a:r>
          <a:r>
            <a:rPr lang="ru-RU" sz="2000" b="1" baseline="0">
              <a:latin typeface="Arial" pitchFamily="34" charset="0"/>
              <a:cs typeface="Arial" pitchFamily="34" charset="0"/>
            </a:rPr>
            <a:t>  ИН</a:t>
          </a:r>
          <a:r>
            <a:rPr lang="ru-RU" sz="2000" b="1">
              <a:latin typeface="Arial" pitchFamily="34" charset="0"/>
              <a:cs typeface="Arial" pitchFamily="34" charset="0"/>
            </a:rPr>
            <a:t>ВЕСТИЦИЙ</a:t>
          </a:r>
          <a:r>
            <a:rPr lang="en-US" sz="2000" b="1">
              <a:latin typeface="Arial" pitchFamily="34" charset="0"/>
              <a:cs typeface="Arial" pitchFamily="34" charset="0"/>
            </a:rPr>
            <a:t> </a:t>
          </a:r>
          <a:r>
            <a:rPr lang="ru-RU" sz="2000" b="1">
              <a:latin typeface="Arial" pitchFamily="34" charset="0"/>
              <a:cs typeface="Arial" pitchFamily="34" charset="0"/>
            </a:rPr>
            <a:t> В ОК</a:t>
          </a:r>
          <a:r>
            <a:rPr lang="en-US" sz="2000" b="1">
              <a:latin typeface="Arial" pitchFamily="34" charset="0"/>
              <a:cs typeface="Arial" pitchFamily="34" charset="0"/>
            </a:rPr>
            <a:t> </a:t>
          </a:r>
        </a:p>
        <a:p xmlns:a="http://schemas.openxmlformats.org/drawingml/2006/main">
          <a:r>
            <a:rPr lang="en-US" sz="2000" b="1">
              <a:latin typeface="Arial" pitchFamily="34" charset="0"/>
              <a:cs typeface="Arial" pitchFamily="34" charset="0"/>
            </a:rPr>
            <a:t>  </a:t>
          </a:r>
          <a:r>
            <a:rPr lang="ru-RU" sz="2000" b="1">
              <a:latin typeface="Arial" pitchFamily="34" charset="0"/>
              <a:cs typeface="Arial" pitchFamily="34" charset="0"/>
            </a:rPr>
            <a:t>в ценах 1995г.</a:t>
          </a:r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en-US" sz="2000" b="0">
              <a:latin typeface="Arial" pitchFamily="34" charset="0"/>
              <a:cs typeface="Arial" pitchFamily="34" charset="0"/>
            </a:rPr>
            <a:t> </a:t>
          </a:r>
          <a:endParaRPr lang="ru-RU" sz="2000" b="0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en-US" sz="2000" b="1">
              <a:latin typeface="Arial" pitchFamily="34" charset="0"/>
              <a:cs typeface="Arial" pitchFamily="34" charset="0"/>
            </a:rPr>
            <a:t>               </a:t>
          </a:r>
          <a:endParaRPr lang="ru-RU" sz="20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0.6784</cdr:x>
      <cdr:y>0.88132</cdr:y>
    </cdr:from>
    <cdr:to>
      <cdr:x>0.91285</cdr:x>
      <cdr:y>0.92495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C62E565B-F758-4D5E-85D4-ACC5727F5068}"/>
            </a:ext>
          </a:extLst>
        </cdr:cNvPr>
        <cdr:cNvSpPr txBox="1"/>
      </cdr:nvSpPr>
      <cdr:spPr>
        <a:xfrm xmlns:a="http://schemas.openxmlformats.org/drawingml/2006/main">
          <a:off x="6178686" y="8450494"/>
          <a:ext cx="2135280" cy="4183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baseline="0">
              <a:latin typeface="Arial" pitchFamily="34" charset="0"/>
              <a:cs typeface="Arial" pitchFamily="34" charset="0"/>
            </a:rPr>
            <a:t>  </a:t>
          </a:r>
          <a:r>
            <a:rPr lang="ru-RU" sz="1800" baseline="0">
              <a:latin typeface="Arial" pitchFamily="34" charset="0"/>
              <a:cs typeface="Arial" pitchFamily="34" charset="0"/>
            </a:rPr>
            <a:t>фактор  </a:t>
          </a:r>
          <a:r>
            <a:rPr lang="ru-RU" sz="1800" b="1" baseline="0">
              <a:latin typeface="Arial" pitchFamily="34" charset="0"/>
              <a:cs typeface="Arial" pitchFamily="34" charset="0"/>
            </a:rPr>
            <a:t>- время</a:t>
          </a:r>
          <a:endParaRPr lang="ru-RU" sz="18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0.82042</cdr:x>
      <cdr:y>0.41486</cdr:y>
    </cdr:from>
    <cdr:to>
      <cdr:x>0.96339</cdr:x>
      <cdr:y>0.4603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C05C57E-6B9F-4CA9-9390-B31B20F966A5}"/>
            </a:ext>
          </a:extLst>
        </cdr:cNvPr>
        <cdr:cNvSpPr txBox="1"/>
      </cdr:nvSpPr>
      <cdr:spPr>
        <a:xfrm xmlns:a="http://schemas.openxmlformats.org/drawingml/2006/main">
          <a:off x="7516409" y="4139880"/>
          <a:ext cx="1309847" cy="4534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Тренд</a:t>
          </a:r>
          <a:r>
            <a:rPr lang="en-US" sz="1800" baseline="0">
              <a:latin typeface="Arial" pitchFamily="34" charset="0"/>
              <a:cs typeface="Arial" pitchFamily="34" charset="0"/>
            </a:rPr>
            <a:t> </a:t>
          </a:r>
          <a:r>
            <a:rPr lang="ru-RU" sz="1600" b="0">
              <a:latin typeface="Arial" pitchFamily="34" charset="0"/>
              <a:cs typeface="Arial" pitchFamily="34" charset="0"/>
            </a:rPr>
            <a:t> </a:t>
          </a:r>
          <a:r>
            <a:rPr lang="ru-RU" sz="1800" b="0">
              <a:latin typeface="Arial" pitchFamily="34" charset="0"/>
              <a:cs typeface="Arial" pitchFamily="34" charset="0"/>
            </a:rPr>
            <a:t> </a:t>
          </a:r>
        </a:p>
      </cdr:txBody>
    </cdr:sp>
  </cdr:relSizeAnchor>
  <cdr:relSizeAnchor xmlns:cdr="http://schemas.openxmlformats.org/drawingml/2006/chartDrawing">
    <cdr:from>
      <cdr:x>0.0954</cdr:x>
      <cdr:y>0.04508</cdr:y>
    </cdr:from>
    <cdr:to>
      <cdr:x>0.46024</cdr:x>
      <cdr:y>0.08858</cdr:y>
    </cdr:to>
    <cdr:sp macro="" textlink="">
      <cdr:nvSpPr>
        <cdr:cNvPr id="9" name="TextBox 5">
          <a:extLst xmlns:a="http://schemas.openxmlformats.org/drawingml/2006/main">
            <a:ext uri="{FF2B5EF4-FFF2-40B4-BE49-F238E27FC236}">
              <a16:creationId xmlns:a16="http://schemas.microsoft.com/office/drawing/2014/main" id="{71F1EE7D-ED1E-453C-A8EA-CE26BCBCF352}"/>
            </a:ext>
          </a:extLst>
        </cdr:cNvPr>
        <cdr:cNvSpPr txBox="1"/>
      </cdr:nvSpPr>
      <cdr:spPr>
        <a:xfrm xmlns:a="http://schemas.openxmlformats.org/drawingml/2006/main">
          <a:off x="805267" y="411496"/>
          <a:ext cx="3079573" cy="3970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>
              <a:latin typeface="Arial" pitchFamily="34" charset="0"/>
              <a:cs typeface="Arial" pitchFamily="34" charset="0"/>
            </a:rPr>
            <a:t> </a:t>
          </a:r>
          <a:r>
            <a:rPr lang="en-US" sz="2000" b="1">
              <a:latin typeface="Arial" pitchFamily="34" charset="0"/>
              <a:cs typeface="Arial" pitchFamily="34" charset="0"/>
            </a:rPr>
            <a:t>INS</a:t>
          </a:r>
          <a:r>
            <a:rPr lang="ru-RU" sz="1800">
              <a:latin typeface="Arial" pitchFamily="34" charset="0"/>
              <a:cs typeface="Arial" pitchFamily="34" charset="0"/>
            </a:rPr>
            <a:t> (млрд руб 1995 г.)  </a:t>
          </a:r>
        </a:p>
      </cdr:txBody>
    </cdr:sp>
  </cdr:relSizeAnchor>
</c:userShapes>
</file>

<file path=xl/drawings/drawing122.xml><?xml version="1.0" encoding="utf-8"?>
<c:userShapes xmlns:c="http://schemas.openxmlformats.org/drawingml/2006/chart">
  <cdr:relSizeAnchor xmlns:cdr="http://schemas.openxmlformats.org/drawingml/2006/chartDrawing">
    <cdr:from>
      <cdr:x>0.08002</cdr:x>
      <cdr:y>0.03148</cdr:y>
    </cdr:from>
    <cdr:to>
      <cdr:x>0.16463</cdr:x>
      <cdr:y>0.09005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675175" y="287353"/>
          <a:ext cx="713888" cy="5346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</a:t>
          </a:r>
        </a:p>
      </cdr:txBody>
    </cdr:sp>
  </cdr:relSizeAnchor>
  <cdr:relSizeAnchor xmlns:cdr="http://schemas.openxmlformats.org/drawingml/2006/chartDrawing">
    <cdr:from>
      <cdr:x>0.30977</cdr:x>
      <cdr:y>0.14553</cdr:y>
    </cdr:from>
    <cdr:to>
      <cdr:x>0.83639</cdr:x>
      <cdr:y>0.23865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3678926" y="1637995"/>
          <a:ext cx="6254290" cy="104805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</a:t>
          </a:r>
          <a:r>
            <a:rPr lang="ru-RU" sz="2800" b="1">
              <a:latin typeface="Arial" pitchFamily="34" charset="0"/>
              <a:cs typeface="Arial" pitchFamily="34" charset="0"/>
            </a:rPr>
            <a:t>ДИНАМИКА</a:t>
          </a:r>
          <a:r>
            <a:rPr lang="ru-RU" sz="2800" b="1" baseline="0">
              <a:latin typeface="Arial" pitchFamily="34" charset="0"/>
              <a:cs typeface="Arial" pitchFamily="34" charset="0"/>
            </a:rPr>
            <a:t>  ИН</a:t>
          </a:r>
          <a:r>
            <a:rPr lang="ru-RU" sz="2800" b="1">
              <a:latin typeface="Arial" pitchFamily="34" charset="0"/>
              <a:cs typeface="Arial" pitchFamily="34" charset="0"/>
            </a:rPr>
            <a:t>ВЕСТИЦИЙ</a:t>
          </a:r>
          <a:r>
            <a:rPr lang="en-US" sz="2800" b="1">
              <a:latin typeface="Arial" pitchFamily="34" charset="0"/>
              <a:cs typeface="Arial" pitchFamily="34" charset="0"/>
            </a:rPr>
            <a:t> </a:t>
          </a:r>
          <a:r>
            <a:rPr lang="ru-RU" sz="2800" b="1">
              <a:latin typeface="Arial" pitchFamily="34" charset="0"/>
              <a:cs typeface="Arial" pitchFamily="34" charset="0"/>
            </a:rPr>
            <a:t> В ОК</a:t>
          </a:r>
          <a:r>
            <a:rPr lang="en-US" sz="2800" b="1">
              <a:latin typeface="Arial" pitchFamily="34" charset="0"/>
              <a:cs typeface="Arial" pitchFamily="34" charset="0"/>
            </a:rPr>
            <a:t> </a:t>
          </a:r>
        </a:p>
        <a:p xmlns:a="http://schemas.openxmlformats.org/drawingml/2006/main">
          <a:r>
            <a:rPr lang="en-US" sz="2800" b="1">
              <a:latin typeface="Arial" pitchFamily="34" charset="0"/>
              <a:cs typeface="Arial" pitchFamily="34" charset="0"/>
            </a:rPr>
            <a:t>               </a:t>
          </a:r>
          <a:r>
            <a:rPr lang="ru-RU" sz="2800" b="1">
              <a:latin typeface="Arial" pitchFamily="34" charset="0"/>
              <a:cs typeface="Arial" pitchFamily="34" charset="0"/>
            </a:rPr>
            <a:t>в ценах 1995г.</a:t>
          </a:r>
          <a:endParaRPr lang="en-US" sz="28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en-US" sz="2000" b="0">
              <a:latin typeface="Arial" pitchFamily="34" charset="0"/>
              <a:cs typeface="Arial" pitchFamily="34" charset="0"/>
            </a:rPr>
            <a:t> </a:t>
          </a:r>
          <a:endParaRPr lang="ru-RU" sz="2000" b="0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en-US" sz="2000" b="1">
              <a:latin typeface="Arial" pitchFamily="34" charset="0"/>
              <a:cs typeface="Arial" pitchFamily="34" charset="0"/>
            </a:rPr>
            <a:t>               </a:t>
          </a:r>
          <a:endParaRPr lang="ru-RU" sz="20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0.75415</cdr:x>
      <cdr:y>0.88281</cdr:y>
    </cdr:from>
    <cdr:to>
      <cdr:x>0.94914</cdr:x>
      <cdr:y>0.92644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C62E565B-F758-4D5E-85D4-ACC5727F5068}"/>
            </a:ext>
          </a:extLst>
        </cdr:cNvPr>
        <cdr:cNvSpPr txBox="1"/>
      </cdr:nvSpPr>
      <cdr:spPr>
        <a:xfrm xmlns:a="http://schemas.openxmlformats.org/drawingml/2006/main">
          <a:off x="8851120" y="9389815"/>
          <a:ext cx="2288596" cy="4640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baseline="0">
              <a:latin typeface="Arial" pitchFamily="34" charset="0"/>
              <a:cs typeface="Arial" pitchFamily="34" charset="0"/>
            </a:rPr>
            <a:t>  </a:t>
          </a:r>
          <a:r>
            <a:rPr lang="ru-RU" sz="1800" baseline="0">
              <a:latin typeface="Arial" pitchFamily="34" charset="0"/>
              <a:cs typeface="Arial" pitchFamily="34" charset="0"/>
            </a:rPr>
            <a:t>фактор  </a:t>
          </a:r>
          <a:r>
            <a:rPr lang="ru-RU" sz="1800" b="1" baseline="0">
              <a:latin typeface="Arial" pitchFamily="34" charset="0"/>
              <a:cs typeface="Arial" pitchFamily="34" charset="0"/>
            </a:rPr>
            <a:t>- </a:t>
          </a:r>
          <a:r>
            <a:rPr lang="ru-RU" sz="2400" b="1" baseline="0">
              <a:latin typeface="Arial" pitchFamily="34" charset="0"/>
              <a:cs typeface="Arial" pitchFamily="34" charset="0"/>
            </a:rPr>
            <a:t>время</a:t>
          </a:r>
          <a:endParaRPr lang="ru-RU" sz="24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0.73286</cdr:x>
      <cdr:y>0.44173</cdr:y>
    </cdr:from>
    <cdr:to>
      <cdr:x>0.87583</cdr:x>
      <cdr:y>0.48717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C05C57E-6B9F-4CA9-9390-B31B20F966A5}"/>
            </a:ext>
          </a:extLst>
        </cdr:cNvPr>
        <cdr:cNvSpPr txBox="1"/>
      </cdr:nvSpPr>
      <cdr:spPr>
        <a:xfrm xmlns:a="http://schemas.openxmlformats.org/drawingml/2006/main">
          <a:off x="8636152" y="4698305"/>
          <a:ext cx="1684793" cy="48331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ПРОГНОЗ</a:t>
          </a:r>
          <a:r>
            <a:rPr lang="en-US" sz="1800" baseline="0">
              <a:latin typeface="Arial" pitchFamily="34" charset="0"/>
              <a:cs typeface="Arial" pitchFamily="34" charset="0"/>
            </a:rPr>
            <a:t> </a:t>
          </a:r>
          <a:r>
            <a:rPr lang="ru-RU" sz="1600" b="0">
              <a:latin typeface="Arial" pitchFamily="34" charset="0"/>
              <a:cs typeface="Arial" pitchFamily="34" charset="0"/>
            </a:rPr>
            <a:t> </a:t>
          </a:r>
          <a:r>
            <a:rPr lang="ru-RU" sz="1800" b="0">
              <a:latin typeface="Arial" pitchFamily="34" charset="0"/>
              <a:cs typeface="Arial" pitchFamily="34" charset="0"/>
            </a:rPr>
            <a:t> </a:t>
          </a:r>
        </a:p>
      </cdr:txBody>
    </cdr:sp>
  </cdr:relSizeAnchor>
  <cdr:relSizeAnchor xmlns:cdr="http://schemas.openxmlformats.org/drawingml/2006/chartDrawing">
    <cdr:from>
      <cdr:x>0.0954</cdr:x>
      <cdr:y>0.04508</cdr:y>
    </cdr:from>
    <cdr:to>
      <cdr:x>0.46024</cdr:x>
      <cdr:y>0.08858</cdr:y>
    </cdr:to>
    <cdr:sp macro="" textlink="">
      <cdr:nvSpPr>
        <cdr:cNvPr id="9" name="TextBox 5">
          <a:extLst xmlns:a="http://schemas.openxmlformats.org/drawingml/2006/main">
            <a:ext uri="{FF2B5EF4-FFF2-40B4-BE49-F238E27FC236}">
              <a16:creationId xmlns:a16="http://schemas.microsoft.com/office/drawing/2014/main" id="{71F1EE7D-ED1E-453C-A8EA-CE26BCBCF352}"/>
            </a:ext>
          </a:extLst>
        </cdr:cNvPr>
        <cdr:cNvSpPr txBox="1"/>
      </cdr:nvSpPr>
      <cdr:spPr>
        <a:xfrm xmlns:a="http://schemas.openxmlformats.org/drawingml/2006/main">
          <a:off x="805267" y="411496"/>
          <a:ext cx="3079573" cy="3970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>
              <a:latin typeface="Arial" pitchFamily="34" charset="0"/>
              <a:cs typeface="Arial" pitchFamily="34" charset="0"/>
            </a:rPr>
            <a:t> </a:t>
          </a:r>
          <a:r>
            <a:rPr lang="en-US" sz="2400" b="1">
              <a:latin typeface="Arial" pitchFamily="34" charset="0"/>
              <a:cs typeface="Arial" pitchFamily="34" charset="0"/>
            </a:rPr>
            <a:t>INS</a:t>
          </a:r>
          <a:r>
            <a:rPr lang="ru-RU" sz="2000">
              <a:latin typeface="Arial" pitchFamily="34" charset="0"/>
              <a:cs typeface="Arial" pitchFamily="34" charset="0"/>
            </a:rPr>
            <a:t> (млрд руб 1995 г.)  </a:t>
          </a:r>
          <a:endParaRPr lang="ru-RU" sz="1800">
            <a:latin typeface="Arial" pitchFamily="34" charset="0"/>
            <a:cs typeface="Arial" pitchFamily="34" charset="0"/>
          </a:endParaRPr>
        </a:p>
      </cdr:txBody>
    </cdr:sp>
  </cdr:relSizeAnchor>
</c:userShapes>
</file>

<file path=xl/drawings/drawing123.xml><?xml version="1.0" encoding="utf-8"?>
<c:userShapes xmlns:c="http://schemas.openxmlformats.org/drawingml/2006/chart">
  <cdr:relSizeAnchor xmlns:cdr="http://schemas.openxmlformats.org/drawingml/2006/chartDrawing">
    <cdr:from>
      <cdr:x>0.65645</cdr:x>
      <cdr:y>0.84912</cdr:y>
    </cdr:from>
    <cdr:to>
      <cdr:x>0.84627</cdr:x>
      <cdr:y>0.9057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162299" y="5145882"/>
          <a:ext cx="914400" cy="34289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ru-RU"/>
        </a:p>
      </cdr:txBody>
    </cdr:sp>
  </cdr:relSizeAnchor>
  <cdr:relSizeAnchor xmlns:cdr="http://schemas.openxmlformats.org/drawingml/2006/chartDrawing">
    <cdr:from>
      <cdr:x>0.61579</cdr:x>
      <cdr:y>0.88333</cdr:y>
    </cdr:from>
    <cdr:to>
      <cdr:x>0.95783</cdr:x>
      <cdr:y>0.93009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6168489" y="9591641"/>
          <a:ext cx="3426257" cy="50774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фондовооружённость</a:t>
          </a:r>
          <a:r>
            <a:rPr lang="en-US" sz="1800">
              <a:latin typeface="Arial" pitchFamily="34" charset="0"/>
              <a:cs typeface="Arial" pitchFamily="34" charset="0"/>
            </a:rPr>
            <a:t> </a:t>
          </a:r>
          <a:r>
            <a:rPr lang="en-US" sz="1800" b="1">
              <a:latin typeface="Arial" pitchFamily="34" charset="0"/>
              <a:cs typeface="Arial" pitchFamily="34" charset="0"/>
            </a:rPr>
            <a:t>FS / L</a:t>
          </a:r>
          <a:endParaRPr lang="ru-RU" sz="18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0.32363</cdr:x>
      <cdr:y>0.33349</cdr:y>
    </cdr:from>
    <cdr:to>
      <cdr:x>0.39217</cdr:x>
      <cdr:y>0.36833</cdr:y>
    </cdr:to>
    <cdr:sp macro="" textlink="">
      <cdr:nvSpPr>
        <cdr:cNvPr id="4" name="TextBox 3"/>
        <cdr:cNvSpPr txBox="1"/>
      </cdr:nvSpPr>
      <cdr:spPr>
        <a:xfrm xmlns:a="http://schemas.openxmlformats.org/drawingml/2006/main">
          <a:off x="3241838" y="3621181"/>
          <a:ext cx="686574" cy="37831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400">
              <a:latin typeface="Arial" panose="020B0604020202020204" pitchFamily="34" charset="0"/>
              <a:cs typeface="Arial" panose="020B0604020202020204" pitchFamily="34" charset="0"/>
            </a:rPr>
            <a:t>2010</a:t>
          </a:r>
          <a:endParaRPr lang="ru-RU" sz="14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0.17786</cdr:x>
      <cdr:y>0.7924</cdr:y>
    </cdr:from>
    <cdr:to>
      <cdr:x>0.25231</cdr:x>
      <cdr:y>0.82492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1781646" y="8604251"/>
          <a:ext cx="745775" cy="35314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400">
              <a:latin typeface="Arial" panose="020B0604020202020204" pitchFamily="34" charset="0"/>
              <a:cs typeface="Arial" panose="020B0604020202020204" pitchFamily="34" charset="0"/>
            </a:rPr>
            <a:t>2000</a:t>
          </a:r>
        </a:p>
      </cdr:txBody>
    </cdr:sp>
  </cdr:relSizeAnchor>
  <cdr:relSizeAnchor xmlns:cdr="http://schemas.openxmlformats.org/drawingml/2006/chartDrawing">
    <cdr:from>
      <cdr:x>0.15719</cdr:x>
      <cdr:y>0.72495</cdr:y>
    </cdr:from>
    <cdr:to>
      <cdr:x>0.34701</cdr:x>
      <cdr:y>0.87583</cdr:y>
    </cdr:to>
    <cdr:sp macro="" textlink="">
      <cdr:nvSpPr>
        <cdr:cNvPr id="6" name="TextBox 5"/>
        <cdr:cNvSpPr txBox="1"/>
      </cdr:nvSpPr>
      <cdr:spPr>
        <a:xfrm xmlns:a="http://schemas.openxmlformats.org/drawingml/2006/main">
          <a:off x="757236" y="43934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ru-RU"/>
        </a:p>
      </cdr:txBody>
    </cdr:sp>
  </cdr:relSizeAnchor>
  <cdr:relSizeAnchor xmlns:cdr="http://schemas.openxmlformats.org/drawingml/2006/chartDrawing">
    <cdr:from>
      <cdr:x>0.20111</cdr:x>
      <cdr:y>0.59493</cdr:y>
    </cdr:from>
    <cdr:to>
      <cdr:x>0.26219</cdr:x>
      <cdr:y>0.62795</cdr:y>
    </cdr:to>
    <cdr:sp macro="" textlink="">
      <cdr:nvSpPr>
        <cdr:cNvPr id="7" name="TextBox 6"/>
        <cdr:cNvSpPr txBox="1"/>
      </cdr:nvSpPr>
      <cdr:spPr>
        <a:xfrm xmlns:a="http://schemas.openxmlformats.org/drawingml/2006/main">
          <a:off x="1453909" y="4207534"/>
          <a:ext cx="441567" cy="23349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400">
              <a:latin typeface="Arial" panose="020B0604020202020204" pitchFamily="34" charset="0"/>
              <a:cs typeface="Arial" panose="020B0604020202020204" pitchFamily="34" charset="0"/>
            </a:rPr>
            <a:t>2004</a:t>
          </a:r>
        </a:p>
      </cdr:txBody>
    </cdr:sp>
  </cdr:relSizeAnchor>
  <cdr:relSizeAnchor xmlns:cdr="http://schemas.openxmlformats.org/drawingml/2006/chartDrawing">
    <cdr:from>
      <cdr:x>0.21557</cdr:x>
      <cdr:y>0.47261</cdr:y>
    </cdr:from>
    <cdr:to>
      <cdr:x>0.27866</cdr:x>
      <cdr:y>0.5101</cdr:y>
    </cdr:to>
    <cdr:sp macro="" textlink="">
      <cdr:nvSpPr>
        <cdr:cNvPr id="8" name="TextBox 7"/>
        <cdr:cNvSpPr txBox="1"/>
      </cdr:nvSpPr>
      <cdr:spPr>
        <a:xfrm xmlns:a="http://schemas.openxmlformats.org/drawingml/2006/main">
          <a:off x="1558455" y="3342433"/>
          <a:ext cx="456084" cy="2651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400">
              <a:latin typeface="Arial" panose="020B0604020202020204" pitchFamily="34" charset="0"/>
              <a:cs typeface="Arial" panose="020B0604020202020204" pitchFamily="34" charset="0"/>
            </a:rPr>
            <a:t>2006</a:t>
          </a:r>
        </a:p>
      </cdr:txBody>
    </cdr:sp>
  </cdr:relSizeAnchor>
  <cdr:relSizeAnchor xmlns:cdr="http://schemas.openxmlformats.org/drawingml/2006/chartDrawing">
    <cdr:from>
      <cdr:x>0.47108</cdr:x>
      <cdr:y>0.28487</cdr:y>
    </cdr:from>
    <cdr:to>
      <cdr:x>0.6609</cdr:x>
      <cdr:y>0.43576</cdr:y>
    </cdr:to>
    <cdr:sp macro="" textlink="">
      <cdr:nvSpPr>
        <cdr:cNvPr id="9" name="TextBox 8"/>
        <cdr:cNvSpPr txBox="1"/>
      </cdr:nvSpPr>
      <cdr:spPr>
        <a:xfrm xmlns:a="http://schemas.openxmlformats.org/drawingml/2006/main">
          <a:off x="2269331" y="17264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ru-RU"/>
        </a:p>
      </cdr:txBody>
    </cdr:sp>
  </cdr:relSizeAnchor>
  <cdr:relSizeAnchor xmlns:cdr="http://schemas.openxmlformats.org/drawingml/2006/chartDrawing">
    <cdr:from>
      <cdr:x>0.32394</cdr:x>
      <cdr:y>0.43791</cdr:y>
    </cdr:from>
    <cdr:to>
      <cdr:x>0.38352</cdr:x>
      <cdr:y>0.4693</cdr:y>
    </cdr:to>
    <cdr:sp macro="" textlink="">
      <cdr:nvSpPr>
        <cdr:cNvPr id="10" name="TextBox 9"/>
        <cdr:cNvSpPr txBox="1"/>
      </cdr:nvSpPr>
      <cdr:spPr>
        <a:xfrm xmlns:a="http://schemas.openxmlformats.org/drawingml/2006/main">
          <a:off x="3244930" y="4755025"/>
          <a:ext cx="596821" cy="34085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400">
              <a:latin typeface="Arial" panose="020B0604020202020204" pitchFamily="34" charset="0"/>
              <a:cs typeface="Arial" panose="020B0604020202020204" pitchFamily="34" charset="0"/>
            </a:rPr>
            <a:t>20</a:t>
          </a:r>
          <a:r>
            <a:rPr lang="en-US" sz="1400">
              <a:latin typeface="Arial" panose="020B0604020202020204" pitchFamily="34" charset="0"/>
              <a:cs typeface="Arial" panose="020B0604020202020204" pitchFamily="34" charset="0"/>
            </a:rPr>
            <a:t>09</a:t>
          </a:r>
          <a:endParaRPr lang="ru-RU" sz="14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0.40171</cdr:x>
      <cdr:y>0.27027</cdr:y>
    </cdr:from>
    <cdr:to>
      <cdr:x>0.45959</cdr:x>
      <cdr:y>0.30117</cdr:y>
    </cdr:to>
    <cdr:sp macro="" textlink="">
      <cdr:nvSpPr>
        <cdr:cNvPr id="11" name="TextBox 10"/>
        <cdr:cNvSpPr txBox="1"/>
      </cdr:nvSpPr>
      <cdr:spPr>
        <a:xfrm xmlns:a="http://schemas.openxmlformats.org/drawingml/2006/main">
          <a:off x="4024014" y="2934684"/>
          <a:ext cx="579737" cy="33556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400">
              <a:latin typeface="Arial" panose="020B0604020202020204" pitchFamily="34" charset="0"/>
              <a:cs typeface="Arial" panose="020B0604020202020204" pitchFamily="34" charset="0"/>
            </a:rPr>
            <a:t>2012</a:t>
          </a:r>
        </a:p>
        <a:p xmlns:a="http://schemas.openxmlformats.org/drawingml/2006/main">
          <a:endParaRPr lang="ru-RU" sz="1100"/>
        </a:p>
      </cdr:txBody>
    </cdr:sp>
  </cdr:relSizeAnchor>
  <cdr:relSizeAnchor xmlns:cdr="http://schemas.openxmlformats.org/drawingml/2006/chartDrawing">
    <cdr:from>
      <cdr:x>0.48095</cdr:x>
      <cdr:y>0.2401</cdr:y>
    </cdr:from>
    <cdr:to>
      <cdr:x>0.55306</cdr:x>
      <cdr:y>0.28187</cdr:y>
    </cdr:to>
    <cdr:sp macro="" textlink="">
      <cdr:nvSpPr>
        <cdr:cNvPr id="12" name="TextBox 11"/>
        <cdr:cNvSpPr txBox="1"/>
      </cdr:nvSpPr>
      <cdr:spPr>
        <a:xfrm xmlns:a="http://schemas.openxmlformats.org/drawingml/2006/main">
          <a:off x="3511979" y="1791156"/>
          <a:ext cx="526623" cy="31160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400">
              <a:latin typeface="Arial" panose="020B0604020202020204" pitchFamily="34" charset="0"/>
              <a:cs typeface="Arial" panose="020B0604020202020204" pitchFamily="34" charset="0"/>
            </a:rPr>
            <a:t>2013</a:t>
          </a:r>
          <a:endParaRPr lang="ru-RU" sz="14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0.76728</cdr:x>
      <cdr:y>0.2239</cdr:y>
    </cdr:from>
    <cdr:to>
      <cdr:x>0.84153</cdr:x>
      <cdr:y>0.25306</cdr:y>
    </cdr:to>
    <cdr:sp macro="" textlink="">
      <cdr:nvSpPr>
        <cdr:cNvPr id="13" name="TextBox 12"/>
        <cdr:cNvSpPr txBox="1"/>
      </cdr:nvSpPr>
      <cdr:spPr>
        <a:xfrm xmlns:a="http://schemas.openxmlformats.org/drawingml/2006/main">
          <a:off x="7685898" y="2431262"/>
          <a:ext cx="743772" cy="31663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400">
              <a:latin typeface="Arial" panose="020B0604020202020204" pitchFamily="34" charset="0"/>
              <a:cs typeface="Arial" panose="020B0604020202020204" pitchFamily="34" charset="0"/>
            </a:rPr>
            <a:t>ТРЕНД 2</a:t>
          </a:r>
        </a:p>
      </cdr:txBody>
    </cdr:sp>
  </cdr:relSizeAnchor>
  <cdr:relSizeAnchor xmlns:cdr="http://schemas.openxmlformats.org/drawingml/2006/chartDrawing">
    <cdr:from>
      <cdr:x>0.5641</cdr:x>
      <cdr:y>0.22785</cdr:y>
    </cdr:from>
    <cdr:to>
      <cdr:x>0.61965</cdr:x>
      <cdr:y>0.25877</cdr:y>
    </cdr:to>
    <cdr:sp macro="" textlink="">
      <cdr:nvSpPr>
        <cdr:cNvPr id="14" name="TextBox 13"/>
        <cdr:cNvSpPr txBox="1"/>
      </cdr:nvSpPr>
      <cdr:spPr>
        <a:xfrm xmlns:a="http://schemas.openxmlformats.org/drawingml/2006/main">
          <a:off x="5650661" y="2474109"/>
          <a:ext cx="556466" cy="33576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400">
              <a:latin typeface="Arial" panose="020B0604020202020204" pitchFamily="34" charset="0"/>
              <a:cs typeface="Arial" panose="020B0604020202020204" pitchFamily="34" charset="0"/>
            </a:rPr>
            <a:t>2014</a:t>
          </a:r>
          <a:endParaRPr lang="ru-RU" sz="14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0.6298</cdr:x>
      <cdr:y>0.27615</cdr:y>
    </cdr:from>
    <cdr:to>
      <cdr:x>0.68462</cdr:x>
      <cdr:y>0.31286</cdr:y>
    </cdr:to>
    <cdr:sp macro="" textlink="">
      <cdr:nvSpPr>
        <cdr:cNvPr id="15" name="TextBox 14"/>
        <cdr:cNvSpPr txBox="1"/>
      </cdr:nvSpPr>
      <cdr:spPr>
        <a:xfrm xmlns:a="http://schemas.openxmlformats.org/drawingml/2006/main">
          <a:off x="6308817" y="2998623"/>
          <a:ext cx="549139" cy="39861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400">
              <a:latin typeface="Arial" panose="020B0604020202020204" pitchFamily="34" charset="0"/>
              <a:cs typeface="Arial" panose="020B0604020202020204" pitchFamily="34" charset="0"/>
            </a:rPr>
            <a:t>2015</a:t>
          </a:r>
          <a:endParaRPr lang="ru-RU" sz="14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0.77655</cdr:x>
      <cdr:y>0.30117</cdr:y>
    </cdr:from>
    <cdr:to>
      <cdr:x>0.8336</cdr:x>
      <cdr:y>0.33187</cdr:y>
    </cdr:to>
    <cdr:sp macro="" textlink="">
      <cdr:nvSpPr>
        <cdr:cNvPr id="16" name="TextBox 15"/>
        <cdr:cNvSpPr txBox="1"/>
      </cdr:nvSpPr>
      <cdr:spPr>
        <a:xfrm xmlns:a="http://schemas.openxmlformats.org/drawingml/2006/main">
          <a:off x="7778751" y="3270251"/>
          <a:ext cx="571500" cy="3333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400">
              <a:latin typeface="Arial" panose="020B0604020202020204" pitchFamily="34" charset="0"/>
              <a:cs typeface="Arial" panose="020B0604020202020204" pitchFamily="34" charset="0"/>
            </a:rPr>
            <a:t>2017</a:t>
          </a:r>
          <a:endParaRPr lang="ru-RU" sz="14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</c:userShapes>
</file>

<file path=xl/drawings/drawing124.xml><?xml version="1.0" encoding="utf-8"?>
<c:userShapes xmlns:c="http://schemas.openxmlformats.org/drawingml/2006/chart">
  <cdr:relSizeAnchor xmlns:cdr="http://schemas.openxmlformats.org/drawingml/2006/chartDrawing">
    <cdr:from>
      <cdr:x>0.44654</cdr:x>
      <cdr:y>0.4621</cdr:y>
    </cdr:from>
    <cdr:to>
      <cdr:x>0.52891</cdr:x>
      <cdr:y>0.49643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4602065" y="5239302"/>
          <a:ext cx="848909" cy="38923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600"/>
            <a:t>2009</a:t>
          </a:r>
        </a:p>
      </cdr:txBody>
    </cdr:sp>
  </cdr:relSizeAnchor>
  <cdr:relSizeAnchor xmlns:cdr="http://schemas.openxmlformats.org/drawingml/2006/chartDrawing">
    <cdr:from>
      <cdr:x>0.23911</cdr:x>
      <cdr:y>0.69199</cdr:y>
    </cdr:from>
    <cdr:to>
      <cdr:x>0.30371</cdr:x>
      <cdr:y>0.73314</cdr:y>
    </cdr:to>
    <cdr:sp macro="" textlink="">
      <cdr:nvSpPr>
        <cdr:cNvPr id="4" name="TextBox 3"/>
        <cdr:cNvSpPr txBox="1"/>
      </cdr:nvSpPr>
      <cdr:spPr>
        <a:xfrm xmlns:a="http://schemas.openxmlformats.org/drawingml/2006/main">
          <a:off x="2464289" y="7845723"/>
          <a:ext cx="665770" cy="4665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600"/>
            <a:t>2003</a:t>
          </a:r>
        </a:p>
      </cdr:txBody>
    </cdr:sp>
  </cdr:relSizeAnchor>
  <cdr:relSizeAnchor xmlns:cdr="http://schemas.openxmlformats.org/drawingml/2006/chartDrawing">
    <cdr:from>
      <cdr:x>0.27054</cdr:x>
      <cdr:y>0.65669</cdr:y>
    </cdr:from>
    <cdr:to>
      <cdr:x>0.35362</cdr:x>
      <cdr:y>0.69604</cdr:y>
    </cdr:to>
    <cdr:sp macro="" textlink="">
      <cdr:nvSpPr>
        <cdr:cNvPr id="30086148" name="Text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788214" y="7445480"/>
          <a:ext cx="856226" cy="44614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91440" tIns="45720" rIns="91440" bIns="45720" anchor="t" upright="1"/>
        <a:lstStyle xmlns:a="http://schemas.openxmlformats.org/drawingml/2006/main"/>
        <a:p xmlns:a="http://schemas.openxmlformats.org/drawingml/2006/main">
          <a:pPr algn="l" rtl="1">
            <a:defRPr sz="1000"/>
          </a:pPr>
          <a:r>
            <a:rPr lang="ru-RU" sz="1600" b="0" i="0" strike="noStrike">
              <a:solidFill>
                <a:srgbClr val="000000"/>
              </a:solidFill>
              <a:latin typeface="Calibri"/>
            </a:rPr>
            <a:t>2004</a:t>
          </a:r>
        </a:p>
      </cdr:txBody>
    </cdr:sp>
  </cdr:relSizeAnchor>
  <cdr:relSizeAnchor xmlns:cdr="http://schemas.openxmlformats.org/drawingml/2006/chartDrawing">
    <cdr:from>
      <cdr:x>0.32123</cdr:x>
      <cdr:y>0.61197</cdr:y>
    </cdr:from>
    <cdr:to>
      <cdr:x>0.39271</cdr:x>
      <cdr:y>0.6533</cdr:y>
    </cdr:to>
    <cdr:sp macro="" textlink="">
      <cdr:nvSpPr>
        <cdr:cNvPr id="30086149" name="TextBox 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10585" y="6938426"/>
          <a:ext cx="736676" cy="46859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91440" tIns="45720" rIns="91440" bIns="45720" anchor="t" upright="1"/>
        <a:lstStyle xmlns:a="http://schemas.openxmlformats.org/drawingml/2006/main"/>
        <a:p xmlns:a="http://schemas.openxmlformats.org/drawingml/2006/main">
          <a:pPr algn="l" rtl="1">
            <a:defRPr sz="1000"/>
          </a:pPr>
          <a:r>
            <a:rPr lang="ru-RU" sz="1600" b="0" i="0" strike="noStrike">
              <a:solidFill>
                <a:srgbClr val="000000"/>
              </a:solidFill>
              <a:latin typeface="Calibri"/>
            </a:rPr>
            <a:t>2005</a:t>
          </a:r>
        </a:p>
      </cdr:txBody>
    </cdr:sp>
  </cdr:relSizeAnchor>
  <cdr:relSizeAnchor xmlns:cdr="http://schemas.openxmlformats.org/drawingml/2006/chartDrawing">
    <cdr:from>
      <cdr:x>0.5256</cdr:x>
      <cdr:y>0.52753</cdr:y>
    </cdr:from>
    <cdr:to>
      <cdr:x>0.60303</cdr:x>
      <cdr:y>0.56283</cdr:y>
    </cdr:to>
    <cdr:sp macro="" textlink="">
      <cdr:nvSpPr>
        <cdr:cNvPr id="8" name="TextBox 7"/>
        <cdr:cNvSpPr txBox="1"/>
      </cdr:nvSpPr>
      <cdr:spPr>
        <a:xfrm xmlns:a="http://schemas.openxmlformats.org/drawingml/2006/main">
          <a:off x="5416833" y="5981043"/>
          <a:ext cx="797998" cy="40022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600"/>
            <a:t>2010</a:t>
          </a:r>
        </a:p>
      </cdr:txBody>
    </cdr:sp>
  </cdr:relSizeAnchor>
  <cdr:relSizeAnchor xmlns:cdr="http://schemas.openxmlformats.org/drawingml/2006/chartDrawing">
    <cdr:from>
      <cdr:x>0.48364</cdr:x>
      <cdr:y>0.38187</cdr:y>
    </cdr:from>
    <cdr:to>
      <cdr:x>0.57291</cdr:x>
      <cdr:y>0.41578</cdr:y>
    </cdr:to>
    <cdr:sp macro="" textlink="">
      <cdr:nvSpPr>
        <cdr:cNvPr id="30086151" name="TextBox 6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984372" y="4329625"/>
          <a:ext cx="920021" cy="38446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91440" tIns="45720" rIns="91440" bIns="45720" anchor="t" upright="1"/>
        <a:lstStyle xmlns:a="http://schemas.openxmlformats.org/drawingml/2006/main"/>
        <a:p xmlns:a="http://schemas.openxmlformats.org/drawingml/2006/main">
          <a:pPr algn="l" rtl="1">
            <a:defRPr sz="1000"/>
          </a:pPr>
          <a:r>
            <a:rPr lang="ru-RU" sz="1600" b="0" i="0" strike="noStrike">
              <a:solidFill>
                <a:srgbClr val="000000"/>
              </a:solidFill>
              <a:latin typeface="Calibri"/>
            </a:rPr>
            <a:t>2011</a:t>
          </a:r>
        </a:p>
      </cdr:txBody>
    </cdr:sp>
  </cdr:relSizeAnchor>
  <cdr:relSizeAnchor xmlns:cdr="http://schemas.openxmlformats.org/drawingml/2006/chartDrawing">
    <cdr:from>
      <cdr:x>0.56347</cdr:x>
      <cdr:y>0.30867</cdr:y>
    </cdr:from>
    <cdr:to>
      <cdr:x>0.63126</cdr:x>
      <cdr:y>0.33923</cdr:y>
    </cdr:to>
    <cdr:sp macro="" textlink="">
      <cdr:nvSpPr>
        <cdr:cNvPr id="30086152" name="TextBox 8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807128" y="3499732"/>
          <a:ext cx="698647" cy="34648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91440" tIns="45720" rIns="91440" bIns="45720" anchor="t" upright="1"/>
        <a:lstStyle xmlns:a="http://schemas.openxmlformats.org/drawingml/2006/main"/>
        <a:p xmlns:a="http://schemas.openxmlformats.org/drawingml/2006/main">
          <a:pPr algn="l" rtl="1">
            <a:defRPr sz="1000"/>
          </a:pPr>
          <a:r>
            <a:rPr lang="ru-RU" sz="1600" b="0" i="0" strike="noStrike">
              <a:solidFill>
                <a:srgbClr val="000000"/>
              </a:solidFill>
              <a:latin typeface="Calibri"/>
            </a:rPr>
            <a:t>2012</a:t>
          </a:r>
        </a:p>
      </cdr:txBody>
    </cdr:sp>
  </cdr:relSizeAnchor>
  <cdr:relSizeAnchor xmlns:cdr="http://schemas.openxmlformats.org/drawingml/2006/chartDrawing">
    <cdr:from>
      <cdr:x>0.33641</cdr:x>
      <cdr:y>0.8772</cdr:y>
    </cdr:from>
    <cdr:to>
      <cdr:x>0.94085</cdr:x>
      <cdr:y>0.92087</cdr:y>
    </cdr:to>
    <cdr:sp macro="" textlink="">
      <cdr:nvSpPr>
        <cdr:cNvPr id="30086146" name="Text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467100" y="9945626"/>
          <a:ext cx="6229350" cy="49512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l" rtl="1">
            <a:defRPr sz="1000"/>
          </a:pPr>
          <a:r>
            <a:rPr lang="en-US" sz="2800" b="0" i="0" strike="noStrike" baseline="0">
              <a:solidFill>
                <a:srgbClr val="000000"/>
              </a:solidFill>
              <a:latin typeface="Arial" panose="020B0604020202020204" pitchFamily="34" charset="0"/>
              <a:cs typeface="Arial" panose="020B0604020202020204" pitchFamily="34" charset="0"/>
            </a:rPr>
            <a:t>    FA =</a:t>
          </a:r>
          <a:r>
            <a:rPr lang="ru-RU" sz="2000" b="0" i="0" strike="noStrike" baseline="0">
              <a:solidFill>
                <a:srgbClr val="000000"/>
              </a:solidFill>
              <a:latin typeface="Arial" panose="020B0604020202020204" pitchFamily="34" charset="0"/>
              <a:cs typeface="Arial" panose="020B0604020202020204" pitchFamily="34" charset="0"/>
            </a:rPr>
            <a:t> </a:t>
          </a:r>
          <a:r>
            <a:rPr lang="ru-RU" sz="2400" b="0" i="0" strike="noStrike" baseline="0">
              <a:solidFill>
                <a:srgbClr val="000000"/>
              </a:solidFill>
              <a:latin typeface="Arial" panose="020B0604020202020204" pitchFamily="34" charset="0"/>
              <a:cs typeface="Arial" panose="020B0604020202020204" pitchFamily="34" charset="0"/>
            </a:rPr>
            <a:t>0</a:t>
          </a:r>
          <a:r>
            <a:rPr lang="en-US" sz="2400" b="0" i="0" strike="noStrike" baseline="0">
              <a:solidFill>
                <a:srgbClr val="000000"/>
              </a:solidFill>
              <a:latin typeface="Arial" panose="020B0604020202020204" pitchFamily="34" charset="0"/>
              <a:cs typeface="Arial" panose="020B0604020202020204" pitchFamily="34" charset="0"/>
            </a:rPr>
            <a:t>,</a:t>
          </a:r>
          <a:r>
            <a:rPr lang="ru-RU" sz="2400" b="0" i="0" strike="noStrike" baseline="0">
              <a:solidFill>
                <a:srgbClr val="000000"/>
              </a:solidFill>
              <a:latin typeface="Arial" panose="020B0604020202020204" pitchFamily="34" charset="0"/>
              <a:cs typeface="Arial" panose="020B0604020202020204" pitchFamily="34" charset="0"/>
            </a:rPr>
            <a:t>7</a:t>
          </a:r>
          <a:r>
            <a:rPr lang="en-US" sz="2400" b="0" i="0" strike="noStrike" baseline="0">
              <a:solidFill>
                <a:srgbClr val="000000"/>
              </a:solidFill>
              <a:latin typeface="Arial" panose="020B0604020202020204" pitchFamily="34" charset="0"/>
              <a:cs typeface="Arial" panose="020B0604020202020204" pitchFamily="34" charset="0"/>
            </a:rPr>
            <a:t>*INSt + 0,</a:t>
          </a:r>
          <a:r>
            <a:rPr lang="ru-RU" sz="2400" b="0" i="0" strike="noStrike" baseline="0">
              <a:solidFill>
                <a:srgbClr val="000000"/>
              </a:solidFill>
              <a:latin typeface="Arial" panose="020B0604020202020204" pitchFamily="34" charset="0"/>
              <a:cs typeface="Arial" panose="020B0604020202020204" pitchFamily="34" charset="0"/>
            </a:rPr>
            <a:t>2</a:t>
          </a:r>
          <a:r>
            <a:rPr lang="en-US" sz="2400" b="0" i="0" strike="noStrike" baseline="0">
              <a:solidFill>
                <a:srgbClr val="000000"/>
              </a:solidFill>
              <a:latin typeface="Arial" panose="020B0604020202020204" pitchFamily="34" charset="0"/>
              <a:cs typeface="Arial" panose="020B0604020202020204" pitchFamily="34" charset="0"/>
            </a:rPr>
            <a:t>*INSt-1 + 0,1*INSt-2</a:t>
          </a:r>
          <a:endParaRPr lang="en-US" sz="2000" b="0" i="0" strike="noStrike">
            <a:solidFill>
              <a:srgbClr val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0.60993</cdr:x>
      <cdr:y>0.30781</cdr:y>
    </cdr:from>
    <cdr:to>
      <cdr:x>0.6829</cdr:x>
      <cdr:y>0.34113</cdr:y>
    </cdr:to>
    <cdr:sp macro="" textlink="">
      <cdr:nvSpPr>
        <cdr:cNvPr id="10" name="TextBox 9"/>
        <cdr:cNvSpPr txBox="1"/>
      </cdr:nvSpPr>
      <cdr:spPr>
        <a:xfrm xmlns:a="http://schemas.openxmlformats.org/drawingml/2006/main">
          <a:off x="6285920" y="3489913"/>
          <a:ext cx="752033" cy="3777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/>
        <a:p xmlns:a="http://schemas.openxmlformats.org/drawingml/2006/main">
          <a:r>
            <a:rPr lang="en-US" sz="1600"/>
            <a:t>2013</a:t>
          </a:r>
          <a:endParaRPr lang="ru-RU" sz="1600"/>
        </a:p>
      </cdr:txBody>
    </cdr:sp>
  </cdr:relSizeAnchor>
  <cdr:relSizeAnchor xmlns:cdr="http://schemas.openxmlformats.org/drawingml/2006/chartDrawing">
    <cdr:from>
      <cdr:x>0.61997</cdr:x>
      <cdr:y>0.35787</cdr:y>
    </cdr:from>
    <cdr:to>
      <cdr:x>0.67252</cdr:x>
      <cdr:y>0.38463</cdr:y>
    </cdr:to>
    <cdr:sp macro="" textlink="">
      <cdr:nvSpPr>
        <cdr:cNvPr id="11" name="TextBox 10"/>
        <cdr:cNvSpPr txBox="1"/>
      </cdr:nvSpPr>
      <cdr:spPr>
        <a:xfrm xmlns:a="http://schemas.openxmlformats.org/drawingml/2006/main">
          <a:off x="6389430" y="4057482"/>
          <a:ext cx="541583" cy="3034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400">
              <a:latin typeface="Arial" pitchFamily="34" charset="0"/>
              <a:cs typeface="Arial" pitchFamily="34" charset="0"/>
            </a:rPr>
            <a:t>2014</a:t>
          </a:r>
        </a:p>
      </cdr:txBody>
    </cdr:sp>
  </cdr:relSizeAnchor>
  <cdr:relSizeAnchor xmlns:cdr="http://schemas.openxmlformats.org/drawingml/2006/chartDrawing">
    <cdr:from>
      <cdr:x>0.49094</cdr:x>
      <cdr:y>0.27697</cdr:y>
    </cdr:from>
    <cdr:to>
      <cdr:x>0.55334</cdr:x>
      <cdr:y>0.30831</cdr:y>
    </cdr:to>
    <cdr:sp macro="" textlink="">
      <cdr:nvSpPr>
        <cdr:cNvPr id="12" name="TextBox 11"/>
        <cdr:cNvSpPr txBox="1"/>
      </cdr:nvSpPr>
      <cdr:spPr>
        <a:xfrm xmlns:a="http://schemas.openxmlformats.org/drawingml/2006/main">
          <a:off x="5059662" y="3140301"/>
          <a:ext cx="643098" cy="3553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400">
              <a:latin typeface="Arial" pitchFamily="34" charset="0"/>
              <a:cs typeface="Arial" pitchFamily="34" charset="0"/>
            </a:rPr>
            <a:t>201?</a:t>
          </a:r>
        </a:p>
      </cdr:txBody>
    </cdr:sp>
  </cdr:relSizeAnchor>
</c:userShapes>
</file>

<file path=xl/drawings/drawing125.xml><?xml version="1.0" encoding="utf-8"?>
<c:userShapes xmlns:c="http://schemas.openxmlformats.org/drawingml/2006/chart">
  <cdr:relSizeAnchor xmlns:cdr="http://schemas.openxmlformats.org/drawingml/2006/chartDrawing">
    <cdr:from>
      <cdr:x>0.33235</cdr:x>
      <cdr:y>0.60492</cdr:y>
    </cdr:from>
    <cdr:to>
      <cdr:x>0.38989</cdr:x>
      <cdr:y>0.64506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881038" y="6858505"/>
          <a:ext cx="671912" cy="4551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600"/>
            <a:t>2009</a:t>
          </a:r>
        </a:p>
      </cdr:txBody>
    </cdr:sp>
  </cdr:relSizeAnchor>
  <cdr:relSizeAnchor xmlns:cdr="http://schemas.openxmlformats.org/drawingml/2006/chartDrawing">
    <cdr:from>
      <cdr:x>0.55396</cdr:x>
      <cdr:y>0.2921</cdr:y>
    </cdr:from>
    <cdr:to>
      <cdr:x>0.61856</cdr:x>
      <cdr:y>0.33325</cdr:y>
    </cdr:to>
    <cdr:sp macro="" textlink="">
      <cdr:nvSpPr>
        <cdr:cNvPr id="4" name="TextBox 3"/>
        <cdr:cNvSpPr txBox="1"/>
      </cdr:nvSpPr>
      <cdr:spPr>
        <a:xfrm xmlns:a="http://schemas.openxmlformats.org/drawingml/2006/main">
          <a:off x="6468893" y="3311831"/>
          <a:ext cx="754376" cy="46655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600"/>
            <a:t>20</a:t>
          </a:r>
          <a:r>
            <a:rPr lang="en-US" sz="1600"/>
            <a:t>16</a:t>
          </a:r>
          <a:endParaRPr lang="ru-RU" sz="1600"/>
        </a:p>
      </cdr:txBody>
    </cdr:sp>
  </cdr:relSizeAnchor>
  <cdr:relSizeAnchor xmlns:cdr="http://schemas.openxmlformats.org/drawingml/2006/chartDrawing">
    <cdr:from>
      <cdr:x>0.57233</cdr:x>
      <cdr:y>0.42482</cdr:y>
    </cdr:from>
    <cdr:to>
      <cdr:x>0.63132</cdr:x>
      <cdr:y>0.46024</cdr:y>
    </cdr:to>
    <cdr:sp macro="" textlink="">
      <cdr:nvSpPr>
        <cdr:cNvPr id="30086148" name="Text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683521" y="4816603"/>
          <a:ext cx="688829" cy="40151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91440" tIns="45720" rIns="91440" bIns="45720" anchor="t" upright="1"/>
        <a:lstStyle xmlns:a="http://schemas.openxmlformats.org/drawingml/2006/main"/>
        <a:p xmlns:a="http://schemas.openxmlformats.org/drawingml/2006/main">
          <a:pPr algn="l" rtl="1">
            <a:defRPr sz="1000"/>
          </a:pPr>
          <a:r>
            <a:rPr lang="ru-RU" sz="1600" b="0" i="0" strike="noStrike">
              <a:solidFill>
                <a:srgbClr val="000000"/>
              </a:solidFill>
              <a:latin typeface="Calibri"/>
            </a:rPr>
            <a:t>20</a:t>
          </a:r>
          <a:r>
            <a:rPr lang="en-US" sz="1600" b="0" i="0" strike="noStrike">
              <a:solidFill>
                <a:srgbClr val="000000"/>
              </a:solidFill>
              <a:latin typeface="Calibri"/>
            </a:rPr>
            <a:t>1</a:t>
          </a:r>
          <a:r>
            <a:rPr lang="ru-RU" sz="1600" b="0" i="0" strike="noStrike">
              <a:solidFill>
                <a:srgbClr val="000000"/>
              </a:solidFill>
              <a:latin typeface="Calibri"/>
            </a:rPr>
            <a:t>4</a:t>
          </a:r>
        </a:p>
      </cdr:txBody>
    </cdr:sp>
  </cdr:relSizeAnchor>
  <cdr:relSizeAnchor xmlns:cdr="http://schemas.openxmlformats.org/drawingml/2006/chartDrawing">
    <cdr:from>
      <cdr:x>0.19399</cdr:x>
      <cdr:y>0.81695</cdr:y>
    </cdr:from>
    <cdr:to>
      <cdr:x>0.25775</cdr:x>
      <cdr:y>0.85172</cdr:y>
    </cdr:to>
    <cdr:sp macro="" textlink="">
      <cdr:nvSpPr>
        <cdr:cNvPr id="30086149" name="TextBox 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265312" y="9262570"/>
          <a:ext cx="744588" cy="39419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91440" tIns="45720" rIns="91440" bIns="45720" anchor="t" upright="1"/>
        <a:lstStyle xmlns:a="http://schemas.openxmlformats.org/drawingml/2006/main"/>
        <a:p xmlns:a="http://schemas.openxmlformats.org/drawingml/2006/main">
          <a:pPr algn="l" rtl="1">
            <a:defRPr sz="1000"/>
          </a:pPr>
          <a:r>
            <a:rPr lang="ru-RU" sz="1600" b="0" i="0" strike="noStrike">
              <a:solidFill>
                <a:srgbClr val="000000"/>
              </a:solidFill>
              <a:latin typeface="Calibri"/>
            </a:rPr>
            <a:t>2005</a:t>
          </a:r>
        </a:p>
      </cdr:txBody>
    </cdr:sp>
  </cdr:relSizeAnchor>
  <cdr:relSizeAnchor xmlns:cdr="http://schemas.openxmlformats.org/drawingml/2006/chartDrawing">
    <cdr:from>
      <cdr:x>0.40325</cdr:x>
      <cdr:y>0.64178</cdr:y>
    </cdr:from>
    <cdr:to>
      <cdr:x>0.48068</cdr:x>
      <cdr:y>0.67708</cdr:y>
    </cdr:to>
    <cdr:sp macro="" textlink="">
      <cdr:nvSpPr>
        <cdr:cNvPr id="8" name="TextBox 7"/>
        <cdr:cNvSpPr txBox="1"/>
      </cdr:nvSpPr>
      <cdr:spPr>
        <a:xfrm xmlns:a="http://schemas.openxmlformats.org/drawingml/2006/main">
          <a:off x="4709023" y="7276496"/>
          <a:ext cx="904200" cy="40022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600"/>
            <a:t>2010</a:t>
          </a:r>
        </a:p>
      </cdr:txBody>
    </cdr:sp>
  </cdr:relSizeAnchor>
  <cdr:relSizeAnchor xmlns:cdr="http://schemas.openxmlformats.org/drawingml/2006/chartDrawing">
    <cdr:from>
      <cdr:x>0.45591</cdr:x>
      <cdr:y>0.53477</cdr:y>
    </cdr:from>
    <cdr:to>
      <cdr:x>0.51713</cdr:x>
      <cdr:y>0.57449</cdr:y>
    </cdr:to>
    <cdr:sp macro="" textlink="">
      <cdr:nvSpPr>
        <cdr:cNvPr id="30086151" name="TextBox 6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323929" y="6063163"/>
          <a:ext cx="714921" cy="45034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91440" tIns="45720" rIns="91440" bIns="45720" anchor="t" upright="1"/>
        <a:lstStyle xmlns:a="http://schemas.openxmlformats.org/drawingml/2006/main"/>
        <a:p xmlns:a="http://schemas.openxmlformats.org/drawingml/2006/main">
          <a:pPr algn="l" rtl="1">
            <a:defRPr sz="1000"/>
          </a:pPr>
          <a:r>
            <a:rPr lang="ru-RU" sz="1600" b="0" i="0" strike="noStrike">
              <a:solidFill>
                <a:srgbClr val="000000"/>
              </a:solidFill>
              <a:latin typeface="Calibri"/>
            </a:rPr>
            <a:t>2011</a:t>
          </a:r>
        </a:p>
      </cdr:txBody>
    </cdr:sp>
  </cdr:relSizeAnchor>
  <cdr:relSizeAnchor xmlns:cdr="http://schemas.openxmlformats.org/drawingml/2006/chartDrawing">
    <cdr:from>
      <cdr:x>0.43949</cdr:x>
      <cdr:y>0.43973</cdr:y>
    </cdr:from>
    <cdr:to>
      <cdr:x>0.50728</cdr:x>
      <cdr:y>0.47029</cdr:y>
    </cdr:to>
    <cdr:sp macro="" textlink="">
      <cdr:nvSpPr>
        <cdr:cNvPr id="30086152" name="TextBox 8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132205" y="4985577"/>
          <a:ext cx="791628" cy="34648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91440" tIns="45720" rIns="91440" bIns="45720" anchor="t" upright="1"/>
        <a:lstStyle xmlns:a="http://schemas.openxmlformats.org/drawingml/2006/main"/>
        <a:p xmlns:a="http://schemas.openxmlformats.org/drawingml/2006/main">
          <a:pPr algn="l" rtl="1">
            <a:defRPr sz="1000"/>
          </a:pPr>
          <a:r>
            <a:rPr lang="ru-RU" sz="1600" b="0" i="0" strike="noStrike">
              <a:solidFill>
                <a:srgbClr val="000000"/>
              </a:solidFill>
              <a:latin typeface="Calibri"/>
            </a:rPr>
            <a:t>2012</a:t>
          </a:r>
        </a:p>
      </cdr:txBody>
    </cdr:sp>
  </cdr:relSizeAnchor>
  <cdr:relSizeAnchor xmlns:cdr="http://schemas.openxmlformats.org/drawingml/2006/chartDrawing">
    <cdr:from>
      <cdr:x>0.41735</cdr:x>
      <cdr:y>0.83351</cdr:y>
    </cdr:from>
    <cdr:to>
      <cdr:x>0.922</cdr:x>
      <cdr:y>0.87718</cdr:y>
    </cdr:to>
    <cdr:sp macro="" textlink="">
      <cdr:nvSpPr>
        <cdr:cNvPr id="30086146" name="Text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552951" y="9450330"/>
          <a:ext cx="5505450" cy="49512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l" rtl="1">
            <a:defRPr sz="1000"/>
          </a:pPr>
          <a:r>
            <a:rPr lang="en-US" sz="2800" b="0" i="0" strike="noStrike" baseline="0">
              <a:solidFill>
                <a:srgbClr val="000000"/>
              </a:solidFill>
              <a:latin typeface="Arial" panose="020B0604020202020204" pitchFamily="34" charset="0"/>
              <a:cs typeface="Arial" panose="020B0604020202020204" pitchFamily="34" charset="0"/>
            </a:rPr>
            <a:t>    </a:t>
          </a:r>
          <a:r>
            <a:rPr lang="en-US" sz="2400" b="0" i="0" strike="noStrike" baseline="0">
              <a:solidFill>
                <a:srgbClr val="000000"/>
              </a:solidFill>
              <a:latin typeface="Arial" panose="020B0604020202020204" pitchFamily="34" charset="0"/>
              <a:cs typeface="Arial" panose="020B0604020202020204" pitchFamily="34" charset="0"/>
            </a:rPr>
            <a:t>FA</a:t>
          </a:r>
          <a:r>
            <a:rPr lang="en-US" sz="2800" b="0" i="0" strike="noStrike" baseline="0">
              <a:solidFill>
                <a:srgbClr val="000000"/>
              </a:solidFill>
              <a:latin typeface="Arial" panose="020B0604020202020204" pitchFamily="34" charset="0"/>
              <a:cs typeface="Arial" panose="020B0604020202020204" pitchFamily="34" charset="0"/>
            </a:rPr>
            <a:t> =</a:t>
          </a:r>
          <a:r>
            <a:rPr lang="ru-RU" sz="2000" b="0" i="0" strike="noStrike" baseline="0">
              <a:solidFill>
                <a:srgbClr val="000000"/>
              </a:solidFill>
              <a:latin typeface="Arial" panose="020B0604020202020204" pitchFamily="34" charset="0"/>
              <a:cs typeface="Arial" panose="020B0604020202020204" pitchFamily="34" charset="0"/>
            </a:rPr>
            <a:t> </a:t>
          </a:r>
          <a:r>
            <a:rPr lang="ru-RU" sz="2400" b="0" i="0" strike="noStrike" baseline="0">
              <a:solidFill>
                <a:srgbClr val="000000"/>
              </a:solidFill>
              <a:latin typeface="Arial" panose="020B0604020202020204" pitchFamily="34" charset="0"/>
              <a:cs typeface="Arial" panose="020B0604020202020204" pitchFamily="34" charset="0"/>
            </a:rPr>
            <a:t>0</a:t>
          </a:r>
          <a:r>
            <a:rPr lang="en-US" sz="2400" b="0" i="0" strike="noStrike" baseline="0">
              <a:solidFill>
                <a:srgbClr val="000000"/>
              </a:solidFill>
              <a:latin typeface="Arial" panose="020B0604020202020204" pitchFamily="34" charset="0"/>
              <a:cs typeface="Arial" panose="020B0604020202020204" pitchFamily="34" charset="0"/>
            </a:rPr>
            <a:t>,</a:t>
          </a:r>
          <a:r>
            <a:rPr lang="ru-RU" sz="2400" b="0" i="0" strike="noStrike" baseline="0">
              <a:solidFill>
                <a:srgbClr val="000000"/>
              </a:solidFill>
              <a:latin typeface="Arial" panose="020B0604020202020204" pitchFamily="34" charset="0"/>
              <a:cs typeface="Arial" panose="020B0604020202020204" pitchFamily="34" charset="0"/>
            </a:rPr>
            <a:t>7</a:t>
          </a:r>
          <a:r>
            <a:rPr lang="en-US" sz="2400" b="0" i="0" strike="noStrike" baseline="0">
              <a:solidFill>
                <a:srgbClr val="000000"/>
              </a:solidFill>
              <a:latin typeface="Arial" panose="020B0604020202020204" pitchFamily="34" charset="0"/>
              <a:cs typeface="Arial" panose="020B0604020202020204" pitchFamily="34" charset="0"/>
            </a:rPr>
            <a:t>*INt + 0,</a:t>
          </a:r>
          <a:r>
            <a:rPr lang="ru-RU" sz="2400" b="0" i="0" strike="noStrike" baseline="0">
              <a:solidFill>
                <a:srgbClr val="000000"/>
              </a:solidFill>
              <a:latin typeface="Arial" panose="020B0604020202020204" pitchFamily="34" charset="0"/>
              <a:cs typeface="Arial" panose="020B0604020202020204" pitchFamily="34" charset="0"/>
            </a:rPr>
            <a:t>2</a:t>
          </a:r>
          <a:r>
            <a:rPr lang="en-US" sz="2400" b="0" i="0" strike="noStrike" baseline="0">
              <a:solidFill>
                <a:srgbClr val="000000"/>
              </a:solidFill>
              <a:latin typeface="Arial" panose="020B0604020202020204" pitchFamily="34" charset="0"/>
              <a:cs typeface="Arial" panose="020B0604020202020204" pitchFamily="34" charset="0"/>
            </a:rPr>
            <a:t>*INt-1 + 0,1*INt-2</a:t>
          </a:r>
          <a:endParaRPr lang="en-US" sz="2000" b="0" i="0" strike="noStrike">
            <a:solidFill>
              <a:srgbClr val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0.50063</cdr:x>
      <cdr:y>0.38678</cdr:y>
    </cdr:from>
    <cdr:to>
      <cdr:x>0.5736</cdr:x>
      <cdr:y>0.4201</cdr:y>
    </cdr:to>
    <cdr:sp macro="" textlink="">
      <cdr:nvSpPr>
        <cdr:cNvPr id="10" name="TextBox 9"/>
        <cdr:cNvSpPr txBox="1"/>
      </cdr:nvSpPr>
      <cdr:spPr>
        <a:xfrm xmlns:a="http://schemas.openxmlformats.org/drawingml/2006/main">
          <a:off x="5846199" y="4385277"/>
          <a:ext cx="852118" cy="37777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/>
        <a:p xmlns:a="http://schemas.openxmlformats.org/drawingml/2006/main">
          <a:r>
            <a:rPr lang="en-US" sz="1600"/>
            <a:t>2013</a:t>
          </a:r>
          <a:endParaRPr lang="ru-RU" sz="1600"/>
        </a:p>
      </cdr:txBody>
    </cdr:sp>
  </cdr:relSizeAnchor>
  <cdr:relSizeAnchor xmlns:cdr="http://schemas.openxmlformats.org/drawingml/2006/chartDrawing">
    <cdr:from>
      <cdr:x>0.5694</cdr:x>
      <cdr:y>0.45532</cdr:y>
    </cdr:from>
    <cdr:to>
      <cdr:x>0.62195</cdr:x>
      <cdr:y>0.48208</cdr:y>
    </cdr:to>
    <cdr:sp macro="" textlink="">
      <cdr:nvSpPr>
        <cdr:cNvPr id="11" name="TextBox 10"/>
        <cdr:cNvSpPr txBox="1"/>
      </cdr:nvSpPr>
      <cdr:spPr>
        <a:xfrm xmlns:a="http://schemas.openxmlformats.org/drawingml/2006/main">
          <a:off x="6649243" y="5162403"/>
          <a:ext cx="613660" cy="3034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400">
              <a:latin typeface="Arial" pitchFamily="34" charset="0"/>
              <a:cs typeface="Arial" pitchFamily="34" charset="0"/>
            </a:rPr>
            <a:t>201</a:t>
          </a:r>
          <a:r>
            <a:rPr lang="en-US" sz="1400">
              <a:latin typeface="Arial" pitchFamily="34" charset="0"/>
              <a:cs typeface="Arial" pitchFamily="34" charset="0"/>
            </a:rPr>
            <a:t>5</a:t>
          </a:r>
          <a:endParaRPr lang="ru-RU" sz="1400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0.64428</cdr:x>
      <cdr:y>0.3677</cdr:y>
    </cdr:from>
    <cdr:to>
      <cdr:x>0.70668</cdr:x>
      <cdr:y>0.39904</cdr:y>
    </cdr:to>
    <cdr:sp macro="" textlink="">
      <cdr:nvSpPr>
        <cdr:cNvPr id="12" name="TextBox 11"/>
        <cdr:cNvSpPr txBox="1"/>
      </cdr:nvSpPr>
      <cdr:spPr>
        <a:xfrm xmlns:a="http://schemas.openxmlformats.org/drawingml/2006/main">
          <a:off x="7523725" y="4168965"/>
          <a:ext cx="728686" cy="35533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400">
              <a:latin typeface="Arial" pitchFamily="34" charset="0"/>
              <a:cs typeface="Arial" pitchFamily="34" charset="0"/>
            </a:rPr>
            <a:t>201?</a:t>
          </a:r>
        </a:p>
      </cdr:txBody>
    </cdr:sp>
  </cdr:relSizeAnchor>
</c:userShapes>
</file>

<file path=xl/drawings/drawing126.xml><?xml version="1.0" encoding="utf-8"?>
<c:userShapes xmlns:c="http://schemas.openxmlformats.org/drawingml/2006/chart">
  <cdr:relSizeAnchor xmlns:cdr="http://schemas.openxmlformats.org/drawingml/2006/chartDrawing">
    <cdr:from>
      <cdr:x>0.3577</cdr:x>
      <cdr:y>0.6321</cdr:y>
    </cdr:from>
    <cdr:to>
      <cdr:x>0.44007</cdr:x>
      <cdr:y>0.66643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979489" y="6805469"/>
          <a:ext cx="916382" cy="36961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600"/>
            <a:t>2009</a:t>
          </a:r>
        </a:p>
      </cdr:txBody>
    </cdr:sp>
  </cdr:relSizeAnchor>
  <cdr:relSizeAnchor xmlns:cdr="http://schemas.openxmlformats.org/drawingml/2006/chartDrawing">
    <cdr:from>
      <cdr:x>0.60959</cdr:x>
      <cdr:y>0.42981</cdr:y>
    </cdr:from>
    <cdr:to>
      <cdr:x>0.66952</cdr:x>
      <cdr:y>0.4652</cdr:y>
    </cdr:to>
    <cdr:sp macro="" textlink="">
      <cdr:nvSpPr>
        <cdr:cNvPr id="4" name="TextBox 3"/>
        <cdr:cNvSpPr txBox="1"/>
      </cdr:nvSpPr>
      <cdr:spPr>
        <a:xfrm xmlns:a="http://schemas.openxmlformats.org/drawingml/2006/main">
          <a:off x="6781800" y="4627563"/>
          <a:ext cx="666750" cy="381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600"/>
            <a:t>20</a:t>
          </a:r>
          <a:r>
            <a:rPr lang="en-US" sz="1600"/>
            <a:t>16</a:t>
          </a:r>
          <a:endParaRPr lang="ru-RU" sz="1600"/>
        </a:p>
      </cdr:txBody>
    </cdr:sp>
  </cdr:relSizeAnchor>
  <cdr:relSizeAnchor xmlns:cdr="http://schemas.openxmlformats.org/drawingml/2006/chartDrawing">
    <cdr:from>
      <cdr:x>0.65415</cdr:x>
      <cdr:y>0.50634</cdr:y>
    </cdr:from>
    <cdr:to>
      <cdr:x>0.73723</cdr:x>
      <cdr:y>0.54569</cdr:y>
    </cdr:to>
    <cdr:sp macro="" textlink="">
      <cdr:nvSpPr>
        <cdr:cNvPr id="30086148" name="Text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7277521" y="5451429"/>
          <a:ext cx="924281" cy="4236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91440" tIns="45720" rIns="91440" bIns="45720" anchor="t" upright="1"/>
        <a:lstStyle xmlns:a="http://schemas.openxmlformats.org/drawingml/2006/main"/>
        <a:p xmlns:a="http://schemas.openxmlformats.org/drawingml/2006/main">
          <a:pPr algn="l" rtl="1">
            <a:defRPr sz="1000"/>
          </a:pPr>
          <a:r>
            <a:rPr lang="ru-RU" sz="1600" b="0" i="0" strike="noStrike">
              <a:solidFill>
                <a:srgbClr val="000000"/>
              </a:solidFill>
              <a:latin typeface="Calibri"/>
            </a:rPr>
            <a:t>20</a:t>
          </a:r>
          <a:r>
            <a:rPr lang="en-US" sz="1600" b="0" i="0" strike="noStrike">
              <a:solidFill>
                <a:srgbClr val="000000"/>
              </a:solidFill>
              <a:latin typeface="Calibri"/>
            </a:rPr>
            <a:t>15</a:t>
          </a:r>
          <a:endParaRPr lang="ru-RU" sz="1600" b="0" i="0" strike="noStrike">
            <a:solidFill>
              <a:srgbClr val="000000"/>
            </a:solidFill>
            <a:latin typeface="Calibri"/>
          </a:endParaRPr>
        </a:p>
      </cdr:txBody>
    </cdr:sp>
  </cdr:relSizeAnchor>
  <cdr:relSizeAnchor xmlns:cdr="http://schemas.openxmlformats.org/drawingml/2006/chartDrawing">
    <cdr:from>
      <cdr:x>0.22416</cdr:x>
      <cdr:y>0.76152</cdr:y>
    </cdr:from>
    <cdr:to>
      <cdr:x>0.29564</cdr:x>
      <cdr:y>0.80285</cdr:y>
    </cdr:to>
    <cdr:sp macro="" textlink="">
      <cdr:nvSpPr>
        <cdr:cNvPr id="30086149" name="TextBox 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493784" y="8198831"/>
          <a:ext cx="795229" cy="44497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91440" tIns="45720" rIns="91440" bIns="45720" anchor="t" upright="1"/>
        <a:lstStyle xmlns:a="http://schemas.openxmlformats.org/drawingml/2006/main"/>
        <a:p xmlns:a="http://schemas.openxmlformats.org/drawingml/2006/main">
          <a:pPr algn="l" rtl="1">
            <a:defRPr sz="1000"/>
          </a:pPr>
          <a:r>
            <a:rPr lang="ru-RU" sz="1600" b="0" i="0" strike="noStrike">
              <a:solidFill>
                <a:srgbClr val="000000"/>
              </a:solidFill>
              <a:latin typeface="Calibri"/>
            </a:rPr>
            <a:t>2005</a:t>
          </a:r>
        </a:p>
      </cdr:txBody>
    </cdr:sp>
  </cdr:relSizeAnchor>
  <cdr:relSizeAnchor xmlns:cdr="http://schemas.openxmlformats.org/drawingml/2006/chartDrawing">
    <cdr:from>
      <cdr:x>0.3789</cdr:x>
      <cdr:y>0.60846</cdr:y>
    </cdr:from>
    <cdr:to>
      <cdr:x>0.45633</cdr:x>
      <cdr:y>0.64376</cdr:y>
    </cdr:to>
    <cdr:sp macro="" textlink="">
      <cdr:nvSpPr>
        <cdr:cNvPr id="8" name="TextBox 7"/>
        <cdr:cNvSpPr txBox="1"/>
      </cdr:nvSpPr>
      <cdr:spPr>
        <a:xfrm xmlns:a="http://schemas.openxmlformats.org/drawingml/2006/main">
          <a:off x="4215302" y="6550954"/>
          <a:ext cx="861424" cy="38005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600"/>
            <a:t>2010</a:t>
          </a:r>
        </a:p>
      </cdr:txBody>
    </cdr:sp>
  </cdr:relSizeAnchor>
  <cdr:relSizeAnchor xmlns:cdr="http://schemas.openxmlformats.org/drawingml/2006/chartDrawing">
    <cdr:from>
      <cdr:x>0.39285</cdr:x>
      <cdr:y>0.57518</cdr:y>
    </cdr:from>
    <cdr:to>
      <cdr:x>0.48212</cdr:x>
      <cdr:y>0.60909</cdr:y>
    </cdr:to>
    <cdr:sp macro="" textlink="">
      <cdr:nvSpPr>
        <cdr:cNvPr id="30086151" name="TextBox 6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370532" y="6192623"/>
          <a:ext cx="993146" cy="36509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91440" tIns="45720" rIns="91440" bIns="45720" anchor="t" upright="1"/>
        <a:lstStyle xmlns:a="http://schemas.openxmlformats.org/drawingml/2006/main"/>
        <a:p xmlns:a="http://schemas.openxmlformats.org/drawingml/2006/main">
          <a:pPr algn="l" rtl="1">
            <a:defRPr sz="1000"/>
          </a:pPr>
          <a:r>
            <a:rPr lang="ru-RU" sz="1600" b="0" i="0" strike="noStrike">
              <a:solidFill>
                <a:srgbClr val="000000"/>
              </a:solidFill>
              <a:latin typeface="Calibri"/>
            </a:rPr>
            <a:t>2011</a:t>
          </a:r>
        </a:p>
      </cdr:txBody>
    </cdr:sp>
  </cdr:relSizeAnchor>
  <cdr:relSizeAnchor xmlns:cdr="http://schemas.openxmlformats.org/drawingml/2006/chartDrawing">
    <cdr:from>
      <cdr:x>0.42843</cdr:x>
      <cdr:y>0.54644</cdr:y>
    </cdr:from>
    <cdr:to>
      <cdr:x>0.49622</cdr:x>
      <cdr:y>0.577</cdr:y>
    </cdr:to>
    <cdr:sp macro="" textlink="">
      <cdr:nvSpPr>
        <cdr:cNvPr id="30086152" name="TextBox 8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766330" y="5883167"/>
          <a:ext cx="754177" cy="32902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91440" tIns="45720" rIns="91440" bIns="45720" anchor="t" upright="1"/>
        <a:lstStyle xmlns:a="http://schemas.openxmlformats.org/drawingml/2006/main"/>
        <a:p xmlns:a="http://schemas.openxmlformats.org/drawingml/2006/main">
          <a:pPr algn="l" rtl="1">
            <a:defRPr sz="1000"/>
          </a:pPr>
          <a:r>
            <a:rPr lang="ru-RU" sz="1600" b="0" i="0" strike="noStrike">
              <a:solidFill>
                <a:srgbClr val="000000"/>
              </a:solidFill>
              <a:latin typeface="Calibri"/>
            </a:rPr>
            <a:t>2012</a:t>
          </a:r>
        </a:p>
      </cdr:txBody>
    </cdr:sp>
  </cdr:relSizeAnchor>
  <cdr:relSizeAnchor xmlns:cdr="http://schemas.openxmlformats.org/drawingml/2006/chartDrawing">
    <cdr:from>
      <cdr:x>0.81667</cdr:x>
      <cdr:y>0.87888</cdr:y>
    </cdr:from>
    <cdr:to>
      <cdr:x>0.95228</cdr:x>
      <cdr:y>0.92255</cdr:y>
    </cdr:to>
    <cdr:sp macro="" textlink="">
      <cdr:nvSpPr>
        <cdr:cNvPr id="30086146" name="Text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8401051" y="9428899"/>
          <a:ext cx="1395020" cy="46850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l" rtl="1">
            <a:defRPr sz="1000"/>
          </a:pPr>
          <a:r>
            <a:rPr lang="en-US" sz="2800" b="0" i="0" strike="noStrike" baseline="0">
              <a:solidFill>
                <a:srgbClr val="000000"/>
              </a:solidFill>
              <a:latin typeface="Arial" panose="020B0604020202020204" pitchFamily="34" charset="0"/>
              <a:cs typeface="Arial" panose="020B0604020202020204" pitchFamily="34" charset="0"/>
            </a:rPr>
            <a:t>    IPC</a:t>
          </a:r>
          <a:r>
            <a:rPr lang="ru-RU" sz="2000" b="0" i="0" strike="noStrike" baseline="0">
              <a:solidFill>
                <a:srgbClr val="000000"/>
              </a:solidFill>
              <a:latin typeface="Arial" panose="020B0604020202020204" pitchFamily="34" charset="0"/>
              <a:cs typeface="Arial" panose="020B0604020202020204" pitchFamily="34" charset="0"/>
            </a:rPr>
            <a:t> </a:t>
          </a:r>
          <a:endParaRPr lang="en-US" sz="2000" b="0" i="0" strike="noStrike">
            <a:solidFill>
              <a:srgbClr val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0.46293</cdr:x>
      <cdr:y>0.51372</cdr:y>
    </cdr:from>
    <cdr:to>
      <cdr:x>0.5359</cdr:x>
      <cdr:y>0.54704</cdr:y>
    </cdr:to>
    <cdr:sp macro="" textlink="">
      <cdr:nvSpPr>
        <cdr:cNvPr id="10" name="TextBox 9"/>
        <cdr:cNvSpPr txBox="1"/>
      </cdr:nvSpPr>
      <cdr:spPr>
        <a:xfrm xmlns:a="http://schemas.openxmlformats.org/drawingml/2006/main">
          <a:off x="5150180" y="5530893"/>
          <a:ext cx="811806" cy="35873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/>
        <a:p xmlns:a="http://schemas.openxmlformats.org/drawingml/2006/main">
          <a:r>
            <a:rPr lang="en-US" sz="1600"/>
            <a:t>2013</a:t>
          </a:r>
          <a:endParaRPr lang="ru-RU" sz="1600"/>
        </a:p>
      </cdr:txBody>
    </cdr:sp>
  </cdr:relSizeAnchor>
  <cdr:relSizeAnchor xmlns:cdr="http://schemas.openxmlformats.org/drawingml/2006/chartDrawing">
    <cdr:from>
      <cdr:x>0.52101</cdr:x>
      <cdr:y>0.49939</cdr:y>
    </cdr:from>
    <cdr:to>
      <cdr:x>0.57356</cdr:x>
      <cdr:y>0.52615</cdr:y>
    </cdr:to>
    <cdr:sp macro="" textlink="">
      <cdr:nvSpPr>
        <cdr:cNvPr id="11" name="TextBox 10"/>
        <cdr:cNvSpPr txBox="1"/>
      </cdr:nvSpPr>
      <cdr:spPr>
        <a:xfrm xmlns:a="http://schemas.openxmlformats.org/drawingml/2006/main">
          <a:off x="5796363" y="5376664"/>
          <a:ext cx="584630" cy="2881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400">
              <a:latin typeface="Arial" pitchFamily="34" charset="0"/>
              <a:cs typeface="Arial" pitchFamily="34" charset="0"/>
            </a:rPr>
            <a:t>2014</a:t>
          </a:r>
        </a:p>
      </cdr:txBody>
    </cdr:sp>
  </cdr:relSizeAnchor>
  <cdr:relSizeAnchor xmlns:cdr="http://schemas.openxmlformats.org/drawingml/2006/chartDrawing">
    <cdr:from>
      <cdr:x>0.63293</cdr:x>
      <cdr:y>0.40387</cdr:y>
    </cdr:from>
    <cdr:to>
      <cdr:x>0.69533</cdr:x>
      <cdr:y>0.43521</cdr:y>
    </cdr:to>
    <cdr:sp macro="" textlink="">
      <cdr:nvSpPr>
        <cdr:cNvPr id="12" name="TextBox 11"/>
        <cdr:cNvSpPr txBox="1"/>
      </cdr:nvSpPr>
      <cdr:spPr>
        <a:xfrm xmlns:a="http://schemas.openxmlformats.org/drawingml/2006/main">
          <a:off x="7041526" y="4348190"/>
          <a:ext cx="694213" cy="3374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400">
              <a:latin typeface="Arial" pitchFamily="34" charset="0"/>
              <a:cs typeface="Arial" pitchFamily="34" charset="0"/>
            </a:rPr>
            <a:t>201</a:t>
          </a:r>
          <a:r>
            <a:rPr lang="en-US" sz="1400">
              <a:latin typeface="Arial" pitchFamily="34" charset="0"/>
              <a:cs typeface="Arial" pitchFamily="34" charset="0"/>
            </a:rPr>
            <a:t>7</a:t>
          </a:r>
        </a:p>
        <a:p xmlns:a="http://schemas.openxmlformats.org/drawingml/2006/main">
          <a:endParaRPr lang="ru-RU" sz="1400">
            <a:latin typeface="Arial" pitchFamily="34" charset="0"/>
            <a:cs typeface="Arial" pitchFamily="34" charset="0"/>
          </a:endParaRPr>
        </a:p>
      </cdr:txBody>
    </cdr:sp>
  </cdr:relSizeAnchor>
</c:userShapes>
</file>

<file path=xl/drawings/drawing127.xml><?xml version="1.0" encoding="utf-8"?>
<c:userShapes xmlns:c="http://schemas.openxmlformats.org/drawingml/2006/chart">
  <cdr:relSizeAnchor xmlns:cdr="http://schemas.openxmlformats.org/drawingml/2006/chartDrawing">
    <cdr:from>
      <cdr:x>0.34639</cdr:x>
      <cdr:y>0.44101</cdr:y>
    </cdr:from>
    <cdr:to>
      <cdr:x>0.42876</cdr:x>
      <cdr:y>0.47534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54658" y="4748069"/>
          <a:ext cx="892845" cy="36961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600"/>
            <a:t>2009</a:t>
          </a:r>
        </a:p>
      </cdr:txBody>
    </cdr:sp>
  </cdr:relSizeAnchor>
  <cdr:relSizeAnchor xmlns:cdr="http://schemas.openxmlformats.org/drawingml/2006/chartDrawing">
    <cdr:from>
      <cdr:x>0.66042</cdr:x>
      <cdr:y>0.18122</cdr:y>
    </cdr:from>
    <cdr:to>
      <cdr:x>0.72502</cdr:x>
      <cdr:y>0.21572</cdr:y>
    </cdr:to>
    <cdr:sp macro="" textlink="">
      <cdr:nvSpPr>
        <cdr:cNvPr id="4" name="TextBox 3"/>
        <cdr:cNvSpPr txBox="1"/>
      </cdr:nvSpPr>
      <cdr:spPr>
        <a:xfrm xmlns:a="http://schemas.openxmlformats.org/drawingml/2006/main">
          <a:off x="7158548" y="1951059"/>
          <a:ext cx="700229" cy="37145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600"/>
            <a:t>20</a:t>
          </a:r>
          <a:r>
            <a:rPr lang="en-US" sz="1600"/>
            <a:t>16</a:t>
          </a:r>
          <a:endParaRPr lang="ru-RU" sz="1600"/>
        </a:p>
      </cdr:txBody>
    </cdr:sp>
  </cdr:relSizeAnchor>
  <cdr:relSizeAnchor xmlns:cdr="http://schemas.openxmlformats.org/drawingml/2006/chartDrawing">
    <cdr:from>
      <cdr:x>0.59991</cdr:x>
      <cdr:y>0.225</cdr:y>
    </cdr:from>
    <cdr:to>
      <cdr:x>0.68299</cdr:x>
      <cdr:y>0.26435</cdr:y>
    </cdr:to>
    <cdr:sp macro="" textlink="">
      <cdr:nvSpPr>
        <cdr:cNvPr id="30086148" name="Text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502723" y="2422479"/>
          <a:ext cx="900541" cy="4236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91440" tIns="45720" rIns="91440" bIns="45720" anchor="t" upright="1"/>
        <a:lstStyle xmlns:a="http://schemas.openxmlformats.org/drawingml/2006/main"/>
        <a:p xmlns:a="http://schemas.openxmlformats.org/drawingml/2006/main">
          <a:pPr algn="l" rtl="1">
            <a:defRPr sz="1000"/>
          </a:pPr>
          <a:r>
            <a:rPr lang="ru-RU" sz="1600" b="0" i="0" strike="noStrike">
              <a:solidFill>
                <a:srgbClr val="000000"/>
              </a:solidFill>
              <a:latin typeface="Calibri"/>
            </a:rPr>
            <a:t>20</a:t>
          </a:r>
          <a:r>
            <a:rPr lang="en-US" sz="1600" b="0" i="0" strike="noStrike">
              <a:solidFill>
                <a:srgbClr val="000000"/>
              </a:solidFill>
              <a:latin typeface="Calibri"/>
            </a:rPr>
            <a:t>15</a:t>
          </a:r>
          <a:endParaRPr lang="ru-RU" sz="1600" b="0" i="0" strike="noStrike">
            <a:solidFill>
              <a:srgbClr val="000000"/>
            </a:solidFill>
            <a:latin typeface="Calibri"/>
          </a:endParaRPr>
        </a:p>
      </cdr:txBody>
    </cdr:sp>
  </cdr:relSizeAnchor>
  <cdr:relSizeAnchor xmlns:cdr="http://schemas.openxmlformats.org/drawingml/2006/chartDrawing">
    <cdr:from>
      <cdr:x>0.2315</cdr:x>
      <cdr:y>0.57573</cdr:y>
    </cdr:from>
    <cdr:to>
      <cdr:x>0.30298</cdr:x>
      <cdr:y>0.61706</cdr:y>
    </cdr:to>
    <cdr:sp macro="" textlink="">
      <cdr:nvSpPr>
        <cdr:cNvPr id="30086149" name="TextBox 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509356" y="6198581"/>
          <a:ext cx="774804" cy="44497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91440" tIns="45720" rIns="91440" bIns="45720" anchor="t" upright="1"/>
        <a:lstStyle xmlns:a="http://schemas.openxmlformats.org/drawingml/2006/main"/>
        <a:p xmlns:a="http://schemas.openxmlformats.org/drawingml/2006/main">
          <a:pPr algn="l" rtl="1">
            <a:defRPr sz="1000"/>
          </a:pPr>
          <a:r>
            <a:rPr lang="ru-RU" sz="1600" b="0" i="0" strike="noStrike">
              <a:solidFill>
                <a:srgbClr val="000000"/>
              </a:solidFill>
              <a:latin typeface="Calibri"/>
            </a:rPr>
            <a:t>2005</a:t>
          </a:r>
        </a:p>
      </cdr:txBody>
    </cdr:sp>
  </cdr:relSizeAnchor>
  <cdr:relSizeAnchor xmlns:cdr="http://schemas.openxmlformats.org/drawingml/2006/chartDrawing">
    <cdr:from>
      <cdr:x>0.37866</cdr:x>
      <cdr:y>0.40144</cdr:y>
    </cdr:from>
    <cdr:to>
      <cdr:x>0.4561</cdr:x>
      <cdr:y>0.43674</cdr:y>
    </cdr:to>
    <cdr:sp macro="" textlink="">
      <cdr:nvSpPr>
        <cdr:cNvPr id="8" name="TextBox 7"/>
        <cdr:cNvSpPr txBox="1"/>
      </cdr:nvSpPr>
      <cdr:spPr>
        <a:xfrm xmlns:a="http://schemas.openxmlformats.org/drawingml/2006/main">
          <a:off x="4104520" y="4322104"/>
          <a:ext cx="839299" cy="38005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600"/>
            <a:t>2010</a:t>
          </a:r>
        </a:p>
      </cdr:txBody>
    </cdr:sp>
  </cdr:relSizeAnchor>
  <cdr:relSizeAnchor xmlns:cdr="http://schemas.openxmlformats.org/drawingml/2006/chartDrawing">
    <cdr:from>
      <cdr:x>0.40303</cdr:x>
      <cdr:y>0.35224</cdr:y>
    </cdr:from>
    <cdr:to>
      <cdr:x>0.4923</cdr:x>
      <cdr:y>0.38615</cdr:y>
    </cdr:to>
    <cdr:sp macro="" textlink="">
      <cdr:nvSpPr>
        <cdr:cNvPr id="30086151" name="TextBox 6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368595" y="3792323"/>
          <a:ext cx="967638" cy="36509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91440" tIns="45720" rIns="91440" bIns="45720" anchor="t" upright="1"/>
        <a:lstStyle xmlns:a="http://schemas.openxmlformats.org/drawingml/2006/main"/>
        <a:p xmlns:a="http://schemas.openxmlformats.org/drawingml/2006/main">
          <a:pPr algn="l" rtl="1">
            <a:defRPr sz="1000"/>
          </a:pPr>
          <a:r>
            <a:rPr lang="ru-RU" sz="1600" b="0" i="0" strike="noStrike">
              <a:solidFill>
                <a:srgbClr val="000000"/>
              </a:solidFill>
              <a:latin typeface="Calibri"/>
            </a:rPr>
            <a:t>2011</a:t>
          </a:r>
        </a:p>
      </cdr:txBody>
    </cdr:sp>
  </cdr:relSizeAnchor>
  <cdr:relSizeAnchor xmlns:cdr="http://schemas.openxmlformats.org/drawingml/2006/chartDrawing">
    <cdr:from>
      <cdr:x>0.43464</cdr:x>
      <cdr:y>0.33234</cdr:y>
    </cdr:from>
    <cdr:to>
      <cdr:x>0.50243</cdr:x>
      <cdr:y>0.3629</cdr:y>
    </cdr:to>
    <cdr:sp macro="" textlink="">
      <cdr:nvSpPr>
        <cdr:cNvPr id="30086152" name="TextBox 8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711259" y="3578074"/>
          <a:ext cx="734806" cy="32902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91440" tIns="45720" rIns="91440" bIns="45720" anchor="t" upright="1"/>
        <a:lstStyle xmlns:a="http://schemas.openxmlformats.org/drawingml/2006/main"/>
        <a:p xmlns:a="http://schemas.openxmlformats.org/drawingml/2006/main">
          <a:pPr algn="l" rtl="1">
            <a:defRPr sz="1000"/>
          </a:pPr>
          <a:r>
            <a:rPr lang="ru-RU" sz="1600" b="0" i="0" strike="noStrike">
              <a:solidFill>
                <a:srgbClr val="000000"/>
              </a:solidFill>
              <a:latin typeface="Calibri"/>
            </a:rPr>
            <a:t>2012</a:t>
          </a:r>
        </a:p>
      </cdr:txBody>
    </cdr:sp>
  </cdr:relSizeAnchor>
  <cdr:relSizeAnchor xmlns:cdr="http://schemas.openxmlformats.org/drawingml/2006/chartDrawing">
    <cdr:from>
      <cdr:x>0.81667</cdr:x>
      <cdr:y>0.87888</cdr:y>
    </cdr:from>
    <cdr:to>
      <cdr:x>0.95228</cdr:x>
      <cdr:y>0.92255</cdr:y>
    </cdr:to>
    <cdr:sp macro="" textlink="">
      <cdr:nvSpPr>
        <cdr:cNvPr id="30086146" name="Text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8401051" y="9428899"/>
          <a:ext cx="1395020" cy="46850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l" rtl="1">
            <a:defRPr sz="1000"/>
          </a:pPr>
          <a:r>
            <a:rPr lang="en-US" sz="2800" b="0" i="0" strike="noStrike" baseline="0">
              <a:solidFill>
                <a:srgbClr val="000000"/>
              </a:solidFill>
              <a:latin typeface="Arial" panose="020B0604020202020204" pitchFamily="34" charset="0"/>
              <a:cs typeface="Arial" panose="020B0604020202020204" pitchFamily="34" charset="0"/>
            </a:rPr>
            <a:t>    IPC</a:t>
          </a:r>
          <a:r>
            <a:rPr lang="ru-RU" sz="2000" b="0" i="0" strike="noStrike" baseline="0">
              <a:solidFill>
                <a:srgbClr val="000000"/>
              </a:solidFill>
              <a:latin typeface="Arial" panose="020B0604020202020204" pitchFamily="34" charset="0"/>
              <a:cs typeface="Arial" panose="020B0604020202020204" pitchFamily="34" charset="0"/>
            </a:rPr>
            <a:t> </a:t>
          </a:r>
          <a:endParaRPr lang="en-US" sz="2000" b="0" i="0" strike="noStrike">
            <a:solidFill>
              <a:srgbClr val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0.48929</cdr:x>
      <cdr:y>0.2607</cdr:y>
    </cdr:from>
    <cdr:to>
      <cdr:x>0.56226</cdr:x>
      <cdr:y>0.29402</cdr:y>
    </cdr:to>
    <cdr:sp macro="" textlink="">
      <cdr:nvSpPr>
        <cdr:cNvPr id="10" name="TextBox 9"/>
        <cdr:cNvSpPr txBox="1"/>
      </cdr:nvSpPr>
      <cdr:spPr>
        <a:xfrm xmlns:a="http://schemas.openxmlformats.org/drawingml/2006/main">
          <a:off x="5303662" y="2806781"/>
          <a:ext cx="790955" cy="3587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/>
        <a:p xmlns:a="http://schemas.openxmlformats.org/drawingml/2006/main">
          <a:r>
            <a:rPr lang="en-US" sz="1600"/>
            <a:t>2013</a:t>
          </a:r>
          <a:endParaRPr lang="ru-RU" sz="1600"/>
        </a:p>
      </cdr:txBody>
    </cdr:sp>
  </cdr:relSizeAnchor>
  <cdr:relSizeAnchor xmlns:cdr="http://schemas.openxmlformats.org/drawingml/2006/chartDrawing">
    <cdr:from>
      <cdr:x>0.5576</cdr:x>
      <cdr:y>0.25996</cdr:y>
    </cdr:from>
    <cdr:to>
      <cdr:x>0.61015</cdr:x>
      <cdr:y>0.29357</cdr:y>
    </cdr:to>
    <cdr:sp macro="" textlink="">
      <cdr:nvSpPr>
        <cdr:cNvPr id="11" name="TextBox 10"/>
        <cdr:cNvSpPr txBox="1"/>
      </cdr:nvSpPr>
      <cdr:spPr>
        <a:xfrm xmlns:a="http://schemas.openxmlformats.org/drawingml/2006/main" rot="10800000" flipV="1">
          <a:off x="6044077" y="2798814"/>
          <a:ext cx="569613" cy="3618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400">
              <a:latin typeface="Arial" pitchFamily="34" charset="0"/>
              <a:cs typeface="Arial" pitchFamily="34" charset="0"/>
            </a:rPr>
            <a:t>2014</a:t>
          </a:r>
        </a:p>
      </cdr:txBody>
    </cdr:sp>
  </cdr:relSizeAnchor>
  <cdr:relSizeAnchor xmlns:cdr="http://schemas.openxmlformats.org/drawingml/2006/chartDrawing">
    <cdr:from>
      <cdr:x>0.71405</cdr:x>
      <cdr:y>0.27116</cdr:y>
    </cdr:from>
    <cdr:to>
      <cdr:x>0.77645</cdr:x>
      <cdr:y>0.3025</cdr:y>
    </cdr:to>
    <cdr:sp macro="" textlink="">
      <cdr:nvSpPr>
        <cdr:cNvPr id="12" name="TextBox 11"/>
        <cdr:cNvSpPr txBox="1"/>
      </cdr:nvSpPr>
      <cdr:spPr>
        <a:xfrm xmlns:a="http://schemas.openxmlformats.org/drawingml/2006/main">
          <a:off x="7739933" y="2919440"/>
          <a:ext cx="676382" cy="3374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400">
              <a:latin typeface="Arial" pitchFamily="34" charset="0"/>
              <a:cs typeface="Arial" pitchFamily="34" charset="0"/>
            </a:rPr>
            <a:t>201?</a:t>
          </a:r>
        </a:p>
      </cdr:txBody>
    </cdr:sp>
  </cdr:relSizeAnchor>
  <cdr:relSizeAnchor xmlns:cdr="http://schemas.openxmlformats.org/drawingml/2006/chartDrawing">
    <cdr:from>
      <cdr:x>0.30228</cdr:x>
      <cdr:y>0.76246</cdr:y>
    </cdr:from>
    <cdr:to>
      <cdr:x>0.80141</cdr:x>
      <cdr:y>0.84739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3276600" y="8208962"/>
          <a:ext cx="54102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3200">
              <a:latin typeface="Arial" panose="020B0604020202020204" pitchFamily="34" charset="0"/>
              <a:cs typeface="Arial" panose="020B0604020202020204" pitchFamily="34" charset="0"/>
            </a:rPr>
            <a:t>Dww = 0,1975*IPC +11,04</a:t>
          </a:r>
          <a:endParaRPr lang="ru-RU" sz="32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</c:userShapes>
</file>

<file path=xl/drawings/drawing128.xml><?xml version="1.0" encoding="utf-8"?>
<c:userShapes xmlns:c="http://schemas.openxmlformats.org/drawingml/2006/chart">
  <cdr:relSizeAnchor xmlns:cdr="http://schemas.openxmlformats.org/drawingml/2006/chartDrawing">
    <cdr:from>
      <cdr:x>0.76972</cdr:x>
      <cdr:y>0.85765</cdr:y>
    </cdr:from>
    <cdr:to>
      <cdr:x>0.96805</cdr:x>
      <cdr:y>0.90132</cdr:y>
    </cdr:to>
    <cdr:sp macro="" textlink="">
      <cdr:nvSpPr>
        <cdr:cNvPr id="30086146" name="Text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9296401" y="9233796"/>
          <a:ext cx="2395452" cy="47016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l" rtl="1">
            <a:defRPr sz="1000"/>
          </a:pPr>
          <a:r>
            <a:rPr lang="en-US" sz="2800" b="0" i="0" strike="noStrike" baseline="0">
              <a:solidFill>
                <a:srgbClr val="000000"/>
              </a:solidFill>
              <a:latin typeface="Arial" panose="020B0604020202020204" pitchFamily="34" charset="0"/>
              <a:cs typeface="Arial" panose="020B0604020202020204" pitchFamily="34" charset="0"/>
            </a:rPr>
            <a:t>    t </a:t>
          </a:r>
          <a:r>
            <a:rPr lang="ru-RU" sz="2800" b="0" i="0" strike="noStrike" baseline="0">
              <a:solidFill>
                <a:srgbClr val="000000"/>
              </a:solidFill>
              <a:latin typeface="Arial" panose="020B0604020202020204" pitchFamily="34" charset="0"/>
              <a:cs typeface="Arial" panose="020B0604020202020204" pitchFamily="34" charset="0"/>
            </a:rPr>
            <a:t>время</a:t>
          </a:r>
          <a:endParaRPr lang="en-US" sz="2000" b="0" i="0" strike="noStrike">
            <a:solidFill>
              <a:srgbClr val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0.12878</cdr:x>
      <cdr:y>0.67298</cdr:y>
    </cdr:from>
    <cdr:to>
      <cdr:x>0.48524</cdr:x>
      <cdr:y>0.7296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1578701" y="7005233"/>
          <a:ext cx="4369662" cy="58936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2000">
              <a:latin typeface="Arial" panose="020B0604020202020204" pitchFamily="34" charset="0"/>
              <a:cs typeface="Arial" panose="020B0604020202020204" pitchFamily="34" charset="0"/>
            </a:rPr>
            <a:t>FS = </a:t>
          </a:r>
          <a:r>
            <a:rPr lang="ru-RU" sz="2000">
              <a:latin typeface="Arial" panose="020B0604020202020204" pitchFamily="34" charset="0"/>
              <a:cs typeface="Arial" panose="020B0604020202020204" pitchFamily="34" charset="0"/>
            </a:rPr>
            <a:t>9</a:t>
          </a:r>
          <a:r>
            <a:rPr lang="en-US" sz="2000">
              <a:latin typeface="Arial" panose="020B0604020202020204" pitchFamily="34" charset="0"/>
              <a:cs typeface="Arial" panose="020B0604020202020204" pitchFamily="34" charset="0"/>
            </a:rPr>
            <a:t>,</a:t>
          </a:r>
          <a:r>
            <a:rPr lang="ru-RU" sz="2000">
              <a:latin typeface="Arial" panose="020B0604020202020204" pitchFamily="34" charset="0"/>
              <a:cs typeface="Arial" panose="020B0604020202020204" pitchFamily="34" charset="0"/>
            </a:rPr>
            <a:t>2931</a:t>
          </a:r>
          <a:r>
            <a:rPr lang="en-US" sz="2000">
              <a:latin typeface="Arial" panose="020B0604020202020204" pitchFamily="34" charset="0"/>
              <a:cs typeface="Arial" panose="020B0604020202020204" pitchFamily="34" charset="0"/>
            </a:rPr>
            <a:t>*t*t - 73,126*t + 5393,1</a:t>
          </a:r>
          <a:endParaRPr lang="ru-RU" sz="20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</c:userShapes>
</file>

<file path=xl/drawings/drawing129.xml><?xml version="1.0" encoding="utf-8"?>
<c:userShapes xmlns:c="http://schemas.openxmlformats.org/drawingml/2006/chart">
  <cdr:relSizeAnchor xmlns:cdr="http://schemas.openxmlformats.org/drawingml/2006/chartDrawing">
    <cdr:from>
      <cdr:x>0.26403</cdr:x>
      <cdr:y>0.58051</cdr:y>
    </cdr:from>
    <cdr:to>
      <cdr:x>0.3464</cdr:x>
      <cdr:y>0.61484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2675851" y="6227868"/>
          <a:ext cx="834787" cy="3683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600"/>
            <a:t>2009</a:t>
          </a:r>
        </a:p>
      </cdr:txBody>
    </cdr:sp>
  </cdr:relSizeAnchor>
  <cdr:relSizeAnchor xmlns:cdr="http://schemas.openxmlformats.org/drawingml/2006/chartDrawing">
    <cdr:from>
      <cdr:x>0.60014</cdr:x>
      <cdr:y>0.27347</cdr:y>
    </cdr:from>
    <cdr:to>
      <cdr:x>0.66474</cdr:x>
      <cdr:y>0.31462</cdr:y>
    </cdr:to>
    <cdr:sp macro="" textlink="">
      <cdr:nvSpPr>
        <cdr:cNvPr id="4" name="TextBox 3"/>
        <cdr:cNvSpPr txBox="1"/>
      </cdr:nvSpPr>
      <cdr:spPr>
        <a:xfrm xmlns:a="http://schemas.openxmlformats.org/drawingml/2006/main">
          <a:off x="6082200" y="2933871"/>
          <a:ext cx="654695" cy="44147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600"/>
            <a:t>20</a:t>
          </a:r>
          <a:r>
            <a:rPr lang="en-US" sz="1600"/>
            <a:t>17</a:t>
          </a:r>
          <a:endParaRPr lang="ru-RU" sz="1600"/>
        </a:p>
      </cdr:txBody>
    </cdr:sp>
  </cdr:relSizeAnchor>
  <cdr:relSizeAnchor xmlns:cdr="http://schemas.openxmlformats.org/drawingml/2006/chartDrawing">
    <cdr:from>
      <cdr:x>0.6675</cdr:x>
      <cdr:y>0.25327</cdr:y>
    </cdr:from>
    <cdr:to>
      <cdr:x>0.73395</cdr:x>
      <cdr:y>0.2913</cdr:y>
    </cdr:to>
    <cdr:sp macro="" textlink="">
      <cdr:nvSpPr>
        <cdr:cNvPr id="30086148" name="Text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764797" y="2717156"/>
          <a:ext cx="673444" cy="40799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91440" tIns="45720" rIns="91440" bIns="45720" anchor="t" upright="1"/>
        <a:lstStyle xmlns:a="http://schemas.openxmlformats.org/drawingml/2006/main"/>
        <a:p xmlns:a="http://schemas.openxmlformats.org/drawingml/2006/main">
          <a:pPr algn="l" rtl="1">
            <a:defRPr sz="1000"/>
          </a:pPr>
          <a:r>
            <a:rPr lang="ru-RU" sz="1600" b="0" i="0" strike="noStrike">
              <a:solidFill>
                <a:srgbClr val="000000"/>
              </a:solidFill>
              <a:latin typeface="Calibri"/>
            </a:rPr>
            <a:t>20</a:t>
          </a:r>
          <a:r>
            <a:rPr lang="en-US" sz="1600" b="0" i="0" strike="noStrike">
              <a:solidFill>
                <a:srgbClr val="000000"/>
              </a:solidFill>
              <a:latin typeface="Calibri"/>
            </a:rPr>
            <a:t>18</a:t>
          </a:r>
          <a:endParaRPr lang="ru-RU" sz="1600" b="0" i="0" strike="noStrike">
            <a:solidFill>
              <a:srgbClr val="000000"/>
            </a:solidFill>
            <a:latin typeface="Calibri"/>
          </a:endParaRPr>
        </a:p>
      </cdr:txBody>
    </cdr:sp>
  </cdr:relSizeAnchor>
  <cdr:relSizeAnchor xmlns:cdr="http://schemas.openxmlformats.org/drawingml/2006/chartDrawing">
    <cdr:from>
      <cdr:x>0.24382</cdr:x>
      <cdr:y>0.78257</cdr:y>
    </cdr:from>
    <cdr:to>
      <cdr:x>0.3153</cdr:x>
      <cdr:y>0.8239</cdr:y>
    </cdr:to>
    <cdr:sp macro="" textlink="">
      <cdr:nvSpPr>
        <cdr:cNvPr id="30086149" name="TextBox 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619600" y="8306264"/>
          <a:ext cx="767995" cy="43867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91440" tIns="45720" rIns="91440" bIns="45720" anchor="t" upright="1"/>
        <a:lstStyle xmlns:a="http://schemas.openxmlformats.org/drawingml/2006/main"/>
        <a:p xmlns:a="http://schemas.openxmlformats.org/drawingml/2006/main">
          <a:pPr algn="l" rtl="1">
            <a:defRPr sz="1000"/>
          </a:pPr>
          <a:r>
            <a:rPr lang="ru-RU" sz="1600" b="0" i="0" strike="noStrike">
              <a:solidFill>
                <a:srgbClr val="000000"/>
              </a:solidFill>
              <a:latin typeface="Calibri"/>
            </a:rPr>
            <a:t>2005</a:t>
          </a:r>
        </a:p>
      </cdr:txBody>
    </cdr:sp>
  </cdr:relSizeAnchor>
  <cdr:relSizeAnchor xmlns:cdr="http://schemas.openxmlformats.org/drawingml/2006/chartDrawing">
    <cdr:from>
      <cdr:x>0.39607</cdr:x>
      <cdr:y>0.58186</cdr:y>
    </cdr:from>
    <cdr:to>
      <cdr:x>0.4735</cdr:x>
      <cdr:y>0.61716</cdr:y>
    </cdr:to>
    <cdr:sp macro="" textlink="">
      <cdr:nvSpPr>
        <cdr:cNvPr id="8" name="TextBox 7"/>
        <cdr:cNvSpPr txBox="1"/>
      </cdr:nvSpPr>
      <cdr:spPr>
        <a:xfrm xmlns:a="http://schemas.openxmlformats.org/drawingml/2006/main">
          <a:off x="4014051" y="6242345"/>
          <a:ext cx="784722" cy="37871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600"/>
            <a:t>2010</a:t>
          </a:r>
        </a:p>
      </cdr:txBody>
    </cdr:sp>
  </cdr:relSizeAnchor>
  <cdr:relSizeAnchor xmlns:cdr="http://schemas.openxmlformats.org/drawingml/2006/chartDrawing">
    <cdr:from>
      <cdr:x>0.46044</cdr:x>
      <cdr:y>0.56065</cdr:y>
    </cdr:from>
    <cdr:to>
      <cdr:x>0.54971</cdr:x>
      <cdr:y>0.59456</cdr:y>
    </cdr:to>
    <cdr:sp macro="" textlink="">
      <cdr:nvSpPr>
        <cdr:cNvPr id="30086151" name="TextBox 6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666385" y="6014840"/>
          <a:ext cx="904716" cy="36379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91440" tIns="45720" rIns="91440" bIns="45720" anchor="t" upright="1"/>
        <a:lstStyle xmlns:a="http://schemas.openxmlformats.org/drawingml/2006/main"/>
        <a:p xmlns:a="http://schemas.openxmlformats.org/drawingml/2006/main">
          <a:pPr algn="l" rtl="1">
            <a:defRPr sz="1000"/>
          </a:pPr>
          <a:r>
            <a:rPr lang="ru-RU" sz="1600" b="0" i="0" strike="noStrike">
              <a:solidFill>
                <a:srgbClr val="000000"/>
              </a:solidFill>
              <a:latin typeface="Calibri"/>
            </a:rPr>
            <a:t>2011</a:t>
          </a:r>
        </a:p>
      </cdr:txBody>
    </cdr:sp>
  </cdr:relSizeAnchor>
  <cdr:relSizeAnchor xmlns:cdr="http://schemas.openxmlformats.org/drawingml/2006/chartDrawing">
    <cdr:from>
      <cdr:x>0.52473</cdr:x>
      <cdr:y>0.50325</cdr:y>
    </cdr:from>
    <cdr:to>
      <cdr:x>0.58491</cdr:x>
      <cdr:y>0.53365</cdr:y>
    </cdr:to>
    <cdr:sp macro="" textlink="">
      <cdr:nvSpPr>
        <cdr:cNvPr id="30086152" name="TextBox 8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317899" y="5399051"/>
          <a:ext cx="609900" cy="32614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91440" tIns="45720" rIns="91440" bIns="45720" anchor="t" upright="1"/>
        <a:lstStyle xmlns:a="http://schemas.openxmlformats.org/drawingml/2006/main"/>
        <a:p xmlns:a="http://schemas.openxmlformats.org/drawingml/2006/main">
          <a:pPr algn="l" rtl="1">
            <a:defRPr sz="1000"/>
          </a:pPr>
          <a:r>
            <a:rPr lang="ru-RU" sz="1600" b="0" i="0" strike="noStrike">
              <a:solidFill>
                <a:srgbClr val="000000"/>
              </a:solidFill>
              <a:latin typeface="Calibri"/>
            </a:rPr>
            <a:t>2012</a:t>
          </a:r>
        </a:p>
      </cdr:txBody>
    </cdr:sp>
  </cdr:relSizeAnchor>
  <cdr:relSizeAnchor xmlns:cdr="http://schemas.openxmlformats.org/drawingml/2006/chartDrawing">
    <cdr:from>
      <cdr:x>0.10471</cdr:x>
      <cdr:y>0.064</cdr:y>
    </cdr:from>
    <cdr:to>
      <cdr:x>0.2081</cdr:x>
      <cdr:y>0.10786</cdr:y>
    </cdr:to>
    <cdr:sp macro="" textlink="">
      <cdr:nvSpPr>
        <cdr:cNvPr id="30086146" name="Text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061167" y="686651"/>
          <a:ext cx="1047816" cy="47054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l" rtl="1">
            <a:defRPr sz="1000"/>
          </a:pPr>
          <a:r>
            <a:rPr lang="en-US" sz="2000" b="0" i="0" strike="noStrike" baseline="0">
              <a:solidFill>
                <a:srgbClr val="000000"/>
              </a:solidFill>
              <a:latin typeface="Arial" panose="020B0604020202020204" pitchFamily="34" charset="0"/>
              <a:cs typeface="Arial" panose="020B0604020202020204" pitchFamily="34" charset="0"/>
            </a:rPr>
            <a:t>    </a:t>
          </a:r>
          <a:r>
            <a:rPr lang="en-US" sz="2400" b="1" i="0" strike="noStrike" baseline="0">
              <a:solidFill>
                <a:srgbClr val="000000"/>
              </a:solidFill>
              <a:latin typeface="Arial" panose="020B0604020202020204" pitchFamily="34" charset="0"/>
              <a:cs typeface="Arial" panose="020B0604020202020204" pitchFamily="34" charset="0"/>
            </a:rPr>
            <a:t>DH</a:t>
          </a:r>
          <a:r>
            <a:rPr lang="ru-RU" sz="2000" b="0" i="0" strike="noStrike" baseline="0">
              <a:solidFill>
                <a:srgbClr val="000000"/>
              </a:solidFill>
              <a:latin typeface="Arial" panose="020B0604020202020204" pitchFamily="34" charset="0"/>
              <a:cs typeface="Arial" panose="020B0604020202020204" pitchFamily="34" charset="0"/>
            </a:rPr>
            <a:t> </a:t>
          </a:r>
          <a:endParaRPr lang="en-US" sz="2000" b="0" i="0" strike="noStrike">
            <a:solidFill>
              <a:srgbClr val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0.55766</cdr:x>
      <cdr:y>0.44503</cdr:y>
    </cdr:from>
    <cdr:to>
      <cdr:x>0.63063</cdr:x>
      <cdr:y>0.47835</cdr:y>
    </cdr:to>
    <cdr:sp macro="" textlink="">
      <cdr:nvSpPr>
        <cdr:cNvPr id="10" name="TextBox 9"/>
        <cdr:cNvSpPr txBox="1"/>
      </cdr:nvSpPr>
      <cdr:spPr>
        <a:xfrm xmlns:a="http://schemas.openxmlformats.org/drawingml/2006/main">
          <a:off x="5651662" y="4774445"/>
          <a:ext cx="739522" cy="35746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/>
        <a:p xmlns:a="http://schemas.openxmlformats.org/drawingml/2006/main">
          <a:r>
            <a:rPr lang="en-US" sz="1600"/>
            <a:t>2013</a:t>
          </a:r>
          <a:endParaRPr lang="ru-RU" sz="1600"/>
        </a:p>
      </cdr:txBody>
    </cdr:sp>
  </cdr:relSizeAnchor>
  <cdr:relSizeAnchor xmlns:cdr="http://schemas.openxmlformats.org/drawingml/2006/chartDrawing">
    <cdr:from>
      <cdr:x>0.60358</cdr:x>
      <cdr:y>0.41006</cdr:y>
    </cdr:from>
    <cdr:to>
      <cdr:x>0.66438</cdr:x>
      <cdr:y>0.44297</cdr:y>
    </cdr:to>
    <cdr:sp macro="" textlink="">
      <cdr:nvSpPr>
        <cdr:cNvPr id="11" name="TextBox 10"/>
        <cdr:cNvSpPr txBox="1"/>
      </cdr:nvSpPr>
      <cdr:spPr>
        <a:xfrm xmlns:a="http://schemas.openxmlformats.org/drawingml/2006/main">
          <a:off x="6117015" y="4399241"/>
          <a:ext cx="616184" cy="35306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400">
              <a:latin typeface="Arial" pitchFamily="34" charset="0"/>
              <a:cs typeface="Arial" pitchFamily="34" charset="0"/>
            </a:rPr>
            <a:t>2014</a:t>
          </a:r>
        </a:p>
      </cdr:txBody>
    </cdr:sp>
  </cdr:relSizeAnchor>
  <cdr:relSizeAnchor xmlns:cdr="http://schemas.openxmlformats.org/drawingml/2006/chartDrawing">
    <cdr:from>
      <cdr:x>0.5291</cdr:x>
      <cdr:y>0.31934</cdr:y>
    </cdr:from>
    <cdr:to>
      <cdr:x>0.5915</cdr:x>
      <cdr:y>0.35068</cdr:y>
    </cdr:to>
    <cdr:sp macro="" textlink="">
      <cdr:nvSpPr>
        <cdr:cNvPr id="12" name="TextBox 11"/>
        <cdr:cNvSpPr txBox="1"/>
      </cdr:nvSpPr>
      <cdr:spPr>
        <a:xfrm xmlns:a="http://schemas.openxmlformats.org/drawingml/2006/main">
          <a:off x="5362243" y="3426024"/>
          <a:ext cx="632399" cy="3362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400">
              <a:latin typeface="Arial" pitchFamily="34" charset="0"/>
              <a:cs typeface="Arial" pitchFamily="34" charset="0"/>
            </a:rPr>
            <a:t>2015</a:t>
          </a:r>
        </a:p>
      </cdr:txBody>
    </cdr:sp>
  </cdr:relSizeAnchor>
</c:userShapes>
</file>

<file path=xl/drawings/drawing130.xml><?xml version="1.0" encoding="utf-8"?>
<c:userShapes xmlns:c="http://schemas.openxmlformats.org/drawingml/2006/chart">
  <cdr:relSizeAnchor xmlns:cdr="http://schemas.openxmlformats.org/drawingml/2006/chartDrawing">
    <cdr:from>
      <cdr:x>0.77634</cdr:x>
      <cdr:y>0.87726</cdr:y>
    </cdr:from>
    <cdr:to>
      <cdr:x>0.96488</cdr:x>
      <cdr:y>0.92112</cdr:y>
    </cdr:to>
    <cdr:sp macro="" textlink="">
      <cdr:nvSpPr>
        <cdr:cNvPr id="30086146" name="Text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8001000" y="9411551"/>
          <a:ext cx="1943100" cy="47054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l" rtl="1">
            <a:defRPr sz="1000"/>
          </a:pPr>
          <a:r>
            <a:rPr lang="en-US" sz="2000" b="0" i="0" strike="noStrike" baseline="0">
              <a:solidFill>
                <a:srgbClr val="000000"/>
              </a:solidFill>
              <a:latin typeface="Arial" panose="020B0604020202020204" pitchFamily="34" charset="0"/>
              <a:cs typeface="Arial" panose="020B0604020202020204" pitchFamily="34" charset="0"/>
            </a:rPr>
            <a:t>    </a:t>
          </a:r>
          <a:r>
            <a:rPr lang="ru-RU" sz="2400" b="1" i="0" strike="noStrike" baseline="0">
              <a:solidFill>
                <a:srgbClr val="000000"/>
              </a:solidFill>
              <a:latin typeface="Arial" panose="020B0604020202020204" pitchFamily="34" charset="0"/>
              <a:cs typeface="Arial" panose="020B0604020202020204" pitchFamily="34" charset="0"/>
            </a:rPr>
            <a:t>ВРЕМЯ</a:t>
          </a:r>
          <a:r>
            <a:rPr lang="ru-RU" sz="2000" b="0" i="0" strike="noStrike" baseline="0">
              <a:solidFill>
                <a:srgbClr val="000000"/>
              </a:solidFill>
              <a:latin typeface="Arial" panose="020B0604020202020204" pitchFamily="34" charset="0"/>
              <a:cs typeface="Arial" panose="020B0604020202020204" pitchFamily="34" charset="0"/>
            </a:rPr>
            <a:t> </a:t>
          </a:r>
          <a:endParaRPr lang="en-US" sz="2000" b="0" i="0" strike="noStrike">
            <a:solidFill>
              <a:srgbClr val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</c:userShapes>
</file>

<file path=xl/drawings/drawing131.xml><?xml version="1.0" encoding="utf-8"?>
<c:userShapes xmlns:c="http://schemas.openxmlformats.org/drawingml/2006/chart">
  <cdr:relSizeAnchor xmlns:cdr="http://schemas.openxmlformats.org/drawingml/2006/chartDrawing">
    <cdr:from>
      <cdr:x>0.26403</cdr:x>
      <cdr:y>0.60882</cdr:y>
    </cdr:from>
    <cdr:to>
      <cdr:x>0.32253</cdr:x>
      <cdr:y>0.64568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2947447" y="6554816"/>
          <a:ext cx="653004" cy="39684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600"/>
            <a:t>2009</a:t>
          </a:r>
        </a:p>
      </cdr:txBody>
    </cdr:sp>
  </cdr:relSizeAnchor>
  <cdr:relSizeAnchor xmlns:cdr="http://schemas.openxmlformats.org/drawingml/2006/chartDrawing">
    <cdr:from>
      <cdr:x>0.67523</cdr:x>
      <cdr:y>0.27524</cdr:y>
    </cdr:from>
    <cdr:to>
      <cdr:x>0.73983</cdr:x>
      <cdr:y>0.31639</cdr:y>
    </cdr:to>
    <cdr:sp macro="" textlink="">
      <cdr:nvSpPr>
        <cdr:cNvPr id="4" name="TextBox 3"/>
        <cdr:cNvSpPr txBox="1"/>
      </cdr:nvSpPr>
      <cdr:spPr>
        <a:xfrm xmlns:a="http://schemas.openxmlformats.org/drawingml/2006/main">
          <a:off x="7537743" y="2963344"/>
          <a:ext cx="721149" cy="443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600"/>
            <a:t>20</a:t>
          </a:r>
          <a:r>
            <a:rPr lang="en-US" sz="1600"/>
            <a:t>17</a:t>
          </a:r>
          <a:endParaRPr lang="ru-RU" sz="1600"/>
        </a:p>
      </cdr:txBody>
    </cdr:sp>
  </cdr:relSizeAnchor>
  <cdr:relSizeAnchor xmlns:cdr="http://schemas.openxmlformats.org/drawingml/2006/chartDrawing">
    <cdr:from>
      <cdr:x>0.75112</cdr:x>
      <cdr:y>0.20904</cdr:y>
    </cdr:from>
    <cdr:to>
      <cdr:x>0.81757</cdr:x>
      <cdr:y>0.24707</cdr:y>
    </cdr:to>
    <cdr:sp macro="" textlink="">
      <cdr:nvSpPr>
        <cdr:cNvPr id="30086148" name="Text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8384953" y="2250562"/>
          <a:ext cx="741801" cy="40944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91440" tIns="45720" rIns="91440" bIns="45720" anchor="t" upright="1"/>
        <a:lstStyle xmlns:a="http://schemas.openxmlformats.org/drawingml/2006/main"/>
        <a:p xmlns:a="http://schemas.openxmlformats.org/drawingml/2006/main">
          <a:pPr algn="l" rtl="1">
            <a:defRPr sz="1000"/>
          </a:pPr>
          <a:r>
            <a:rPr lang="ru-RU" sz="1600" b="0" i="0" strike="noStrike">
              <a:solidFill>
                <a:srgbClr val="000000"/>
              </a:solidFill>
              <a:latin typeface="Calibri"/>
            </a:rPr>
            <a:t>20</a:t>
          </a:r>
          <a:r>
            <a:rPr lang="en-US" sz="1600" b="0" i="0" strike="noStrike">
              <a:solidFill>
                <a:srgbClr val="000000"/>
              </a:solidFill>
              <a:latin typeface="Calibri"/>
            </a:rPr>
            <a:t>18</a:t>
          </a:r>
          <a:endParaRPr lang="ru-RU" sz="1600" b="0" i="0" strike="noStrike">
            <a:solidFill>
              <a:srgbClr val="000000"/>
            </a:solidFill>
            <a:latin typeface="Calibri"/>
          </a:endParaRPr>
        </a:p>
      </cdr:txBody>
    </cdr:sp>
  </cdr:relSizeAnchor>
  <cdr:relSizeAnchor xmlns:cdr="http://schemas.openxmlformats.org/drawingml/2006/chartDrawing">
    <cdr:from>
      <cdr:x>0.24382</cdr:x>
      <cdr:y>0.78257</cdr:y>
    </cdr:from>
    <cdr:to>
      <cdr:x>0.3153</cdr:x>
      <cdr:y>0.8239</cdr:y>
    </cdr:to>
    <cdr:sp macro="" textlink="">
      <cdr:nvSpPr>
        <cdr:cNvPr id="30086149" name="TextBox 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619600" y="8306264"/>
          <a:ext cx="767995" cy="43867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91440" tIns="45720" rIns="91440" bIns="45720" anchor="t" upright="1"/>
        <a:lstStyle xmlns:a="http://schemas.openxmlformats.org/drawingml/2006/main"/>
        <a:p xmlns:a="http://schemas.openxmlformats.org/drawingml/2006/main">
          <a:pPr algn="l" rtl="1">
            <a:defRPr sz="1000"/>
          </a:pPr>
          <a:r>
            <a:rPr lang="ru-RU" sz="1600" b="0" i="0" strike="noStrike">
              <a:solidFill>
                <a:srgbClr val="000000"/>
              </a:solidFill>
              <a:latin typeface="Calibri"/>
            </a:rPr>
            <a:t>2005</a:t>
          </a:r>
        </a:p>
      </cdr:txBody>
    </cdr:sp>
  </cdr:relSizeAnchor>
  <cdr:relSizeAnchor xmlns:cdr="http://schemas.openxmlformats.org/drawingml/2006/chartDrawing">
    <cdr:from>
      <cdr:x>0.31587</cdr:x>
      <cdr:y>0.56063</cdr:y>
    </cdr:from>
    <cdr:to>
      <cdr:x>0.3933</cdr:x>
      <cdr:y>0.59593</cdr:y>
    </cdr:to>
    <cdr:sp macro="" textlink="">
      <cdr:nvSpPr>
        <cdr:cNvPr id="8" name="TextBox 7"/>
        <cdr:cNvSpPr txBox="1"/>
      </cdr:nvSpPr>
      <cdr:spPr>
        <a:xfrm xmlns:a="http://schemas.openxmlformats.org/drawingml/2006/main">
          <a:off x="3526098" y="6035952"/>
          <a:ext cx="864375" cy="38005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600"/>
            <a:t>2010</a:t>
          </a:r>
        </a:p>
      </cdr:txBody>
    </cdr:sp>
  </cdr:relSizeAnchor>
  <cdr:relSizeAnchor xmlns:cdr="http://schemas.openxmlformats.org/drawingml/2006/chartDrawing">
    <cdr:from>
      <cdr:x>0.40413</cdr:x>
      <cdr:y>0.50934</cdr:y>
    </cdr:from>
    <cdr:to>
      <cdr:x>0.4744</cdr:x>
      <cdr:y>0.54482</cdr:y>
    </cdr:to>
    <cdr:sp macro="" textlink="">
      <cdr:nvSpPr>
        <cdr:cNvPr id="30086151" name="TextBox 6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511380" y="5483746"/>
          <a:ext cx="784520" cy="38206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91440" tIns="45720" rIns="91440" bIns="45720" anchor="t" upright="1"/>
        <a:lstStyle xmlns:a="http://schemas.openxmlformats.org/drawingml/2006/main"/>
        <a:p xmlns:a="http://schemas.openxmlformats.org/drawingml/2006/main">
          <a:pPr algn="l" rtl="1">
            <a:defRPr sz="1000"/>
          </a:pPr>
          <a:r>
            <a:rPr lang="ru-RU" sz="1600" b="0" i="0" strike="noStrike">
              <a:solidFill>
                <a:srgbClr val="000000"/>
              </a:solidFill>
              <a:latin typeface="Calibri"/>
            </a:rPr>
            <a:t>2011</a:t>
          </a:r>
        </a:p>
      </cdr:txBody>
    </cdr:sp>
  </cdr:relSizeAnchor>
  <cdr:relSizeAnchor xmlns:cdr="http://schemas.openxmlformats.org/drawingml/2006/chartDrawing">
    <cdr:from>
      <cdr:x>0.44623</cdr:x>
      <cdr:y>0.46078</cdr:y>
    </cdr:from>
    <cdr:to>
      <cdr:x>0.50641</cdr:x>
      <cdr:y>0.49118</cdr:y>
    </cdr:to>
    <cdr:sp macro="" textlink="">
      <cdr:nvSpPr>
        <cdr:cNvPr id="30086152" name="TextBox 8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981418" y="4961003"/>
          <a:ext cx="671808" cy="32730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91440" tIns="45720" rIns="91440" bIns="45720" anchor="t" upright="1"/>
        <a:lstStyle xmlns:a="http://schemas.openxmlformats.org/drawingml/2006/main"/>
        <a:p xmlns:a="http://schemas.openxmlformats.org/drawingml/2006/main">
          <a:pPr algn="l" rtl="1">
            <a:defRPr sz="1000"/>
          </a:pPr>
          <a:r>
            <a:rPr lang="ru-RU" sz="1600" b="0" i="0" strike="noStrike">
              <a:solidFill>
                <a:srgbClr val="000000"/>
              </a:solidFill>
              <a:latin typeface="Calibri"/>
            </a:rPr>
            <a:t>2012</a:t>
          </a:r>
        </a:p>
      </cdr:txBody>
    </cdr:sp>
  </cdr:relSizeAnchor>
  <cdr:relSizeAnchor xmlns:cdr="http://schemas.openxmlformats.org/drawingml/2006/chartDrawing">
    <cdr:from>
      <cdr:x>0.09386</cdr:x>
      <cdr:y>0.0587</cdr:y>
    </cdr:from>
    <cdr:to>
      <cdr:x>0.19284</cdr:x>
      <cdr:y>0.10071</cdr:y>
    </cdr:to>
    <cdr:sp macro="" textlink="">
      <cdr:nvSpPr>
        <cdr:cNvPr id="30086146" name="Text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047733" y="631937"/>
          <a:ext cx="1104944" cy="45229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l" rtl="1">
            <a:defRPr sz="1000"/>
          </a:pPr>
          <a:r>
            <a:rPr lang="en-US" sz="2400" b="1" i="0" strike="noStrike" baseline="0">
              <a:solidFill>
                <a:srgbClr val="000000"/>
              </a:solidFill>
              <a:latin typeface="Arial" panose="020B0604020202020204" pitchFamily="34" charset="0"/>
              <a:cs typeface="Arial" panose="020B0604020202020204" pitchFamily="34" charset="0"/>
            </a:rPr>
            <a:t>    OT</a:t>
          </a:r>
          <a:r>
            <a:rPr lang="ru-RU" sz="2400" b="1" i="0" strike="noStrike" baseline="0">
              <a:solidFill>
                <a:srgbClr val="000000"/>
              </a:solidFill>
              <a:latin typeface="Arial" panose="020B0604020202020204" pitchFamily="34" charset="0"/>
              <a:cs typeface="Arial" panose="020B0604020202020204" pitchFamily="34" charset="0"/>
            </a:rPr>
            <a:t> </a:t>
          </a:r>
          <a:endParaRPr lang="en-US" sz="2400" b="1" i="0" strike="noStrike">
            <a:solidFill>
              <a:srgbClr val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0.46892</cdr:x>
      <cdr:y>0.40787</cdr:y>
    </cdr:from>
    <cdr:to>
      <cdr:x>0.54189</cdr:x>
      <cdr:y>0.44119</cdr:y>
    </cdr:to>
    <cdr:sp macro="" textlink="">
      <cdr:nvSpPr>
        <cdr:cNvPr id="10" name="TextBox 9"/>
        <cdr:cNvSpPr txBox="1"/>
      </cdr:nvSpPr>
      <cdr:spPr>
        <a:xfrm xmlns:a="http://schemas.openxmlformats.org/drawingml/2006/main">
          <a:off x="5234726" y="4391332"/>
          <a:ext cx="814586" cy="3587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/>
        <a:p xmlns:a="http://schemas.openxmlformats.org/drawingml/2006/main">
          <a:r>
            <a:rPr lang="en-US" sz="1600"/>
            <a:t>2013</a:t>
          </a:r>
          <a:endParaRPr lang="ru-RU" sz="1600"/>
        </a:p>
      </cdr:txBody>
    </cdr:sp>
  </cdr:relSizeAnchor>
  <cdr:relSizeAnchor xmlns:cdr="http://schemas.openxmlformats.org/drawingml/2006/chartDrawing">
    <cdr:from>
      <cdr:x>0.51143</cdr:x>
      <cdr:y>0.35698</cdr:y>
    </cdr:from>
    <cdr:to>
      <cdr:x>0.57223</cdr:x>
      <cdr:y>0.38989</cdr:y>
    </cdr:to>
    <cdr:sp macro="" textlink="">
      <cdr:nvSpPr>
        <cdr:cNvPr id="11" name="TextBox 10"/>
        <cdr:cNvSpPr txBox="1"/>
      </cdr:nvSpPr>
      <cdr:spPr>
        <a:xfrm xmlns:a="http://schemas.openxmlformats.org/drawingml/2006/main">
          <a:off x="5709245" y="3843380"/>
          <a:ext cx="678728" cy="3543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400">
              <a:latin typeface="Arial" pitchFamily="34" charset="0"/>
              <a:cs typeface="Arial" pitchFamily="34" charset="0"/>
            </a:rPr>
            <a:t>2014</a:t>
          </a:r>
        </a:p>
      </cdr:txBody>
    </cdr:sp>
  </cdr:relSizeAnchor>
  <cdr:relSizeAnchor xmlns:cdr="http://schemas.openxmlformats.org/drawingml/2006/chartDrawing">
    <cdr:from>
      <cdr:x>0.61272</cdr:x>
      <cdr:y>0.36181</cdr:y>
    </cdr:from>
    <cdr:to>
      <cdr:x>0.67512</cdr:x>
      <cdr:y>0.39315</cdr:y>
    </cdr:to>
    <cdr:sp macro="" textlink="">
      <cdr:nvSpPr>
        <cdr:cNvPr id="12" name="TextBox 11"/>
        <cdr:cNvSpPr txBox="1"/>
      </cdr:nvSpPr>
      <cdr:spPr>
        <a:xfrm xmlns:a="http://schemas.openxmlformats.org/drawingml/2006/main">
          <a:off x="6839952" y="3895350"/>
          <a:ext cx="696590" cy="3374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400">
              <a:latin typeface="Arial" pitchFamily="34" charset="0"/>
              <a:cs typeface="Arial" pitchFamily="34" charset="0"/>
            </a:rPr>
            <a:t>2015</a:t>
          </a:r>
        </a:p>
      </cdr:txBody>
    </cdr:sp>
  </cdr:relSizeAnchor>
</c:userShapes>
</file>

<file path=xl/drawings/drawing132.xml><?xml version="1.0" encoding="utf-8"?>
<c:userShapes xmlns:c="http://schemas.openxmlformats.org/drawingml/2006/chart">
  <cdr:relSizeAnchor xmlns:cdr="http://schemas.openxmlformats.org/drawingml/2006/chartDrawing">
    <cdr:from>
      <cdr:x>0.34862</cdr:x>
      <cdr:y>0.55718</cdr:y>
    </cdr:from>
    <cdr:to>
      <cdr:x>0.43099</cdr:x>
      <cdr:y>0.59151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533088" y="5913898"/>
          <a:ext cx="834787" cy="36437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600"/>
            <a:t>2009</a:t>
          </a:r>
        </a:p>
      </cdr:txBody>
    </cdr:sp>
  </cdr:relSizeAnchor>
  <cdr:relSizeAnchor xmlns:cdr="http://schemas.openxmlformats.org/drawingml/2006/chartDrawing">
    <cdr:from>
      <cdr:x>0.67909</cdr:x>
      <cdr:y>0.39731</cdr:y>
    </cdr:from>
    <cdr:to>
      <cdr:x>0.74369</cdr:x>
      <cdr:y>0.43846</cdr:y>
    </cdr:to>
    <cdr:sp macro="" textlink="">
      <cdr:nvSpPr>
        <cdr:cNvPr id="4" name="TextBox 3"/>
        <cdr:cNvSpPr txBox="1"/>
      </cdr:nvSpPr>
      <cdr:spPr>
        <a:xfrm xmlns:a="http://schemas.openxmlformats.org/drawingml/2006/main">
          <a:off x="6882287" y="4217067"/>
          <a:ext cx="654695" cy="43676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600"/>
            <a:t>20</a:t>
          </a:r>
          <a:r>
            <a:rPr lang="en-US" sz="1600"/>
            <a:t>17</a:t>
          </a:r>
          <a:endParaRPr lang="ru-RU" sz="1600"/>
        </a:p>
      </cdr:txBody>
    </cdr:sp>
  </cdr:relSizeAnchor>
  <cdr:relSizeAnchor xmlns:cdr="http://schemas.openxmlformats.org/drawingml/2006/chartDrawing">
    <cdr:from>
      <cdr:x>0.74457</cdr:x>
      <cdr:y>0.51531</cdr:y>
    </cdr:from>
    <cdr:to>
      <cdr:x>0.81102</cdr:x>
      <cdr:y>0.55334</cdr:y>
    </cdr:to>
    <cdr:sp macro="" textlink="">
      <cdr:nvSpPr>
        <cdr:cNvPr id="30086148" name="Text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7545896" y="5469514"/>
          <a:ext cx="673444" cy="40365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91440" tIns="45720" rIns="91440" bIns="45720" anchor="t" upright="1"/>
        <a:lstStyle xmlns:a="http://schemas.openxmlformats.org/drawingml/2006/main"/>
        <a:p xmlns:a="http://schemas.openxmlformats.org/drawingml/2006/main">
          <a:pPr algn="l" rtl="1">
            <a:defRPr sz="1000"/>
          </a:pPr>
          <a:r>
            <a:rPr lang="ru-RU" sz="1600" b="0" i="0" strike="noStrike">
              <a:solidFill>
                <a:srgbClr val="000000"/>
              </a:solidFill>
              <a:latin typeface="Calibri"/>
            </a:rPr>
            <a:t>20</a:t>
          </a:r>
          <a:r>
            <a:rPr lang="en-US" sz="1600" b="0" i="0" strike="noStrike">
              <a:solidFill>
                <a:srgbClr val="000000"/>
              </a:solidFill>
              <a:latin typeface="Calibri"/>
            </a:rPr>
            <a:t>18</a:t>
          </a:r>
          <a:endParaRPr lang="ru-RU" sz="1600" b="0" i="0" strike="noStrike">
            <a:solidFill>
              <a:srgbClr val="000000"/>
            </a:solidFill>
            <a:latin typeface="Calibri"/>
          </a:endParaRPr>
        </a:p>
      </cdr:txBody>
    </cdr:sp>
  </cdr:relSizeAnchor>
  <cdr:relSizeAnchor xmlns:cdr="http://schemas.openxmlformats.org/drawingml/2006/chartDrawing">
    <cdr:from>
      <cdr:x>0.16675</cdr:x>
      <cdr:y>0.72334</cdr:y>
    </cdr:from>
    <cdr:to>
      <cdr:x>0.23823</cdr:x>
      <cdr:y>0.76467</cdr:y>
    </cdr:to>
    <cdr:sp macro="" textlink="">
      <cdr:nvSpPr>
        <cdr:cNvPr id="30086149" name="TextBox 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689968" y="7677568"/>
          <a:ext cx="724421" cy="43867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91440" tIns="45720" rIns="91440" bIns="45720" anchor="t" upright="1"/>
        <a:lstStyle xmlns:a="http://schemas.openxmlformats.org/drawingml/2006/main"/>
        <a:p xmlns:a="http://schemas.openxmlformats.org/drawingml/2006/main">
          <a:pPr algn="l" rtl="1">
            <a:defRPr sz="1000"/>
          </a:pPr>
          <a:r>
            <a:rPr lang="ru-RU" sz="1600" b="0" i="0" strike="noStrike">
              <a:solidFill>
                <a:srgbClr val="000000"/>
              </a:solidFill>
              <a:latin typeface="Calibri"/>
            </a:rPr>
            <a:t>2005</a:t>
          </a:r>
        </a:p>
      </cdr:txBody>
    </cdr:sp>
  </cdr:relSizeAnchor>
  <cdr:relSizeAnchor xmlns:cdr="http://schemas.openxmlformats.org/drawingml/2006/chartDrawing">
    <cdr:from>
      <cdr:x>0.37163</cdr:x>
      <cdr:y>0.52084</cdr:y>
    </cdr:from>
    <cdr:to>
      <cdr:x>0.44906</cdr:x>
      <cdr:y>0.55614</cdr:y>
    </cdr:to>
    <cdr:sp macro="" textlink="">
      <cdr:nvSpPr>
        <cdr:cNvPr id="8" name="TextBox 7"/>
        <cdr:cNvSpPr txBox="1"/>
      </cdr:nvSpPr>
      <cdr:spPr>
        <a:xfrm xmlns:a="http://schemas.openxmlformats.org/drawingml/2006/main">
          <a:off x="3766361" y="5528177"/>
          <a:ext cx="784722" cy="3746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600"/>
            <a:t>2010</a:t>
          </a:r>
        </a:p>
      </cdr:txBody>
    </cdr:sp>
  </cdr:relSizeAnchor>
  <cdr:relSizeAnchor xmlns:cdr="http://schemas.openxmlformats.org/drawingml/2006/chartDrawing">
    <cdr:from>
      <cdr:x>0.45104</cdr:x>
      <cdr:y>0.53014</cdr:y>
    </cdr:from>
    <cdr:to>
      <cdr:x>0.54031</cdr:x>
      <cdr:y>0.56405</cdr:y>
    </cdr:to>
    <cdr:sp macro="" textlink="">
      <cdr:nvSpPr>
        <cdr:cNvPr id="30086151" name="TextBox 6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571125" y="5626903"/>
          <a:ext cx="904716" cy="35992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91440" tIns="45720" rIns="91440" bIns="45720" anchor="t" upright="1"/>
        <a:lstStyle xmlns:a="http://schemas.openxmlformats.org/drawingml/2006/main"/>
        <a:p xmlns:a="http://schemas.openxmlformats.org/drawingml/2006/main">
          <a:pPr algn="l" rtl="1">
            <a:defRPr sz="1000"/>
          </a:pPr>
          <a:r>
            <a:rPr lang="ru-RU" sz="1600" b="0" i="0" strike="noStrike">
              <a:solidFill>
                <a:srgbClr val="000000"/>
              </a:solidFill>
              <a:latin typeface="Calibri"/>
            </a:rPr>
            <a:t>2011</a:t>
          </a:r>
        </a:p>
      </cdr:txBody>
    </cdr:sp>
  </cdr:relSizeAnchor>
  <cdr:relSizeAnchor xmlns:cdr="http://schemas.openxmlformats.org/drawingml/2006/chartDrawing">
    <cdr:from>
      <cdr:x>0.52473</cdr:x>
      <cdr:y>0.50325</cdr:y>
    </cdr:from>
    <cdr:to>
      <cdr:x>0.58491</cdr:x>
      <cdr:y>0.53365</cdr:y>
    </cdr:to>
    <cdr:sp macro="" textlink="">
      <cdr:nvSpPr>
        <cdr:cNvPr id="30086152" name="TextBox 8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317899" y="5399051"/>
          <a:ext cx="609900" cy="32614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91440" tIns="45720" rIns="91440" bIns="45720" anchor="t" upright="1"/>
        <a:lstStyle xmlns:a="http://schemas.openxmlformats.org/drawingml/2006/main"/>
        <a:p xmlns:a="http://schemas.openxmlformats.org/drawingml/2006/main">
          <a:pPr algn="l" rtl="1">
            <a:defRPr sz="1000"/>
          </a:pPr>
          <a:r>
            <a:rPr lang="ru-RU" sz="1600" b="0" i="0" strike="noStrike">
              <a:solidFill>
                <a:srgbClr val="000000"/>
              </a:solidFill>
              <a:latin typeface="Calibri"/>
            </a:rPr>
            <a:t>2012</a:t>
          </a:r>
        </a:p>
      </cdr:txBody>
    </cdr:sp>
  </cdr:relSizeAnchor>
  <cdr:relSizeAnchor xmlns:cdr="http://schemas.openxmlformats.org/drawingml/2006/chartDrawing">
    <cdr:from>
      <cdr:x>0.1203</cdr:x>
      <cdr:y>0.03934</cdr:y>
    </cdr:from>
    <cdr:to>
      <cdr:x>0.25321</cdr:x>
      <cdr:y>0.0878</cdr:y>
    </cdr:to>
    <cdr:sp macro="" textlink="">
      <cdr:nvSpPr>
        <cdr:cNvPr id="30086146" name="Text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219200" y="417512"/>
          <a:ext cx="1347010" cy="51435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l" rtl="1">
            <a:defRPr sz="1000"/>
          </a:pPr>
          <a:r>
            <a:rPr lang="en-US" sz="2400" b="1" i="0" strike="noStrike" baseline="0">
              <a:solidFill>
                <a:srgbClr val="000000"/>
              </a:solidFill>
              <a:latin typeface="Arial" panose="020B0604020202020204" pitchFamily="34" charset="0"/>
              <a:cs typeface="Arial" panose="020B0604020202020204" pitchFamily="34" charset="0"/>
            </a:rPr>
            <a:t>   PDH</a:t>
          </a:r>
          <a:r>
            <a:rPr lang="ru-RU" sz="2000" b="0" i="0" strike="noStrike" baseline="0">
              <a:solidFill>
                <a:srgbClr val="000000"/>
              </a:solidFill>
              <a:latin typeface="Arial" panose="020B0604020202020204" pitchFamily="34" charset="0"/>
              <a:cs typeface="Arial" panose="020B0604020202020204" pitchFamily="34" charset="0"/>
            </a:rPr>
            <a:t> </a:t>
          </a:r>
          <a:endParaRPr lang="en-US" sz="2000" b="0" i="0" strike="noStrike">
            <a:solidFill>
              <a:srgbClr val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0.48811</cdr:x>
      <cdr:y>0.41093</cdr:y>
    </cdr:from>
    <cdr:to>
      <cdr:x>0.56108</cdr:x>
      <cdr:y>0.44425</cdr:y>
    </cdr:to>
    <cdr:sp macro="" textlink="">
      <cdr:nvSpPr>
        <cdr:cNvPr id="10" name="TextBox 9"/>
        <cdr:cNvSpPr txBox="1"/>
      </cdr:nvSpPr>
      <cdr:spPr>
        <a:xfrm xmlns:a="http://schemas.openxmlformats.org/drawingml/2006/main">
          <a:off x="4946803" y="4361575"/>
          <a:ext cx="739521" cy="3536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/>
        <a:p xmlns:a="http://schemas.openxmlformats.org/drawingml/2006/main">
          <a:r>
            <a:rPr lang="en-US" sz="1600"/>
            <a:t>2013</a:t>
          </a:r>
          <a:endParaRPr lang="ru-RU" sz="1600"/>
        </a:p>
      </cdr:txBody>
    </cdr:sp>
  </cdr:relSizeAnchor>
  <cdr:relSizeAnchor xmlns:cdr="http://schemas.openxmlformats.org/drawingml/2006/chartDrawing">
    <cdr:from>
      <cdr:x>0.59042</cdr:x>
      <cdr:y>0.4639</cdr:y>
    </cdr:from>
    <cdr:to>
      <cdr:x>0.65122</cdr:x>
      <cdr:y>0.49681</cdr:y>
    </cdr:to>
    <cdr:sp macro="" textlink="">
      <cdr:nvSpPr>
        <cdr:cNvPr id="11" name="TextBox 10"/>
        <cdr:cNvSpPr txBox="1"/>
      </cdr:nvSpPr>
      <cdr:spPr>
        <a:xfrm xmlns:a="http://schemas.openxmlformats.org/drawingml/2006/main">
          <a:off x="5983661" y="4923837"/>
          <a:ext cx="616184" cy="3493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400">
              <a:latin typeface="Arial" pitchFamily="34" charset="0"/>
              <a:cs typeface="Arial" pitchFamily="34" charset="0"/>
            </a:rPr>
            <a:t>2014</a:t>
          </a:r>
        </a:p>
      </cdr:txBody>
    </cdr:sp>
  </cdr:relSizeAnchor>
  <cdr:relSizeAnchor xmlns:cdr="http://schemas.openxmlformats.org/drawingml/2006/chartDrawing">
    <cdr:from>
      <cdr:x>0.57609</cdr:x>
      <cdr:y>0.17755</cdr:y>
    </cdr:from>
    <cdr:to>
      <cdr:x>0.63849</cdr:x>
      <cdr:y>0.20889</cdr:y>
    </cdr:to>
    <cdr:sp macro="" textlink="">
      <cdr:nvSpPr>
        <cdr:cNvPr id="12" name="TextBox 11"/>
        <cdr:cNvSpPr txBox="1"/>
      </cdr:nvSpPr>
      <cdr:spPr>
        <a:xfrm xmlns:a="http://schemas.openxmlformats.org/drawingml/2006/main">
          <a:off x="5838487" y="1884482"/>
          <a:ext cx="632399" cy="33264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400">
              <a:latin typeface="Arial" pitchFamily="34" charset="0"/>
              <a:cs typeface="Arial" pitchFamily="34" charset="0"/>
            </a:rPr>
            <a:t>2015</a:t>
          </a:r>
        </a:p>
      </cdr:txBody>
    </cdr:sp>
  </cdr:relSizeAnchor>
</c:userShapes>
</file>

<file path=xl/drawings/drawing133.xml><?xml version="1.0" encoding="utf-8"?>
<c:userShapes xmlns:c="http://schemas.openxmlformats.org/drawingml/2006/chart">
  <cdr:relSizeAnchor xmlns:cdr="http://schemas.openxmlformats.org/drawingml/2006/chartDrawing">
    <cdr:from>
      <cdr:x>0.33986</cdr:x>
      <cdr:y>0.38819</cdr:y>
    </cdr:from>
    <cdr:to>
      <cdr:x>0.42223</cdr:x>
      <cdr:y>0.42252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543571" y="4068506"/>
          <a:ext cx="858847" cy="35980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600"/>
            <a:t>2009</a:t>
          </a:r>
        </a:p>
      </cdr:txBody>
    </cdr:sp>
  </cdr:relSizeAnchor>
  <cdr:relSizeAnchor xmlns:cdr="http://schemas.openxmlformats.org/drawingml/2006/chartDrawing">
    <cdr:from>
      <cdr:x>0.627</cdr:x>
      <cdr:y>0.31046</cdr:y>
    </cdr:from>
    <cdr:to>
      <cdr:x>0.6916</cdr:x>
      <cdr:y>0.35161</cdr:y>
    </cdr:to>
    <cdr:sp macro="" textlink="">
      <cdr:nvSpPr>
        <cdr:cNvPr id="4" name="TextBox 3"/>
        <cdr:cNvSpPr txBox="1"/>
      </cdr:nvSpPr>
      <cdr:spPr>
        <a:xfrm xmlns:a="http://schemas.openxmlformats.org/drawingml/2006/main">
          <a:off x="6537570" y="3253795"/>
          <a:ext cx="673565" cy="4312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600"/>
            <a:t>20</a:t>
          </a:r>
          <a:r>
            <a:rPr lang="en-US" sz="1600"/>
            <a:t>17</a:t>
          </a:r>
          <a:endParaRPr lang="ru-RU" sz="1600"/>
        </a:p>
      </cdr:txBody>
    </cdr:sp>
  </cdr:relSizeAnchor>
  <cdr:relSizeAnchor xmlns:cdr="http://schemas.openxmlformats.org/drawingml/2006/chartDrawing">
    <cdr:from>
      <cdr:x>0.67396</cdr:x>
      <cdr:y>0.30812</cdr:y>
    </cdr:from>
    <cdr:to>
      <cdr:x>0.74041</cdr:x>
      <cdr:y>0.34615</cdr:y>
    </cdr:to>
    <cdr:sp macro="" textlink="">
      <cdr:nvSpPr>
        <cdr:cNvPr id="30086148" name="Text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7027187" y="3229311"/>
          <a:ext cx="692854" cy="39858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91440" tIns="45720" rIns="91440" bIns="45720" anchor="t" upright="1"/>
        <a:lstStyle xmlns:a="http://schemas.openxmlformats.org/drawingml/2006/main"/>
        <a:p xmlns:a="http://schemas.openxmlformats.org/drawingml/2006/main">
          <a:pPr algn="l" rtl="1">
            <a:defRPr sz="1000"/>
          </a:pPr>
          <a:r>
            <a:rPr lang="ru-RU" sz="1600" b="0" i="0" strike="noStrike">
              <a:solidFill>
                <a:srgbClr val="000000"/>
              </a:solidFill>
              <a:latin typeface="Calibri"/>
            </a:rPr>
            <a:t>20</a:t>
          </a:r>
          <a:r>
            <a:rPr lang="en-US" sz="1600" b="0" i="0" strike="noStrike">
              <a:solidFill>
                <a:srgbClr val="000000"/>
              </a:solidFill>
              <a:latin typeface="Calibri"/>
            </a:rPr>
            <a:t>18</a:t>
          </a:r>
          <a:endParaRPr lang="ru-RU" sz="1600" b="0" i="0" strike="noStrike">
            <a:solidFill>
              <a:srgbClr val="000000"/>
            </a:solidFill>
            <a:latin typeface="Calibri"/>
          </a:endParaRPr>
        </a:p>
      </cdr:txBody>
    </cdr:sp>
  </cdr:relSizeAnchor>
  <cdr:relSizeAnchor xmlns:cdr="http://schemas.openxmlformats.org/drawingml/2006/chartDrawing">
    <cdr:from>
      <cdr:x>0.24687</cdr:x>
      <cdr:y>0.56294</cdr:y>
    </cdr:from>
    <cdr:to>
      <cdr:x>0.31835</cdr:x>
      <cdr:y>0.60427</cdr:y>
    </cdr:to>
    <cdr:sp macro="" textlink="">
      <cdr:nvSpPr>
        <cdr:cNvPr id="30086149" name="TextBox 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573988" y="5899987"/>
          <a:ext cx="745301" cy="43316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91440" tIns="45720" rIns="91440" bIns="45720" anchor="t" upright="1"/>
        <a:lstStyle xmlns:a="http://schemas.openxmlformats.org/drawingml/2006/main"/>
        <a:p xmlns:a="http://schemas.openxmlformats.org/drawingml/2006/main">
          <a:pPr algn="l" rtl="1">
            <a:defRPr sz="1000"/>
          </a:pPr>
          <a:r>
            <a:rPr lang="ru-RU" sz="1600" b="0" i="0" strike="noStrike">
              <a:solidFill>
                <a:srgbClr val="000000"/>
              </a:solidFill>
              <a:latin typeface="Calibri"/>
            </a:rPr>
            <a:t>2005</a:t>
          </a:r>
        </a:p>
      </cdr:txBody>
    </cdr:sp>
  </cdr:relSizeAnchor>
  <cdr:relSizeAnchor xmlns:cdr="http://schemas.openxmlformats.org/drawingml/2006/chartDrawing">
    <cdr:from>
      <cdr:x>0.36914</cdr:x>
      <cdr:y>0.36385</cdr:y>
    </cdr:from>
    <cdr:to>
      <cdr:x>0.44657</cdr:x>
      <cdr:y>0.39915</cdr:y>
    </cdr:to>
    <cdr:sp macro="" textlink="">
      <cdr:nvSpPr>
        <cdr:cNvPr id="8" name="TextBox 7"/>
        <cdr:cNvSpPr txBox="1"/>
      </cdr:nvSpPr>
      <cdr:spPr>
        <a:xfrm xmlns:a="http://schemas.openxmlformats.org/drawingml/2006/main">
          <a:off x="3848888" y="3813374"/>
          <a:ext cx="807340" cy="36996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600"/>
            <a:t>2010</a:t>
          </a:r>
        </a:p>
      </cdr:txBody>
    </cdr:sp>
  </cdr:relSizeAnchor>
  <cdr:relSizeAnchor xmlns:cdr="http://schemas.openxmlformats.org/drawingml/2006/chartDrawing">
    <cdr:from>
      <cdr:x>0.39491</cdr:x>
      <cdr:y>0.33899</cdr:y>
    </cdr:from>
    <cdr:to>
      <cdr:x>0.48418</cdr:x>
      <cdr:y>0.3729</cdr:y>
    </cdr:to>
    <cdr:sp macro="" textlink="">
      <cdr:nvSpPr>
        <cdr:cNvPr id="30086151" name="TextBox 6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117658" y="3552879"/>
          <a:ext cx="930792" cy="35540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91440" tIns="45720" rIns="91440" bIns="45720" anchor="t" upright="1"/>
        <a:lstStyle xmlns:a="http://schemas.openxmlformats.org/drawingml/2006/main"/>
        <a:p xmlns:a="http://schemas.openxmlformats.org/drawingml/2006/main">
          <a:pPr algn="l" rtl="1">
            <a:defRPr sz="1000"/>
          </a:pPr>
          <a:r>
            <a:rPr lang="ru-RU" sz="1600" b="0" i="0" strike="noStrike">
              <a:solidFill>
                <a:srgbClr val="000000"/>
              </a:solidFill>
              <a:latin typeface="Calibri"/>
            </a:rPr>
            <a:t>2011</a:t>
          </a:r>
        </a:p>
      </cdr:txBody>
    </cdr:sp>
  </cdr:relSizeAnchor>
  <cdr:relSizeAnchor xmlns:cdr="http://schemas.openxmlformats.org/drawingml/2006/chartDrawing">
    <cdr:from>
      <cdr:x>0.42563</cdr:x>
      <cdr:y>0.31016</cdr:y>
    </cdr:from>
    <cdr:to>
      <cdr:x>0.48581</cdr:x>
      <cdr:y>0.34056</cdr:y>
    </cdr:to>
    <cdr:sp macro="" textlink="">
      <cdr:nvSpPr>
        <cdr:cNvPr id="30086152" name="TextBox 8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437912" y="3250732"/>
          <a:ext cx="627479" cy="31861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91440" tIns="45720" rIns="91440" bIns="45720" anchor="t" upright="1"/>
        <a:lstStyle xmlns:a="http://schemas.openxmlformats.org/drawingml/2006/main"/>
        <a:p xmlns:a="http://schemas.openxmlformats.org/drawingml/2006/main">
          <a:pPr algn="l" rtl="1">
            <a:defRPr sz="1000"/>
          </a:pPr>
          <a:r>
            <a:rPr lang="ru-RU" sz="1600" b="0" i="0" strike="noStrike">
              <a:solidFill>
                <a:srgbClr val="000000"/>
              </a:solidFill>
              <a:latin typeface="Calibri"/>
            </a:rPr>
            <a:t>2012</a:t>
          </a:r>
        </a:p>
      </cdr:txBody>
    </cdr:sp>
  </cdr:relSizeAnchor>
  <cdr:relSizeAnchor xmlns:cdr="http://schemas.openxmlformats.org/drawingml/2006/chartDrawing">
    <cdr:from>
      <cdr:x>0.83779</cdr:x>
      <cdr:y>0.89857</cdr:y>
    </cdr:from>
    <cdr:to>
      <cdr:x>0.96133</cdr:x>
      <cdr:y>0.94243</cdr:y>
    </cdr:to>
    <cdr:sp macro="" textlink="">
      <cdr:nvSpPr>
        <cdr:cNvPr id="30086146" name="Text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8735385" y="9417620"/>
          <a:ext cx="1288090" cy="45968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l" rtl="1">
            <a:defRPr sz="1000"/>
          </a:pPr>
          <a:r>
            <a:rPr lang="en-US" sz="2000" b="1" i="0" strike="noStrike" baseline="0">
              <a:solidFill>
                <a:srgbClr val="000000"/>
              </a:solidFill>
              <a:latin typeface="Arial" panose="020B0604020202020204" pitchFamily="34" charset="0"/>
              <a:cs typeface="Arial" panose="020B0604020202020204" pitchFamily="34" charset="0"/>
            </a:rPr>
            <a:t>   </a:t>
          </a:r>
          <a:r>
            <a:rPr lang="ru-RU" sz="2000" b="1" i="0" strike="noStrike" baseline="0">
              <a:solidFill>
                <a:srgbClr val="000000"/>
              </a:solidFill>
              <a:latin typeface="Arial" panose="020B0604020202020204" pitchFamily="34" charset="0"/>
              <a:cs typeface="Arial" panose="020B0604020202020204" pitchFamily="34" charset="0"/>
            </a:rPr>
            <a:t>время </a:t>
          </a:r>
          <a:endParaRPr lang="en-US" sz="2000" b="1" i="0" strike="noStrike">
            <a:solidFill>
              <a:srgbClr val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0.44995</cdr:x>
      <cdr:y>0.28193</cdr:y>
    </cdr:from>
    <cdr:to>
      <cdr:x>0.52292</cdr:x>
      <cdr:y>0.31525</cdr:y>
    </cdr:to>
    <cdr:sp macro="" textlink="">
      <cdr:nvSpPr>
        <cdr:cNvPr id="10" name="TextBox 9"/>
        <cdr:cNvSpPr txBox="1"/>
      </cdr:nvSpPr>
      <cdr:spPr>
        <a:xfrm xmlns:a="http://schemas.openxmlformats.org/drawingml/2006/main">
          <a:off x="4691535" y="2954772"/>
          <a:ext cx="760837" cy="34921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/>
        <a:p xmlns:a="http://schemas.openxmlformats.org/drawingml/2006/main">
          <a:r>
            <a:rPr lang="en-US" sz="1600"/>
            <a:t>2013</a:t>
          </a:r>
          <a:endParaRPr lang="ru-RU" sz="1600"/>
        </a:p>
      </cdr:txBody>
    </cdr:sp>
  </cdr:relSizeAnchor>
  <cdr:relSizeAnchor xmlns:cdr="http://schemas.openxmlformats.org/drawingml/2006/chartDrawing">
    <cdr:from>
      <cdr:x>0.50179</cdr:x>
      <cdr:y>0.23677</cdr:y>
    </cdr:from>
    <cdr:to>
      <cdr:x>0.56259</cdr:x>
      <cdr:y>0.26968</cdr:y>
    </cdr:to>
    <cdr:sp macro="" textlink="">
      <cdr:nvSpPr>
        <cdr:cNvPr id="11" name="TextBox 10"/>
        <cdr:cNvSpPr txBox="1"/>
      </cdr:nvSpPr>
      <cdr:spPr>
        <a:xfrm xmlns:a="http://schemas.openxmlformats.org/drawingml/2006/main">
          <a:off x="5232035" y="2481501"/>
          <a:ext cx="633943" cy="3449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400">
              <a:latin typeface="Arial" pitchFamily="34" charset="0"/>
              <a:cs typeface="Arial" pitchFamily="34" charset="0"/>
            </a:rPr>
            <a:t>2014</a:t>
          </a:r>
        </a:p>
      </cdr:txBody>
    </cdr:sp>
  </cdr:relSizeAnchor>
  <cdr:relSizeAnchor xmlns:cdr="http://schemas.openxmlformats.org/drawingml/2006/chartDrawing">
    <cdr:from>
      <cdr:x>0.57112</cdr:x>
      <cdr:y>0.28111</cdr:y>
    </cdr:from>
    <cdr:to>
      <cdr:x>0.63352</cdr:x>
      <cdr:y>0.31245</cdr:y>
    </cdr:to>
    <cdr:sp macro="" textlink="">
      <cdr:nvSpPr>
        <cdr:cNvPr id="12" name="TextBox 11"/>
        <cdr:cNvSpPr txBox="1"/>
      </cdr:nvSpPr>
      <cdr:spPr>
        <a:xfrm xmlns:a="http://schemas.openxmlformats.org/drawingml/2006/main">
          <a:off x="5954848" y="2946255"/>
          <a:ext cx="650626" cy="32846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400">
              <a:latin typeface="Arial" pitchFamily="34" charset="0"/>
              <a:cs typeface="Arial" pitchFamily="34" charset="0"/>
            </a:rPr>
            <a:t>2015</a:t>
          </a:r>
        </a:p>
      </cdr:txBody>
    </cdr:sp>
  </cdr:relSizeAnchor>
</c:userShapes>
</file>

<file path=xl/drawings/drawing134.xml><?xml version="1.0" encoding="utf-8"?>
<c:userShapes xmlns:c="http://schemas.openxmlformats.org/drawingml/2006/chart">
  <cdr:relSizeAnchor xmlns:cdr="http://schemas.openxmlformats.org/drawingml/2006/chartDrawing">
    <cdr:from>
      <cdr:x>0.48866</cdr:x>
      <cdr:y>0.67263</cdr:y>
    </cdr:from>
    <cdr:to>
      <cdr:x>0.57243</cdr:x>
      <cdr:y>0.7162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5334000" y="7645401"/>
          <a:ext cx="914400" cy="4953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2400">
              <a:latin typeface="Arial" panose="020B0604020202020204" pitchFamily="34" charset="0"/>
              <a:cs typeface="Arial" panose="020B0604020202020204" pitchFamily="34" charset="0"/>
            </a:rPr>
            <a:t>Тренд</a:t>
          </a:r>
        </a:p>
      </cdr:txBody>
    </cdr:sp>
  </cdr:relSizeAnchor>
</c:userShapes>
</file>

<file path=xl/drawings/drawing135.xml><?xml version="1.0" encoding="utf-8"?>
<c:userShapes xmlns:c="http://schemas.openxmlformats.org/drawingml/2006/chart">
  <cdr:relSizeAnchor xmlns:cdr="http://schemas.openxmlformats.org/drawingml/2006/chartDrawing">
    <cdr:from>
      <cdr:x>0.35771</cdr:x>
      <cdr:y>0.26384</cdr:y>
    </cdr:from>
    <cdr:to>
      <cdr:x>0.41525</cdr:x>
      <cdr:y>0.30398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4299830" y="2991388"/>
          <a:ext cx="691662" cy="45510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600"/>
            <a:t>2009</a:t>
          </a:r>
        </a:p>
      </cdr:txBody>
    </cdr:sp>
  </cdr:relSizeAnchor>
  <cdr:relSizeAnchor xmlns:cdr="http://schemas.openxmlformats.org/drawingml/2006/chartDrawing">
    <cdr:from>
      <cdr:x>0.55396</cdr:x>
      <cdr:y>0.2921</cdr:y>
    </cdr:from>
    <cdr:to>
      <cdr:x>0.61856</cdr:x>
      <cdr:y>0.33325</cdr:y>
    </cdr:to>
    <cdr:sp macro="" textlink="">
      <cdr:nvSpPr>
        <cdr:cNvPr id="4" name="TextBox 3"/>
        <cdr:cNvSpPr txBox="1"/>
      </cdr:nvSpPr>
      <cdr:spPr>
        <a:xfrm xmlns:a="http://schemas.openxmlformats.org/drawingml/2006/main">
          <a:off x="6468893" y="3311831"/>
          <a:ext cx="754376" cy="46655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600"/>
            <a:t>20</a:t>
          </a:r>
          <a:r>
            <a:rPr lang="en-US" sz="1600"/>
            <a:t>16</a:t>
          </a:r>
          <a:endParaRPr lang="ru-RU" sz="1600"/>
        </a:p>
      </cdr:txBody>
    </cdr:sp>
  </cdr:relSizeAnchor>
  <cdr:relSizeAnchor xmlns:cdr="http://schemas.openxmlformats.org/drawingml/2006/chartDrawing">
    <cdr:from>
      <cdr:x>0.5026</cdr:x>
      <cdr:y>0.2904</cdr:y>
    </cdr:from>
    <cdr:to>
      <cdr:x>0.56159</cdr:x>
      <cdr:y>0.32582</cdr:y>
    </cdr:to>
    <cdr:sp macro="" textlink="">
      <cdr:nvSpPr>
        <cdr:cNvPr id="30086148" name="Text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041521" y="3292577"/>
          <a:ext cx="709093" cy="40159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91440" tIns="45720" rIns="91440" bIns="45720" anchor="t" upright="1"/>
        <a:lstStyle xmlns:a="http://schemas.openxmlformats.org/drawingml/2006/main"/>
        <a:p xmlns:a="http://schemas.openxmlformats.org/drawingml/2006/main">
          <a:pPr algn="l" rtl="1">
            <a:defRPr sz="1000"/>
          </a:pPr>
          <a:r>
            <a:rPr lang="ru-RU" sz="1600" b="0" i="0" strike="noStrike">
              <a:solidFill>
                <a:srgbClr val="000000"/>
              </a:solidFill>
              <a:latin typeface="Calibri"/>
            </a:rPr>
            <a:t>20</a:t>
          </a:r>
          <a:r>
            <a:rPr lang="en-US" sz="1600" b="0" i="0" strike="noStrike">
              <a:solidFill>
                <a:srgbClr val="000000"/>
              </a:solidFill>
              <a:latin typeface="Calibri"/>
            </a:rPr>
            <a:t>1</a:t>
          </a:r>
          <a:r>
            <a:rPr lang="ru-RU" sz="1600" b="0" i="0" strike="noStrike">
              <a:solidFill>
                <a:srgbClr val="000000"/>
              </a:solidFill>
              <a:latin typeface="Calibri"/>
            </a:rPr>
            <a:t>4</a:t>
          </a:r>
        </a:p>
      </cdr:txBody>
    </cdr:sp>
  </cdr:relSizeAnchor>
  <cdr:relSizeAnchor xmlns:cdr="http://schemas.openxmlformats.org/drawingml/2006/chartDrawing">
    <cdr:from>
      <cdr:x>0.26372</cdr:x>
      <cdr:y>0.27088</cdr:y>
    </cdr:from>
    <cdr:to>
      <cdr:x>0.32748</cdr:x>
      <cdr:y>0.30565</cdr:y>
    </cdr:to>
    <cdr:sp macro="" textlink="">
      <cdr:nvSpPr>
        <cdr:cNvPr id="30086149" name="TextBox 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170066" y="3071268"/>
          <a:ext cx="766431" cy="39421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91440" tIns="45720" rIns="91440" bIns="45720" anchor="t" upright="1"/>
        <a:lstStyle xmlns:a="http://schemas.openxmlformats.org/drawingml/2006/main"/>
        <a:p xmlns:a="http://schemas.openxmlformats.org/drawingml/2006/main">
          <a:pPr algn="l" rtl="1">
            <a:defRPr sz="1000"/>
          </a:pPr>
          <a:r>
            <a:rPr lang="ru-RU" sz="1600" b="0" i="0" strike="noStrike">
              <a:solidFill>
                <a:srgbClr val="000000"/>
              </a:solidFill>
              <a:latin typeface="Calibri"/>
            </a:rPr>
            <a:t>2005</a:t>
          </a:r>
        </a:p>
      </cdr:txBody>
    </cdr:sp>
  </cdr:relSizeAnchor>
  <cdr:relSizeAnchor xmlns:cdr="http://schemas.openxmlformats.org/drawingml/2006/chartDrawing">
    <cdr:from>
      <cdr:x>0.40483</cdr:x>
      <cdr:y>0.3007</cdr:y>
    </cdr:from>
    <cdr:to>
      <cdr:x>0.48226</cdr:x>
      <cdr:y>0.336</cdr:y>
    </cdr:to>
    <cdr:sp macro="" textlink="">
      <cdr:nvSpPr>
        <cdr:cNvPr id="8" name="TextBox 7"/>
        <cdr:cNvSpPr txBox="1"/>
      </cdr:nvSpPr>
      <cdr:spPr>
        <a:xfrm xmlns:a="http://schemas.openxmlformats.org/drawingml/2006/main">
          <a:off x="4866337" y="3409304"/>
          <a:ext cx="930751" cy="40022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600"/>
            <a:t>2010</a:t>
          </a:r>
        </a:p>
      </cdr:txBody>
    </cdr:sp>
  </cdr:relSizeAnchor>
  <cdr:relSizeAnchor xmlns:cdr="http://schemas.openxmlformats.org/drawingml/2006/chartDrawing">
    <cdr:from>
      <cdr:x>0.40678</cdr:x>
      <cdr:y>0.26258</cdr:y>
    </cdr:from>
    <cdr:to>
      <cdr:x>0.468</cdr:x>
      <cdr:y>0.3023</cdr:y>
    </cdr:to>
    <cdr:sp macro="" textlink="">
      <cdr:nvSpPr>
        <cdr:cNvPr id="30086151" name="TextBox 6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889739" y="2977082"/>
          <a:ext cx="735898" cy="45034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91440" tIns="45720" rIns="91440" bIns="45720" anchor="t" upright="1"/>
        <a:lstStyle xmlns:a="http://schemas.openxmlformats.org/drawingml/2006/main"/>
        <a:p xmlns:a="http://schemas.openxmlformats.org/drawingml/2006/main">
          <a:pPr algn="l" rtl="1">
            <a:defRPr sz="1000"/>
          </a:pPr>
          <a:r>
            <a:rPr lang="ru-RU" sz="1600" b="0" i="0" strike="noStrike">
              <a:solidFill>
                <a:srgbClr val="000000"/>
              </a:solidFill>
              <a:latin typeface="Calibri"/>
            </a:rPr>
            <a:t>2011</a:t>
          </a:r>
        </a:p>
      </cdr:txBody>
    </cdr:sp>
  </cdr:relSizeAnchor>
  <cdr:relSizeAnchor xmlns:cdr="http://schemas.openxmlformats.org/drawingml/2006/chartDrawing">
    <cdr:from>
      <cdr:x>0.45534</cdr:x>
      <cdr:y>0.29691</cdr:y>
    </cdr:from>
    <cdr:to>
      <cdr:x>0.52313</cdr:x>
      <cdr:y>0.32747</cdr:y>
    </cdr:to>
    <cdr:sp macro="" textlink="">
      <cdr:nvSpPr>
        <cdr:cNvPr id="30086152" name="TextBox 8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473412" y="3366376"/>
          <a:ext cx="814873" cy="34648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91440" tIns="45720" rIns="91440" bIns="45720" anchor="t" upright="1"/>
        <a:lstStyle xmlns:a="http://schemas.openxmlformats.org/drawingml/2006/main"/>
        <a:p xmlns:a="http://schemas.openxmlformats.org/drawingml/2006/main">
          <a:pPr algn="l" rtl="1">
            <a:defRPr sz="1000"/>
          </a:pPr>
          <a:r>
            <a:rPr lang="ru-RU" sz="1600" b="0" i="0" strike="noStrike">
              <a:solidFill>
                <a:srgbClr val="000000"/>
              </a:solidFill>
              <a:latin typeface="Calibri"/>
            </a:rPr>
            <a:t>2012</a:t>
          </a:r>
        </a:p>
      </cdr:txBody>
    </cdr:sp>
  </cdr:relSizeAnchor>
  <cdr:relSizeAnchor xmlns:cdr="http://schemas.openxmlformats.org/drawingml/2006/chartDrawing">
    <cdr:from>
      <cdr:x>0.49817</cdr:x>
      <cdr:y>0.8856</cdr:y>
    </cdr:from>
    <cdr:to>
      <cdr:x>0.9477</cdr:x>
      <cdr:y>0.92927</cdr:y>
    </cdr:to>
    <cdr:sp macro="" textlink="">
      <cdr:nvSpPr>
        <cdr:cNvPr id="30086146" name="Text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988327" y="10040824"/>
          <a:ext cx="5403573" cy="49512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l" rtl="1">
            <a:defRPr sz="1000"/>
          </a:pPr>
          <a:r>
            <a:rPr lang="en-US" sz="2800" b="0" i="0" strike="noStrike" baseline="0">
              <a:solidFill>
                <a:srgbClr val="000000"/>
              </a:solidFill>
              <a:latin typeface="Arial" panose="020B0604020202020204" pitchFamily="34" charset="0"/>
              <a:cs typeface="Arial" panose="020B0604020202020204" pitchFamily="34" charset="0"/>
            </a:rPr>
            <a:t>    </a:t>
          </a:r>
          <a:r>
            <a:rPr lang="en-US" sz="2400" b="0" i="0" strike="noStrike" baseline="0">
              <a:solidFill>
                <a:srgbClr val="000000"/>
              </a:solidFill>
              <a:latin typeface="Arial" panose="020B0604020202020204" pitchFamily="34" charset="0"/>
              <a:cs typeface="Arial" panose="020B0604020202020204" pitchFamily="34" charset="0"/>
            </a:rPr>
            <a:t>FA</a:t>
          </a:r>
          <a:r>
            <a:rPr lang="en-US" sz="2800" b="0" i="0" strike="noStrike" baseline="0">
              <a:solidFill>
                <a:srgbClr val="000000"/>
              </a:solidFill>
              <a:latin typeface="Arial" panose="020B0604020202020204" pitchFamily="34" charset="0"/>
              <a:cs typeface="Arial" panose="020B0604020202020204" pitchFamily="34" charset="0"/>
            </a:rPr>
            <a:t> =</a:t>
          </a:r>
          <a:r>
            <a:rPr lang="ru-RU" sz="2000" b="0" i="0" strike="noStrike" baseline="0">
              <a:solidFill>
                <a:srgbClr val="000000"/>
              </a:solidFill>
              <a:latin typeface="Arial" panose="020B0604020202020204" pitchFamily="34" charset="0"/>
              <a:cs typeface="Arial" panose="020B0604020202020204" pitchFamily="34" charset="0"/>
            </a:rPr>
            <a:t> </a:t>
          </a:r>
          <a:r>
            <a:rPr lang="ru-RU" sz="2400" b="0" i="0" strike="noStrike" baseline="0">
              <a:solidFill>
                <a:srgbClr val="000000"/>
              </a:solidFill>
              <a:latin typeface="Arial" panose="020B0604020202020204" pitchFamily="34" charset="0"/>
              <a:cs typeface="Arial" panose="020B0604020202020204" pitchFamily="34" charset="0"/>
            </a:rPr>
            <a:t>0</a:t>
          </a:r>
          <a:r>
            <a:rPr lang="en-US" sz="2400" b="0" i="0" strike="noStrike" baseline="0">
              <a:solidFill>
                <a:srgbClr val="000000"/>
              </a:solidFill>
              <a:latin typeface="Arial" panose="020B0604020202020204" pitchFamily="34" charset="0"/>
              <a:cs typeface="Arial" panose="020B0604020202020204" pitchFamily="34" charset="0"/>
            </a:rPr>
            <a:t>,</a:t>
          </a:r>
          <a:r>
            <a:rPr lang="ru-RU" sz="2400" b="0" i="0" strike="noStrike" baseline="0">
              <a:solidFill>
                <a:srgbClr val="000000"/>
              </a:solidFill>
              <a:latin typeface="Arial" panose="020B0604020202020204" pitchFamily="34" charset="0"/>
              <a:cs typeface="Arial" panose="020B0604020202020204" pitchFamily="34" charset="0"/>
            </a:rPr>
            <a:t>7</a:t>
          </a:r>
          <a:r>
            <a:rPr lang="en-US" sz="2400" b="0" i="0" strike="noStrike" baseline="0">
              <a:solidFill>
                <a:srgbClr val="000000"/>
              </a:solidFill>
              <a:latin typeface="Arial" panose="020B0604020202020204" pitchFamily="34" charset="0"/>
              <a:cs typeface="Arial" panose="020B0604020202020204" pitchFamily="34" charset="0"/>
            </a:rPr>
            <a:t>*INt + 0,</a:t>
          </a:r>
          <a:r>
            <a:rPr lang="ru-RU" sz="2400" b="0" i="0" strike="noStrike" baseline="0">
              <a:solidFill>
                <a:srgbClr val="000000"/>
              </a:solidFill>
              <a:latin typeface="Arial" panose="020B0604020202020204" pitchFamily="34" charset="0"/>
              <a:cs typeface="Arial" panose="020B0604020202020204" pitchFamily="34" charset="0"/>
            </a:rPr>
            <a:t>2</a:t>
          </a:r>
          <a:r>
            <a:rPr lang="en-US" sz="2400" b="0" i="0" strike="noStrike" baseline="0">
              <a:solidFill>
                <a:srgbClr val="000000"/>
              </a:solidFill>
              <a:latin typeface="Arial" panose="020B0604020202020204" pitchFamily="34" charset="0"/>
              <a:cs typeface="Arial" panose="020B0604020202020204" pitchFamily="34" charset="0"/>
            </a:rPr>
            <a:t>*INt-1 + 0,1*INt-2</a:t>
          </a:r>
          <a:endParaRPr lang="en-US" sz="2000" b="0" i="0" strike="noStrike">
            <a:solidFill>
              <a:srgbClr val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0.49746</cdr:x>
      <cdr:y>0.26749</cdr:y>
    </cdr:from>
    <cdr:to>
      <cdr:x>0.57043</cdr:x>
      <cdr:y>0.30081</cdr:y>
    </cdr:to>
    <cdr:sp macro="" textlink="">
      <cdr:nvSpPr>
        <cdr:cNvPr id="10" name="TextBox 9"/>
        <cdr:cNvSpPr txBox="1"/>
      </cdr:nvSpPr>
      <cdr:spPr>
        <a:xfrm xmlns:a="http://schemas.openxmlformats.org/drawingml/2006/main">
          <a:off x="5979748" y="3032733"/>
          <a:ext cx="877139" cy="37777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/>
        <a:p xmlns:a="http://schemas.openxmlformats.org/drawingml/2006/main">
          <a:r>
            <a:rPr lang="en-US" sz="1600"/>
            <a:t>2013</a:t>
          </a:r>
          <a:endParaRPr lang="ru-RU" sz="1600"/>
        </a:p>
      </cdr:txBody>
    </cdr:sp>
  </cdr:relSizeAnchor>
  <cdr:relSizeAnchor xmlns:cdr="http://schemas.openxmlformats.org/drawingml/2006/chartDrawing">
    <cdr:from>
      <cdr:x>0.46005</cdr:x>
      <cdr:y>0.26714</cdr:y>
    </cdr:from>
    <cdr:to>
      <cdr:x>0.5126</cdr:x>
      <cdr:y>0.2939</cdr:y>
    </cdr:to>
    <cdr:sp macro="" textlink="">
      <cdr:nvSpPr>
        <cdr:cNvPr id="11" name="TextBox 10"/>
        <cdr:cNvSpPr txBox="1"/>
      </cdr:nvSpPr>
      <cdr:spPr>
        <a:xfrm xmlns:a="http://schemas.openxmlformats.org/drawingml/2006/main">
          <a:off x="5530051" y="3028784"/>
          <a:ext cx="631680" cy="3034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400">
              <a:latin typeface="Arial" pitchFamily="34" charset="0"/>
              <a:cs typeface="Arial" pitchFamily="34" charset="0"/>
            </a:rPr>
            <a:t>201</a:t>
          </a:r>
          <a:r>
            <a:rPr lang="en-US" sz="1400">
              <a:latin typeface="Arial" pitchFamily="34" charset="0"/>
              <a:cs typeface="Arial" pitchFamily="34" charset="0"/>
            </a:rPr>
            <a:t>5</a:t>
          </a:r>
          <a:endParaRPr lang="ru-RU" sz="1400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0.59991</cdr:x>
      <cdr:y>0.27025</cdr:y>
    </cdr:from>
    <cdr:to>
      <cdr:x>0.66231</cdr:x>
      <cdr:y>0.30159</cdr:y>
    </cdr:to>
    <cdr:sp macro="" textlink="">
      <cdr:nvSpPr>
        <cdr:cNvPr id="12" name="TextBox 11"/>
        <cdr:cNvSpPr txBox="1"/>
      </cdr:nvSpPr>
      <cdr:spPr>
        <a:xfrm xmlns:a="http://schemas.openxmlformats.org/drawingml/2006/main">
          <a:off x="7211200" y="3064055"/>
          <a:ext cx="750082" cy="35533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400">
              <a:latin typeface="Arial" pitchFamily="34" charset="0"/>
              <a:cs typeface="Arial" pitchFamily="34" charset="0"/>
            </a:rPr>
            <a:t>201?</a:t>
          </a:r>
        </a:p>
      </cdr:txBody>
    </cdr:sp>
  </cdr:relSizeAnchor>
</c:userShapes>
</file>

<file path=xl/drawings/drawing136.xml><?xml version="1.0" encoding="utf-8"?>
<xdr:wsDr xmlns:xdr="http://schemas.openxmlformats.org/drawingml/2006/spreadsheetDrawing" xmlns:a="http://schemas.openxmlformats.org/drawingml/2006/main">
  <xdr:twoCellAnchor>
    <xdr:from>
      <xdr:col>40</xdr:col>
      <xdr:colOff>57150</xdr:colOff>
      <xdr:row>4</xdr:row>
      <xdr:rowOff>190500</xdr:rowOff>
    </xdr:from>
    <xdr:to>
      <xdr:col>55</xdr:col>
      <xdr:colOff>38100</xdr:colOff>
      <xdr:row>43</xdr:row>
      <xdr:rowOff>9525</xdr:rowOff>
    </xdr:to>
    <xdr:graphicFrame macro="">
      <xdr:nvGraphicFramePr>
        <xdr:cNvPr id="60124280" name="Chart 13">
          <a:extLst>
            <a:ext uri="{FF2B5EF4-FFF2-40B4-BE49-F238E27FC236}">
              <a16:creationId xmlns:a16="http://schemas.microsoft.com/office/drawing/2014/main" id="{00000000-0008-0000-0400-0000786C95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42</xdr:col>
      <xdr:colOff>104775</xdr:colOff>
      <xdr:row>44</xdr:row>
      <xdr:rowOff>190500</xdr:rowOff>
    </xdr:from>
    <xdr:to>
      <xdr:col>56</xdr:col>
      <xdr:colOff>514350</xdr:colOff>
      <xdr:row>83</xdr:row>
      <xdr:rowOff>9525</xdr:rowOff>
    </xdr:to>
    <xdr:graphicFrame macro="">
      <xdr:nvGraphicFramePr>
        <xdr:cNvPr id="60124281" name="Chart 13">
          <a:extLst>
            <a:ext uri="{FF2B5EF4-FFF2-40B4-BE49-F238E27FC236}">
              <a16:creationId xmlns:a16="http://schemas.microsoft.com/office/drawing/2014/main" id="{00000000-0008-0000-0400-0000796C95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102393</xdr:colOff>
      <xdr:row>58</xdr:row>
      <xdr:rowOff>168275</xdr:rowOff>
    </xdr:from>
    <xdr:to>
      <xdr:col>26</xdr:col>
      <xdr:colOff>523875</xdr:colOff>
      <xdr:row>95</xdr:row>
      <xdr:rowOff>59531</xdr:rowOff>
    </xdr:to>
    <xdr:graphicFrame macro="">
      <xdr:nvGraphicFramePr>
        <xdr:cNvPr id="60124282" name="Chart 13">
          <a:extLst>
            <a:ext uri="{FF2B5EF4-FFF2-40B4-BE49-F238E27FC236}">
              <a16:creationId xmlns:a16="http://schemas.microsoft.com/office/drawing/2014/main" id="{00000000-0008-0000-0400-00007A6C95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37.xml><?xml version="1.0" encoding="utf-8"?>
<c:userShapes xmlns:c="http://schemas.openxmlformats.org/drawingml/2006/chart">
  <cdr:relSizeAnchor xmlns:cdr="http://schemas.openxmlformats.org/drawingml/2006/chartDrawing">
    <cdr:from>
      <cdr:x>0.24904</cdr:x>
      <cdr:y>0.61772</cdr:y>
    </cdr:from>
    <cdr:to>
      <cdr:x>0.38885</cdr:x>
      <cdr:y>0.67118</cdr:y>
    </cdr:to>
    <cdr:sp macro="" textlink="">
      <cdr:nvSpPr>
        <cdr:cNvPr id="14337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039998" y="5165396"/>
          <a:ext cx="1312797" cy="45487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27432" rIns="36576" bIns="27432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ru-RU" sz="1400" b="0" i="0" strike="noStrike">
              <a:solidFill>
                <a:srgbClr val="000000"/>
              </a:solidFill>
              <a:latin typeface="Arial Cyr"/>
            </a:rPr>
            <a:t>отчёт </a:t>
          </a:r>
        </a:p>
      </cdr:txBody>
    </cdr:sp>
  </cdr:relSizeAnchor>
  <cdr:relSizeAnchor xmlns:cdr="http://schemas.openxmlformats.org/drawingml/2006/chartDrawing">
    <cdr:from>
      <cdr:x>0.65924</cdr:x>
      <cdr:y>0.61123</cdr:y>
    </cdr:from>
    <cdr:to>
      <cdr:x>0.82317</cdr:x>
      <cdr:y>0.65977</cdr:y>
    </cdr:to>
    <cdr:sp macro="" textlink="">
      <cdr:nvSpPr>
        <cdr:cNvPr id="14338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887765" y="5112383"/>
          <a:ext cx="1538637" cy="41263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27432" rIns="36576" bIns="27432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ru-RU" sz="1400" b="0" i="0" strike="noStrike">
              <a:solidFill>
                <a:srgbClr val="000000"/>
              </a:solidFill>
              <a:latin typeface="Arial Cyr"/>
            </a:rPr>
            <a:t>прогноз</a:t>
          </a:r>
        </a:p>
      </cdr:txBody>
    </cdr:sp>
  </cdr:relSizeAnchor>
  <cdr:relSizeAnchor xmlns:cdr="http://schemas.openxmlformats.org/drawingml/2006/chartDrawing">
    <cdr:from>
      <cdr:x>0.25726</cdr:x>
      <cdr:y>0.06677</cdr:y>
    </cdr:from>
    <cdr:to>
      <cdr:x>0.87632</cdr:x>
      <cdr:y>0.1366</cdr:y>
    </cdr:to>
    <cdr:sp macro="" textlink="">
      <cdr:nvSpPr>
        <cdr:cNvPr id="14340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119196" y="478900"/>
          <a:ext cx="5803524" cy="59266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27432" rIns="36576" bIns="27432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ru-RU" sz="1375" b="0" i="0" strike="noStrike">
              <a:solidFill>
                <a:srgbClr val="000000"/>
              </a:solidFill>
              <a:latin typeface="Arial Cyr"/>
            </a:rPr>
            <a:t> ДЕМОГРАФИЧЕСКИЕ КОЭФФИЦИЕНТЫ</a:t>
          </a:r>
          <a:r>
            <a:rPr lang="ru-RU" sz="1375" b="0" i="0" strike="noStrike" baseline="0">
              <a:solidFill>
                <a:srgbClr val="000000"/>
              </a:solidFill>
              <a:latin typeface="Arial Cyr"/>
            </a:rPr>
            <a:t>  РОЖДАЕМОСТИ</a:t>
          </a:r>
          <a:r>
            <a:rPr lang="en-US" sz="1375" b="0" i="0" strike="noStrike" baseline="0">
              <a:solidFill>
                <a:srgbClr val="000000"/>
              </a:solidFill>
              <a:latin typeface="Arial Cyr"/>
            </a:rPr>
            <a:t> ( </a:t>
          </a:r>
          <a:r>
            <a:rPr lang="en-US" sz="1600" b="0" i="0" strike="noStrike" baseline="0">
              <a:solidFill>
                <a:srgbClr val="000000"/>
              </a:solidFill>
              <a:latin typeface="Arial Cyr"/>
            </a:rPr>
            <a:t>r </a:t>
          </a:r>
          <a:r>
            <a:rPr lang="en-US" sz="1375" b="0" i="0" strike="noStrike" baseline="0">
              <a:solidFill>
                <a:srgbClr val="000000"/>
              </a:solidFill>
              <a:latin typeface="Arial Cyr"/>
            </a:rPr>
            <a:t>)</a:t>
          </a:r>
          <a:r>
            <a:rPr lang="ru-RU" sz="1375" b="0" i="0" strike="noStrike" baseline="0">
              <a:solidFill>
                <a:srgbClr val="000000"/>
              </a:solidFill>
              <a:latin typeface="Arial Cyr"/>
            </a:rPr>
            <a:t>  СМЕРТНОСТИ  </a:t>
          </a:r>
          <a:r>
            <a:rPr lang="en-US" sz="1375" b="0" i="0" strike="noStrike" baseline="0">
              <a:solidFill>
                <a:srgbClr val="000000"/>
              </a:solidFill>
              <a:latin typeface="Arial Cyr"/>
            </a:rPr>
            <a:t>( </a:t>
          </a:r>
          <a:r>
            <a:rPr lang="en-US" sz="1600" b="0" i="0" strike="noStrike" baseline="0">
              <a:solidFill>
                <a:srgbClr val="000000"/>
              </a:solidFill>
              <a:latin typeface="Arial Cyr"/>
            </a:rPr>
            <a:t>u </a:t>
          </a:r>
          <a:r>
            <a:rPr lang="en-US" sz="1375" b="0" i="0" strike="noStrike" baseline="0">
              <a:solidFill>
                <a:srgbClr val="000000"/>
              </a:solidFill>
              <a:latin typeface="Arial Cyr"/>
            </a:rPr>
            <a:t>)  </a:t>
          </a:r>
          <a:r>
            <a:rPr lang="ru-RU" sz="1375" b="0" i="0" strike="noStrike" baseline="0">
              <a:solidFill>
                <a:srgbClr val="000000"/>
              </a:solidFill>
              <a:latin typeface="Arial Cyr"/>
            </a:rPr>
            <a:t>и  САЛЬДО  МИГРАЦИИ</a:t>
          </a:r>
          <a:r>
            <a:rPr lang="en-US" sz="1375" b="0" i="0" strike="noStrike" baseline="0">
              <a:solidFill>
                <a:srgbClr val="000000"/>
              </a:solidFill>
              <a:latin typeface="Arial Cyr"/>
            </a:rPr>
            <a:t>  ( </a:t>
          </a:r>
          <a:r>
            <a:rPr lang="en-US" sz="1600" b="0" i="0" strike="noStrike" baseline="0">
              <a:solidFill>
                <a:srgbClr val="000000"/>
              </a:solidFill>
              <a:latin typeface="Arial Cyr"/>
            </a:rPr>
            <a:t>sm </a:t>
          </a:r>
          <a:r>
            <a:rPr lang="en-US" sz="1375" b="0" i="0" strike="noStrike" baseline="0">
              <a:solidFill>
                <a:srgbClr val="000000"/>
              </a:solidFill>
              <a:latin typeface="Arial Cyr"/>
            </a:rPr>
            <a:t>)</a:t>
          </a:r>
          <a:endParaRPr lang="ru-RU" sz="1600" b="0" i="0" strike="noStrike">
            <a:solidFill>
              <a:srgbClr val="000000"/>
            </a:solidFill>
            <a:latin typeface="Arial Cyr"/>
          </a:endParaRPr>
        </a:p>
      </cdr:txBody>
    </cdr:sp>
  </cdr:relSizeAnchor>
  <cdr:relSizeAnchor xmlns:cdr="http://schemas.openxmlformats.org/drawingml/2006/chartDrawing">
    <cdr:from>
      <cdr:x>0.18392</cdr:x>
      <cdr:y>0.46771</cdr:y>
    </cdr:from>
    <cdr:to>
      <cdr:x>0.26958</cdr:x>
      <cdr:y>0.51625</cdr:y>
    </cdr:to>
    <cdr:sp macro="" textlink="">
      <cdr:nvSpPr>
        <cdr:cNvPr id="14341" name="Text Box 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430534" y="3889556"/>
          <a:ext cx="802886" cy="41263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32004" rIns="36576" bIns="32004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en-US" sz="1800" b="0" i="0" strike="noStrike">
              <a:solidFill>
                <a:srgbClr val="000000"/>
              </a:solidFill>
              <a:latin typeface="Arial Cyr"/>
            </a:rPr>
            <a:t>r</a:t>
          </a:r>
        </a:p>
      </cdr:txBody>
    </cdr:sp>
  </cdr:relSizeAnchor>
  <cdr:relSizeAnchor xmlns:cdr="http://schemas.openxmlformats.org/drawingml/2006/chartDrawing">
    <cdr:from>
      <cdr:x>0.44806</cdr:x>
      <cdr:y>0.45261</cdr:y>
    </cdr:from>
    <cdr:to>
      <cdr:x>0.58102</cdr:x>
      <cdr:y>0.59148</cdr:y>
    </cdr:to>
    <cdr:sp macro="" textlink="">
      <cdr:nvSpPr>
        <cdr:cNvPr id="7" name="TextBox 6"/>
        <cdr:cNvSpPr txBox="1"/>
      </cdr:nvSpPr>
      <cdr:spPr>
        <a:xfrm xmlns:a="http://schemas.openxmlformats.org/drawingml/2006/main">
          <a:off x="2869407" y="2905124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ru-RU"/>
        </a:p>
      </cdr:txBody>
    </cdr:sp>
  </cdr:relSizeAnchor>
  <cdr:relSizeAnchor xmlns:cdr="http://schemas.openxmlformats.org/drawingml/2006/chartDrawing">
    <cdr:from>
      <cdr:x>0.19967</cdr:x>
      <cdr:y>0.18336</cdr:y>
    </cdr:from>
    <cdr:to>
      <cdr:x>0.26823</cdr:x>
      <cdr:y>0.22439</cdr:y>
    </cdr:to>
    <cdr:sp macro="" textlink="">
      <cdr:nvSpPr>
        <cdr:cNvPr id="8" name="TextBox 7"/>
        <cdr:cNvSpPr txBox="1"/>
      </cdr:nvSpPr>
      <cdr:spPr>
        <a:xfrm xmlns:a="http://schemas.openxmlformats.org/drawingml/2006/main">
          <a:off x="1578102" y="1469713"/>
          <a:ext cx="643090" cy="3493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>
              <a:latin typeface="Arial" pitchFamily="34" charset="0"/>
              <a:cs typeface="Arial" pitchFamily="34" charset="0"/>
            </a:rPr>
            <a:t>u</a:t>
          </a:r>
          <a:endParaRPr lang="ru-RU" sz="1800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0.21069</cdr:x>
      <cdr:y>0.7734</cdr:y>
    </cdr:from>
    <cdr:to>
      <cdr:x>0.28824</cdr:x>
      <cdr:y>0.81618</cdr:y>
    </cdr:to>
    <cdr:sp macro="" textlink="">
      <cdr:nvSpPr>
        <cdr:cNvPr id="9" name="TextBox 8"/>
        <cdr:cNvSpPr txBox="1"/>
      </cdr:nvSpPr>
      <cdr:spPr>
        <a:xfrm xmlns:a="http://schemas.openxmlformats.org/drawingml/2006/main">
          <a:off x="1680455" y="6491760"/>
          <a:ext cx="729211" cy="3636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>
              <a:latin typeface="Arial" pitchFamily="34" charset="0"/>
              <a:cs typeface="Arial" pitchFamily="34" charset="0"/>
            </a:rPr>
            <a:t>sm</a:t>
          </a:r>
          <a:endParaRPr lang="ru-RU" sz="1800">
            <a:latin typeface="Arial" pitchFamily="34" charset="0"/>
            <a:cs typeface="Arial" pitchFamily="34" charset="0"/>
          </a:endParaRPr>
        </a:p>
      </cdr:txBody>
    </cdr:sp>
  </cdr:relSizeAnchor>
</c:userShapes>
</file>

<file path=xl/drawings/drawing138.xml><?xml version="1.0" encoding="utf-8"?>
<c:userShapes xmlns:c="http://schemas.openxmlformats.org/drawingml/2006/chart">
  <cdr:relSizeAnchor xmlns:cdr="http://schemas.openxmlformats.org/drawingml/2006/chartDrawing">
    <cdr:from>
      <cdr:x>0.26365</cdr:x>
      <cdr:y>0.80899</cdr:y>
    </cdr:from>
    <cdr:to>
      <cdr:x>0.40371</cdr:x>
      <cdr:y>0.86221</cdr:y>
    </cdr:to>
    <cdr:sp macro="" textlink="">
      <cdr:nvSpPr>
        <cdr:cNvPr id="14337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247721" y="6463918"/>
          <a:ext cx="1323858" cy="43261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27432" rIns="36576" bIns="27432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ru-RU" sz="1400" b="0" i="0" strike="noStrike">
              <a:solidFill>
                <a:srgbClr val="000000"/>
              </a:solidFill>
              <a:latin typeface="Arial Cyr"/>
            </a:rPr>
            <a:t>отчёт </a:t>
          </a:r>
        </a:p>
      </cdr:txBody>
    </cdr:sp>
  </cdr:relSizeAnchor>
  <cdr:relSizeAnchor xmlns:cdr="http://schemas.openxmlformats.org/drawingml/2006/chartDrawing">
    <cdr:from>
      <cdr:x>0.6783</cdr:x>
      <cdr:y>0.82127</cdr:y>
    </cdr:from>
    <cdr:to>
      <cdr:x>0.84224</cdr:x>
      <cdr:y>0.87029</cdr:y>
    </cdr:to>
    <cdr:sp macro="" textlink="">
      <cdr:nvSpPr>
        <cdr:cNvPr id="14338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168670" y="6563142"/>
          <a:ext cx="1551601" cy="39244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27432" rIns="36576" bIns="27432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ru-RU" sz="1400" b="0" i="0" strike="noStrike">
              <a:solidFill>
                <a:srgbClr val="000000"/>
              </a:solidFill>
              <a:latin typeface="Arial Cyr"/>
            </a:rPr>
            <a:t>прогноз</a:t>
          </a:r>
        </a:p>
      </cdr:txBody>
    </cdr:sp>
  </cdr:relSizeAnchor>
  <cdr:relSizeAnchor xmlns:cdr="http://schemas.openxmlformats.org/drawingml/2006/chartDrawing">
    <cdr:from>
      <cdr:x>0.25207</cdr:x>
      <cdr:y>0.06824</cdr:y>
    </cdr:from>
    <cdr:to>
      <cdr:x>0.87088</cdr:x>
      <cdr:y>0.15453</cdr:y>
    </cdr:to>
    <cdr:sp macro="" textlink="">
      <cdr:nvSpPr>
        <cdr:cNvPr id="14340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137080" y="455458"/>
          <a:ext cx="5852420" cy="70114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27432" rIns="36576" bIns="27432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ru-RU" sz="1375" b="0" i="0" strike="noStrike">
              <a:solidFill>
                <a:srgbClr val="000000"/>
              </a:solidFill>
              <a:latin typeface="Arial Cyr"/>
            </a:rPr>
            <a:t> ДИНАМИКА  ЧИСЛЕННОСТИ </a:t>
          </a:r>
          <a:r>
            <a:rPr lang="en-US" sz="1375" b="0" i="0" strike="noStrike">
              <a:solidFill>
                <a:srgbClr val="000000"/>
              </a:solidFill>
              <a:latin typeface="Arial Cyr"/>
            </a:rPr>
            <a:t> </a:t>
          </a:r>
          <a:r>
            <a:rPr lang="ru-RU" sz="1375" b="0" i="0" strike="noStrike">
              <a:solidFill>
                <a:srgbClr val="000000"/>
              </a:solidFill>
              <a:latin typeface="Arial Cyr"/>
            </a:rPr>
            <a:t>и  ЭКОНОМИЧЕСКИ  АКТИВНОГО  НАСЕЛЕНИЯ  РОССИИ</a:t>
          </a:r>
          <a:endParaRPr lang="ru-RU" sz="1600" b="0" i="0" strike="noStrike">
            <a:solidFill>
              <a:srgbClr val="000000"/>
            </a:solidFill>
            <a:latin typeface="Arial Cyr"/>
          </a:endParaRPr>
        </a:p>
      </cdr:txBody>
    </cdr:sp>
  </cdr:relSizeAnchor>
  <cdr:relSizeAnchor xmlns:cdr="http://schemas.openxmlformats.org/drawingml/2006/chartDrawing">
    <cdr:from>
      <cdr:x>0.4721</cdr:x>
      <cdr:y>0.50778</cdr:y>
    </cdr:from>
    <cdr:to>
      <cdr:x>0.55751</cdr:x>
      <cdr:y>0.55631</cdr:y>
    </cdr:to>
    <cdr:sp macro="" textlink="">
      <cdr:nvSpPr>
        <cdr:cNvPr id="14341" name="Text Box 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218478" y="4025783"/>
          <a:ext cx="809650" cy="39244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32004" rIns="36576" bIns="32004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en-US" sz="1800" b="0" i="0" strike="noStrike">
              <a:solidFill>
                <a:srgbClr val="000000"/>
              </a:solidFill>
              <a:latin typeface="Arial Cyr"/>
            </a:rPr>
            <a:t>A</a:t>
          </a:r>
        </a:p>
      </cdr:txBody>
    </cdr:sp>
  </cdr:relSizeAnchor>
  <cdr:relSizeAnchor xmlns:cdr="http://schemas.openxmlformats.org/drawingml/2006/chartDrawing">
    <cdr:from>
      <cdr:x>0.44262</cdr:x>
      <cdr:y>0.45163</cdr:y>
    </cdr:from>
    <cdr:to>
      <cdr:x>0.57558</cdr:x>
      <cdr:y>0.5905</cdr:y>
    </cdr:to>
    <cdr:sp macro="" textlink="">
      <cdr:nvSpPr>
        <cdr:cNvPr id="7" name="TextBox 6"/>
        <cdr:cNvSpPr txBox="1"/>
      </cdr:nvSpPr>
      <cdr:spPr>
        <a:xfrm xmlns:a="http://schemas.openxmlformats.org/drawingml/2006/main">
          <a:off x="2869407" y="2905124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ru-RU"/>
        </a:p>
      </cdr:txBody>
    </cdr:sp>
  </cdr:relSizeAnchor>
  <cdr:relSizeAnchor xmlns:cdr="http://schemas.openxmlformats.org/drawingml/2006/chartDrawing">
    <cdr:from>
      <cdr:x>0.47621</cdr:x>
      <cdr:y>0.24869</cdr:y>
    </cdr:from>
    <cdr:to>
      <cdr:x>0.54478</cdr:x>
      <cdr:y>0.28973</cdr:y>
    </cdr:to>
    <cdr:sp macro="" textlink="">
      <cdr:nvSpPr>
        <cdr:cNvPr id="8" name="TextBox 7"/>
        <cdr:cNvSpPr txBox="1"/>
      </cdr:nvSpPr>
      <cdr:spPr>
        <a:xfrm xmlns:a="http://schemas.openxmlformats.org/drawingml/2006/main">
          <a:off x="4258385" y="1928456"/>
          <a:ext cx="648508" cy="33223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>
              <a:latin typeface="Arial" pitchFamily="34" charset="0"/>
              <a:cs typeface="Arial" pitchFamily="34" charset="0"/>
            </a:rPr>
            <a:t>N</a:t>
          </a:r>
          <a:endParaRPr lang="ru-RU" sz="1800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0.46012</cdr:x>
      <cdr:y>0.67054</cdr:y>
    </cdr:from>
    <cdr:to>
      <cdr:x>0.56923</cdr:x>
      <cdr:y>0.71332</cdr:y>
    </cdr:to>
    <cdr:sp macro="" textlink="">
      <cdr:nvSpPr>
        <cdr:cNvPr id="9" name="TextBox 8"/>
        <cdr:cNvSpPr txBox="1"/>
      </cdr:nvSpPr>
      <cdr:spPr>
        <a:xfrm xmlns:a="http://schemas.openxmlformats.org/drawingml/2006/main">
          <a:off x="4104256" y="5344063"/>
          <a:ext cx="1033523" cy="34582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>
              <a:latin typeface="Arial" pitchFamily="34" charset="0"/>
              <a:cs typeface="Arial" pitchFamily="34" charset="0"/>
            </a:rPr>
            <a:t>dA*100</a:t>
          </a:r>
          <a:endParaRPr lang="ru-RU" sz="1800">
            <a:latin typeface="Arial" pitchFamily="34" charset="0"/>
            <a:cs typeface="Arial" pitchFamily="34" charset="0"/>
          </a:endParaRPr>
        </a:p>
      </cdr:txBody>
    </cdr:sp>
  </cdr:relSizeAnchor>
</c:userShapes>
</file>

<file path=xl/drawings/drawing139.xml><?xml version="1.0" encoding="utf-8"?>
<c:userShapes xmlns:c="http://schemas.openxmlformats.org/drawingml/2006/chart">
  <cdr:relSizeAnchor xmlns:cdr="http://schemas.openxmlformats.org/drawingml/2006/chartDrawing">
    <cdr:from>
      <cdr:x>0.2488</cdr:x>
      <cdr:y>0.78449</cdr:y>
    </cdr:from>
    <cdr:to>
      <cdr:x>0.39009</cdr:x>
      <cdr:y>0.8377</cdr:y>
    </cdr:to>
    <cdr:sp macro="" textlink="">
      <cdr:nvSpPr>
        <cdr:cNvPr id="14337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098019" y="6704197"/>
          <a:ext cx="1323857" cy="46216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27432" rIns="36576" bIns="27432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ru-RU" sz="1800" b="0" i="0" strike="noStrike">
              <a:solidFill>
                <a:srgbClr val="000000"/>
              </a:solidFill>
              <a:latin typeface="Arial Cyr"/>
            </a:rPr>
            <a:t>отчёт </a:t>
          </a:r>
        </a:p>
      </cdr:txBody>
    </cdr:sp>
  </cdr:relSizeAnchor>
  <cdr:relSizeAnchor xmlns:cdr="http://schemas.openxmlformats.org/drawingml/2006/chartDrawing">
    <cdr:from>
      <cdr:x>0.61407</cdr:x>
      <cdr:y>0.77768</cdr:y>
    </cdr:from>
    <cdr:to>
      <cdr:x>0.77948</cdr:x>
      <cdr:y>0.82597</cdr:y>
    </cdr:to>
    <cdr:sp macro="" textlink="">
      <cdr:nvSpPr>
        <cdr:cNvPr id="14338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340133" y="5751853"/>
          <a:ext cx="1438459" cy="35716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27432" rIns="36576" bIns="27432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ru-RU" sz="1800" b="0" i="0" strike="noStrike">
              <a:solidFill>
                <a:srgbClr val="000000"/>
              </a:solidFill>
              <a:latin typeface="Arial Cyr"/>
            </a:rPr>
            <a:t>прогноз</a:t>
          </a:r>
        </a:p>
      </cdr:txBody>
    </cdr:sp>
  </cdr:relSizeAnchor>
  <cdr:relSizeAnchor xmlns:cdr="http://schemas.openxmlformats.org/drawingml/2006/chartDrawing">
    <cdr:from>
      <cdr:x>0.22747</cdr:x>
      <cdr:y>0.57147</cdr:y>
    </cdr:from>
    <cdr:to>
      <cdr:x>0.90151</cdr:x>
      <cdr:y>0.67888</cdr:y>
    </cdr:to>
    <cdr:sp macro="" textlink="">
      <cdr:nvSpPr>
        <cdr:cNvPr id="14340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977232" y="4346925"/>
          <a:ext cx="5859025" cy="81701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27432" rIns="36576" bIns="27432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ru-RU" sz="1375" b="0" i="0" strike="noStrike">
              <a:solidFill>
                <a:srgbClr val="000000"/>
              </a:solidFill>
              <a:latin typeface="Arial Cyr"/>
            </a:rPr>
            <a:t> </a:t>
          </a:r>
          <a:r>
            <a:rPr lang="ru-RU" sz="2000" b="1" i="0" strike="noStrike">
              <a:solidFill>
                <a:srgbClr val="000000"/>
              </a:solidFill>
              <a:latin typeface="Arial Cyr"/>
            </a:rPr>
            <a:t>ДИНАМИКА  ЧИСЛЕННОСТИ  НАСЕЛЕНИЯ  РОССИИ</a:t>
          </a:r>
          <a:endParaRPr lang="ru-RU" sz="1800" b="1" i="0" strike="noStrike">
            <a:solidFill>
              <a:srgbClr val="000000"/>
            </a:solidFill>
            <a:latin typeface="Arial Cyr"/>
          </a:endParaRPr>
        </a:p>
      </cdr:txBody>
    </cdr:sp>
  </cdr:relSizeAnchor>
  <cdr:relSizeAnchor xmlns:cdr="http://schemas.openxmlformats.org/drawingml/2006/chartDrawing">
    <cdr:from>
      <cdr:x>0.55495</cdr:x>
      <cdr:y>0.38832</cdr:y>
    </cdr:from>
    <cdr:to>
      <cdr:x>0.63917</cdr:x>
      <cdr:y>0.45129</cdr:y>
    </cdr:to>
    <cdr:sp macro="" textlink="">
      <cdr:nvSpPr>
        <cdr:cNvPr id="7" name="TextBox 6"/>
        <cdr:cNvSpPr txBox="1"/>
      </cdr:nvSpPr>
      <cdr:spPr>
        <a:xfrm xmlns:a="http://schemas.openxmlformats.org/drawingml/2006/main">
          <a:off x="5290456" y="3020785"/>
          <a:ext cx="802822" cy="4898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ru-RU"/>
        </a:p>
      </cdr:txBody>
    </cdr:sp>
  </cdr:relSizeAnchor>
</c:userShapes>
</file>

<file path=xl/drawings/drawing140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57150</xdr:colOff>
      <xdr:row>3</xdr:row>
      <xdr:rowOff>0</xdr:rowOff>
    </xdr:from>
    <xdr:to>
      <xdr:col>24</xdr:col>
      <xdr:colOff>0</xdr:colOff>
      <xdr:row>41</xdr:row>
      <xdr:rowOff>9525</xdr:rowOff>
    </xdr:to>
    <xdr:graphicFrame macro="">
      <xdr:nvGraphicFramePr>
        <xdr:cNvPr id="60128538" name="Chart 5">
          <a:extLst>
            <a:ext uri="{FF2B5EF4-FFF2-40B4-BE49-F238E27FC236}">
              <a16:creationId xmlns:a16="http://schemas.microsoft.com/office/drawing/2014/main" id="{00000000-0008-0000-0600-00001A7D95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95250</xdr:colOff>
      <xdr:row>171</xdr:row>
      <xdr:rowOff>0</xdr:rowOff>
    </xdr:from>
    <xdr:to>
      <xdr:col>39</xdr:col>
      <xdr:colOff>561975</xdr:colOff>
      <xdr:row>209</xdr:row>
      <xdr:rowOff>9525</xdr:rowOff>
    </xdr:to>
    <xdr:graphicFrame macro="">
      <xdr:nvGraphicFramePr>
        <xdr:cNvPr id="60128541" name="Chart 5">
          <a:extLst>
            <a:ext uri="{FF2B5EF4-FFF2-40B4-BE49-F238E27FC236}">
              <a16:creationId xmlns:a16="http://schemas.microsoft.com/office/drawing/2014/main" id="{00000000-0008-0000-0600-00001D7D95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95250</xdr:colOff>
      <xdr:row>171</xdr:row>
      <xdr:rowOff>0</xdr:rowOff>
    </xdr:from>
    <xdr:to>
      <xdr:col>39</xdr:col>
      <xdr:colOff>561975</xdr:colOff>
      <xdr:row>209</xdr:row>
      <xdr:rowOff>9525</xdr:rowOff>
    </xdr:to>
    <xdr:graphicFrame macro="">
      <xdr:nvGraphicFramePr>
        <xdr:cNvPr id="60128542" name="Chart 5">
          <a:extLst>
            <a:ext uri="{FF2B5EF4-FFF2-40B4-BE49-F238E27FC236}">
              <a16:creationId xmlns:a16="http://schemas.microsoft.com/office/drawing/2014/main" id="{00000000-0008-0000-0600-00001E7D95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108</xdr:col>
      <xdr:colOff>142875</xdr:colOff>
      <xdr:row>15</xdr:row>
      <xdr:rowOff>11906</xdr:rowOff>
    </xdr:from>
    <xdr:to>
      <xdr:col>122</xdr:col>
      <xdr:colOff>595312</xdr:colOff>
      <xdr:row>52</xdr:row>
      <xdr:rowOff>238124</xdr:rowOff>
    </xdr:to>
    <xdr:graphicFrame macro="">
      <xdr:nvGraphicFramePr>
        <xdr:cNvPr id="30" name="Диаграмма 29">
          <a:extLst>
            <a:ext uri="{FF2B5EF4-FFF2-40B4-BE49-F238E27FC236}">
              <a16:creationId xmlns:a16="http://schemas.microsoft.com/office/drawing/2014/main" id="{00000000-0008-0000-0600-00001E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oneCellAnchor>
    <xdr:from>
      <xdr:col>112</xdr:col>
      <xdr:colOff>353786</xdr:colOff>
      <xdr:row>17</xdr:row>
      <xdr:rowOff>166688</xdr:rowOff>
    </xdr:from>
    <xdr:ext cx="5796643" cy="797718"/>
    <xdr:sp macro="" textlink="">
      <xdr:nvSpPr>
        <xdr:cNvPr id="31" name="TextBox 30">
          <a:extLst>
            <a:ext uri="{FF2B5EF4-FFF2-40B4-BE49-F238E27FC236}">
              <a16:creationId xmlns:a16="http://schemas.microsoft.com/office/drawing/2014/main" id="{00000000-0008-0000-0600-00001F000000}"/>
            </a:ext>
          </a:extLst>
        </xdr:cNvPr>
        <xdr:cNvSpPr txBox="1"/>
      </xdr:nvSpPr>
      <xdr:spPr>
        <a:xfrm>
          <a:off x="79261607" y="28850545"/>
          <a:ext cx="5796643" cy="79771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algn="ctr"/>
          <a:r>
            <a:rPr lang="ru-RU" sz="2000">
              <a:latin typeface="Arial" pitchFamily="34" charset="0"/>
              <a:cs typeface="Arial" pitchFamily="34" charset="0"/>
            </a:rPr>
            <a:t>ЦЕНА НА НЕФТЬ МАРКИ</a:t>
          </a:r>
          <a:r>
            <a:rPr lang="ru-RU" sz="2000" baseline="0">
              <a:latin typeface="Arial" pitchFamily="34" charset="0"/>
              <a:cs typeface="Arial" pitchFamily="34" charset="0"/>
            </a:rPr>
            <a:t> </a:t>
          </a:r>
          <a:r>
            <a:rPr lang="en-US" sz="2000" baseline="0">
              <a:latin typeface="Arial" pitchFamily="34" charset="0"/>
              <a:cs typeface="Arial" pitchFamily="34" charset="0"/>
            </a:rPr>
            <a:t>BRENT</a:t>
          </a:r>
          <a:endParaRPr lang="ru-RU" sz="2000">
            <a:latin typeface="Arial" pitchFamily="34" charset="0"/>
            <a:cs typeface="Arial" pitchFamily="34" charset="0"/>
          </a:endParaRPr>
        </a:p>
        <a:p>
          <a:pPr algn="ctr"/>
          <a:r>
            <a:rPr lang="ru-RU" sz="2000">
              <a:latin typeface="Arial" pitchFamily="34" charset="0"/>
              <a:cs typeface="Arial" pitchFamily="34" charset="0"/>
            </a:rPr>
            <a:t>(долл</a:t>
          </a:r>
          <a:r>
            <a:rPr lang="ru-RU" sz="2000" baseline="0">
              <a:latin typeface="Arial" pitchFamily="34" charset="0"/>
              <a:cs typeface="Arial" pitchFamily="34" charset="0"/>
            </a:rPr>
            <a:t> / барель</a:t>
          </a:r>
          <a:r>
            <a:rPr lang="ru-RU" sz="2000">
              <a:latin typeface="Arial" pitchFamily="34" charset="0"/>
              <a:cs typeface="Arial" pitchFamily="34" charset="0"/>
            </a:rPr>
            <a:t>)</a:t>
          </a:r>
        </a:p>
      </xdr:txBody>
    </xdr:sp>
    <xdr:clientData/>
  </xdr:oneCellAnchor>
  <xdr:oneCellAnchor>
    <xdr:from>
      <xdr:col>109</xdr:col>
      <xdr:colOff>162719</xdr:colOff>
      <xdr:row>16</xdr:row>
      <xdr:rowOff>115094</xdr:rowOff>
    </xdr:from>
    <xdr:ext cx="708138" cy="387286"/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00000000-0008-0000-0600-000020000000}"/>
            </a:ext>
          </a:extLst>
        </xdr:cNvPr>
        <xdr:cNvSpPr txBox="1"/>
      </xdr:nvSpPr>
      <xdr:spPr>
        <a:xfrm>
          <a:off x="77233576" y="28540415"/>
          <a:ext cx="708138" cy="3872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spAutoFit/>
        </a:bodyPr>
        <a:lstStyle/>
        <a:p>
          <a:r>
            <a:rPr lang="en-US" sz="2000">
              <a:latin typeface="Arial" panose="020B0604020202020204" pitchFamily="34" charset="0"/>
              <a:cs typeface="Arial" panose="020B0604020202020204" pitchFamily="34" charset="0"/>
            </a:rPr>
            <a:t>CNF</a:t>
          </a:r>
          <a:endParaRPr lang="ru-RU" sz="20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oneCellAnchor>
  <xdr:oneCellAnchor>
    <xdr:from>
      <xdr:col>113</xdr:col>
      <xdr:colOff>154215</xdr:colOff>
      <xdr:row>46</xdr:row>
      <xdr:rowOff>126432</xdr:rowOff>
    </xdr:from>
    <xdr:ext cx="2273508" cy="405432"/>
    <xdr:sp macro="" textlink="">
      <xdr:nvSpPr>
        <xdr:cNvPr id="33" name="TextBox 32">
          <a:extLst>
            <a:ext uri="{FF2B5EF4-FFF2-40B4-BE49-F238E27FC236}">
              <a16:creationId xmlns:a16="http://schemas.microsoft.com/office/drawing/2014/main" id="{00000000-0008-0000-0600-000021000000}"/>
            </a:ext>
          </a:extLst>
        </xdr:cNvPr>
        <xdr:cNvSpPr txBox="1"/>
      </xdr:nvSpPr>
      <xdr:spPr>
        <a:xfrm>
          <a:off x="75061536" y="10699182"/>
          <a:ext cx="2273508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ru-RU" sz="2000"/>
            <a:t>отчётные значения</a:t>
          </a:r>
        </a:p>
      </xdr:txBody>
    </xdr:sp>
    <xdr:clientData/>
  </xdr:oneCellAnchor>
  <xdr:oneCellAnchor>
    <xdr:from>
      <xdr:col>120</xdr:col>
      <xdr:colOff>43657</xdr:colOff>
      <xdr:row>46</xdr:row>
      <xdr:rowOff>99219</xdr:rowOff>
    </xdr:from>
    <xdr:ext cx="1057662" cy="405432"/>
    <xdr:sp macro="" textlink="">
      <xdr:nvSpPr>
        <xdr:cNvPr id="34" name="TextBox 33">
          <a:extLst>
            <a:ext uri="{FF2B5EF4-FFF2-40B4-BE49-F238E27FC236}">
              <a16:creationId xmlns:a16="http://schemas.microsoft.com/office/drawing/2014/main" id="{00000000-0008-0000-0600-000022000000}"/>
            </a:ext>
          </a:extLst>
        </xdr:cNvPr>
        <xdr:cNvSpPr txBox="1"/>
      </xdr:nvSpPr>
      <xdr:spPr>
        <a:xfrm>
          <a:off x="79509371" y="10671969"/>
          <a:ext cx="1057662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ru-RU" sz="2000"/>
            <a:t>прогноз</a:t>
          </a:r>
        </a:p>
      </xdr:txBody>
    </xdr:sp>
    <xdr:clientData/>
  </xdr:oneCellAnchor>
  <xdr:twoCellAnchor>
    <xdr:from>
      <xdr:col>132</xdr:col>
      <xdr:colOff>127000</xdr:colOff>
      <xdr:row>14</xdr:row>
      <xdr:rowOff>202407</xdr:rowOff>
    </xdr:from>
    <xdr:to>
      <xdr:col>146</xdr:col>
      <xdr:colOff>590550</xdr:colOff>
      <xdr:row>53</xdr:row>
      <xdr:rowOff>31750</xdr:rowOff>
    </xdr:to>
    <xdr:graphicFrame macro="">
      <xdr:nvGraphicFramePr>
        <xdr:cNvPr id="35" name="Диаграмма 34">
          <a:extLst>
            <a:ext uri="{FF2B5EF4-FFF2-40B4-BE49-F238E27FC236}">
              <a16:creationId xmlns:a16="http://schemas.microsoft.com/office/drawing/2014/main" id="{00000000-0008-0000-0600-00002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oneCellAnchor>
    <xdr:from>
      <xdr:col>134</xdr:col>
      <xdr:colOff>340179</xdr:colOff>
      <xdr:row>18</xdr:row>
      <xdr:rowOff>41956</xdr:rowOff>
    </xdr:from>
    <xdr:ext cx="7674428" cy="815294"/>
    <xdr:sp macro="" textlink="">
      <xdr:nvSpPr>
        <xdr:cNvPr id="36" name="TextBox 35">
          <a:extLst>
            <a:ext uri="{FF2B5EF4-FFF2-40B4-BE49-F238E27FC236}">
              <a16:creationId xmlns:a16="http://schemas.microsoft.com/office/drawing/2014/main" id="{00000000-0008-0000-0600-000024000000}"/>
            </a:ext>
          </a:extLst>
        </xdr:cNvPr>
        <xdr:cNvSpPr txBox="1"/>
      </xdr:nvSpPr>
      <xdr:spPr>
        <a:xfrm>
          <a:off x="92161179" y="28712206"/>
          <a:ext cx="7674428" cy="81529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algn="ctr"/>
          <a:r>
            <a:rPr lang="ru-RU" sz="2000">
              <a:latin typeface="Arial" panose="020B0604020202020204" pitchFamily="34" charset="0"/>
              <a:cs typeface="Arial" panose="020B0604020202020204" pitchFamily="34" charset="0"/>
            </a:rPr>
            <a:t>ПАРИТЕТ  ПОКУПАТЕЛЬНОЙ  СПОСОБНОСТИ  И ВАЛЮТНЫЙ</a:t>
          </a:r>
          <a:r>
            <a:rPr lang="ru-RU" sz="2000" baseline="0">
              <a:latin typeface="Arial" panose="020B0604020202020204" pitchFamily="34" charset="0"/>
              <a:cs typeface="Arial" panose="020B0604020202020204" pitchFamily="34" charset="0"/>
            </a:rPr>
            <a:t> КУРС РУБЛЯ    </a:t>
          </a:r>
          <a:r>
            <a:rPr lang="ru-RU" sz="2000">
              <a:latin typeface="Arial" panose="020B0604020202020204" pitchFamily="34" charset="0"/>
              <a:cs typeface="Arial" panose="020B0604020202020204" pitchFamily="34" charset="0"/>
            </a:rPr>
            <a:t>(</a:t>
          </a:r>
          <a:r>
            <a:rPr lang="en-US" sz="2000">
              <a:latin typeface="Arial" panose="020B0604020202020204" pitchFamily="34" charset="0"/>
              <a:cs typeface="Arial" panose="020B0604020202020204" pitchFamily="34" charset="0"/>
            </a:rPr>
            <a:t> </a:t>
          </a:r>
          <a:r>
            <a:rPr lang="ru-RU" sz="2000">
              <a:latin typeface="Arial" panose="020B0604020202020204" pitchFamily="34" charset="0"/>
              <a:cs typeface="Arial" panose="020B0604020202020204" pitchFamily="34" charset="0"/>
            </a:rPr>
            <a:t>руб</a:t>
          </a:r>
          <a:r>
            <a:rPr lang="ru-RU" sz="2000" baseline="0">
              <a:latin typeface="Arial" panose="020B0604020202020204" pitchFamily="34" charset="0"/>
              <a:cs typeface="Arial" panose="020B0604020202020204" pitchFamily="34" charset="0"/>
            </a:rPr>
            <a:t> / </a:t>
          </a:r>
          <a:r>
            <a:rPr lang="en-US" sz="2000" baseline="0">
              <a:latin typeface="Arial" panose="020B0604020202020204" pitchFamily="34" charset="0"/>
              <a:cs typeface="Arial" panose="020B0604020202020204" pitchFamily="34" charset="0"/>
            </a:rPr>
            <a:t>$ </a:t>
          </a:r>
          <a:r>
            <a:rPr lang="ru-RU" sz="2000">
              <a:latin typeface="Arial" panose="020B0604020202020204" pitchFamily="34" charset="0"/>
              <a:cs typeface="Arial" panose="020B0604020202020204" pitchFamily="34" charset="0"/>
            </a:rPr>
            <a:t>)</a:t>
          </a:r>
        </a:p>
      </xdr:txBody>
    </xdr:sp>
    <xdr:clientData/>
  </xdr:oneCellAnchor>
  <xdr:oneCellAnchor>
    <xdr:from>
      <xdr:col>137</xdr:col>
      <xdr:colOff>159885</xdr:colOff>
      <xdr:row>47</xdr:row>
      <xdr:rowOff>218282</xdr:rowOff>
    </xdr:from>
    <xdr:ext cx="708207" cy="374141"/>
    <xdr:sp macro="" textlink="">
      <xdr:nvSpPr>
        <xdr:cNvPr id="38" name="TextBox 37">
          <a:extLst>
            <a:ext uri="{FF2B5EF4-FFF2-40B4-BE49-F238E27FC236}">
              <a16:creationId xmlns:a16="http://schemas.microsoft.com/office/drawing/2014/main" id="{00000000-0008-0000-0600-000026000000}"/>
            </a:ext>
          </a:extLst>
        </xdr:cNvPr>
        <xdr:cNvSpPr txBox="1"/>
      </xdr:nvSpPr>
      <xdr:spPr>
        <a:xfrm>
          <a:off x="89587729" y="10993438"/>
          <a:ext cx="708207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ru-RU" sz="1800"/>
            <a:t>отчёт</a:t>
          </a:r>
        </a:p>
      </xdr:txBody>
    </xdr:sp>
    <xdr:clientData/>
  </xdr:oneCellAnchor>
  <xdr:oneCellAnchor>
    <xdr:from>
      <xdr:col>143</xdr:col>
      <xdr:colOff>606653</xdr:colOff>
      <xdr:row>47</xdr:row>
      <xdr:rowOff>210344</xdr:rowOff>
    </xdr:from>
    <xdr:ext cx="970330" cy="374141"/>
    <xdr:sp macro="" textlink="">
      <xdr:nvSpPr>
        <xdr:cNvPr id="39" name="TextBox 38">
          <a:extLst>
            <a:ext uri="{FF2B5EF4-FFF2-40B4-BE49-F238E27FC236}">
              <a16:creationId xmlns:a16="http://schemas.microsoft.com/office/drawing/2014/main" id="{00000000-0008-0000-0600-000027000000}"/>
            </a:ext>
          </a:extLst>
        </xdr:cNvPr>
        <xdr:cNvSpPr txBox="1"/>
      </xdr:nvSpPr>
      <xdr:spPr>
        <a:xfrm>
          <a:off x="93677809" y="10985500"/>
          <a:ext cx="970330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ru-RU" sz="1800"/>
            <a:t>прогноз</a:t>
          </a:r>
        </a:p>
      </xdr:txBody>
    </xdr:sp>
    <xdr:clientData/>
  </xdr:oneCellAnchor>
  <xdr:twoCellAnchor>
    <xdr:from>
      <xdr:col>50</xdr:col>
      <xdr:colOff>95249</xdr:colOff>
      <xdr:row>175</xdr:row>
      <xdr:rowOff>51026</xdr:rowOff>
    </xdr:from>
    <xdr:to>
      <xdr:col>64</xdr:col>
      <xdr:colOff>544286</xdr:colOff>
      <xdr:row>213</xdr:row>
      <xdr:rowOff>13606</xdr:rowOff>
    </xdr:to>
    <xdr:graphicFrame macro="">
      <xdr:nvGraphicFramePr>
        <xdr:cNvPr id="41" name="Диаграмма 40">
          <a:extLst>
            <a:ext uri="{FF2B5EF4-FFF2-40B4-BE49-F238E27FC236}">
              <a16:creationId xmlns:a16="http://schemas.microsoft.com/office/drawing/2014/main" id="{00000000-0008-0000-0600-00002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oneCellAnchor>
    <xdr:from>
      <xdr:col>52</xdr:col>
      <xdr:colOff>108858</xdr:colOff>
      <xdr:row>178</xdr:row>
      <xdr:rowOff>149679</xdr:rowOff>
    </xdr:from>
    <xdr:ext cx="6839245" cy="653143"/>
    <xdr:sp macro="" textlink="">
      <xdr:nvSpPr>
        <xdr:cNvPr id="42" name="TextBox 41">
          <a:extLst>
            <a:ext uri="{FF2B5EF4-FFF2-40B4-BE49-F238E27FC236}">
              <a16:creationId xmlns:a16="http://schemas.microsoft.com/office/drawing/2014/main" id="{00000000-0008-0000-0600-00002A000000}"/>
            </a:ext>
          </a:extLst>
        </xdr:cNvPr>
        <xdr:cNvSpPr txBox="1"/>
      </xdr:nvSpPr>
      <xdr:spPr>
        <a:xfrm>
          <a:off x="8803822" y="35419393"/>
          <a:ext cx="6839245" cy="65314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ru-RU" sz="1600">
              <a:latin typeface="Arial" pitchFamily="34" charset="0"/>
              <a:cs typeface="Arial" pitchFamily="34" charset="0"/>
            </a:rPr>
            <a:t>ДОХОДЫ ФЕДЕРАЛЬНОГО БЮДЖЕТА РОССИЙСКОЙ ФЕДЕРАЦИИ</a:t>
          </a:r>
        </a:p>
        <a:p>
          <a:pPr algn="ctr"/>
          <a:r>
            <a:rPr lang="ru-RU" sz="1600">
              <a:latin typeface="Arial" pitchFamily="34" charset="0"/>
              <a:cs typeface="Arial" pitchFamily="34" charset="0"/>
            </a:rPr>
            <a:t>(миллиардов</a:t>
          </a:r>
          <a:r>
            <a:rPr lang="ru-RU" sz="1600" baseline="0">
              <a:latin typeface="Arial" pitchFamily="34" charset="0"/>
              <a:cs typeface="Arial" pitchFamily="34" charset="0"/>
            </a:rPr>
            <a:t> рублей)</a:t>
          </a:r>
          <a:endParaRPr lang="ru-RU" sz="1600">
            <a:latin typeface="Arial" pitchFamily="34" charset="0"/>
            <a:cs typeface="Arial" pitchFamily="34" charset="0"/>
          </a:endParaRPr>
        </a:p>
      </xdr:txBody>
    </xdr:sp>
    <xdr:clientData/>
  </xdr:oneCellAnchor>
  <xdr:oneCellAnchor>
    <xdr:from>
      <xdr:col>51</xdr:col>
      <xdr:colOff>217714</xdr:colOff>
      <xdr:row>176</xdr:row>
      <xdr:rowOff>13606</xdr:rowOff>
    </xdr:from>
    <xdr:ext cx="558294" cy="374141"/>
    <xdr:sp macro="" textlink="">
      <xdr:nvSpPr>
        <xdr:cNvPr id="43" name="TextBox 42">
          <a:extLst>
            <a:ext uri="{FF2B5EF4-FFF2-40B4-BE49-F238E27FC236}">
              <a16:creationId xmlns:a16="http://schemas.microsoft.com/office/drawing/2014/main" id="{00000000-0008-0000-0600-00002B000000}"/>
            </a:ext>
          </a:extLst>
        </xdr:cNvPr>
        <xdr:cNvSpPr txBox="1"/>
      </xdr:nvSpPr>
      <xdr:spPr>
        <a:xfrm>
          <a:off x="8300357" y="34793463"/>
          <a:ext cx="558294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sz="1800"/>
            <a:t>DFB</a:t>
          </a:r>
          <a:endParaRPr lang="ru-RU" sz="1800"/>
        </a:p>
      </xdr:txBody>
    </xdr:sp>
    <xdr:clientData/>
  </xdr:oneCellAnchor>
  <xdr:twoCellAnchor>
    <xdr:from>
      <xdr:col>133</xdr:col>
      <xdr:colOff>114299</xdr:colOff>
      <xdr:row>56</xdr:row>
      <xdr:rowOff>31750</xdr:rowOff>
    </xdr:from>
    <xdr:to>
      <xdr:col>147</xdr:col>
      <xdr:colOff>634999</xdr:colOff>
      <xdr:row>93</xdr:row>
      <xdr:rowOff>190500</xdr:rowOff>
    </xdr:to>
    <xdr:graphicFrame macro="">
      <xdr:nvGraphicFramePr>
        <xdr:cNvPr id="46" name="Диаграмма 45">
          <a:extLst>
            <a:ext uri="{FF2B5EF4-FFF2-40B4-BE49-F238E27FC236}">
              <a16:creationId xmlns:a16="http://schemas.microsoft.com/office/drawing/2014/main" id="{00000000-0008-0000-0600-00002E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oneCellAnchor>
    <xdr:from>
      <xdr:col>136</xdr:col>
      <xdr:colOff>585107</xdr:colOff>
      <xdr:row>35</xdr:row>
      <xdr:rowOff>163286</xdr:rowOff>
    </xdr:from>
    <xdr:ext cx="783035" cy="387286"/>
    <xdr:sp macro="" textlink="">
      <xdr:nvSpPr>
        <xdr:cNvPr id="44" name="TextBox 43">
          <a:extLst>
            <a:ext uri="{FF2B5EF4-FFF2-40B4-BE49-F238E27FC236}">
              <a16:creationId xmlns:a16="http://schemas.microsoft.com/office/drawing/2014/main" id="{00000000-0008-0000-0600-00002C000000}"/>
            </a:ext>
          </a:extLst>
        </xdr:cNvPr>
        <xdr:cNvSpPr txBox="1"/>
      </xdr:nvSpPr>
      <xdr:spPr>
        <a:xfrm>
          <a:off x="93310982" y="33215036"/>
          <a:ext cx="783035" cy="3872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sz="2000">
              <a:latin typeface="Arial" pitchFamily="34" charset="0"/>
              <a:cs typeface="Arial" pitchFamily="34" charset="0"/>
            </a:rPr>
            <a:t>WKU</a:t>
          </a:r>
          <a:endParaRPr lang="ru-RU" sz="2000">
            <a:latin typeface="Arial" pitchFamily="34" charset="0"/>
            <a:cs typeface="Arial" pitchFamily="34" charset="0"/>
          </a:endParaRPr>
        </a:p>
      </xdr:txBody>
    </xdr:sp>
    <xdr:clientData/>
  </xdr:oneCellAnchor>
  <xdr:oneCellAnchor>
    <xdr:from>
      <xdr:col>135</xdr:col>
      <xdr:colOff>339047</xdr:colOff>
      <xdr:row>43</xdr:row>
      <xdr:rowOff>157615</xdr:rowOff>
    </xdr:from>
    <xdr:ext cx="742623" cy="449036"/>
    <xdr:sp macro="" textlink="">
      <xdr:nvSpPr>
        <xdr:cNvPr id="45" name="TextBox 44">
          <a:extLst>
            <a:ext uri="{FF2B5EF4-FFF2-40B4-BE49-F238E27FC236}">
              <a16:creationId xmlns:a16="http://schemas.microsoft.com/office/drawing/2014/main" id="{00000000-0008-0000-0600-00002D000000}"/>
            </a:ext>
          </a:extLst>
        </xdr:cNvPr>
        <xdr:cNvSpPr txBox="1"/>
      </xdr:nvSpPr>
      <xdr:spPr>
        <a:xfrm>
          <a:off x="88552453" y="9813584"/>
          <a:ext cx="742623" cy="44903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en-US" sz="2000">
              <a:latin typeface="Arial" pitchFamily="34" charset="0"/>
              <a:cs typeface="Arial" pitchFamily="34" charset="0"/>
            </a:rPr>
            <a:t>PPS</a:t>
          </a:r>
          <a:endParaRPr lang="ru-RU" sz="2000">
            <a:latin typeface="Arial" pitchFamily="34" charset="0"/>
            <a:cs typeface="Arial" pitchFamily="34" charset="0"/>
          </a:endParaRPr>
        </a:p>
      </xdr:txBody>
    </xdr:sp>
    <xdr:clientData/>
  </xdr:oneCellAnchor>
  <xdr:twoCellAnchor>
    <xdr:from>
      <xdr:col>9</xdr:col>
      <xdr:colOff>57151</xdr:colOff>
      <xdr:row>44</xdr:row>
      <xdr:rowOff>31976</xdr:rowOff>
    </xdr:from>
    <xdr:to>
      <xdr:col>24</xdr:col>
      <xdr:colOff>0</xdr:colOff>
      <xdr:row>81</xdr:row>
      <xdr:rowOff>261256</xdr:rowOff>
    </xdr:to>
    <xdr:graphicFrame macro="">
      <xdr:nvGraphicFramePr>
        <xdr:cNvPr id="26" name="Диаграмма 25">
          <a:extLst>
            <a:ext uri="{FF2B5EF4-FFF2-40B4-BE49-F238E27FC236}">
              <a16:creationId xmlns:a16="http://schemas.microsoft.com/office/drawing/2014/main" id="{00000000-0008-0000-0600-00001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oneCellAnchor>
    <xdr:from>
      <xdr:col>13</xdr:col>
      <xdr:colOff>108858</xdr:colOff>
      <xdr:row>47</xdr:row>
      <xdr:rowOff>149679</xdr:rowOff>
    </xdr:from>
    <xdr:ext cx="6839245" cy="653143"/>
    <xdr:sp macro="" textlink="">
      <xdr:nvSpPr>
        <xdr:cNvPr id="27" name="TextBox 26">
          <a:extLst>
            <a:ext uri="{FF2B5EF4-FFF2-40B4-BE49-F238E27FC236}">
              <a16:creationId xmlns:a16="http://schemas.microsoft.com/office/drawing/2014/main" id="{00000000-0008-0000-0600-00001B000000}"/>
            </a:ext>
          </a:extLst>
        </xdr:cNvPr>
        <xdr:cNvSpPr txBox="1"/>
      </xdr:nvSpPr>
      <xdr:spPr>
        <a:xfrm>
          <a:off x="8919483" y="30534429"/>
          <a:ext cx="6839245" cy="65314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ru-RU" sz="1600">
            <a:latin typeface="Arial" pitchFamily="34" charset="0"/>
            <a:cs typeface="Arial" pitchFamily="34" charset="0"/>
          </a:endParaRPr>
        </a:p>
      </xdr:txBody>
    </xdr:sp>
    <xdr:clientData/>
  </xdr:oneCellAnchor>
  <xdr:oneCellAnchor>
    <xdr:from>
      <xdr:col>12</xdr:col>
      <xdr:colOff>257175</xdr:colOff>
      <xdr:row>48</xdr:row>
      <xdr:rowOff>131081</xdr:rowOff>
    </xdr:from>
    <xdr:ext cx="5943600" cy="1015094"/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id="{00000000-0008-0000-0600-00001C000000}"/>
            </a:ext>
          </a:extLst>
        </xdr:cNvPr>
        <xdr:cNvSpPr txBox="1"/>
      </xdr:nvSpPr>
      <xdr:spPr>
        <a:xfrm>
          <a:off x="8543925" y="11351531"/>
          <a:ext cx="5943600" cy="101509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marR="0" lvl="0" indent="0" algn="ctr" defTabSz="914400" rtl="1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ru-RU" sz="2000" b="0" i="0">
              <a:solidFill>
                <a:schemeClr val="tx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ЛОКАЛЬНАЯ РЕГРЕССИЯ</a:t>
          </a:r>
          <a:r>
            <a:rPr lang="ru-RU" sz="2000" b="0" i="0" baseline="0">
              <a:solidFill>
                <a:schemeClr val="tx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 ВВОДОВ ОСНОВНЫХ ФОНДОВ ОТ ИНВЕСТИЦИЙ</a:t>
          </a:r>
          <a:r>
            <a:rPr lang="ru-RU" sz="2000" b="0" i="0">
              <a:solidFill>
                <a:schemeClr val="tx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 </a:t>
          </a:r>
          <a:endParaRPr lang="ru-RU" sz="2000">
            <a:effectLst/>
            <a:latin typeface="Arial" panose="020B0604020202020204" pitchFamily="34" charset="0"/>
            <a:cs typeface="Arial" panose="020B0604020202020204" pitchFamily="34" charset="0"/>
          </a:endParaRPr>
        </a:p>
        <a:p>
          <a:endParaRPr lang="ru-RU" sz="1800"/>
        </a:p>
      </xdr:txBody>
    </xdr:sp>
    <xdr:clientData/>
  </xdr:oneCellAnchor>
  <xdr:twoCellAnchor>
    <xdr:from>
      <xdr:col>33</xdr:col>
      <xdr:colOff>57150</xdr:colOff>
      <xdr:row>3</xdr:row>
      <xdr:rowOff>0</xdr:rowOff>
    </xdr:from>
    <xdr:to>
      <xdr:col>47</xdr:col>
      <xdr:colOff>0</xdr:colOff>
      <xdr:row>41</xdr:row>
      <xdr:rowOff>9525</xdr:rowOff>
    </xdr:to>
    <xdr:graphicFrame macro="">
      <xdr:nvGraphicFramePr>
        <xdr:cNvPr id="24" name="Chart 5">
          <a:extLst>
            <a:ext uri="{FF2B5EF4-FFF2-40B4-BE49-F238E27FC236}">
              <a16:creationId xmlns:a16="http://schemas.microsoft.com/office/drawing/2014/main" id="{00000000-0008-0000-0600-00001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32</xdr:col>
      <xdr:colOff>76201</xdr:colOff>
      <xdr:row>43</xdr:row>
      <xdr:rowOff>260576</xdr:rowOff>
    </xdr:from>
    <xdr:to>
      <xdr:col>46</xdr:col>
      <xdr:colOff>590550</xdr:colOff>
      <xdr:row>81</xdr:row>
      <xdr:rowOff>235856</xdr:rowOff>
    </xdr:to>
    <xdr:graphicFrame macro="">
      <xdr:nvGraphicFramePr>
        <xdr:cNvPr id="40" name="Диаграмма 39">
          <a:extLst>
            <a:ext uri="{FF2B5EF4-FFF2-40B4-BE49-F238E27FC236}">
              <a16:creationId xmlns:a16="http://schemas.microsoft.com/office/drawing/2014/main" id="{00000000-0008-0000-0600-00002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oneCellAnchor>
    <xdr:from>
      <xdr:col>37</xdr:col>
      <xdr:colOff>108858</xdr:colOff>
      <xdr:row>47</xdr:row>
      <xdr:rowOff>149679</xdr:rowOff>
    </xdr:from>
    <xdr:ext cx="6839245" cy="653143"/>
    <xdr:sp macro="" textlink="">
      <xdr:nvSpPr>
        <xdr:cNvPr id="47" name="TextBox 46">
          <a:extLst>
            <a:ext uri="{FF2B5EF4-FFF2-40B4-BE49-F238E27FC236}">
              <a16:creationId xmlns:a16="http://schemas.microsoft.com/office/drawing/2014/main" id="{00000000-0008-0000-0600-00002F000000}"/>
            </a:ext>
          </a:extLst>
        </xdr:cNvPr>
        <xdr:cNvSpPr txBox="1"/>
      </xdr:nvSpPr>
      <xdr:spPr>
        <a:xfrm>
          <a:off x="9005208" y="11084379"/>
          <a:ext cx="6839245" cy="65314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ru-RU" sz="1600">
            <a:latin typeface="Arial" pitchFamily="34" charset="0"/>
            <a:cs typeface="Arial" pitchFamily="34" charset="0"/>
          </a:endParaRPr>
        </a:p>
      </xdr:txBody>
    </xdr:sp>
    <xdr:clientData/>
  </xdr:oneCellAnchor>
  <xdr:oneCellAnchor>
    <xdr:from>
      <xdr:col>36</xdr:col>
      <xdr:colOff>98425</xdr:colOff>
      <xdr:row>48</xdr:row>
      <xdr:rowOff>7256</xdr:rowOff>
    </xdr:from>
    <xdr:ext cx="5943600" cy="770619"/>
    <xdr:sp macro="" textlink="">
      <xdr:nvSpPr>
        <xdr:cNvPr id="48" name="TextBox 47">
          <a:extLst>
            <a:ext uri="{FF2B5EF4-FFF2-40B4-BE49-F238E27FC236}">
              <a16:creationId xmlns:a16="http://schemas.microsoft.com/office/drawing/2014/main" id="{00000000-0008-0000-0600-000030000000}"/>
            </a:ext>
          </a:extLst>
        </xdr:cNvPr>
        <xdr:cNvSpPr txBox="1"/>
      </xdr:nvSpPr>
      <xdr:spPr>
        <a:xfrm>
          <a:off x="23085425" y="10945131"/>
          <a:ext cx="5943600" cy="77061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marR="0" lvl="0" indent="0" algn="ctr" defTabSz="914400" rtl="1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ru-RU" sz="2000" b="0" i="0">
              <a:solidFill>
                <a:schemeClr val="tx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ЛОКАЛЬНАЯ РЕГРЕССИЯ</a:t>
          </a:r>
          <a:r>
            <a:rPr lang="ru-RU" sz="2000" b="0" i="0" baseline="0">
              <a:solidFill>
                <a:schemeClr val="tx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 </a:t>
          </a:r>
          <a:r>
            <a:rPr lang="ru-RU" sz="2000" b="0" i="0">
              <a:solidFill>
                <a:schemeClr val="tx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  ИНВЕСТИЦИЙ</a:t>
          </a:r>
          <a:r>
            <a:rPr lang="ru-RU" sz="2000" b="0" i="0" baseline="0">
              <a:solidFill>
                <a:schemeClr val="tx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  ОТ ВВП</a:t>
          </a:r>
          <a:r>
            <a:rPr lang="ru-RU" sz="2000" b="0" i="0">
              <a:solidFill>
                <a:schemeClr val="tx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 </a:t>
          </a:r>
          <a:endParaRPr lang="ru-RU" sz="2000">
            <a:effectLst/>
            <a:latin typeface="Arial" panose="020B0604020202020204" pitchFamily="34" charset="0"/>
            <a:cs typeface="Arial" panose="020B0604020202020204" pitchFamily="34" charset="0"/>
          </a:endParaRPr>
        </a:p>
        <a:p>
          <a:endParaRPr lang="ru-RU" sz="1800"/>
        </a:p>
      </xdr:txBody>
    </xdr:sp>
    <xdr:clientData/>
  </xdr:oneCellAnchor>
  <xdr:twoCellAnchor>
    <xdr:from>
      <xdr:col>54</xdr:col>
      <xdr:colOff>57149</xdr:colOff>
      <xdr:row>3</xdr:row>
      <xdr:rowOff>0</xdr:rowOff>
    </xdr:from>
    <xdr:to>
      <xdr:col>68</xdr:col>
      <xdr:colOff>587374</xdr:colOff>
      <xdr:row>41</xdr:row>
      <xdr:rowOff>9525</xdr:rowOff>
    </xdr:to>
    <xdr:graphicFrame macro="">
      <xdr:nvGraphicFramePr>
        <xdr:cNvPr id="37" name="Chart 5">
          <a:extLst>
            <a:ext uri="{FF2B5EF4-FFF2-40B4-BE49-F238E27FC236}">
              <a16:creationId xmlns:a16="http://schemas.microsoft.com/office/drawing/2014/main" id="{00000000-0008-0000-0600-00002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55</xdr:col>
      <xdr:colOff>57151</xdr:colOff>
      <xdr:row>44</xdr:row>
      <xdr:rowOff>31976</xdr:rowOff>
    </xdr:from>
    <xdr:to>
      <xdr:col>69</xdr:col>
      <xdr:colOff>539750</xdr:colOff>
      <xdr:row>82</xdr:row>
      <xdr:rowOff>7256</xdr:rowOff>
    </xdr:to>
    <xdr:graphicFrame macro="">
      <xdr:nvGraphicFramePr>
        <xdr:cNvPr id="51" name="Диаграмма 50">
          <a:extLst>
            <a:ext uri="{FF2B5EF4-FFF2-40B4-BE49-F238E27FC236}">
              <a16:creationId xmlns:a16="http://schemas.microsoft.com/office/drawing/2014/main" id="{00000000-0008-0000-0600-00003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oneCellAnchor>
    <xdr:from>
      <xdr:col>57</xdr:col>
      <xdr:colOff>267608</xdr:colOff>
      <xdr:row>48</xdr:row>
      <xdr:rowOff>244929</xdr:rowOff>
    </xdr:from>
    <xdr:ext cx="6839245" cy="653143"/>
    <xdr:sp macro="" textlink="">
      <xdr:nvSpPr>
        <xdr:cNvPr id="52" name="TextBox 51">
          <a:extLst>
            <a:ext uri="{FF2B5EF4-FFF2-40B4-BE49-F238E27FC236}">
              <a16:creationId xmlns:a16="http://schemas.microsoft.com/office/drawing/2014/main" id="{00000000-0008-0000-0600-000034000000}"/>
            </a:ext>
          </a:extLst>
        </xdr:cNvPr>
        <xdr:cNvSpPr txBox="1"/>
      </xdr:nvSpPr>
      <xdr:spPr>
        <a:xfrm>
          <a:off x="36668983" y="11182804"/>
          <a:ext cx="6839245" cy="65314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ru-RU" sz="1600">
            <a:latin typeface="Arial" pitchFamily="34" charset="0"/>
            <a:cs typeface="Arial" pitchFamily="34" charset="0"/>
          </a:endParaRPr>
        </a:p>
      </xdr:txBody>
    </xdr:sp>
    <xdr:clientData/>
  </xdr:oneCellAnchor>
  <xdr:oneCellAnchor>
    <xdr:from>
      <xdr:col>58</xdr:col>
      <xdr:colOff>66675</xdr:colOff>
      <xdr:row>47</xdr:row>
      <xdr:rowOff>174625</xdr:rowOff>
    </xdr:from>
    <xdr:ext cx="5943600" cy="1063625"/>
    <xdr:sp macro="" textlink="">
      <xdr:nvSpPr>
        <xdr:cNvPr id="53" name="TextBox 52">
          <a:extLst>
            <a:ext uri="{FF2B5EF4-FFF2-40B4-BE49-F238E27FC236}">
              <a16:creationId xmlns:a16="http://schemas.microsoft.com/office/drawing/2014/main" id="{00000000-0008-0000-0600-000035000000}"/>
            </a:ext>
          </a:extLst>
        </xdr:cNvPr>
        <xdr:cNvSpPr txBox="1"/>
      </xdr:nvSpPr>
      <xdr:spPr>
        <a:xfrm>
          <a:off x="37277675" y="10858500"/>
          <a:ext cx="5943600" cy="10636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marR="0" lvl="0" indent="0" algn="ctr" defTabSz="914400" rtl="1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ru-RU" sz="2000" b="0" i="0">
              <a:solidFill>
                <a:schemeClr val="tx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РЕГРЕССИЯ</a:t>
          </a:r>
          <a:r>
            <a:rPr lang="ru-RU" sz="2000" b="0" i="0" baseline="0">
              <a:solidFill>
                <a:schemeClr val="tx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 </a:t>
          </a:r>
          <a:r>
            <a:rPr lang="en-US" sz="2000" b="0" i="0" baseline="0">
              <a:solidFill>
                <a:schemeClr val="tx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 </a:t>
          </a:r>
          <a:r>
            <a:rPr lang="ru-RU" sz="2000" b="0" i="0" baseline="0">
              <a:solidFill>
                <a:schemeClr val="tx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МОДИФИЦИРОВАННЫХ РАСХОДОВ НА КП ГОСУДАРСТВА </a:t>
          </a:r>
          <a:endParaRPr lang="ru-RU" sz="2000">
            <a:effectLst/>
            <a:latin typeface="Arial" panose="020B0604020202020204" pitchFamily="34" charset="0"/>
            <a:cs typeface="Arial" panose="020B0604020202020204" pitchFamily="34" charset="0"/>
          </a:endParaRPr>
        </a:p>
        <a:p>
          <a:endParaRPr lang="ru-RU" sz="1800"/>
        </a:p>
      </xdr:txBody>
    </xdr:sp>
    <xdr:clientData/>
  </xdr:oneCellAnchor>
  <xdr:twoCellAnchor>
    <xdr:from>
      <xdr:col>9</xdr:col>
      <xdr:colOff>57151</xdr:colOff>
      <xdr:row>84</xdr:row>
      <xdr:rowOff>31976</xdr:rowOff>
    </xdr:from>
    <xdr:to>
      <xdr:col>24</xdr:col>
      <xdr:colOff>0</xdr:colOff>
      <xdr:row>121</xdr:row>
      <xdr:rowOff>261256</xdr:rowOff>
    </xdr:to>
    <xdr:graphicFrame macro="">
      <xdr:nvGraphicFramePr>
        <xdr:cNvPr id="55" name="Диаграмма 54">
          <a:extLst>
            <a:ext uri="{FF2B5EF4-FFF2-40B4-BE49-F238E27FC236}">
              <a16:creationId xmlns:a16="http://schemas.microsoft.com/office/drawing/2014/main" id="{00000000-0008-0000-0600-00003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oneCellAnchor>
    <xdr:from>
      <xdr:col>12</xdr:col>
      <xdr:colOff>13608</xdr:colOff>
      <xdr:row>88</xdr:row>
      <xdr:rowOff>213179</xdr:rowOff>
    </xdr:from>
    <xdr:ext cx="6839245" cy="653143"/>
    <xdr:sp macro="" textlink="">
      <xdr:nvSpPr>
        <xdr:cNvPr id="56" name="TextBox 55">
          <a:extLst>
            <a:ext uri="{FF2B5EF4-FFF2-40B4-BE49-F238E27FC236}">
              <a16:creationId xmlns:a16="http://schemas.microsoft.com/office/drawing/2014/main" id="{00000000-0008-0000-0600-000038000000}"/>
            </a:ext>
          </a:extLst>
        </xdr:cNvPr>
        <xdr:cNvSpPr txBox="1"/>
      </xdr:nvSpPr>
      <xdr:spPr>
        <a:xfrm>
          <a:off x="8220983" y="21390429"/>
          <a:ext cx="6839245" cy="65314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ru-RU" sz="1600">
            <a:latin typeface="Arial" pitchFamily="34" charset="0"/>
            <a:cs typeface="Arial" pitchFamily="34" charset="0"/>
          </a:endParaRPr>
        </a:p>
      </xdr:txBody>
    </xdr:sp>
    <xdr:clientData/>
  </xdr:oneCellAnchor>
  <xdr:oneCellAnchor>
    <xdr:from>
      <xdr:col>12</xdr:col>
      <xdr:colOff>146050</xdr:colOff>
      <xdr:row>86</xdr:row>
      <xdr:rowOff>178706</xdr:rowOff>
    </xdr:from>
    <xdr:ext cx="5943600" cy="1015094"/>
    <xdr:sp macro="" textlink="">
      <xdr:nvSpPr>
        <xdr:cNvPr id="57" name="TextBox 56">
          <a:extLst>
            <a:ext uri="{FF2B5EF4-FFF2-40B4-BE49-F238E27FC236}">
              <a16:creationId xmlns:a16="http://schemas.microsoft.com/office/drawing/2014/main" id="{00000000-0008-0000-0600-000039000000}"/>
            </a:ext>
          </a:extLst>
        </xdr:cNvPr>
        <xdr:cNvSpPr txBox="1"/>
      </xdr:nvSpPr>
      <xdr:spPr>
        <a:xfrm>
          <a:off x="8353425" y="20847956"/>
          <a:ext cx="5943600" cy="101509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marR="0" lvl="0" indent="0" algn="ctr" defTabSz="914400" rtl="1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ru-RU" sz="2000" b="0" i="0">
              <a:solidFill>
                <a:schemeClr val="tx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 РЕГРЕССИЯ</a:t>
          </a:r>
          <a:r>
            <a:rPr lang="ru-RU" sz="2000" b="0" i="0" baseline="0">
              <a:solidFill>
                <a:schemeClr val="tx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 БАЗИСНОГО ДЕФЛЯТОРА ВВОДОВ ОСНОВНЫХ ФОНДОВ</a:t>
          </a:r>
          <a:r>
            <a:rPr lang="en-US" sz="2000" b="0" i="0" baseline="0">
              <a:solidFill>
                <a:schemeClr val="tx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 </a:t>
          </a:r>
          <a:r>
            <a:rPr lang="ru-RU" sz="2000" b="0" i="0" baseline="0">
              <a:solidFill>
                <a:schemeClr val="tx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ОТ БАЗИСНОГО ИПЦ</a:t>
          </a:r>
          <a:r>
            <a:rPr lang="ru-RU" sz="2000" b="0" i="0">
              <a:solidFill>
                <a:schemeClr val="tx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 </a:t>
          </a:r>
          <a:endParaRPr lang="ru-RU" sz="2000">
            <a:effectLst/>
            <a:latin typeface="Arial" panose="020B0604020202020204" pitchFamily="34" charset="0"/>
            <a:cs typeface="Arial" panose="020B0604020202020204" pitchFamily="34" charset="0"/>
          </a:endParaRPr>
        </a:p>
        <a:p>
          <a:endParaRPr lang="ru-RU" sz="1800"/>
        </a:p>
      </xdr:txBody>
    </xdr:sp>
    <xdr:clientData/>
  </xdr:oneCellAnchor>
  <xdr:twoCellAnchor>
    <xdr:from>
      <xdr:col>31</xdr:col>
      <xdr:colOff>57150</xdr:colOff>
      <xdr:row>84</xdr:row>
      <xdr:rowOff>0</xdr:rowOff>
    </xdr:from>
    <xdr:to>
      <xdr:col>45</xdr:col>
      <xdr:colOff>571500</xdr:colOff>
      <xdr:row>122</xdr:row>
      <xdr:rowOff>9525</xdr:rowOff>
    </xdr:to>
    <xdr:graphicFrame macro="">
      <xdr:nvGraphicFramePr>
        <xdr:cNvPr id="50" name="Chart 5">
          <a:extLst>
            <a:ext uri="{FF2B5EF4-FFF2-40B4-BE49-F238E27FC236}">
              <a16:creationId xmlns:a16="http://schemas.microsoft.com/office/drawing/2014/main" id="{00000000-0008-0000-0600-00003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52</xdr:col>
      <xdr:colOff>57150</xdr:colOff>
      <xdr:row>84</xdr:row>
      <xdr:rowOff>0</xdr:rowOff>
    </xdr:from>
    <xdr:to>
      <xdr:col>66</xdr:col>
      <xdr:colOff>571500</xdr:colOff>
      <xdr:row>122</xdr:row>
      <xdr:rowOff>9525</xdr:rowOff>
    </xdr:to>
    <xdr:graphicFrame macro="">
      <xdr:nvGraphicFramePr>
        <xdr:cNvPr id="54" name="Chart 5">
          <a:extLst>
            <a:ext uri="{FF2B5EF4-FFF2-40B4-BE49-F238E27FC236}">
              <a16:creationId xmlns:a16="http://schemas.microsoft.com/office/drawing/2014/main" id="{00000000-0008-0000-0600-00003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77</xdr:col>
      <xdr:colOff>114301</xdr:colOff>
      <xdr:row>43</xdr:row>
      <xdr:rowOff>241526</xdr:rowOff>
    </xdr:from>
    <xdr:to>
      <xdr:col>91</xdr:col>
      <xdr:colOff>38100</xdr:colOff>
      <xdr:row>81</xdr:row>
      <xdr:rowOff>216806</xdr:rowOff>
    </xdr:to>
    <xdr:graphicFrame macro="">
      <xdr:nvGraphicFramePr>
        <xdr:cNvPr id="60" name="Диаграмма 59">
          <a:extLst>
            <a:ext uri="{FF2B5EF4-FFF2-40B4-BE49-F238E27FC236}">
              <a16:creationId xmlns:a16="http://schemas.microsoft.com/office/drawing/2014/main" id="{00000000-0008-0000-0600-00003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oneCellAnchor>
    <xdr:from>
      <xdr:col>79</xdr:col>
      <xdr:colOff>267608</xdr:colOff>
      <xdr:row>48</xdr:row>
      <xdr:rowOff>244929</xdr:rowOff>
    </xdr:from>
    <xdr:ext cx="6839245" cy="653143"/>
    <xdr:sp macro="" textlink="">
      <xdr:nvSpPr>
        <xdr:cNvPr id="61" name="TextBox 60">
          <a:extLst>
            <a:ext uri="{FF2B5EF4-FFF2-40B4-BE49-F238E27FC236}">
              <a16:creationId xmlns:a16="http://schemas.microsoft.com/office/drawing/2014/main" id="{00000000-0008-0000-0600-00003D000000}"/>
            </a:ext>
          </a:extLst>
        </xdr:cNvPr>
        <xdr:cNvSpPr txBox="1"/>
      </xdr:nvSpPr>
      <xdr:spPr>
        <a:xfrm>
          <a:off x="37367483" y="11389179"/>
          <a:ext cx="6839245" cy="65314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ru-RU" sz="1600">
            <a:latin typeface="Arial" pitchFamily="34" charset="0"/>
            <a:cs typeface="Arial" pitchFamily="34" charset="0"/>
          </a:endParaRPr>
        </a:p>
      </xdr:txBody>
    </xdr:sp>
    <xdr:clientData/>
  </xdr:oneCellAnchor>
  <xdr:oneCellAnchor>
    <xdr:from>
      <xdr:col>80</xdr:col>
      <xdr:colOff>66675</xdr:colOff>
      <xdr:row>47</xdr:row>
      <xdr:rowOff>174625</xdr:rowOff>
    </xdr:from>
    <xdr:ext cx="5943600" cy="1063625"/>
    <xdr:sp macro="" textlink="">
      <xdr:nvSpPr>
        <xdr:cNvPr id="62" name="TextBox 61">
          <a:extLst>
            <a:ext uri="{FF2B5EF4-FFF2-40B4-BE49-F238E27FC236}">
              <a16:creationId xmlns:a16="http://schemas.microsoft.com/office/drawing/2014/main" id="{00000000-0008-0000-0600-00003E000000}"/>
            </a:ext>
          </a:extLst>
        </xdr:cNvPr>
        <xdr:cNvSpPr txBox="1"/>
      </xdr:nvSpPr>
      <xdr:spPr>
        <a:xfrm>
          <a:off x="37785675" y="11033125"/>
          <a:ext cx="5943600" cy="10636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marR="0" lvl="0" indent="0" algn="ctr" defTabSz="914400" rtl="1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ru-RU" sz="2400" b="0" i="0">
              <a:solidFill>
                <a:schemeClr val="tx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РЕГРЕССИЯ</a:t>
          </a:r>
          <a:r>
            <a:rPr lang="ru-RU" sz="2400" b="0" i="0" baseline="0">
              <a:solidFill>
                <a:schemeClr val="tx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 ЗАТРАТ НА КП ГОСУДАРСТВА ОТ ВВП</a:t>
          </a:r>
          <a:r>
            <a:rPr lang="ru-RU" sz="2400" b="0" i="0">
              <a:solidFill>
                <a:schemeClr val="tx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 </a:t>
          </a:r>
          <a:endParaRPr lang="ru-RU" sz="2400">
            <a:effectLst/>
            <a:latin typeface="Arial" panose="020B0604020202020204" pitchFamily="34" charset="0"/>
            <a:cs typeface="Arial" panose="020B0604020202020204" pitchFamily="34" charset="0"/>
          </a:endParaRPr>
        </a:p>
        <a:p>
          <a:endParaRPr lang="ru-RU" sz="1800"/>
        </a:p>
      </xdr:txBody>
    </xdr:sp>
    <xdr:clientData/>
  </xdr:oneCellAnchor>
</xdr:wsDr>
</file>

<file path=xl/drawings/drawing141.xml><?xml version="1.0" encoding="utf-8"?>
<c:userShapes xmlns:c="http://schemas.openxmlformats.org/drawingml/2006/chart">
  <cdr:relSizeAnchor xmlns:cdr="http://schemas.openxmlformats.org/drawingml/2006/chartDrawing">
    <cdr:from>
      <cdr:x>0.21486</cdr:x>
      <cdr:y>0.7069</cdr:y>
    </cdr:from>
    <cdr:to>
      <cdr:x>0.75658</cdr:x>
      <cdr:y>0.78007</cdr:y>
    </cdr:to>
    <cdr:sp macro="" textlink="">
      <cdr:nvSpPr>
        <cdr:cNvPr id="6145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023168" y="6105120"/>
          <a:ext cx="5100915" cy="63193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45720" tIns="32004" rIns="45720" bIns="32004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en-US" sz="2000" b="0" i="0" strike="noStrike">
              <a:solidFill>
                <a:srgbClr val="000000"/>
              </a:solidFill>
              <a:latin typeface="Arial Cyr"/>
            </a:rPr>
            <a:t>vt</a:t>
          </a:r>
          <a:r>
            <a:rPr lang="en-US" sz="2000" b="0" i="0" strike="noStrike" baseline="0">
              <a:solidFill>
                <a:srgbClr val="000000"/>
              </a:solidFill>
              <a:latin typeface="Arial Cyr"/>
            </a:rPr>
            <a:t> = WWt / (</a:t>
          </a:r>
          <a:r>
            <a:rPr lang="ru-RU" sz="2000" b="0" i="0" strike="noStrike" baseline="0">
              <a:solidFill>
                <a:srgbClr val="000000"/>
              </a:solidFill>
              <a:latin typeface="Arial Cyr"/>
            </a:rPr>
            <a:t>0</a:t>
          </a:r>
          <a:r>
            <a:rPr lang="en-US" sz="2000" b="0" i="0" strike="noStrike" baseline="0">
              <a:solidFill>
                <a:srgbClr val="000000"/>
              </a:solidFill>
              <a:latin typeface="Arial Cyr"/>
            </a:rPr>
            <a:t>,7*INt + </a:t>
          </a:r>
          <a:r>
            <a:rPr lang="ru-RU" sz="2000" b="0" i="0" strike="noStrike" baseline="0">
              <a:solidFill>
                <a:srgbClr val="000000"/>
              </a:solidFill>
              <a:latin typeface="Arial Cyr"/>
            </a:rPr>
            <a:t>0</a:t>
          </a:r>
          <a:r>
            <a:rPr lang="en-US" sz="2000" b="0" i="0" strike="noStrike" baseline="0">
              <a:solidFill>
                <a:srgbClr val="000000"/>
              </a:solidFill>
              <a:latin typeface="Arial Cyr"/>
            </a:rPr>
            <a:t>,2*INt-</a:t>
          </a:r>
          <a:r>
            <a:rPr lang="en-US" sz="1400" b="0" i="0" strike="noStrike" baseline="0">
              <a:solidFill>
                <a:srgbClr val="000000"/>
              </a:solidFill>
              <a:latin typeface="Arial Cyr"/>
            </a:rPr>
            <a:t>1</a:t>
          </a:r>
          <a:r>
            <a:rPr lang="en-US" sz="2000" b="0" i="0" strike="noStrike" baseline="0">
              <a:solidFill>
                <a:srgbClr val="000000"/>
              </a:solidFill>
              <a:latin typeface="Arial Cyr"/>
            </a:rPr>
            <a:t> + </a:t>
          </a:r>
          <a:r>
            <a:rPr lang="ru-RU" sz="2000" b="0" i="0" strike="noStrike" baseline="0">
              <a:solidFill>
                <a:srgbClr val="000000"/>
              </a:solidFill>
              <a:latin typeface="Arial Cyr"/>
            </a:rPr>
            <a:t>0</a:t>
          </a:r>
          <a:r>
            <a:rPr lang="en-US" sz="2000" b="0" i="0" strike="noStrike" baseline="0">
              <a:solidFill>
                <a:srgbClr val="000000"/>
              </a:solidFill>
              <a:latin typeface="Arial Cyr"/>
            </a:rPr>
            <a:t>,1*INt-</a:t>
          </a:r>
          <a:r>
            <a:rPr lang="en-US" sz="1400" b="0" i="0" strike="noStrike" baseline="0">
              <a:solidFill>
                <a:srgbClr val="000000"/>
              </a:solidFill>
              <a:latin typeface="Arial Cyr"/>
            </a:rPr>
            <a:t>2</a:t>
          </a:r>
          <a:r>
            <a:rPr lang="en-US" sz="2000" b="0" i="0" strike="noStrike" baseline="0">
              <a:solidFill>
                <a:srgbClr val="000000"/>
              </a:solidFill>
              <a:latin typeface="Arial Cyr"/>
            </a:rPr>
            <a:t> )</a:t>
          </a:r>
          <a:endParaRPr lang="ru-RU" sz="2000" b="0" i="0" strike="noStrike">
            <a:solidFill>
              <a:srgbClr val="000000"/>
            </a:solidFill>
            <a:latin typeface="Arial Cyr"/>
          </a:endParaRPr>
        </a:p>
      </cdr:txBody>
    </cdr:sp>
  </cdr:relSizeAnchor>
  <cdr:relSizeAnchor xmlns:cdr="http://schemas.openxmlformats.org/drawingml/2006/chartDrawing">
    <cdr:from>
      <cdr:x>0.26144</cdr:x>
      <cdr:y>0.82742</cdr:y>
    </cdr:from>
    <cdr:to>
      <cdr:x>0.35292</cdr:x>
      <cdr:y>0.88407</cdr:y>
    </cdr:to>
    <cdr:sp macro="" textlink="">
      <cdr:nvSpPr>
        <cdr:cNvPr id="6146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473364" y="5131864"/>
          <a:ext cx="536843" cy="35361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22860" rIns="36576" bIns="22860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ru-RU" sz="1600" b="0" i="0" strike="noStrike">
              <a:solidFill>
                <a:srgbClr val="000000"/>
              </a:solidFill>
              <a:latin typeface="Arial Cyr"/>
            </a:rPr>
            <a:t>отчёт </a:t>
          </a:r>
        </a:p>
      </cdr:txBody>
    </cdr:sp>
  </cdr:relSizeAnchor>
  <cdr:relSizeAnchor xmlns:cdr="http://schemas.openxmlformats.org/drawingml/2006/chartDrawing">
    <cdr:from>
      <cdr:x>0.69921</cdr:x>
      <cdr:y>0.8279</cdr:y>
    </cdr:from>
    <cdr:to>
      <cdr:x>0.82461</cdr:x>
      <cdr:y>0.87962</cdr:y>
    </cdr:to>
    <cdr:sp macro="" textlink="">
      <cdr:nvSpPr>
        <cdr:cNvPr id="6147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962494" y="5164868"/>
          <a:ext cx="737625" cy="32061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22860" rIns="36576" bIns="22860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ru-RU" sz="1600" b="0" i="0" strike="noStrike">
              <a:solidFill>
                <a:srgbClr val="000000"/>
              </a:solidFill>
              <a:latin typeface="Arial Cyr"/>
            </a:rPr>
            <a:t>прогноз</a:t>
          </a:r>
        </a:p>
      </cdr:txBody>
    </cdr:sp>
  </cdr:relSizeAnchor>
  <cdr:relSizeAnchor xmlns:cdr="http://schemas.openxmlformats.org/drawingml/2006/chartDrawing">
    <cdr:from>
      <cdr:x>0.07369</cdr:x>
      <cdr:y>0.03494</cdr:y>
    </cdr:from>
    <cdr:to>
      <cdr:x>0.15655</cdr:x>
      <cdr:y>0.10046</cdr:y>
    </cdr:to>
    <cdr:sp macro="" textlink="">
      <cdr:nvSpPr>
        <cdr:cNvPr id="6148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93844" y="301747"/>
          <a:ext cx="780221" cy="56586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27432" rIns="36576" bIns="27432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en-US" sz="2400" b="0" i="0" strike="noStrike">
              <a:solidFill>
                <a:srgbClr val="000000"/>
              </a:solidFill>
              <a:latin typeface="Arial Cyr"/>
            </a:rPr>
            <a:t>v</a:t>
          </a:r>
        </a:p>
      </cdr:txBody>
    </cdr:sp>
  </cdr:relSizeAnchor>
  <cdr:relSizeAnchor xmlns:cdr="http://schemas.openxmlformats.org/drawingml/2006/chartDrawing">
    <cdr:from>
      <cdr:x>0.0872</cdr:x>
      <cdr:y>0.09315</cdr:y>
    </cdr:from>
    <cdr:to>
      <cdr:x>0.9429</cdr:x>
      <cdr:y>0.19085</cdr:y>
    </cdr:to>
    <cdr:sp macro="" textlink="">
      <cdr:nvSpPr>
        <cdr:cNvPr id="28277765" name="Text Box 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820617" y="818919"/>
          <a:ext cx="8052737" cy="85893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36576" tIns="27432" rIns="36576" bIns="27432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ru-RU" sz="2000" b="0" i="0" strike="noStrike">
              <a:solidFill>
                <a:srgbClr val="000000"/>
              </a:solidFill>
              <a:latin typeface="Arial Cyr"/>
            </a:rPr>
            <a:t>КОЭФФИЦИЕНТ ПЕРЕВОДА ИНВЕСТИЦИЙ ВО</a:t>
          </a:r>
          <a:r>
            <a:rPr lang="ru-RU" sz="2000" b="0" i="0" strike="noStrike" baseline="0">
              <a:solidFill>
                <a:srgbClr val="000000"/>
              </a:solidFill>
              <a:latin typeface="Arial Cyr"/>
            </a:rPr>
            <a:t> ВВОДЫ ОСНОВНЫХ ФОНДОВ</a:t>
          </a:r>
          <a:r>
            <a:rPr lang="ru-RU" sz="2000" b="0" i="0" strike="noStrike">
              <a:solidFill>
                <a:srgbClr val="000000"/>
              </a:solidFill>
              <a:latin typeface="Arial Cyr"/>
            </a:rPr>
            <a:t> </a:t>
          </a:r>
          <a:endParaRPr lang="en-US" sz="2000" b="0" i="0" strike="noStrike">
            <a:solidFill>
              <a:srgbClr val="000000"/>
            </a:solidFill>
            <a:latin typeface="Arial Cyr"/>
          </a:endParaRPr>
        </a:p>
      </cdr:txBody>
    </cdr:sp>
  </cdr:relSizeAnchor>
  <cdr:relSizeAnchor xmlns:cdr="http://schemas.openxmlformats.org/drawingml/2006/chartDrawing">
    <cdr:from>
      <cdr:x>0.65906</cdr:x>
      <cdr:y>0.55631</cdr:y>
    </cdr:from>
    <cdr:to>
      <cdr:x>0.96068</cdr:x>
      <cdr:y>0.61158</cdr:y>
    </cdr:to>
    <cdr:sp macro="" textlink="">
      <cdr:nvSpPr>
        <cdr:cNvPr id="2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151973" y="4901422"/>
          <a:ext cx="2815472" cy="48696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27432" rIns="36576" bIns="27432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ru-RU" sz="2000" b="0" i="0" strike="noStrike">
              <a:solidFill>
                <a:srgbClr val="000000"/>
              </a:solidFill>
              <a:latin typeface="Arial Cyr"/>
            </a:rPr>
            <a:t>Локальный тренд</a:t>
          </a:r>
          <a:endParaRPr lang="en-US" sz="2000" b="0" i="0" strike="noStrike">
            <a:solidFill>
              <a:srgbClr val="000000"/>
            </a:solidFill>
            <a:latin typeface="Arial Cyr"/>
          </a:endParaRPr>
        </a:p>
      </cdr:txBody>
    </cdr:sp>
  </cdr:relSizeAnchor>
</c:userShapes>
</file>

<file path=xl/drawings/drawing142.xml><?xml version="1.0" encoding="utf-8"?>
<c:userShapes xmlns:c="http://schemas.openxmlformats.org/drawingml/2006/chart">
  <cdr:relSizeAnchor xmlns:cdr="http://schemas.openxmlformats.org/drawingml/2006/chartDrawing">
    <cdr:from>
      <cdr:x>0.26942</cdr:x>
      <cdr:y>0.50783</cdr:y>
    </cdr:from>
    <cdr:to>
      <cdr:x>0.354</cdr:x>
      <cdr:y>0.58099</cdr:y>
    </cdr:to>
    <cdr:sp macro="" textlink="">
      <cdr:nvSpPr>
        <cdr:cNvPr id="6145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441488" y="4207938"/>
          <a:ext cx="610645" cy="59512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45720" tIns="32004" rIns="45720" bIns="32004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en-US" sz="2000" b="0" i="0" strike="noStrike">
              <a:solidFill>
                <a:srgbClr val="000000"/>
              </a:solidFill>
              <a:latin typeface="Arial Cyr"/>
            </a:rPr>
            <a:t>D</a:t>
          </a:r>
          <a:r>
            <a:rPr lang="ru-RU" sz="2000" b="0" i="0" strike="noStrike">
              <a:solidFill>
                <a:srgbClr val="000000"/>
              </a:solidFill>
              <a:latin typeface="Arial Cyr"/>
            </a:rPr>
            <a:t>Ох</a:t>
          </a:r>
        </a:p>
      </cdr:txBody>
    </cdr:sp>
  </cdr:relSizeAnchor>
  <cdr:relSizeAnchor xmlns:cdr="http://schemas.openxmlformats.org/drawingml/2006/chartDrawing">
    <cdr:from>
      <cdr:x>0.26045</cdr:x>
      <cdr:y>0.82841</cdr:y>
    </cdr:from>
    <cdr:to>
      <cdr:x>0.35217</cdr:x>
      <cdr:y>0.88531</cdr:y>
    </cdr:to>
    <cdr:sp macro="" textlink="">
      <cdr:nvSpPr>
        <cdr:cNvPr id="6146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473364" y="5131864"/>
          <a:ext cx="536843" cy="35361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22860" rIns="36576" bIns="22860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ru-RU" sz="1600" b="0" i="0" strike="noStrike">
              <a:solidFill>
                <a:srgbClr val="000000"/>
              </a:solidFill>
              <a:latin typeface="Arial Cyr"/>
            </a:rPr>
            <a:t>отчёт </a:t>
          </a:r>
        </a:p>
      </cdr:txBody>
    </cdr:sp>
  </cdr:relSizeAnchor>
  <cdr:relSizeAnchor xmlns:cdr="http://schemas.openxmlformats.org/drawingml/2006/chartDrawing">
    <cdr:from>
      <cdr:x>0.69871</cdr:x>
      <cdr:y>0.82889</cdr:y>
    </cdr:from>
    <cdr:to>
      <cdr:x>0.82461</cdr:x>
      <cdr:y>0.88086</cdr:y>
    </cdr:to>
    <cdr:sp macro="" textlink="">
      <cdr:nvSpPr>
        <cdr:cNvPr id="6147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962494" y="5164868"/>
          <a:ext cx="737625" cy="32061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22860" rIns="36576" bIns="22860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ru-RU" sz="1600" b="0" i="0" strike="noStrike">
              <a:solidFill>
                <a:srgbClr val="000000"/>
              </a:solidFill>
              <a:latin typeface="Arial Cyr"/>
            </a:rPr>
            <a:t>прогноз</a:t>
          </a:r>
        </a:p>
      </cdr:txBody>
    </cdr:sp>
  </cdr:relSizeAnchor>
  <cdr:relSizeAnchor xmlns:cdr="http://schemas.openxmlformats.org/drawingml/2006/chartDrawing">
    <cdr:from>
      <cdr:x>0.44133</cdr:x>
      <cdr:y>0.53576</cdr:y>
    </cdr:from>
    <cdr:to>
      <cdr:x>0.52418</cdr:x>
      <cdr:y>0.60153</cdr:y>
    </cdr:to>
    <cdr:sp macro="" textlink="">
      <cdr:nvSpPr>
        <cdr:cNvPr id="6148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826800" y="3017488"/>
          <a:ext cx="601685" cy="5247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27432" rIns="36576" bIns="27432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en-US" sz="2000" b="0" i="0" strike="noStrike">
              <a:solidFill>
                <a:srgbClr val="000000"/>
              </a:solidFill>
              <a:latin typeface="Arial Cyr"/>
            </a:rPr>
            <a:t>IPC</a:t>
          </a:r>
        </a:p>
      </cdr:txBody>
    </cdr:sp>
  </cdr:relSizeAnchor>
  <cdr:relSizeAnchor xmlns:cdr="http://schemas.openxmlformats.org/drawingml/2006/chartDrawing">
    <cdr:from>
      <cdr:x>0.09257</cdr:x>
      <cdr:y>0.07184</cdr:y>
    </cdr:from>
    <cdr:to>
      <cdr:x>0.94926</cdr:x>
      <cdr:y>0.16954</cdr:y>
    </cdr:to>
    <cdr:sp macro="" textlink="">
      <cdr:nvSpPr>
        <cdr:cNvPr id="28232709" name="Text Box 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893763" y="648439"/>
          <a:ext cx="8241506" cy="87757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36576" tIns="27432" rIns="36576" bIns="27432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ru-RU" sz="1800" b="0" i="0" strike="noStrike">
              <a:solidFill>
                <a:srgbClr val="000000"/>
              </a:solidFill>
              <a:latin typeface="Arial Cyr"/>
            </a:rPr>
            <a:t>БАЗИСНЫЕ  ДЕФЛЯТОРЫ ОТЕЧЕСТВЕННОГО ВЫПУСКА  и  ИМПОРТА</a:t>
          </a:r>
        </a:p>
        <a:p xmlns:a="http://schemas.openxmlformats.org/drawingml/2006/main">
          <a:pPr algn="ctr" rtl="1">
            <a:defRPr sz="1000"/>
          </a:pPr>
          <a:r>
            <a:rPr lang="ru-RU" sz="1800" b="0" i="0" strike="noStrike">
              <a:solidFill>
                <a:srgbClr val="000000"/>
              </a:solidFill>
              <a:latin typeface="Arial Cyr"/>
            </a:rPr>
            <a:t> на фоне БАЗИСНОГО ИНДЕКСА ПОТРЕБИТЕЛЬСКИХ ЦЕН (</a:t>
          </a:r>
          <a:r>
            <a:rPr lang="en-US" sz="1800" b="0" i="0" strike="noStrike">
              <a:solidFill>
                <a:srgbClr val="000000"/>
              </a:solidFill>
              <a:latin typeface="Arial Cyr"/>
            </a:rPr>
            <a:t>IPC)</a:t>
          </a:r>
        </a:p>
      </cdr:txBody>
    </cdr:sp>
  </cdr:relSizeAnchor>
  <cdr:relSizeAnchor xmlns:cdr="http://schemas.openxmlformats.org/drawingml/2006/chartDrawing">
    <cdr:from>
      <cdr:x>0.47818</cdr:x>
      <cdr:y>0.67494</cdr:y>
    </cdr:from>
    <cdr:to>
      <cdr:x>0.56277</cdr:x>
      <cdr:y>0.73947</cdr:y>
    </cdr:to>
    <cdr:sp macro="" textlink="">
      <cdr:nvSpPr>
        <cdr:cNvPr id="2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826800" y="3017488"/>
          <a:ext cx="601685" cy="5247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27432" rIns="36576" bIns="27432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en-US" sz="2000" b="0" i="0" strike="noStrike">
              <a:solidFill>
                <a:srgbClr val="000000"/>
              </a:solidFill>
              <a:latin typeface="Arial Cyr"/>
            </a:rPr>
            <a:t>Dm</a:t>
          </a:r>
        </a:p>
      </cdr:txBody>
    </cdr:sp>
  </cdr:relSizeAnchor>
</c:userShapes>
</file>

<file path=xl/drawings/drawing143.xml><?xml version="1.0" encoding="utf-8"?>
<c:userShapes xmlns:c="http://schemas.openxmlformats.org/drawingml/2006/chart">
  <cdr:relSizeAnchor xmlns:cdr="http://schemas.openxmlformats.org/drawingml/2006/chartDrawing">
    <cdr:from>
      <cdr:x>0.47667</cdr:x>
      <cdr:y>0.37076</cdr:y>
    </cdr:from>
    <cdr:to>
      <cdr:x>0.56125</cdr:x>
      <cdr:y>0.44393</cdr:y>
    </cdr:to>
    <cdr:sp macro="" textlink="">
      <cdr:nvSpPr>
        <cdr:cNvPr id="6145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020058" y="3546821"/>
          <a:ext cx="890752" cy="69996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45720" tIns="32004" rIns="45720" bIns="32004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en-US" sz="2000" b="0" i="0" strike="noStrike">
              <a:solidFill>
                <a:srgbClr val="000000"/>
              </a:solidFill>
              <a:latin typeface="Arial Cyr"/>
            </a:rPr>
            <a:t>Dng</a:t>
          </a:r>
          <a:endParaRPr lang="ru-RU" sz="2000" b="0" i="0" strike="noStrike">
            <a:solidFill>
              <a:srgbClr val="000000"/>
            </a:solidFill>
            <a:latin typeface="Arial Cyr"/>
          </a:endParaRPr>
        </a:p>
      </cdr:txBody>
    </cdr:sp>
  </cdr:relSizeAnchor>
  <cdr:relSizeAnchor xmlns:cdr="http://schemas.openxmlformats.org/drawingml/2006/chartDrawing">
    <cdr:from>
      <cdr:x>0.26144</cdr:x>
      <cdr:y>0.82742</cdr:y>
    </cdr:from>
    <cdr:to>
      <cdr:x>0.35292</cdr:x>
      <cdr:y>0.88407</cdr:y>
    </cdr:to>
    <cdr:sp macro="" textlink="">
      <cdr:nvSpPr>
        <cdr:cNvPr id="6146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473364" y="5131864"/>
          <a:ext cx="536843" cy="35361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22860" rIns="36576" bIns="22860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ru-RU" sz="1600" b="0" i="0" strike="noStrike">
              <a:solidFill>
                <a:srgbClr val="000000"/>
              </a:solidFill>
              <a:latin typeface="Arial Cyr"/>
            </a:rPr>
            <a:t>отчёт </a:t>
          </a:r>
        </a:p>
      </cdr:txBody>
    </cdr:sp>
  </cdr:relSizeAnchor>
  <cdr:relSizeAnchor xmlns:cdr="http://schemas.openxmlformats.org/drawingml/2006/chartDrawing">
    <cdr:from>
      <cdr:x>0.69921</cdr:x>
      <cdr:y>0.8279</cdr:y>
    </cdr:from>
    <cdr:to>
      <cdr:x>0.82461</cdr:x>
      <cdr:y>0.87962</cdr:y>
    </cdr:to>
    <cdr:sp macro="" textlink="">
      <cdr:nvSpPr>
        <cdr:cNvPr id="6147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962494" y="5164868"/>
          <a:ext cx="737625" cy="32061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22860" rIns="36576" bIns="22860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ru-RU" sz="1600" b="0" i="0" strike="noStrike">
              <a:solidFill>
                <a:srgbClr val="000000"/>
              </a:solidFill>
              <a:latin typeface="Arial Cyr"/>
            </a:rPr>
            <a:t>прогноз</a:t>
          </a:r>
        </a:p>
      </cdr:txBody>
    </cdr:sp>
  </cdr:relSizeAnchor>
  <cdr:relSizeAnchor xmlns:cdr="http://schemas.openxmlformats.org/drawingml/2006/chartDrawing">
    <cdr:from>
      <cdr:x>0.56844</cdr:x>
      <cdr:y>0.70263</cdr:y>
    </cdr:from>
    <cdr:to>
      <cdr:x>0.6513</cdr:x>
      <cdr:y>0.76815</cdr:y>
    </cdr:to>
    <cdr:sp macro="" textlink="">
      <cdr:nvSpPr>
        <cdr:cNvPr id="6148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986516" y="6721523"/>
          <a:ext cx="872638" cy="62678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27432" rIns="36576" bIns="27432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en-US" sz="2000" b="0" i="0" strike="noStrike">
              <a:solidFill>
                <a:srgbClr val="000000"/>
              </a:solidFill>
              <a:latin typeface="Arial Cyr"/>
            </a:rPr>
            <a:t>IPC</a:t>
          </a:r>
        </a:p>
      </cdr:txBody>
    </cdr:sp>
  </cdr:relSizeAnchor>
  <cdr:relSizeAnchor xmlns:cdr="http://schemas.openxmlformats.org/drawingml/2006/chartDrawing">
    <cdr:from>
      <cdr:x>0.11607</cdr:x>
      <cdr:y>0.06329</cdr:y>
    </cdr:from>
    <cdr:to>
      <cdr:x>0.84263</cdr:x>
      <cdr:y>0.16099</cdr:y>
    </cdr:to>
    <cdr:sp macro="" textlink="">
      <cdr:nvSpPr>
        <cdr:cNvPr id="28277765" name="Text Box 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222375" y="605475"/>
          <a:ext cx="7651750" cy="93462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36576" tIns="27432" rIns="36576" bIns="27432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ru-RU" sz="1800" b="0" i="0" strike="noStrike">
              <a:solidFill>
                <a:srgbClr val="000000"/>
              </a:solidFill>
              <a:latin typeface="Arial Cyr"/>
            </a:rPr>
            <a:t>БАЗИСНЫЙ ДЕФЛЯТОР ВВП</a:t>
          </a:r>
        </a:p>
        <a:p xmlns:a="http://schemas.openxmlformats.org/drawingml/2006/main">
          <a:pPr algn="ctr" rtl="1">
            <a:defRPr sz="1000"/>
          </a:pPr>
          <a:r>
            <a:rPr lang="ru-RU" sz="1800" b="0" i="0" strike="noStrike">
              <a:solidFill>
                <a:srgbClr val="000000"/>
              </a:solidFill>
              <a:latin typeface="Arial Cyr"/>
            </a:rPr>
            <a:t> на фоне БАЗИСНОГО ИНДЕКСА ПОТРЕБИТЕЛЬСКИХ ЦЕН (</a:t>
          </a:r>
          <a:r>
            <a:rPr lang="en-US" sz="1800" b="0" i="0" strike="noStrike">
              <a:solidFill>
                <a:srgbClr val="000000"/>
              </a:solidFill>
              <a:latin typeface="Arial Cyr"/>
            </a:rPr>
            <a:t>IPC)</a:t>
          </a:r>
        </a:p>
      </cdr:txBody>
    </cdr:sp>
  </cdr:relSizeAnchor>
  <cdr:relSizeAnchor xmlns:cdr="http://schemas.openxmlformats.org/drawingml/2006/chartDrawing">
    <cdr:from>
      <cdr:x>0.28573</cdr:x>
      <cdr:y>0.69718</cdr:y>
    </cdr:from>
    <cdr:to>
      <cdr:x>0.37032</cdr:x>
      <cdr:y>0.76172</cdr:y>
    </cdr:to>
    <cdr:sp macro="" textlink="">
      <cdr:nvSpPr>
        <cdr:cNvPr id="2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009206" y="6669441"/>
          <a:ext cx="890858" cy="61740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27432" rIns="36576" bIns="27432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en-US" sz="2000" b="0" i="0" strike="noStrike">
              <a:solidFill>
                <a:srgbClr val="000000"/>
              </a:solidFill>
              <a:latin typeface="Arial Cyr"/>
            </a:rPr>
            <a:t>Dw</a:t>
          </a:r>
        </a:p>
      </cdr:txBody>
    </cdr:sp>
  </cdr:relSizeAnchor>
</c:userShapes>
</file>

<file path=xl/drawings/drawing144.xml><?xml version="1.0" encoding="utf-8"?>
<c:userShapes xmlns:c="http://schemas.openxmlformats.org/drawingml/2006/chart">
  <cdr:relSizeAnchor xmlns:cdr="http://schemas.openxmlformats.org/drawingml/2006/chartDrawing">
    <cdr:from>
      <cdr:x>0.77746</cdr:x>
      <cdr:y>0.60734</cdr:y>
    </cdr:from>
    <cdr:to>
      <cdr:x>0.86742</cdr:x>
      <cdr:y>0.64602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7511050" y="5941546"/>
          <a:ext cx="869110" cy="3784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400">
              <a:latin typeface="Arial" pitchFamily="34" charset="0"/>
              <a:cs typeface="Arial" pitchFamily="34" charset="0"/>
            </a:rPr>
            <a:t>ТРЕНД</a:t>
          </a:r>
        </a:p>
      </cdr:txBody>
    </cdr:sp>
  </cdr:relSizeAnchor>
</c:userShapes>
</file>

<file path=xl/drawings/drawing145.xml><?xml version="1.0" encoding="utf-8"?>
<c:userShapes xmlns:c="http://schemas.openxmlformats.org/drawingml/2006/chart">
  <cdr:relSizeAnchor xmlns:cdr="http://schemas.openxmlformats.org/drawingml/2006/chartDrawing">
    <cdr:from>
      <cdr:x>0.86769</cdr:x>
      <cdr:y>0.90899</cdr:y>
    </cdr:from>
    <cdr:to>
      <cdr:x>0.95629</cdr:x>
      <cdr:y>0.95303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7596189" y="8426223"/>
          <a:ext cx="775608" cy="40821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/>
            <a:t>WWP</a:t>
          </a:r>
          <a:endParaRPr lang="ru-RU" sz="1800"/>
        </a:p>
      </cdr:txBody>
    </cdr:sp>
  </cdr:relSizeAnchor>
</c:userShapes>
</file>

<file path=xl/drawings/drawing146.xml><?xml version="1.0" encoding="utf-8"?>
<c:userShapes xmlns:c="http://schemas.openxmlformats.org/drawingml/2006/chart">
  <cdr:relSizeAnchor xmlns:cdr="http://schemas.openxmlformats.org/drawingml/2006/chartDrawing">
    <cdr:from>
      <cdr:x>0.17186</cdr:x>
      <cdr:y>0.7069</cdr:y>
    </cdr:from>
    <cdr:to>
      <cdr:x>0.8621</cdr:x>
      <cdr:y>0.78007</cdr:y>
    </cdr:to>
    <cdr:sp macro="" textlink="">
      <cdr:nvSpPr>
        <cdr:cNvPr id="6145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602550" y="6044189"/>
          <a:ext cx="6436550" cy="62562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45720" tIns="32004" rIns="45720" bIns="32004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en-US" sz="2000" b="0" i="0" strike="noStrike">
              <a:solidFill>
                <a:srgbClr val="000000"/>
              </a:solidFill>
              <a:latin typeface="Arial Cyr"/>
            </a:rPr>
            <a:t>kINt</a:t>
          </a:r>
          <a:r>
            <a:rPr lang="en-US" sz="2000" b="0" i="0" strike="noStrike" baseline="0">
              <a:solidFill>
                <a:srgbClr val="000000"/>
              </a:solidFill>
              <a:latin typeface="Arial Cyr"/>
            </a:rPr>
            <a:t> = INt / (</a:t>
          </a:r>
          <a:r>
            <a:rPr lang="ru-RU" sz="2000" b="0" i="0" strike="noStrike" baseline="0">
              <a:solidFill>
                <a:srgbClr val="000000"/>
              </a:solidFill>
              <a:latin typeface="Arial Cyr"/>
            </a:rPr>
            <a:t>0</a:t>
          </a:r>
          <a:r>
            <a:rPr lang="en-US" sz="2000" b="0" i="0" strike="noStrike" baseline="0">
              <a:solidFill>
                <a:srgbClr val="000000"/>
              </a:solidFill>
              <a:latin typeface="Arial Cyr"/>
            </a:rPr>
            <a:t>,5*WWPt + </a:t>
          </a:r>
          <a:r>
            <a:rPr lang="ru-RU" sz="2000" b="0" i="0" strike="noStrike" baseline="0">
              <a:solidFill>
                <a:srgbClr val="000000"/>
              </a:solidFill>
              <a:latin typeface="Arial Cyr"/>
            </a:rPr>
            <a:t>0</a:t>
          </a:r>
          <a:r>
            <a:rPr lang="en-US" sz="2000" b="0" i="0" strike="noStrike" baseline="0">
              <a:solidFill>
                <a:srgbClr val="000000"/>
              </a:solidFill>
              <a:latin typeface="Arial Cyr"/>
            </a:rPr>
            <a:t>,3*WWPt-</a:t>
          </a:r>
          <a:r>
            <a:rPr lang="en-US" sz="1400" b="0" i="0" strike="noStrike" baseline="0">
              <a:solidFill>
                <a:srgbClr val="000000"/>
              </a:solidFill>
              <a:latin typeface="Arial Cyr"/>
            </a:rPr>
            <a:t>1</a:t>
          </a:r>
          <a:r>
            <a:rPr lang="en-US" sz="2000" b="0" i="0" strike="noStrike" baseline="0">
              <a:solidFill>
                <a:srgbClr val="000000"/>
              </a:solidFill>
              <a:latin typeface="Arial Cyr"/>
            </a:rPr>
            <a:t> + </a:t>
          </a:r>
          <a:r>
            <a:rPr lang="ru-RU" sz="2000" b="0" i="0" strike="noStrike" baseline="0">
              <a:solidFill>
                <a:srgbClr val="000000"/>
              </a:solidFill>
              <a:latin typeface="Arial Cyr"/>
            </a:rPr>
            <a:t>0</a:t>
          </a:r>
          <a:r>
            <a:rPr lang="en-US" sz="2000" b="0" i="0" strike="noStrike" baseline="0">
              <a:solidFill>
                <a:srgbClr val="000000"/>
              </a:solidFill>
              <a:latin typeface="Arial Cyr"/>
            </a:rPr>
            <a:t>,2*WWPt-</a:t>
          </a:r>
          <a:r>
            <a:rPr lang="en-US" sz="1400" b="0" i="0" strike="noStrike" baseline="0">
              <a:solidFill>
                <a:srgbClr val="000000"/>
              </a:solidFill>
              <a:latin typeface="Arial Cyr"/>
            </a:rPr>
            <a:t>2</a:t>
          </a:r>
          <a:r>
            <a:rPr lang="en-US" sz="2000" b="0" i="0" strike="noStrike" baseline="0">
              <a:solidFill>
                <a:srgbClr val="000000"/>
              </a:solidFill>
              <a:latin typeface="Arial Cyr"/>
            </a:rPr>
            <a:t> )</a:t>
          </a:r>
          <a:endParaRPr lang="ru-RU" sz="2000" b="0" i="0" strike="noStrike">
            <a:solidFill>
              <a:srgbClr val="000000"/>
            </a:solidFill>
            <a:latin typeface="Arial Cyr"/>
          </a:endParaRPr>
        </a:p>
      </cdr:txBody>
    </cdr:sp>
  </cdr:relSizeAnchor>
  <cdr:relSizeAnchor xmlns:cdr="http://schemas.openxmlformats.org/drawingml/2006/chartDrawing">
    <cdr:from>
      <cdr:x>0.26144</cdr:x>
      <cdr:y>0.82742</cdr:y>
    </cdr:from>
    <cdr:to>
      <cdr:x>0.35292</cdr:x>
      <cdr:y>0.88407</cdr:y>
    </cdr:to>
    <cdr:sp macro="" textlink="">
      <cdr:nvSpPr>
        <cdr:cNvPr id="6146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473364" y="5131864"/>
          <a:ext cx="536843" cy="35361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22860" rIns="36576" bIns="22860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ru-RU" sz="1600" b="0" i="0" strike="noStrike">
              <a:solidFill>
                <a:srgbClr val="000000"/>
              </a:solidFill>
              <a:latin typeface="Arial Cyr"/>
            </a:rPr>
            <a:t>отчёт </a:t>
          </a:r>
        </a:p>
      </cdr:txBody>
    </cdr:sp>
  </cdr:relSizeAnchor>
  <cdr:relSizeAnchor xmlns:cdr="http://schemas.openxmlformats.org/drawingml/2006/chartDrawing">
    <cdr:from>
      <cdr:x>0.69921</cdr:x>
      <cdr:y>0.8279</cdr:y>
    </cdr:from>
    <cdr:to>
      <cdr:x>0.82461</cdr:x>
      <cdr:y>0.87962</cdr:y>
    </cdr:to>
    <cdr:sp macro="" textlink="">
      <cdr:nvSpPr>
        <cdr:cNvPr id="6147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962494" y="5164868"/>
          <a:ext cx="737625" cy="32061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22860" rIns="36576" bIns="22860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ru-RU" sz="1600" b="0" i="0" strike="noStrike">
              <a:solidFill>
                <a:srgbClr val="000000"/>
              </a:solidFill>
              <a:latin typeface="Arial Cyr"/>
            </a:rPr>
            <a:t>прогноз</a:t>
          </a:r>
        </a:p>
      </cdr:txBody>
    </cdr:sp>
  </cdr:relSizeAnchor>
  <cdr:relSizeAnchor xmlns:cdr="http://schemas.openxmlformats.org/drawingml/2006/chartDrawing">
    <cdr:from>
      <cdr:x>0.07369</cdr:x>
      <cdr:y>0.03494</cdr:y>
    </cdr:from>
    <cdr:to>
      <cdr:x>0.15655</cdr:x>
      <cdr:y>0.10046</cdr:y>
    </cdr:to>
    <cdr:sp macro="" textlink="">
      <cdr:nvSpPr>
        <cdr:cNvPr id="6148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93844" y="301747"/>
          <a:ext cx="780221" cy="56586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27432" rIns="36576" bIns="27432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en-US" sz="2400" b="0" i="0" strike="noStrike">
              <a:solidFill>
                <a:srgbClr val="000000"/>
              </a:solidFill>
              <a:latin typeface="Arial Cyr"/>
            </a:rPr>
            <a:t>kIN</a:t>
          </a:r>
        </a:p>
      </cdr:txBody>
    </cdr:sp>
  </cdr:relSizeAnchor>
  <cdr:relSizeAnchor xmlns:cdr="http://schemas.openxmlformats.org/drawingml/2006/chartDrawing">
    <cdr:from>
      <cdr:x>0.24191</cdr:x>
      <cdr:y>0.09315</cdr:y>
    </cdr:from>
    <cdr:to>
      <cdr:x>0.80542</cdr:x>
      <cdr:y>0.19085</cdr:y>
    </cdr:to>
    <cdr:sp macro="" textlink="">
      <cdr:nvSpPr>
        <cdr:cNvPr id="28277765" name="Text Box 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466974" y="796458"/>
          <a:ext cx="5746751" cy="83536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36576" tIns="27432" rIns="36576" bIns="27432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ru-RU" sz="2000" b="0" i="0" strike="noStrike">
              <a:solidFill>
                <a:srgbClr val="000000"/>
              </a:solidFill>
              <a:latin typeface="Arial Cyr"/>
            </a:rPr>
            <a:t>КОЭФФИЦИЕНТ ИНВЕСТИРОВАНИЯ </a:t>
          </a:r>
          <a:endParaRPr lang="en-US" sz="2000" b="0" i="0" strike="noStrike">
            <a:solidFill>
              <a:srgbClr val="000000"/>
            </a:solidFill>
            <a:latin typeface="Arial Cyr"/>
          </a:endParaRPr>
        </a:p>
      </cdr:txBody>
    </cdr:sp>
  </cdr:relSizeAnchor>
  <cdr:relSizeAnchor xmlns:cdr="http://schemas.openxmlformats.org/drawingml/2006/chartDrawing">
    <cdr:from>
      <cdr:x>0.59862</cdr:x>
      <cdr:y>0.30491</cdr:y>
    </cdr:from>
    <cdr:to>
      <cdr:x>0.90024</cdr:x>
      <cdr:y>0.36018</cdr:y>
    </cdr:to>
    <cdr:sp macro="" textlink="">
      <cdr:nvSpPr>
        <cdr:cNvPr id="2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582122" y="2607064"/>
          <a:ext cx="2812599" cy="47257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27432" rIns="36576" bIns="27432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ru-RU" sz="2000" b="0" i="0" strike="noStrike">
              <a:solidFill>
                <a:srgbClr val="000000"/>
              </a:solidFill>
              <a:latin typeface="Arial Cyr"/>
            </a:rPr>
            <a:t>Локальный тренд</a:t>
          </a:r>
          <a:endParaRPr lang="en-US" sz="2000" b="0" i="0" strike="noStrike">
            <a:solidFill>
              <a:srgbClr val="000000"/>
            </a:solidFill>
            <a:latin typeface="Arial Cyr"/>
          </a:endParaRPr>
        </a:p>
      </cdr:txBody>
    </cdr:sp>
  </cdr:relSizeAnchor>
</c:userShapes>
</file>

<file path=xl/drawings/drawing147.xml><?xml version="1.0" encoding="utf-8"?>
<c:userShapes xmlns:c="http://schemas.openxmlformats.org/drawingml/2006/chart">
  <cdr:relSizeAnchor xmlns:cdr="http://schemas.openxmlformats.org/drawingml/2006/chartDrawing">
    <cdr:from>
      <cdr:x>0.11395</cdr:x>
      <cdr:y>0.67534</cdr:y>
    </cdr:from>
    <cdr:to>
      <cdr:x>0.9371</cdr:x>
      <cdr:y>0.74851</cdr:y>
    </cdr:to>
    <cdr:sp macro="" textlink="">
      <cdr:nvSpPr>
        <cdr:cNvPr id="6145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006475" y="5774314"/>
          <a:ext cx="7270750" cy="62562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45720" tIns="32004" rIns="45720" bIns="32004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en-US" sz="2000" b="0" i="0" strike="noStrike">
              <a:solidFill>
                <a:srgbClr val="000000"/>
              </a:solidFill>
              <a:latin typeface="Arial Cyr"/>
            </a:rPr>
            <a:t>qYGMt</a:t>
          </a:r>
          <a:r>
            <a:rPr lang="en-US" sz="2000" b="0" i="0" strike="noStrike" baseline="0">
              <a:solidFill>
                <a:srgbClr val="000000"/>
              </a:solidFill>
              <a:latin typeface="Arial Cyr"/>
            </a:rPr>
            <a:t> = YGMt / (</a:t>
          </a:r>
          <a:r>
            <a:rPr lang="ru-RU" sz="2000" b="0" i="0" strike="noStrike" baseline="0">
              <a:solidFill>
                <a:srgbClr val="000000"/>
              </a:solidFill>
              <a:latin typeface="Arial Cyr"/>
            </a:rPr>
            <a:t>0</a:t>
          </a:r>
          <a:r>
            <a:rPr lang="en-US" sz="2000" b="0" i="0" strike="noStrike" baseline="0">
              <a:solidFill>
                <a:srgbClr val="000000"/>
              </a:solidFill>
              <a:latin typeface="Arial Cyr"/>
            </a:rPr>
            <a:t>,5*WWPt + </a:t>
          </a:r>
          <a:r>
            <a:rPr lang="ru-RU" sz="2000" b="0" i="0" strike="noStrike" baseline="0">
              <a:solidFill>
                <a:srgbClr val="000000"/>
              </a:solidFill>
              <a:latin typeface="Arial Cyr"/>
            </a:rPr>
            <a:t>0</a:t>
          </a:r>
          <a:r>
            <a:rPr lang="en-US" sz="2000" b="0" i="0" strike="noStrike" baseline="0">
              <a:solidFill>
                <a:srgbClr val="000000"/>
              </a:solidFill>
              <a:latin typeface="Arial Cyr"/>
            </a:rPr>
            <a:t>,3*WWPt-</a:t>
          </a:r>
          <a:r>
            <a:rPr lang="en-US" sz="1400" b="0" i="0" strike="noStrike" baseline="0">
              <a:solidFill>
                <a:srgbClr val="000000"/>
              </a:solidFill>
              <a:latin typeface="Arial Cyr"/>
            </a:rPr>
            <a:t>1</a:t>
          </a:r>
          <a:r>
            <a:rPr lang="en-US" sz="2000" b="0" i="0" strike="noStrike" baseline="0">
              <a:solidFill>
                <a:srgbClr val="000000"/>
              </a:solidFill>
              <a:latin typeface="Arial Cyr"/>
            </a:rPr>
            <a:t> + </a:t>
          </a:r>
          <a:r>
            <a:rPr lang="ru-RU" sz="2000" b="0" i="0" strike="noStrike" baseline="0">
              <a:solidFill>
                <a:srgbClr val="000000"/>
              </a:solidFill>
              <a:latin typeface="Arial Cyr"/>
            </a:rPr>
            <a:t>0</a:t>
          </a:r>
          <a:r>
            <a:rPr lang="en-US" sz="2000" b="0" i="0" strike="noStrike" baseline="0">
              <a:solidFill>
                <a:srgbClr val="000000"/>
              </a:solidFill>
              <a:latin typeface="Arial Cyr"/>
            </a:rPr>
            <a:t>,2*WWPt-</a:t>
          </a:r>
          <a:r>
            <a:rPr lang="en-US" sz="1400" b="0" i="0" strike="noStrike" baseline="0">
              <a:solidFill>
                <a:srgbClr val="000000"/>
              </a:solidFill>
              <a:latin typeface="Arial Cyr"/>
            </a:rPr>
            <a:t>2</a:t>
          </a:r>
          <a:r>
            <a:rPr lang="en-US" sz="2000" b="0" i="0" strike="noStrike" baseline="0">
              <a:solidFill>
                <a:srgbClr val="000000"/>
              </a:solidFill>
              <a:latin typeface="Arial Cyr"/>
            </a:rPr>
            <a:t> )</a:t>
          </a:r>
          <a:endParaRPr lang="ru-RU" sz="2000" b="0" i="0" strike="noStrike">
            <a:solidFill>
              <a:srgbClr val="000000"/>
            </a:solidFill>
            <a:latin typeface="Arial Cyr"/>
          </a:endParaRPr>
        </a:p>
      </cdr:txBody>
    </cdr:sp>
  </cdr:relSizeAnchor>
  <cdr:relSizeAnchor xmlns:cdr="http://schemas.openxmlformats.org/drawingml/2006/chartDrawing">
    <cdr:from>
      <cdr:x>0.26144</cdr:x>
      <cdr:y>0.82742</cdr:y>
    </cdr:from>
    <cdr:to>
      <cdr:x>0.35292</cdr:x>
      <cdr:y>0.88407</cdr:y>
    </cdr:to>
    <cdr:sp macro="" textlink="">
      <cdr:nvSpPr>
        <cdr:cNvPr id="6146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473364" y="5131864"/>
          <a:ext cx="536843" cy="35361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22860" rIns="36576" bIns="22860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ru-RU" sz="1600" b="0" i="0" strike="noStrike">
              <a:solidFill>
                <a:srgbClr val="000000"/>
              </a:solidFill>
              <a:latin typeface="Arial Cyr"/>
            </a:rPr>
            <a:t>отчёт </a:t>
          </a:r>
        </a:p>
      </cdr:txBody>
    </cdr:sp>
  </cdr:relSizeAnchor>
  <cdr:relSizeAnchor xmlns:cdr="http://schemas.openxmlformats.org/drawingml/2006/chartDrawing">
    <cdr:from>
      <cdr:x>0.69921</cdr:x>
      <cdr:y>0.8279</cdr:y>
    </cdr:from>
    <cdr:to>
      <cdr:x>0.82461</cdr:x>
      <cdr:y>0.87962</cdr:y>
    </cdr:to>
    <cdr:sp macro="" textlink="">
      <cdr:nvSpPr>
        <cdr:cNvPr id="6147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962494" y="5164868"/>
          <a:ext cx="737625" cy="32061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22860" rIns="36576" bIns="22860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ru-RU" sz="1600" b="0" i="0" strike="noStrike">
              <a:solidFill>
                <a:srgbClr val="000000"/>
              </a:solidFill>
              <a:latin typeface="Arial Cyr"/>
            </a:rPr>
            <a:t>прогноз</a:t>
          </a:r>
        </a:p>
      </cdr:txBody>
    </cdr:sp>
  </cdr:relSizeAnchor>
  <cdr:relSizeAnchor xmlns:cdr="http://schemas.openxmlformats.org/drawingml/2006/chartDrawing">
    <cdr:from>
      <cdr:x>0.07369</cdr:x>
      <cdr:y>0.03494</cdr:y>
    </cdr:from>
    <cdr:to>
      <cdr:x>0.20201</cdr:x>
      <cdr:y>0.12068</cdr:y>
    </cdr:to>
    <cdr:sp macro="" textlink="">
      <cdr:nvSpPr>
        <cdr:cNvPr id="6148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50892" y="298747"/>
          <a:ext cx="1133457" cy="73312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27432" rIns="36576" bIns="27432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en-US" sz="2000" b="0" i="0" strike="noStrike">
              <a:solidFill>
                <a:srgbClr val="000000"/>
              </a:solidFill>
              <a:latin typeface="Arial Cyr"/>
            </a:rPr>
            <a:t>qYGM</a:t>
          </a:r>
        </a:p>
      </cdr:txBody>
    </cdr:sp>
  </cdr:relSizeAnchor>
  <cdr:relSizeAnchor xmlns:cdr="http://schemas.openxmlformats.org/drawingml/2006/chartDrawing">
    <cdr:from>
      <cdr:x>0.25629</cdr:x>
      <cdr:y>0.07087</cdr:y>
    </cdr:from>
    <cdr:to>
      <cdr:x>0.8198</cdr:x>
      <cdr:y>0.16857</cdr:y>
    </cdr:to>
    <cdr:sp macro="" textlink="">
      <cdr:nvSpPr>
        <cdr:cNvPr id="28277765" name="Text Box 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263755" y="605958"/>
          <a:ext cx="4977399" cy="83536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36576" tIns="27432" rIns="36576" bIns="27432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ru-RU" sz="2000" b="0" i="0" strike="noStrike">
              <a:solidFill>
                <a:srgbClr val="000000"/>
              </a:solidFill>
              <a:latin typeface="Arial Cyr"/>
            </a:rPr>
            <a:t>ДОЛЯ</a:t>
          </a:r>
          <a:r>
            <a:rPr lang="ru-RU" sz="2000" b="0" i="0" strike="noStrike" baseline="0">
              <a:solidFill>
                <a:srgbClr val="000000"/>
              </a:solidFill>
              <a:latin typeface="Arial Cyr"/>
            </a:rPr>
            <a:t> МОДИФИЦИРОВАННЫХ ЗАТРАТ НА КП</a:t>
          </a:r>
          <a:r>
            <a:rPr lang="ru-RU" sz="2000" b="0" i="0" strike="noStrike">
              <a:solidFill>
                <a:srgbClr val="000000"/>
              </a:solidFill>
              <a:latin typeface="Arial Cyr"/>
            </a:rPr>
            <a:t> ГОСУДАРСТВА</a:t>
          </a:r>
          <a:endParaRPr lang="en-US" sz="2000" b="0" i="0" strike="noStrike">
            <a:solidFill>
              <a:srgbClr val="000000"/>
            </a:solidFill>
            <a:latin typeface="Arial Cyr"/>
          </a:endParaRPr>
        </a:p>
      </cdr:txBody>
    </cdr:sp>
  </cdr:relSizeAnchor>
</c:userShapes>
</file>

<file path=xl/drawings/drawing148.xml><?xml version="1.0" encoding="utf-8"?>
<c:userShapes xmlns:c="http://schemas.openxmlformats.org/drawingml/2006/chart">
  <cdr:relSizeAnchor xmlns:cdr="http://schemas.openxmlformats.org/drawingml/2006/chartDrawing">
    <cdr:from>
      <cdr:x>0.45051</cdr:x>
      <cdr:y>0.30397</cdr:y>
    </cdr:from>
    <cdr:to>
      <cdr:x>0.5263</cdr:x>
      <cdr:y>0.37714</cdr:y>
    </cdr:to>
    <cdr:sp macro="" textlink="">
      <cdr:nvSpPr>
        <cdr:cNvPr id="6145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451350" y="2898206"/>
          <a:ext cx="748840" cy="69764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45720" tIns="32004" rIns="45720" bIns="32004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en-US" sz="2000" b="0" i="0" strike="noStrike">
              <a:solidFill>
                <a:srgbClr val="000000"/>
              </a:solidFill>
              <a:latin typeface="Arial Cyr"/>
            </a:rPr>
            <a:t>IPC</a:t>
          </a:r>
          <a:endParaRPr lang="ru-RU" sz="2000" b="0" i="0" strike="noStrike">
            <a:solidFill>
              <a:srgbClr val="000000"/>
            </a:solidFill>
            <a:latin typeface="Arial Cyr"/>
          </a:endParaRPr>
        </a:p>
      </cdr:txBody>
    </cdr:sp>
  </cdr:relSizeAnchor>
  <cdr:relSizeAnchor xmlns:cdr="http://schemas.openxmlformats.org/drawingml/2006/chartDrawing">
    <cdr:from>
      <cdr:x>0.26144</cdr:x>
      <cdr:y>0.82742</cdr:y>
    </cdr:from>
    <cdr:to>
      <cdr:x>0.35292</cdr:x>
      <cdr:y>0.88407</cdr:y>
    </cdr:to>
    <cdr:sp macro="" textlink="">
      <cdr:nvSpPr>
        <cdr:cNvPr id="6146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473364" y="5131864"/>
          <a:ext cx="536843" cy="35361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22860" rIns="36576" bIns="22860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ru-RU" sz="1600" b="0" i="0" strike="noStrike">
              <a:solidFill>
                <a:srgbClr val="000000"/>
              </a:solidFill>
              <a:latin typeface="Arial Cyr"/>
            </a:rPr>
            <a:t>отчёт </a:t>
          </a:r>
        </a:p>
      </cdr:txBody>
    </cdr:sp>
  </cdr:relSizeAnchor>
  <cdr:relSizeAnchor xmlns:cdr="http://schemas.openxmlformats.org/drawingml/2006/chartDrawing">
    <cdr:from>
      <cdr:x>0.69921</cdr:x>
      <cdr:y>0.8279</cdr:y>
    </cdr:from>
    <cdr:to>
      <cdr:x>0.82461</cdr:x>
      <cdr:y>0.87962</cdr:y>
    </cdr:to>
    <cdr:sp macro="" textlink="">
      <cdr:nvSpPr>
        <cdr:cNvPr id="6147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962494" y="5164868"/>
          <a:ext cx="737625" cy="32061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22860" rIns="36576" bIns="22860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ru-RU" sz="1600" b="0" i="0" strike="noStrike">
              <a:solidFill>
                <a:srgbClr val="000000"/>
              </a:solidFill>
              <a:latin typeface="Arial Cyr"/>
            </a:rPr>
            <a:t>прогноз</a:t>
          </a:r>
        </a:p>
      </cdr:txBody>
    </cdr:sp>
  </cdr:relSizeAnchor>
  <cdr:relSizeAnchor xmlns:cdr="http://schemas.openxmlformats.org/drawingml/2006/chartDrawing">
    <cdr:from>
      <cdr:x>0.07369</cdr:x>
      <cdr:y>0.03494</cdr:y>
    </cdr:from>
    <cdr:to>
      <cdr:x>0.15655</cdr:x>
      <cdr:y>0.10046</cdr:y>
    </cdr:to>
    <cdr:sp macro="" textlink="">
      <cdr:nvSpPr>
        <cdr:cNvPr id="6148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93844" y="301747"/>
          <a:ext cx="780221" cy="56586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27432" rIns="36576" bIns="27432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en-US" sz="2400" b="0" i="0" strike="noStrike">
              <a:solidFill>
                <a:srgbClr val="000000"/>
              </a:solidFill>
              <a:latin typeface="Arial Cyr"/>
            </a:rPr>
            <a:t>Dww</a:t>
          </a:r>
        </a:p>
      </cdr:txBody>
    </cdr:sp>
  </cdr:relSizeAnchor>
  <cdr:relSizeAnchor xmlns:cdr="http://schemas.openxmlformats.org/drawingml/2006/chartDrawing">
    <cdr:from>
      <cdr:x>0.25637</cdr:x>
      <cdr:y>0.03487</cdr:y>
    </cdr:from>
    <cdr:to>
      <cdr:x>0.81988</cdr:x>
      <cdr:y>0.13257</cdr:y>
    </cdr:to>
    <cdr:sp macro="" textlink="">
      <cdr:nvSpPr>
        <cdr:cNvPr id="28277765" name="Text Box 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533091" y="332516"/>
          <a:ext cx="5567817" cy="93152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36576" tIns="27432" rIns="36576" bIns="27432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ru-RU" sz="2000" b="0" i="0" strike="noStrike">
              <a:solidFill>
                <a:srgbClr val="000000"/>
              </a:solidFill>
              <a:latin typeface="Arial Cyr"/>
            </a:rPr>
            <a:t>БАЗИСНЫЙ</a:t>
          </a:r>
          <a:r>
            <a:rPr lang="ru-RU" sz="2000" b="0" i="0" strike="noStrike" baseline="0">
              <a:solidFill>
                <a:srgbClr val="000000"/>
              </a:solidFill>
              <a:latin typeface="Arial Cyr"/>
            </a:rPr>
            <a:t> ДЕФЛЯТОР ВВОДОВ ОСНОВНЫХ ФОНДОВ</a:t>
          </a:r>
          <a:r>
            <a:rPr lang="ru-RU" sz="2000" b="0" i="0" strike="noStrike">
              <a:solidFill>
                <a:srgbClr val="000000"/>
              </a:solidFill>
              <a:latin typeface="Arial Cyr"/>
            </a:rPr>
            <a:t> </a:t>
          </a:r>
          <a:endParaRPr lang="en-US" sz="2000" b="0" i="0" strike="noStrike">
            <a:solidFill>
              <a:srgbClr val="000000"/>
            </a:solidFill>
            <a:latin typeface="Arial Cyr"/>
          </a:endParaRPr>
        </a:p>
      </cdr:txBody>
    </cdr:sp>
  </cdr:relSizeAnchor>
  <cdr:relSizeAnchor xmlns:cdr="http://schemas.openxmlformats.org/drawingml/2006/chartDrawing">
    <cdr:from>
      <cdr:x>0.60154</cdr:x>
      <cdr:y>0.47474</cdr:y>
    </cdr:from>
    <cdr:to>
      <cdr:x>0.68027</cdr:x>
      <cdr:y>0.53001</cdr:y>
    </cdr:to>
    <cdr:sp macro="" textlink="">
      <cdr:nvSpPr>
        <cdr:cNvPr id="2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943599" y="4526422"/>
          <a:ext cx="777875" cy="52697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27432" rIns="36576" bIns="27432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ru-RU" sz="2000" b="0" i="0" strike="noStrike">
              <a:solidFill>
                <a:srgbClr val="000000"/>
              </a:solidFill>
              <a:latin typeface="Arial Cyr"/>
            </a:rPr>
            <a:t> </a:t>
          </a:r>
          <a:r>
            <a:rPr lang="en-US" sz="2000" b="0" i="0" strike="noStrike">
              <a:solidFill>
                <a:srgbClr val="000000"/>
              </a:solidFill>
              <a:latin typeface="Arial Cyr"/>
            </a:rPr>
            <a:t>Dww</a:t>
          </a:r>
        </a:p>
      </cdr:txBody>
    </cdr:sp>
  </cdr:relSizeAnchor>
</c:userShapes>
</file>

<file path=xl/drawings/drawing149.xml><?xml version="1.0" encoding="utf-8"?>
<c:userShapes xmlns:c="http://schemas.openxmlformats.org/drawingml/2006/chart">
  <cdr:relSizeAnchor xmlns:cdr="http://schemas.openxmlformats.org/drawingml/2006/chartDrawing">
    <cdr:from>
      <cdr:x>0.47752</cdr:x>
      <cdr:y>0.51876</cdr:y>
    </cdr:from>
    <cdr:to>
      <cdr:x>0.55331</cdr:x>
      <cdr:y>0.59193</cdr:y>
    </cdr:to>
    <cdr:sp macro="" textlink="">
      <cdr:nvSpPr>
        <cdr:cNvPr id="6145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490754" y="4946085"/>
          <a:ext cx="712755" cy="69764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45720" tIns="32004" rIns="45720" bIns="32004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en-US" sz="2000" b="0" i="0" strike="noStrike">
              <a:solidFill>
                <a:srgbClr val="000000"/>
              </a:solidFill>
              <a:latin typeface="Arial Cyr"/>
            </a:rPr>
            <a:t>IPC</a:t>
          </a:r>
          <a:endParaRPr lang="ru-RU" sz="2000" b="0" i="0" strike="noStrike">
            <a:solidFill>
              <a:srgbClr val="000000"/>
            </a:solidFill>
            <a:latin typeface="Arial Cyr"/>
          </a:endParaRPr>
        </a:p>
      </cdr:txBody>
    </cdr:sp>
  </cdr:relSizeAnchor>
  <cdr:relSizeAnchor xmlns:cdr="http://schemas.openxmlformats.org/drawingml/2006/chartDrawing">
    <cdr:from>
      <cdr:x>0.26144</cdr:x>
      <cdr:y>0.82742</cdr:y>
    </cdr:from>
    <cdr:to>
      <cdr:x>0.35292</cdr:x>
      <cdr:y>0.88407</cdr:y>
    </cdr:to>
    <cdr:sp macro="" textlink="">
      <cdr:nvSpPr>
        <cdr:cNvPr id="6146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473364" y="5131864"/>
          <a:ext cx="536843" cy="35361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22860" rIns="36576" bIns="22860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ru-RU" sz="1600" b="0" i="0" strike="noStrike">
              <a:solidFill>
                <a:srgbClr val="000000"/>
              </a:solidFill>
              <a:latin typeface="Arial Cyr"/>
            </a:rPr>
            <a:t>отчёт </a:t>
          </a:r>
        </a:p>
      </cdr:txBody>
    </cdr:sp>
  </cdr:relSizeAnchor>
  <cdr:relSizeAnchor xmlns:cdr="http://schemas.openxmlformats.org/drawingml/2006/chartDrawing">
    <cdr:from>
      <cdr:x>0.69921</cdr:x>
      <cdr:y>0.8279</cdr:y>
    </cdr:from>
    <cdr:to>
      <cdr:x>0.82461</cdr:x>
      <cdr:y>0.87962</cdr:y>
    </cdr:to>
    <cdr:sp macro="" textlink="">
      <cdr:nvSpPr>
        <cdr:cNvPr id="6147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962494" y="5164868"/>
          <a:ext cx="737625" cy="32061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22860" rIns="36576" bIns="22860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ru-RU" sz="1600" b="0" i="0" strike="noStrike">
              <a:solidFill>
                <a:srgbClr val="000000"/>
              </a:solidFill>
              <a:latin typeface="Arial Cyr"/>
            </a:rPr>
            <a:t>прогноз</a:t>
          </a:r>
        </a:p>
      </cdr:txBody>
    </cdr:sp>
  </cdr:relSizeAnchor>
  <cdr:relSizeAnchor xmlns:cdr="http://schemas.openxmlformats.org/drawingml/2006/chartDrawing">
    <cdr:from>
      <cdr:x>0.07369</cdr:x>
      <cdr:y>0.03494</cdr:y>
    </cdr:from>
    <cdr:to>
      <cdr:x>0.15655</cdr:x>
      <cdr:y>0.10046</cdr:y>
    </cdr:to>
    <cdr:sp macro="" textlink="">
      <cdr:nvSpPr>
        <cdr:cNvPr id="6148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93844" y="301747"/>
          <a:ext cx="780221" cy="56586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27432" rIns="36576" bIns="27432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en-US" sz="2400" b="0" i="0" strike="noStrike">
              <a:solidFill>
                <a:srgbClr val="000000"/>
              </a:solidFill>
              <a:latin typeface="Arial Cyr"/>
            </a:rPr>
            <a:t>Df</a:t>
          </a:r>
        </a:p>
      </cdr:txBody>
    </cdr:sp>
  </cdr:relSizeAnchor>
  <cdr:relSizeAnchor xmlns:cdr="http://schemas.openxmlformats.org/drawingml/2006/chartDrawing">
    <cdr:from>
      <cdr:x>0.20493</cdr:x>
      <cdr:y>0.03487</cdr:y>
    </cdr:from>
    <cdr:to>
      <cdr:x>0.9156</cdr:x>
      <cdr:y>0.13257</cdr:y>
    </cdr:to>
    <cdr:sp macro="" textlink="">
      <cdr:nvSpPr>
        <cdr:cNvPr id="28277765" name="Text Box 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927225" y="332469"/>
          <a:ext cx="6683375" cy="93152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36576" tIns="27432" rIns="36576" bIns="27432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ru-RU" sz="2000" b="0" i="0" strike="noStrike">
              <a:solidFill>
                <a:srgbClr val="000000"/>
              </a:solidFill>
              <a:latin typeface="Arial Cyr"/>
            </a:rPr>
            <a:t>БАЗИСНЫЙ</a:t>
          </a:r>
          <a:r>
            <a:rPr lang="ru-RU" sz="2000" b="0" i="0" strike="noStrike" baseline="0">
              <a:solidFill>
                <a:srgbClr val="000000"/>
              </a:solidFill>
              <a:latin typeface="Arial Cyr"/>
            </a:rPr>
            <a:t> ДЕФЛЯТОР ОСНОВНЫХ ФОНДОВ</a:t>
          </a:r>
          <a:r>
            <a:rPr lang="ru-RU" sz="2000" b="0" i="0" strike="noStrike">
              <a:solidFill>
                <a:srgbClr val="000000"/>
              </a:solidFill>
              <a:latin typeface="Arial Cyr"/>
            </a:rPr>
            <a:t> </a:t>
          </a:r>
          <a:endParaRPr lang="en-US" sz="2000" b="0" i="0" strike="noStrike">
            <a:solidFill>
              <a:srgbClr val="000000"/>
            </a:solidFill>
            <a:latin typeface="Arial Cyr"/>
          </a:endParaRPr>
        </a:p>
      </cdr:txBody>
    </cdr:sp>
  </cdr:relSizeAnchor>
  <cdr:relSizeAnchor xmlns:cdr="http://schemas.openxmlformats.org/drawingml/2006/chartDrawing">
    <cdr:from>
      <cdr:x>0.44455</cdr:x>
      <cdr:y>0.28493</cdr:y>
    </cdr:from>
    <cdr:to>
      <cdr:x>0.52328</cdr:x>
      <cdr:y>0.3402</cdr:y>
    </cdr:to>
    <cdr:sp macro="" textlink="">
      <cdr:nvSpPr>
        <cdr:cNvPr id="2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180718" y="2716670"/>
          <a:ext cx="740404" cy="52697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27432" rIns="36576" bIns="27432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ru-RU" sz="2000" b="0" i="0" strike="noStrike">
              <a:solidFill>
                <a:srgbClr val="000000"/>
              </a:solidFill>
              <a:latin typeface="Arial Cyr"/>
            </a:rPr>
            <a:t> </a:t>
          </a:r>
          <a:r>
            <a:rPr lang="en-US" sz="2000" b="0" i="0" strike="noStrike">
              <a:solidFill>
                <a:srgbClr val="000000"/>
              </a:solidFill>
              <a:latin typeface="Arial Cyr"/>
            </a:rPr>
            <a:t>Df</a:t>
          </a:r>
        </a:p>
      </cdr:txBody>
    </cdr:sp>
  </cdr:relSizeAnchor>
</c:userShapes>
</file>

<file path=xl/drawings/drawing150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76200</xdr:colOff>
      <xdr:row>2</xdr:row>
      <xdr:rowOff>19050</xdr:rowOff>
    </xdr:from>
    <xdr:to>
      <xdr:col>45</xdr:col>
      <xdr:colOff>438150</xdr:colOff>
      <xdr:row>40</xdr:row>
      <xdr:rowOff>0</xdr:rowOff>
    </xdr:to>
    <xdr:graphicFrame macro="">
      <xdr:nvGraphicFramePr>
        <xdr:cNvPr id="60136728" name="Chart 13">
          <a:extLst>
            <a:ext uri="{FF2B5EF4-FFF2-40B4-BE49-F238E27FC236}">
              <a16:creationId xmlns:a16="http://schemas.microsoft.com/office/drawing/2014/main" id="{00000000-0008-0000-0700-0000189D95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54</xdr:col>
      <xdr:colOff>57150</xdr:colOff>
      <xdr:row>1</xdr:row>
      <xdr:rowOff>180975</xdr:rowOff>
    </xdr:from>
    <xdr:to>
      <xdr:col>65</xdr:col>
      <xdr:colOff>571500</xdr:colOff>
      <xdr:row>39</xdr:row>
      <xdr:rowOff>161925</xdr:rowOff>
    </xdr:to>
    <xdr:graphicFrame macro="">
      <xdr:nvGraphicFramePr>
        <xdr:cNvPr id="60136729" name="Chart 13">
          <a:extLst>
            <a:ext uri="{FF2B5EF4-FFF2-40B4-BE49-F238E27FC236}">
              <a16:creationId xmlns:a16="http://schemas.microsoft.com/office/drawing/2014/main" id="{00000000-0008-0000-0700-0000199D95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85725</xdr:colOff>
      <xdr:row>57</xdr:row>
      <xdr:rowOff>190500</xdr:rowOff>
    </xdr:from>
    <xdr:to>
      <xdr:col>23</xdr:col>
      <xdr:colOff>680357</xdr:colOff>
      <xdr:row>95</xdr:row>
      <xdr:rowOff>231321</xdr:rowOff>
    </xdr:to>
    <xdr:graphicFrame macro="">
      <xdr:nvGraphicFramePr>
        <xdr:cNvPr id="60136730" name="Chart 18">
          <a:extLst>
            <a:ext uri="{FF2B5EF4-FFF2-40B4-BE49-F238E27FC236}">
              <a16:creationId xmlns:a16="http://schemas.microsoft.com/office/drawing/2014/main" id="{00000000-0008-0000-0700-00001A9D95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oneCellAnchor>
    <xdr:from>
      <xdr:col>19</xdr:col>
      <xdr:colOff>63954</xdr:colOff>
      <xdr:row>66</xdr:row>
      <xdr:rowOff>63954</xdr:rowOff>
    </xdr:from>
    <xdr:ext cx="194454" cy="409840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SpPr txBox="1"/>
      </xdr:nvSpPr>
      <xdr:spPr>
        <a:xfrm>
          <a:off x="16138072" y="166687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17</xdr:col>
      <xdr:colOff>598713</xdr:colOff>
      <xdr:row>64</xdr:row>
      <xdr:rowOff>108856</xdr:rowOff>
    </xdr:from>
    <xdr:ext cx="2396398" cy="435429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SpPr txBox="1"/>
      </xdr:nvSpPr>
      <xdr:spPr>
        <a:xfrm>
          <a:off x="107364438" y="29312506"/>
          <a:ext cx="2396398" cy="43542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ru-RU"/>
        </a:p>
      </xdr:txBody>
    </xdr:sp>
    <xdr:clientData/>
  </xdr:oneCellAnchor>
  <xdr:oneCellAnchor>
    <xdr:from>
      <xdr:col>16</xdr:col>
      <xdr:colOff>317047</xdr:colOff>
      <xdr:row>64</xdr:row>
      <xdr:rowOff>122464</xdr:rowOff>
    </xdr:from>
    <xdr:ext cx="184731" cy="418599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SpPr txBox="1"/>
      </xdr:nvSpPr>
      <xdr:spPr>
        <a:xfrm>
          <a:off x="14341929" y="16338096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twoCellAnchor>
    <xdr:from>
      <xdr:col>74</xdr:col>
      <xdr:colOff>57150</xdr:colOff>
      <xdr:row>1</xdr:row>
      <xdr:rowOff>180975</xdr:rowOff>
    </xdr:from>
    <xdr:to>
      <xdr:col>88</xdr:col>
      <xdr:colOff>476250</xdr:colOff>
      <xdr:row>39</xdr:row>
      <xdr:rowOff>161925</xdr:rowOff>
    </xdr:to>
    <xdr:graphicFrame macro="">
      <xdr:nvGraphicFramePr>
        <xdr:cNvPr id="60136734" name="Chart 13">
          <a:extLst>
            <a:ext uri="{FF2B5EF4-FFF2-40B4-BE49-F238E27FC236}">
              <a16:creationId xmlns:a16="http://schemas.microsoft.com/office/drawing/2014/main" id="{00000000-0008-0000-0700-00001E9D95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55</xdr:col>
      <xdr:colOff>117929</xdr:colOff>
      <xdr:row>56</xdr:row>
      <xdr:rowOff>183697</xdr:rowOff>
    </xdr:from>
    <xdr:to>
      <xdr:col>69</xdr:col>
      <xdr:colOff>682625</xdr:colOff>
      <xdr:row>95</xdr:row>
      <xdr:rowOff>184832</xdr:rowOff>
    </xdr:to>
    <xdr:graphicFrame macro="">
      <xdr:nvGraphicFramePr>
        <xdr:cNvPr id="10" name="Диаграмма 9">
          <a:extLst>
            <a:ext uri="{FF2B5EF4-FFF2-40B4-BE49-F238E27FC236}">
              <a16:creationId xmlns:a16="http://schemas.microsoft.com/office/drawing/2014/main" id="{00000000-0008-0000-07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77</xdr:col>
      <xdr:colOff>117929</xdr:colOff>
      <xdr:row>56</xdr:row>
      <xdr:rowOff>183697</xdr:rowOff>
    </xdr:from>
    <xdr:to>
      <xdr:col>91</xdr:col>
      <xdr:colOff>10205</xdr:colOff>
      <xdr:row>95</xdr:row>
      <xdr:rowOff>184832</xdr:rowOff>
    </xdr:to>
    <xdr:graphicFrame macro="">
      <xdr:nvGraphicFramePr>
        <xdr:cNvPr id="11" name="Диаграмма 10">
          <a:extLst>
            <a:ext uri="{FF2B5EF4-FFF2-40B4-BE49-F238E27FC236}">
              <a16:creationId xmlns:a16="http://schemas.microsoft.com/office/drawing/2014/main" id="{00000000-0008-0000-07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33</xdr:col>
      <xdr:colOff>40821</xdr:colOff>
      <xdr:row>58</xdr:row>
      <xdr:rowOff>-1</xdr:rowOff>
    </xdr:from>
    <xdr:to>
      <xdr:col>46</xdr:col>
      <xdr:colOff>639535</xdr:colOff>
      <xdr:row>96</xdr:row>
      <xdr:rowOff>0</xdr:rowOff>
    </xdr:to>
    <xdr:graphicFrame macro="">
      <xdr:nvGraphicFramePr>
        <xdr:cNvPr id="14" name="Диаграмма 13">
          <a:extLst>
            <a:ext uri="{FF2B5EF4-FFF2-40B4-BE49-F238E27FC236}">
              <a16:creationId xmlns:a16="http://schemas.microsoft.com/office/drawing/2014/main" id="{00000000-0008-0000-0700-00000E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oneCellAnchor>
    <xdr:from>
      <xdr:col>36</xdr:col>
      <xdr:colOff>544285</xdr:colOff>
      <xdr:row>60</xdr:row>
      <xdr:rowOff>217715</xdr:rowOff>
    </xdr:from>
    <xdr:ext cx="184731" cy="264560"/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00000000-0008-0000-0700-00000F000000}"/>
            </a:ext>
          </a:extLst>
        </xdr:cNvPr>
        <xdr:cNvSpPr txBox="1"/>
      </xdr:nvSpPr>
      <xdr:spPr>
        <a:xfrm>
          <a:off x="27187071" y="14641286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 sz="1100"/>
        </a:p>
      </xdr:txBody>
    </xdr:sp>
    <xdr:clientData/>
  </xdr:oneCellAnchor>
  <xdr:twoCellAnchor>
    <xdr:from>
      <xdr:col>99</xdr:col>
      <xdr:colOff>117928</xdr:colOff>
      <xdr:row>56</xdr:row>
      <xdr:rowOff>183697</xdr:rowOff>
    </xdr:from>
    <xdr:to>
      <xdr:col>113</xdr:col>
      <xdr:colOff>530677</xdr:colOff>
      <xdr:row>95</xdr:row>
      <xdr:rowOff>184832</xdr:rowOff>
    </xdr:to>
    <xdr:graphicFrame macro="">
      <xdr:nvGraphicFramePr>
        <xdr:cNvPr id="16" name="Диаграмма 15">
          <a:extLst>
            <a:ext uri="{FF2B5EF4-FFF2-40B4-BE49-F238E27FC236}">
              <a16:creationId xmlns:a16="http://schemas.microsoft.com/office/drawing/2014/main" id="{00000000-0008-0000-0700-000010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99</xdr:col>
      <xdr:colOff>63500</xdr:colOff>
      <xdr:row>99</xdr:row>
      <xdr:rowOff>31750</xdr:rowOff>
    </xdr:from>
    <xdr:to>
      <xdr:col>113</xdr:col>
      <xdr:colOff>571500</xdr:colOff>
      <xdr:row>137</xdr:row>
      <xdr:rowOff>206375</xdr:rowOff>
    </xdr:to>
    <xdr:graphicFrame macro="">
      <xdr:nvGraphicFramePr>
        <xdr:cNvPr id="17" name="Диаграмма 16">
          <a:extLst>
            <a:ext uri="{FF2B5EF4-FFF2-40B4-BE49-F238E27FC236}">
              <a16:creationId xmlns:a16="http://schemas.microsoft.com/office/drawing/2014/main" id="{00000000-0008-0000-0700-000011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oneCellAnchor>
    <xdr:from>
      <xdr:col>107</xdr:col>
      <xdr:colOff>398690</xdr:colOff>
      <xdr:row>113</xdr:row>
      <xdr:rowOff>25855</xdr:rowOff>
    </xdr:from>
    <xdr:ext cx="698140" cy="357790"/>
    <xdr:sp macro="" textlink="">
      <xdr:nvSpPr>
        <xdr:cNvPr id="18" name="TextBox 17">
          <a:extLst>
            <a:ext uri="{FF2B5EF4-FFF2-40B4-BE49-F238E27FC236}">
              <a16:creationId xmlns:a16="http://schemas.microsoft.com/office/drawing/2014/main" id="{00000000-0008-0000-0700-000012000000}"/>
            </a:ext>
          </a:extLst>
        </xdr:cNvPr>
        <xdr:cNvSpPr txBox="1"/>
      </xdr:nvSpPr>
      <xdr:spPr>
        <a:xfrm>
          <a:off x="72598190" y="26457730"/>
          <a:ext cx="698140" cy="35779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ru-RU" sz="1800">
              <a:latin typeface="Arial" pitchFamily="34" charset="0"/>
              <a:cs typeface="Arial" pitchFamily="34" charset="0"/>
            </a:rPr>
            <a:t>2016</a:t>
          </a:r>
        </a:p>
      </xdr:txBody>
    </xdr:sp>
    <xdr:clientData/>
  </xdr:oneCellAnchor>
  <xdr:oneCellAnchor>
    <xdr:from>
      <xdr:col>103</xdr:col>
      <xdr:colOff>312965</xdr:colOff>
      <xdr:row>130</xdr:row>
      <xdr:rowOff>81643</xdr:rowOff>
    </xdr:from>
    <xdr:ext cx="773160" cy="357790"/>
    <xdr:sp macro="" textlink="">
      <xdr:nvSpPr>
        <xdr:cNvPr id="21" name="TextBox 20">
          <a:extLst>
            <a:ext uri="{FF2B5EF4-FFF2-40B4-BE49-F238E27FC236}">
              <a16:creationId xmlns:a16="http://schemas.microsoft.com/office/drawing/2014/main" id="{00000000-0008-0000-0700-000015000000}"/>
            </a:ext>
          </a:extLst>
        </xdr:cNvPr>
        <xdr:cNvSpPr txBox="1"/>
      </xdr:nvSpPr>
      <xdr:spPr>
        <a:xfrm>
          <a:off x="70172036" y="31078714"/>
          <a:ext cx="773160" cy="35779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ru-RU" sz="1800">
              <a:latin typeface="Arial" pitchFamily="34" charset="0"/>
              <a:cs typeface="Arial" pitchFamily="34" charset="0"/>
            </a:rPr>
            <a:t>отчёт</a:t>
          </a:r>
        </a:p>
      </xdr:txBody>
    </xdr:sp>
    <xdr:clientData/>
  </xdr:oneCellAnchor>
  <xdr:oneCellAnchor>
    <xdr:from>
      <xdr:col>109</xdr:col>
      <xdr:colOff>13607</xdr:colOff>
      <xdr:row>130</xdr:row>
      <xdr:rowOff>81643</xdr:rowOff>
    </xdr:from>
    <xdr:ext cx="1012265" cy="357790"/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00000000-0008-0000-0700-000016000000}"/>
            </a:ext>
          </a:extLst>
        </xdr:cNvPr>
        <xdr:cNvSpPr txBox="1"/>
      </xdr:nvSpPr>
      <xdr:spPr>
        <a:xfrm>
          <a:off x="73546607" y="31078714"/>
          <a:ext cx="1012265" cy="35779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ru-RU" sz="1800">
              <a:latin typeface="Arial" pitchFamily="34" charset="0"/>
              <a:cs typeface="Arial" pitchFamily="34" charset="0"/>
            </a:rPr>
            <a:t>прогноз</a:t>
          </a:r>
        </a:p>
      </xdr:txBody>
    </xdr:sp>
    <xdr:clientData/>
  </xdr:oneCellAnchor>
  <xdr:oneCellAnchor>
    <xdr:from>
      <xdr:col>84</xdr:col>
      <xdr:colOff>555171</xdr:colOff>
      <xdr:row>87</xdr:row>
      <xdr:rowOff>136071</xdr:rowOff>
    </xdr:from>
    <xdr:ext cx="2241319" cy="357790"/>
    <xdr:sp macro="" textlink="">
      <xdr:nvSpPr>
        <xdr:cNvPr id="23" name="TextBox 22">
          <a:extLst>
            <a:ext uri="{FF2B5EF4-FFF2-40B4-BE49-F238E27FC236}">
              <a16:creationId xmlns:a16="http://schemas.microsoft.com/office/drawing/2014/main" id="{00000000-0008-0000-0700-000017000000}"/>
            </a:ext>
          </a:extLst>
        </xdr:cNvPr>
        <xdr:cNvSpPr txBox="1"/>
      </xdr:nvSpPr>
      <xdr:spPr>
        <a:xfrm>
          <a:off x="58486221" y="21338721"/>
          <a:ext cx="2241319" cy="35779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sz="1800" baseline="0">
              <a:latin typeface="Arial" pitchFamily="34" charset="0"/>
              <a:cs typeface="Arial" pitchFamily="34" charset="0"/>
            </a:rPr>
            <a:t>DH = OT +</a:t>
          </a:r>
          <a:r>
            <a:rPr lang="ru-RU" sz="1800" b="0" i="0" u="none" strike="noStrike">
              <a:solidFill>
                <a:schemeClr val="tx1"/>
              </a:solidFill>
              <a:latin typeface="Arial" pitchFamily="34" charset="0"/>
              <a:ea typeface="+mn-ea"/>
              <a:cs typeface="Arial" pitchFamily="34" charset="0"/>
            </a:rPr>
            <a:t> µ</a:t>
          </a:r>
          <a:r>
            <a:rPr lang="en-US" sz="1800" baseline="0">
              <a:latin typeface="Arial" pitchFamily="34" charset="0"/>
              <a:cs typeface="Arial" pitchFamily="34" charset="0"/>
            </a:rPr>
            <a:t>* WWP</a:t>
          </a:r>
          <a:endParaRPr lang="ru-RU" sz="1800">
            <a:latin typeface="Arial" pitchFamily="34" charset="0"/>
            <a:cs typeface="Arial" pitchFamily="34" charset="0"/>
          </a:endParaRPr>
        </a:p>
      </xdr:txBody>
    </xdr:sp>
    <xdr:clientData/>
  </xdr:oneCellAnchor>
  <xdr:twoCellAnchor>
    <xdr:from>
      <xdr:col>76</xdr:col>
      <xdr:colOff>70304</xdr:colOff>
      <xdr:row>98</xdr:row>
      <xdr:rowOff>199570</xdr:rowOff>
    </xdr:from>
    <xdr:to>
      <xdr:col>90</xdr:col>
      <xdr:colOff>498930</xdr:colOff>
      <xdr:row>137</xdr:row>
      <xdr:rowOff>206374</xdr:rowOff>
    </xdr:to>
    <xdr:graphicFrame macro="">
      <xdr:nvGraphicFramePr>
        <xdr:cNvPr id="24" name="Диаграмма 23">
          <a:extLst>
            <a:ext uri="{FF2B5EF4-FFF2-40B4-BE49-F238E27FC236}">
              <a16:creationId xmlns:a16="http://schemas.microsoft.com/office/drawing/2014/main" id="{00000000-0008-0000-0700-00001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oneCellAnchor>
    <xdr:from>
      <xdr:col>86</xdr:col>
      <xdr:colOff>595539</xdr:colOff>
      <xdr:row>111</xdr:row>
      <xdr:rowOff>159659</xdr:rowOff>
    </xdr:from>
    <xdr:ext cx="1049903" cy="269369"/>
    <xdr:sp macro="" textlink="">
      <xdr:nvSpPr>
        <xdr:cNvPr id="25" name="TextBox 24">
          <a:extLst>
            <a:ext uri="{FF2B5EF4-FFF2-40B4-BE49-F238E27FC236}">
              <a16:creationId xmlns:a16="http://schemas.microsoft.com/office/drawing/2014/main" id="{00000000-0008-0000-0700-000019000000}"/>
            </a:ext>
          </a:extLst>
        </xdr:cNvPr>
        <xdr:cNvSpPr txBox="1"/>
      </xdr:nvSpPr>
      <xdr:spPr>
        <a:xfrm>
          <a:off x="58936164" y="26115284"/>
          <a:ext cx="1049903" cy="26936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ru-RU" sz="1200">
              <a:latin typeface="Arial" pitchFamily="34" charset="0"/>
              <a:cs typeface="Arial" pitchFamily="34" charset="0"/>
            </a:rPr>
            <a:t>СЦЕНАРИЙ</a:t>
          </a:r>
        </a:p>
      </xdr:txBody>
    </xdr:sp>
    <xdr:clientData/>
  </xdr:oneCellAnchor>
  <xdr:oneCellAnchor>
    <xdr:from>
      <xdr:col>80</xdr:col>
      <xdr:colOff>312965</xdr:colOff>
      <xdr:row>130</xdr:row>
      <xdr:rowOff>81643</xdr:rowOff>
    </xdr:from>
    <xdr:ext cx="838563" cy="387286"/>
    <xdr:sp macro="" textlink="">
      <xdr:nvSpPr>
        <xdr:cNvPr id="26" name="TextBox 25">
          <a:extLst>
            <a:ext uri="{FF2B5EF4-FFF2-40B4-BE49-F238E27FC236}">
              <a16:creationId xmlns:a16="http://schemas.microsoft.com/office/drawing/2014/main" id="{00000000-0008-0000-0700-00001A000000}"/>
            </a:ext>
          </a:extLst>
        </xdr:cNvPr>
        <xdr:cNvSpPr txBox="1"/>
      </xdr:nvSpPr>
      <xdr:spPr>
        <a:xfrm>
          <a:off x="55446840" y="30355268"/>
          <a:ext cx="838563" cy="3872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ru-RU" sz="2000">
              <a:latin typeface="Arial" pitchFamily="34" charset="0"/>
              <a:cs typeface="Arial" pitchFamily="34" charset="0"/>
            </a:rPr>
            <a:t>отчёт</a:t>
          </a:r>
        </a:p>
      </xdr:txBody>
    </xdr:sp>
    <xdr:clientData/>
  </xdr:oneCellAnchor>
  <xdr:oneCellAnchor>
    <xdr:from>
      <xdr:col>86</xdr:col>
      <xdr:colOff>13607</xdr:colOff>
      <xdr:row>130</xdr:row>
      <xdr:rowOff>81643</xdr:rowOff>
    </xdr:from>
    <xdr:ext cx="1104341" cy="387286"/>
    <xdr:sp macro="" textlink="">
      <xdr:nvSpPr>
        <xdr:cNvPr id="27" name="TextBox 26">
          <a:extLst>
            <a:ext uri="{FF2B5EF4-FFF2-40B4-BE49-F238E27FC236}">
              <a16:creationId xmlns:a16="http://schemas.microsoft.com/office/drawing/2014/main" id="{00000000-0008-0000-0700-00001B000000}"/>
            </a:ext>
          </a:extLst>
        </xdr:cNvPr>
        <xdr:cNvSpPr txBox="1"/>
      </xdr:nvSpPr>
      <xdr:spPr>
        <a:xfrm>
          <a:off x="58766982" y="30355268"/>
          <a:ext cx="1104341" cy="3872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ru-RU" sz="2000">
              <a:latin typeface="Arial" pitchFamily="34" charset="0"/>
              <a:cs typeface="Arial" pitchFamily="34" charset="0"/>
            </a:rPr>
            <a:t>прогноз</a:t>
          </a:r>
        </a:p>
      </xdr:txBody>
    </xdr:sp>
    <xdr:clientData/>
  </xdr:oneCellAnchor>
  <xdr:oneCellAnchor>
    <xdr:from>
      <xdr:col>107</xdr:col>
      <xdr:colOff>3175</xdr:colOff>
      <xdr:row>117</xdr:row>
      <xdr:rowOff>111125</xdr:rowOff>
    </xdr:from>
    <xdr:ext cx="641201" cy="328295"/>
    <xdr:sp macro="" textlink="">
      <xdr:nvSpPr>
        <xdr:cNvPr id="29" name="TextBox 28">
          <a:extLst>
            <a:ext uri="{FF2B5EF4-FFF2-40B4-BE49-F238E27FC236}">
              <a16:creationId xmlns:a16="http://schemas.microsoft.com/office/drawing/2014/main" id="{00000000-0008-0000-0700-00001D000000}"/>
            </a:ext>
          </a:extLst>
        </xdr:cNvPr>
        <xdr:cNvSpPr txBox="1"/>
      </xdr:nvSpPr>
      <xdr:spPr>
        <a:xfrm>
          <a:off x="72202675" y="27495500"/>
          <a:ext cx="641201" cy="32829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sz="1600">
              <a:latin typeface="Arial" pitchFamily="34" charset="0"/>
              <a:cs typeface="Arial" pitchFamily="34" charset="0"/>
            </a:rPr>
            <a:t>2015</a:t>
          </a:r>
          <a:endParaRPr lang="ru-RU" sz="1600">
            <a:latin typeface="Arial" pitchFamily="34" charset="0"/>
            <a:cs typeface="Arial" pitchFamily="34" charset="0"/>
          </a:endParaRPr>
        </a:p>
      </xdr:txBody>
    </xdr:sp>
    <xdr:clientData/>
  </xdr:oneCellAnchor>
  <xdr:twoCellAnchor>
    <xdr:from>
      <xdr:col>47</xdr:col>
      <xdr:colOff>31750</xdr:colOff>
      <xdr:row>99</xdr:row>
      <xdr:rowOff>199570</xdr:rowOff>
    </xdr:from>
    <xdr:to>
      <xdr:col>61</xdr:col>
      <xdr:colOff>498928</xdr:colOff>
      <xdr:row>139</xdr:row>
      <xdr:rowOff>0</xdr:rowOff>
    </xdr:to>
    <xdr:graphicFrame macro="">
      <xdr:nvGraphicFramePr>
        <xdr:cNvPr id="30" name="Диаграмма 29">
          <a:extLst>
            <a:ext uri="{FF2B5EF4-FFF2-40B4-BE49-F238E27FC236}">
              <a16:creationId xmlns:a16="http://schemas.microsoft.com/office/drawing/2014/main" id="{00000000-0008-0000-0700-00001E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oneCellAnchor>
    <xdr:from>
      <xdr:col>57</xdr:col>
      <xdr:colOff>325664</xdr:colOff>
      <xdr:row>113</xdr:row>
      <xdr:rowOff>64409</xdr:rowOff>
    </xdr:from>
    <xdr:ext cx="1049903" cy="269369"/>
    <xdr:sp macro="" textlink="">
      <xdr:nvSpPr>
        <xdr:cNvPr id="31" name="TextBox 30">
          <a:extLst>
            <a:ext uri="{FF2B5EF4-FFF2-40B4-BE49-F238E27FC236}">
              <a16:creationId xmlns:a16="http://schemas.microsoft.com/office/drawing/2014/main" id="{00000000-0008-0000-0700-00001F000000}"/>
            </a:ext>
          </a:extLst>
        </xdr:cNvPr>
        <xdr:cNvSpPr txBox="1"/>
      </xdr:nvSpPr>
      <xdr:spPr>
        <a:xfrm>
          <a:off x="59079039" y="26210534"/>
          <a:ext cx="1049903" cy="26936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ru-RU" sz="1200">
              <a:latin typeface="Arial" pitchFamily="34" charset="0"/>
              <a:cs typeface="Arial" pitchFamily="34" charset="0"/>
            </a:rPr>
            <a:t>СЦЕНАРИЙ</a:t>
          </a:r>
        </a:p>
      </xdr:txBody>
    </xdr:sp>
    <xdr:clientData/>
  </xdr:oneCellAnchor>
  <xdr:oneCellAnchor>
    <xdr:from>
      <xdr:col>51</xdr:col>
      <xdr:colOff>312965</xdr:colOff>
      <xdr:row>131</xdr:row>
      <xdr:rowOff>81643</xdr:rowOff>
    </xdr:from>
    <xdr:ext cx="838563" cy="387286"/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00000000-0008-0000-0700-000020000000}"/>
            </a:ext>
          </a:extLst>
        </xdr:cNvPr>
        <xdr:cNvSpPr txBox="1"/>
      </xdr:nvSpPr>
      <xdr:spPr>
        <a:xfrm>
          <a:off x="55446840" y="30434643"/>
          <a:ext cx="838563" cy="3872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ru-RU" sz="2000">
              <a:latin typeface="Arial" pitchFamily="34" charset="0"/>
              <a:cs typeface="Arial" pitchFamily="34" charset="0"/>
            </a:rPr>
            <a:t>отчёт</a:t>
          </a:r>
        </a:p>
      </xdr:txBody>
    </xdr:sp>
    <xdr:clientData/>
  </xdr:oneCellAnchor>
  <xdr:oneCellAnchor>
    <xdr:from>
      <xdr:col>57</xdr:col>
      <xdr:colOff>13607</xdr:colOff>
      <xdr:row>131</xdr:row>
      <xdr:rowOff>81643</xdr:rowOff>
    </xdr:from>
    <xdr:ext cx="1104341" cy="387286"/>
    <xdr:sp macro="" textlink="">
      <xdr:nvSpPr>
        <xdr:cNvPr id="33" name="TextBox 32">
          <a:extLst>
            <a:ext uri="{FF2B5EF4-FFF2-40B4-BE49-F238E27FC236}">
              <a16:creationId xmlns:a16="http://schemas.microsoft.com/office/drawing/2014/main" id="{00000000-0008-0000-0700-000021000000}"/>
            </a:ext>
          </a:extLst>
        </xdr:cNvPr>
        <xdr:cNvSpPr txBox="1"/>
      </xdr:nvSpPr>
      <xdr:spPr>
        <a:xfrm>
          <a:off x="58766982" y="30434643"/>
          <a:ext cx="1104341" cy="3872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ru-RU" sz="2000">
              <a:latin typeface="Arial" pitchFamily="34" charset="0"/>
              <a:cs typeface="Arial" pitchFamily="34" charset="0"/>
            </a:rPr>
            <a:t>прогноз</a:t>
          </a:r>
        </a:p>
      </xdr:txBody>
    </xdr:sp>
    <xdr:clientData/>
  </xdr:oneCellAnchor>
  <xdr:twoCellAnchor>
    <xdr:from>
      <xdr:col>122</xdr:col>
      <xdr:colOff>54428</xdr:colOff>
      <xdr:row>56</xdr:row>
      <xdr:rowOff>190500</xdr:rowOff>
    </xdr:from>
    <xdr:to>
      <xdr:col>135</xdr:col>
      <xdr:colOff>571500</xdr:colOff>
      <xdr:row>95</xdr:row>
      <xdr:rowOff>9072</xdr:rowOff>
    </xdr:to>
    <xdr:graphicFrame macro="">
      <xdr:nvGraphicFramePr>
        <xdr:cNvPr id="35" name="Диаграмма 34">
          <a:extLst>
            <a:ext uri="{FF2B5EF4-FFF2-40B4-BE49-F238E27FC236}">
              <a16:creationId xmlns:a16="http://schemas.microsoft.com/office/drawing/2014/main" id="{00000000-0008-0000-0700-00002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drawings/drawing151.xml><?xml version="1.0" encoding="utf-8"?>
<c:userShapes xmlns:c="http://schemas.openxmlformats.org/drawingml/2006/chart">
  <cdr:relSizeAnchor xmlns:cdr="http://schemas.openxmlformats.org/drawingml/2006/chartDrawing">
    <cdr:from>
      <cdr:x>0.17522</cdr:x>
      <cdr:y>0.39275</cdr:y>
    </cdr:from>
    <cdr:to>
      <cdr:x>0.28357</cdr:x>
      <cdr:y>0.45907</cdr:y>
    </cdr:to>
    <cdr:sp macro="" textlink="">
      <cdr:nvSpPr>
        <cdr:cNvPr id="256001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273235" y="3006252"/>
          <a:ext cx="787327" cy="50224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32004" rIns="36576" bIns="32004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en-US" sz="1400" b="0" i="0" strike="noStrike">
              <a:solidFill>
                <a:srgbClr val="000000"/>
              </a:solidFill>
              <a:latin typeface="Arial Cyr"/>
            </a:rPr>
            <a:t>^h32</a:t>
          </a:r>
        </a:p>
      </cdr:txBody>
    </cdr:sp>
  </cdr:relSizeAnchor>
  <cdr:relSizeAnchor xmlns:cdr="http://schemas.openxmlformats.org/drawingml/2006/chartDrawing">
    <cdr:from>
      <cdr:x>0.28661</cdr:x>
      <cdr:y>0.77679</cdr:y>
    </cdr:from>
    <cdr:to>
      <cdr:x>0.42446</cdr:x>
      <cdr:y>0.82911</cdr:y>
    </cdr:to>
    <cdr:sp macro="" textlink="">
      <cdr:nvSpPr>
        <cdr:cNvPr id="256002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441952" y="4331902"/>
          <a:ext cx="795536" cy="29575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22860" rIns="36576" bIns="22860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ru-RU" sz="1600" b="0" i="0" strike="noStrike">
              <a:solidFill>
                <a:srgbClr val="000000"/>
              </a:solidFill>
              <a:latin typeface="Arial Cyr"/>
            </a:rPr>
            <a:t>отчёт </a:t>
          </a:r>
        </a:p>
      </cdr:txBody>
    </cdr:sp>
  </cdr:relSizeAnchor>
  <cdr:relSizeAnchor xmlns:cdr="http://schemas.openxmlformats.org/drawingml/2006/chartDrawing">
    <cdr:from>
      <cdr:x>0.71076</cdr:x>
      <cdr:y>0.76741</cdr:y>
    </cdr:from>
    <cdr:to>
      <cdr:x>0.82834</cdr:x>
      <cdr:y>0.81713</cdr:y>
    </cdr:to>
    <cdr:sp macro="" textlink="">
      <cdr:nvSpPr>
        <cdr:cNvPr id="256003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270626" y="5748929"/>
          <a:ext cx="1095376" cy="37882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22860" rIns="36576" bIns="22860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ru-RU" sz="1600" b="0" i="0" strike="noStrike">
              <a:solidFill>
                <a:srgbClr val="000000"/>
              </a:solidFill>
              <a:latin typeface="Arial Cyr"/>
            </a:rPr>
            <a:t>прогноз</a:t>
          </a:r>
        </a:p>
      </cdr:txBody>
    </cdr:sp>
  </cdr:relSizeAnchor>
  <cdr:relSizeAnchor xmlns:cdr="http://schemas.openxmlformats.org/drawingml/2006/chartDrawing">
    <cdr:from>
      <cdr:x>0.18147</cdr:x>
      <cdr:y>0.5357</cdr:y>
    </cdr:from>
    <cdr:to>
      <cdr:x>0.26304</cdr:x>
      <cdr:y>0.59514</cdr:y>
    </cdr:to>
    <cdr:sp macro="" textlink="">
      <cdr:nvSpPr>
        <cdr:cNvPr id="256004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318642" y="4094117"/>
          <a:ext cx="592730" cy="44722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32004" rIns="36576" bIns="32004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en-US" sz="1400" b="0" i="0" strike="noStrike">
              <a:solidFill>
                <a:srgbClr val="000000"/>
              </a:solidFill>
              <a:latin typeface="Arial Cyr"/>
            </a:rPr>
            <a:t>^h31</a:t>
          </a:r>
        </a:p>
      </cdr:txBody>
    </cdr:sp>
  </cdr:relSizeAnchor>
  <cdr:relSizeAnchor xmlns:cdr="http://schemas.openxmlformats.org/drawingml/2006/chartDrawing">
    <cdr:from>
      <cdr:x>0.1191</cdr:x>
      <cdr:y>0.02645</cdr:y>
    </cdr:from>
    <cdr:to>
      <cdr:x>0.94985</cdr:x>
      <cdr:y>0.18417</cdr:y>
    </cdr:to>
    <cdr:sp macro="" textlink="">
      <cdr:nvSpPr>
        <cdr:cNvPr id="256005" name="Text Box 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78656" y="180975"/>
          <a:ext cx="4733925" cy="97155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22860" rIns="36576" bIns="22860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ru-RU" sz="1600" b="0" i="0" strike="noStrike">
              <a:solidFill>
                <a:srgbClr val="000000"/>
              </a:solidFill>
              <a:latin typeface="Arial Cyr"/>
            </a:rPr>
            <a:t>  КОЭФФИЦИЕНТЫ ВЛИЯНИЯ ВАЛОВОЙ</a:t>
          </a:r>
          <a:r>
            <a:rPr lang="ru-RU" sz="1600" b="0" i="0" strike="noStrike" baseline="0">
              <a:solidFill>
                <a:srgbClr val="000000"/>
              </a:solidFill>
              <a:latin typeface="Arial Cyr"/>
            </a:rPr>
            <a:t> ПРИБЫЛИ (</a:t>
          </a:r>
          <a:r>
            <a:rPr lang="en-US" sz="1600" b="0" i="0" strike="noStrike" baseline="0">
              <a:solidFill>
                <a:srgbClr val="000000"/>
              </a:solidFill>
              <a:latin typeface="Arial Cyr"/>
            </a:rPr>
            <a:t>h31) </a:t>
          </a:r>
          <a:r>
            <a:rPr lang="ru-RU" sz="1600" b="0" i="0" strike="noStrike" baseline="0">
              <a:solidFill>
                <a:srgbClr val="000000"/>
              </a:solidFill>
              <a:latin typeface="Arial Cyr"/>
            </a:rPr>
            <a:t>И РАСХОДОВ КОНСОЛИДИРОВАННОГО БЮДЖЕТА</a:t>
          </a:r>
          <a:r>
            <a:rPr lang="en-US" sz="1600" b="0" i="0" strike="noStrike" baseline="0">
              <a:solidFill>
                <a:srgbClr val="000000"/>
              </a:solidFill>
              <a:latin typeface="Arial Cyr"/>
            </a:rPr>
            <a:t> (h32)</a:t>
          </a:r>
          <a:endParaRPr lang="ru-RU" sz="1600" b="0" i="0" strike="noStrike">
            <a:solidFill>
              <a:srgbClr val="000000"/>
            </a:solidFill>
            <a:latin typeface="Arial Cyr"/>
          </a:endParaRPr>
        </a:p>
      </cdr:txBody>
    </cdr:sp>
  </cdr:relSizeAnchor>
</c:userShapes>
</file>

<file path=xl/drawings/drawing152.xml><?xml version="1.0" encoding="utf-8"?>
<c:userShapes xmlns:c="http://schemas.openxmlformats.org/drawingml/2006/chart">
  <cdr:relSizeAnchor xmlns:cdr="http://schemas.openxmlformats.org/drawingml/2006/chartDrawing">
    <cdr:from>
      <cdr:x>0.28996</cdr:x>
      <cdr:y>0.31546</cdr:y>
    </cdr:from>
    <cdr:to>
      <cdr:x>0.39855</cdr:x>
      <cdr:y>0.38152</cdr:y>
    </cdr:to>
    <cdr:sp macro="" textlink="">
      <cdr:nvSpPr>
        <cdr:cNvPr id="256001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100360" y="2457570"/>
          <a:ext cx="785525" cy="51061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32004" rIns="36576" bIns="32004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en-US" sz="1400" b="0" i="0" strike="noStrike">
              <a:solidFill>
                <a:srgbClr val="000000"/>
              </a:solidFill>
              <a:latin typeface="Arial Cyr"/>
            </a:rPr>
            <a:t>^h33</a:t>
          </a:r>
        </a:p>
      </cdr:txBody>
    </cdr:sp>
  </cdr:relSizeAnchor>
  <cdr:relSizeAnchor xmlns:cdr="http://schemas.openxmlformats.org/drawingml/2006/chartDrawing">
    <cdr:from>
      <cdr:x>0.2871</cdr:x>
      <cdr:y>0.77729</cdr:y>
    </cdr:from>
    <cdr:to>
      <cdr:x>0.42495</cdr:x>
      <cdr:y>0.82911</cdr:y>
    </cdr:to>
    <cdr:sp macro="" textlink="">
      <cdr:nvSpPr>
        <cdr:cNvPr id="256002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441952" y="4331902"/>
          <a:ext cx="795536" cy="29575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22860" rIns="36576" bIns="22860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ru-RU" sz="1600" b="0" i="0" strike="noStrike">
              <a:solidFill>
                <a:srgbClr val="000000"/>
              </a:solidFill>
              <a:latin typeface="Arial Cyr"/>
            </a:rPr>
            <a:t>отчёт </a:t>
          </a:r>
        </a:p>
      </cdr:txBody>
    </cdr:sp>
  </cdr:relSizeAnchor>
  <cdr:relSizeAnchor xmlns:cdr="http://schemas.openxmlformats.org/drawingml/2006/chartDrawing">
    <cdr:from>
      <cdr:x>0.71175</cdr:x>
      <cdr:y>0.76766</cdr:y>
    </cdr:from>
    <cdr:to>
      <cdr:x>0.82933</cdr:x>
      <cdr:y>0.81713</cdr:y>
    </cdr:to>
    <cdr:sp macro="" textlink="">
      <cdr:nvSpPr>
        <cdr:cNvPr id="256003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270626" y="5748929"/>
          <a:ext cx="1095376" cy="37882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22860" rIns="36576" bIns="22860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ru-RU" sz="1600" b="0" i="0" strike="noStrike">
              <a:solidFill>
                <a:srgbClr val="000000"/>
              </a:solidFill>
              <a:latin typeface="Arial Cyr"/>
            </a:rPr>
            <a:t>прогноз</a:t>
          </a:r>
        </a:p>
      </cdr:txBody>
    </cdr:sp>
  </cdr:relSizeAnchor>
  <cdr:relSizeAnchor xmlns:cdr="http://schemas.openxmlformats.org/drawingml/2006/chartDrawing">
    <cdr:from>
      <cdr:x>0.30959</cdr:x>
      <cdr:y>0.55353</cdr:y>
    </cdr:from>
    <cdr:to>
      <cdr:x>0.39092</cdr:x>
      <cdr:y>0.61198</cdr:y>
    </cdr:to>
    <cdr:sp macro="" textlink="">
      <cdr:nvSpPr>
        <cdr:cNvPr id="256004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240922" y="4298388"/>
          <a:ext cx="591373" cy="45466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32004" rIns="36576" bIns="32004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en-US" sz="1400" b="0" i="0" strike="noStrike">
              <a:solidFill>
                <a:srgbClr val="000000"/>
              </a:solidFill>
              <a:latin typeface="Arial Cyr"/>
            </a:rPr>
            <a:t>^</a:t>
          </a:r>
          <a:r>
            <a:rPr lang="en-US" sz="1600" b="0" i="0" strike="noStrike">
              <a:solidFill>
                <a:srgbClr val="000000"/>
              </a:solidFill>
              <a:latin typeface="Arial Cyr"/>
            </a:rPr>
            <a:t>µ</a:t>
          </a:r>
        </a:p>
      </cdr:txBody>
    </cdr:sp>
  </cdr:relSizeAnchor>
  <cdr:relSizeAnchor xmlns:cdr="http://schemas.openxmlformats.org/drawingml/2006/chartDrawing">
    <cdr:from>
      <cdr:x>0.20479</cdr:x>
      <cdr:y>0.05083</cdr:y>
    </cdr:from>
    <cdr:to>
      <cdr:x>0.81757</cdr:x>
      <cdr:y>0.15446</cdr:y>
    </cdr:to>
    <cdr:sp macro="" textlink="">
      <cdr:nvSpPr>
        <cdr:cNvPr id="256005" name="Text Box 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562499" y="276921"/>
          <a:ext cx="5691988" cy="79133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22860" rIns="36576" bIns="22860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ru-RU" sz="1600" b="0" i="0" strike="noStrike">
              <a:solidFill>
                <a:srgbClr val="000000"/>
              </a:solidFill>
              <a:latin typeface="Arial Cyr"/>
            </a:rPr>
            <a:t>  КОЭФФИЦИЕНТЫ ВЛИЯНИЯ ПРОЧИХ ДОХОДОВ</a:t>
          </a:r>
          <a:r>
            <a:rPr lang="ru-RU" sz="1600" b="0" i="0" strike="noStrike" baseline="0">
              <a:solidFill>
                <a:srgbClr val="000000"/>
              </a:solidFill>
              <a:latin typeface="Arial Cyr"/>
            </a:rPr>
            <a:t> (µ</a:t>
          </a:r>
          <a:r>
            <a:rPr lang="en-US" sz="1600" b="0" i="0" strike="noStrike" baseline="0">
              <a:solidFill>
                <a:srgbClr val="000000"/>
              </a:solidFill>
              <a:latin typeface="Arial Cyr"/>
            </a:rPr>
            <a:t>) </a:t>
          </a:r>
          <a:r>
            <a:rPr lang="ru-RU" sz="1600" b="0" i="0" strike="noStrike" baseline="0">
              <a:solidFill>
                <a:srgbClr val="000000"/>
              </a:solidFill>
              <a:latin typeface="Arial Cyr"/>
            </a:rPr>
            <a:t>И  ОСНОВНЫХ ФОНДОВ</a:t>
          </a:r>
          <a:r>
            <a:rPr lang="en-US" sz="1600" b="0" i="0" strike="noStrike" baseline="0">
              <a:solidFill>
                <a:srgbClr val="000000"/>
              </a:solidFill>
              <a:latin typeface="Arial Cyr"/>
            </a:rPr>
            <a:t> (h3</a:t>
          </a:r>
          <a:r>
            <a:rPr lang="ru-RU" sz="1600" b="0" i="0" strike="noStrike" baseline="0">
              <a:solidFill>
                <a:srgbClr val="000000"/>
              </a:solidFill>
              <a:latin typeface="Arial Cyr"/>
            </a:rPr>
            <a:t>3</a:t>
          </a:r>
          <a:r>
            <a:rPr lang="en-US" sz="1600" b="0" i="0" strike="noStrike" baseline="0">
              <a:solidFill>
                <a:srgbClr val="000000"/>
              </a:solidFill>
              <a:latin typeface="Arial Cyr"/>
            </a:rPr>
            <a:t>)</a:t>
          </a:r>
          <a:endParaRPr lang="ru-RU" sz="1600" b="0" i="0" strike="noStrike">
            <a:solidFill>
              <a:srgbClr val="000000"/>
            </a:solidFill>
            <a:latin typeface="Arial Cyr"/>
          </a:endParaRPr>
        </a:p>
      </cdr:txBody>
    </cdr:sp>
  </cdr:relSizeAnchor>
</c:userShapes>
</file>

<file path=xl/drawings/drawing153.xml><?xml version="1.0" encoding="utf-8"?>
<c:userShapes xmlns:c="http://schemas.openxmlformats.org/drawingml/2006/chart">
  <cdr:relSizeAnchor xmlns:cdr="http://schemas.openxmlformats.org/drawingml/2006/chartDrawing">
    <cdr:from>
      <cdr:x>0.12751</cdr:x>
      <cdr:y>0.0358</cdr:y>
    </cdr:from>
    <cdr:to>
      <cdr:x>0.95637</cdr:x>
      <cdr:y>0.11976</cdr:y>
    </cdr:to>
    <cdr:sp macro="" textlink="">
      <cdr:nvSpPr>
        <cdr:cNvPr id="19457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802823" y="423371"/>
          <a:ext cx="6123214" cy="68542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22860" rIns="36576" bIns="22860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ru-RU" sz="1800" b="0" i="0" strike="noStrike">
              <a:solidFill>
                <a:srgbClr val="000000"/>
              </a:solidFill>
              <a:latin typeface="Arial Cyr"/>
            </a:rPr>
            <a:t>КОЭФФИЦИЕНТ ПРОЧИХ</a:t>
          </a:r>
          <a:r>
            <a:rPr lang="ru-RU" sz="1800" b="0" i="0" strike="noStrike" baseline="0">
              <a:solidFill>
                <a:srgbClr val="000000"/>
              </a:solidFill>
              <a:latin typeface="Arial Cyr"/>
            </a:rPr>
            <a:t>  ДОХОДОВ НАСЕЛЕНИЯ</a:t>
          </a:r>
          <a:r>
            <a:rPr lang="en-US" sz="1800" b="0" i="0" strike="noStrike">
              <a:solidFill>
                <a:srgbClr val="000000"/>
              </a:solidFill>
              <a:latin typeface="Arial Cyr"/>
            </a:rPr>
            <a:t> </a:t>
          </a:r>
          <a:endParaRPr lang="ru-RU" sz="1800" b="0" i="0" strike="noStrike">
            <a:solidFill>
              <a:srgbClr val="000000"/>
            </a:solidFill>
            <a:latin typeface="Arial Cyr"/>
          </a:endParaRPr>
        </a:p>
      </cdr:txBody>
    </cdr:sp>
  </cdr:relSizeAnchor>
  <cdr:relSizeAnchor xmlns:cdr="http://schemas.openxmlformats.org/drawingml/2006/chartDrawing">
    <cdr:from>
      <cdr:x>0.34479</cdr:x>
      <cdr:y>0.16828</cdr:y>
    </cdr:from>
    <cdr:to>
      <cdr:x>0.75418</cdr:x>
      <cdr:y>0.21777</cdr:y>
    </cdr:to>
    <cdr:sp macro="" textlink="">
      <cdr:nvSpPr>
        <cdr:cNvPr id="19458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334547" y="1294780"/>
          <a:ext cx="3007305" cy="40317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27432" rIns="36576" bIns="27432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en-US" sz="1600" b="0" i="0" strike="noStrike">
              <a:solidFill>
                <a:srgbClr val="000000"/>
              </a:solidFill>
              <a:latin typeface="Arial Cyr"/>
            </a:rPr>
            <a:t>µt =</a:t>
          </a:r>
          <a:r>
            <a:rPr lang="ru-RU" sz="1600" b="0" i="0" strike="noStrike">
              <a:solidFill>
                <a:srgbClr val="000000"/>
              </a:solidFill>
              <a:latin typeface="Arial Cyr"/>
            </a:rPr>
            <a:t> (</a:t>
          </a:r>
          <a:r>
            <a:rPr lang="en-US" sz="1600" b="0" i="0" strike="noStrike">
              <a:solidFill>
                <a:srgbClr val="000000"/>
              </a:solidFill>
              <a:latin typeface="Arial Cyr"/>
            </a:rPr>
            <a:t>DHt</a:t>
          </a:r>
          <a:r>
            <a:rPr lang="en-US" sz="1600" b="0" i="0" strike="noStrike" baseline="0">
              <a:solidFill>
                <a:srgbClr val="000000"/>
              </a:solidFill>
              <a:latin typeface="Arial Cyr"/>
            </a:rPr>
            <a:t> - OTt) / WWPt</a:t>
          </a:r>
          <a:r>
            <a:rPr lang="en-US" sz="1400" b="0" i="0" strike="noStrike">
              <a:solidFill>
                <a:srgbClr val="000000"/>
              </a:solidFill>
              <a:latin typeface="Arial Cyr"/>
            </a:rPr>
            <a:t> </a:t>
          </a:r>
        </a:p>
      </cdr:txBody>
    </cdr:sp>
  </cdr:relSizeAnchor>
  <cdr:relSizeAnchor xmlns:cdr="http://schemas.openxmlformats.org/drawingml/2006/chartDrawing">
    <cdr:from>
      <cdr:x>0.23389</cdr:x>
      <cdr:y>0.83496</cdr:y>
    </cdr:from>
    <cdr:to>
      <cdr:x>0.33316</cdr:x>
      <cdr:y>0.88201</cdr:y>
    </cdr:to>
    <cdr:sp macro="" textlink="">
      <cdr:nvSpPr>
        <cdr:cNvPr id="19459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784145" y="6521143"/>
          <a:ext cx="757248" cy="37517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27432" rIns="36576" bIns="27432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ru-RU" sz="1600" b="0" i="0" strike="noStrike">
              <a:solidFill>
                <a:srgbClr val="000000"/>
              </a:solidFill>
              <a:latin typeface="Arial Cyr"/>
            </a:rPr>
            <a:t>отчёт</a:t>
          </a:r>
        </a:p>
      </cdr:txBody>
    </cdr:sp>
  </cdr:relSizeAnchor>
  <cdr:relSizeAnchor xmlns:cdr="http://schemas.openxmlformats.org/drawingml/2006/chartDrawing">
    <cdr:from>
      <cdr:x>0.67976</cdr:x>
      <cdr:y>0.84101</cdr:y>
    </cdr:from>
    <cdr:to>
      <cdr:x>0.8181</cdr:x>
      <cdr:y>0.88977</cdr:y>
    </cdr:to>
    <cdr:sp macro="" textlink="">
      <cdr:nvSpPr>
        <cdr:cNvPr id="19460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185314" y="6568362"/>
          <a:ext cx="1055281" cy="38479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27432" rIns="36576" bIns="27432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ru-RU" sz="1600" b="0" i="0" strike="noStrike">
              <a:solidFill>
                <a:srgbClr val="000000"/>
              </a:solidFill>
              <a:latin typeface="Arial Cyr"/>
            </a:rPr>
            <a:t>прогноз</a:t>
          </a:r>
        </a:p>
      </cdr:txBody>
    </cdr:sp>
  </cdr:relSizeAnchor>
</c:userShapes>
</file>

<file path=xl/drawings/drawing154.xml><?xml version="1.0" encoding="utf-8"?>
<c:userShapes xmlns:c="http://schemas.openxmlformats.org/drawingml/2006/chart">
  <cdr:relSizeAnchor xmlns:cdr="http://schemas.openxmlformats.org/drawingml/2006/chartDrawing">
    <cdr:from>
      <cdr:x>0.23657</cdr:x>
      <cdr:y>0.1545</cdr:y>
    </cdr:from>
    <cdr:to>
      <cdr:x>0.34665</cdr:x>
      <cdr:y>0.22032</cdr:y>
    </cdr:to>
    <cdr:sp macro="" textlink="">
      <cdr:nvSpPr>
        <cdr:cNvPr id="256001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100360" y="2457570"/>
          <a:ext cx="785525" cy="51061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32004" rIns="36576" bIns="32004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en-US" sz="1400" b="0" i="0" strike="noStrike">
              <a:solidFill>
                <a:srgbClr val="000000"/>
              </a:solidFill>
              <a:latin typeface="Arial Cyr"/>
            </a:rPr>
            <a:t>^Kpd</a:t>
          </a:r>
        </a:p>
      </cdr:txBody>
    </cdr:sp>
  </cdr:relSizeAnchor>
  <cdr:relSizeAnchor xmlns:cdr="http://schemas.openxmlformats.org/drawingml/2006/chartDrawing">
    <cdr:from>
      <cdr:x>0.27821</cdr:x>
      <cdr:y>0.77729</cdr:y>
    </cdr:from>
    <cdr:to>
      <cdr:x>0.41803</cdr:x>
      <cdr:y>0.82911</cdr:y>
    </cdr:to>
    <cdr:sp macro="" textlink="">
      <cdr:nvSpPr>
        <cdr:cNvPr id="256002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441952" y="4331902"/>
          <a:ext cx="795536" cy="29575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22860" rIns="36576" bIns="22860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ru-RU" sz="1600" b="0" i="0" strike="noStrike">
              <a:solidFill>
                <a:srgbClr val="000000"/>
              </a:solidFill>
              <a:latin typeface="Arial Cyr"/>
            </a:rPr>
            <a:t>отчёт </a:t>
          </a:r>
        </a:p>
      </cdr:txBody>
    </cdr:sp>
  </cdr:relSizeAnchor>
  <cdr:relSizeAnchor xmlns:cdr="http://schemas.openxmlformats.org/drawingml/2006/chartDrawing">
    <cdr:from>
      <cdr:x>0.70878</cdr:x>
      <cdr:y>0.76766</cdr:y>
    </cdr:from>
    <cdr:to>
      <cdr:x>0.82834</cdr:x>
      <cdr:y>0.81713</cdr:y>
    </cdr:to>
    <cdr:sp macro="" textlink="">
      <cdr:nvSpPr>
        <cdr:cNvPr id="256003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270626" y="5748929"/>
          <a:ext cx="1095376" cy="37882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22860" rIns="36576" bIns="22860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ru-RU" sz="1600" b="0" i="0" strike="noStrike">
              <a:solidFill>
                <a:srgbClr val="000000"/>
              </a:solidFill>
              <a:latin typeface="Arial Cyr"/>
            </a:rPr>
            <a:t>прогноз</a:t>
          </a:r>
        </a:p>
      </cdr:txBody>
    </cdr:sp>
  </cdr:relSizeAnchor>
  <cdr:relSizeAnchor xmlns:cdr="http://schemas.openxmlformats.org/drawingml/2006/chartDrawing">
    <cdr:from>
      <cdr:x>0.70779</cdr:x>
      <cdr:y>0.36538</cdr:y>
    </cdr:from>
    <cdr:to>
      <cdr:x>0.7906</cdr:x>
      <cdr:y>0.42382</cdr:y>
    </cdr:to>
    <cdr:sp macro="" textlink="">
      <cdr:nvSpPr>
        <cdr:cNvPr id="256004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240922" y="4298388"/>
          <a:ext cx="591373" cy="45466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32004" rIns="36576" bIns="32004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en-US" sz="1600" b="0" i="0" strike="noStrike">
              <a:solidFill>
                <a:srgbClr val="000000"/>
              </a:solidFill>
              <a:latin typeface="Arial Cyr"/>
            </a:rPr>
            <a:t>Kpd</a:t>
          </a:r>
        </a:p>
      </cdr:txBody>
    </cdr:sp>
  </cdr:relSizeAnchor>
  <cdr:relSizeAnchor xmlns:cdr="http://schemas.openxmlformats.org/drawingml/2006/chartDrawing">
    <cdr:from>
      <cdr:x>0.20047</cdr:x>
      <cdr:y>0.04907</cdr:y>
    </cdr:from>
    <cdr:to>
      <cdr:x>0.8218</cdr:x>
      <cdr:y>0.10423</cdr:y>
    </cdr:to>
    <cdr:sp macro="" textlink="">
      <cdr:nvSpPr>
        <cdr:cNvPr id="28256261" name="Text Box 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797752" y="444885"/>
          <a:ext cx="5560095" cy="49650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36576" tIns="22860" rIns="36576" bIns="22860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ru-RU" sz="1600" b="0" i="0" strike="noStrike">
              <a:solidFill>
                <a:srgbClr val="000000"/>
              </a:solidFill>
              <a:latin typeface="Arial Cyr"/>
            </a:rPr>
            <a:t>  КОЭФФИЦИЕНТ ПОВЫШЕНИЯ ДОХОДОВ </a:t>
          </a:r>
        </a:p>
      </cdr:txBody>
    </cdr:sp>
  </cdr:relSizeAnchor>
</c:userShapes>
</file>

<file path=xl/drawings/drawing155.xml><?xml version="1.0" encoding="utf-8"?>
<c:userShapes xmlns:c="http://schemas.openxmlformats.org/drawingml/2006/chart">
  <cdr:relSizeAnchor xmlns:cdr="http://schemas.openxmlformats.org/drawingml/2006/chartDrawing">
    <cdr:from>
      <cdr:x>0.53049</cdr:x>
      <cdr:y>0.89831</cdr:y>
    </cdr:from>
    <cdr:to>
      <cdr:x>0.89133</cdr:x>
      <cdr:y>0.94587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4779862" y="8129572"/>
          <a:ext cx="3251239" cy="4304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2000" baseline="0">
              <a:latin typeface="Arial" pitchFamily="34" charset="0"/>
              <a:cs typeface="Arial" pitchFamily="34" charset="0"/>
            </a:rPr>
            <a:t>  Dw</a:t>
          </a:r>
          <a:r>
            <a:rPr lang="en-US" sz="2000">
              <a:latin typeface="Arial" pitchFamily="34" charset="0"/>
              <a:cs typeface="Arial" pitchFamily="34" charset="0"/>
            </a:rPr>
            <a:t>  </a:t>
          </a:r>
          <a:r>
            <a:rPr lang="ru-RU" sz="2000">
              <a:latin typeface="Arial" pitchFamily="34" charset="0"/>
              <a:cs typeface="Arial" pitchFamily="34" charset="0"/>
            </a:rPr>
            <a:t>базисный дефлятор ВВП</a:t>
          </a:r>
        </a:p>
      </cdr:txBody>
    </cdr:sp>
  </cdr:relSizeAnchor>
  <cdr:relSizeAnchor xmlns:cdr="http://schemas.openxmlformats.org/drawingml/2006/chartDrawing">
    <cdr:from>
      <cdr:x>0.06187</cdr:x>
      <cdr:y>0.01924</cdr:y>
    </cdr:from>
    <cdr:to>
      <cdr:x>0.35224</cdr:x>
      <cdr:y>0.05623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557473" y="174120"/>
          <a:ext cx="2616290" cy="33475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2400">
              <a:latin typeface="Arial" pitchFamily="34" charset="0"/>
              <a:cs typeface="Arial" pitchFamily="34" charset="0"/>
            </a:rPr>
            <a:t>  IPC   </a:t>
          </a:r>
          <a:r>
            <a:rPr lang="ru-RU" sz="2400">
              <a:latin typeface="Arial" pitchFamily="34" charset="0"/>
              <a:cs typeface="Arial" pitchFamily="34" charset="0"/>
            </a:rPr>
            <a:t>Базисный ИПЦ    </a:t>
          </a:r>
        </a:p>
      </cdr:txBody>
    </cdr:sp>
  </cdr:relSizeAnchor>
  <cdr:relSizeAnchor xmlns:cdr="http://schemas.openxmlformats.org/drawingml/2006/chartDrawing">
    <cdr:from>
      <cdr:x>0.71993</cdr:x>
      <cdr:y>0.54676</cdr:y>
    </cdr:from>
    <cdr:to>
      <cdr:x>0.82871</cdr:x>
      <cdr:y>0.57714</cdr:y>
    </cdr:to>
    <cdr:sp macro="" textlink="">
      <cdr:nvSpPr>
        <cdr:cNvPr id="4" name="TextBox 3"/>
        <cdr:cNvSpPr txBox="1"/>
      </cdr:nvSpPr>
      <cdr:spPr>
        <a:xfrm xmlns:a="http://schemas.openxmlformats.org/drawingml/2006/main">
          <a:off x="6486689" y="4948076"/>
          <a:ext cx="980129" cy="2749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/>
            <a:t>ТРЕНД</a:t>
          </a:r>
        </a:p>
      </cdr:txBody>
    </cdr:sp>
  </cdr:relSizeAnchor>
</c:userShapes>
</file>

<file path=xl/drawings/drawing156.xml><?xml version="1.0" encoding="utf-8"?>
<c:userShapes xmlns:c="http://schemas.openxmlformats.org/drawingml/2006/chart">
  <cdr:relSizeAnchor xmlns:cdr="http://schemas.openxmlformats.org/drawingml/2006/chartDrawing">
    <cdr:from>
      <cdr:x>0.59692</cdr:x>
      <cdr:y>0.9168</cdr:y>
    </cdr:from>
    <cdr:to>
      <cdr:x>0.94414</cdr:x>
      <cdr:y>0.95209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5052794" y="8484053"/>
          <a:ext cx="2939134" cy="3265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baseline="0">
              <a:latin typeface="Arial" pitchFamily="34" charset="0"/>
              <a:cs typeface="Arial" pitchFamily="34" charset="0"/>
            </a:rPr>
            <a:t>  </a:t>
          </a:r>
          <a:r>
            <a:rPr lang="ru-RU" sz="1800" baseline="0">
              <a:latin typeface="Arial" pitchFamily="34" charset="0"/>
              <a:cs typeface="Arial" pitchFamily="34" charset="0"/>
            </a:rPr>
            <a:t>Доходы населения   </a:t>
          </a:r>
          <a:r>
            <a:rPr lang="en-US" sz="1800" b="1" baseline="0">
              <a:latin typeface="Arial" pitchFamily="34" charset="0"/>
              <a:cs typeface="Arial" pitchFamily="34" charset="0"/>
            </a:rPr>
            <a:t>DH</a:t>
          </a:r>
          <a:endParaRPr lang="ru-RU" sz="18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0.09694</cdr:x>
      <cdr:y>0.05846</cdr:y>
    </cdr:from>
    <cdr:to>
      <cdr:x>0.39755</cdr:x>
      <cdr:y>0.09536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808232" y="527162"/>
          <a:ext cx="2506419" cy="33277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b="1">
              <a:latin typeface="Arial" pitchFamily="34" charset="0"/>
              <a:cs typeface="Arial" pitchFamily="34" charset="0"/>
            </a:rPr>
            <a:t>YD</a:t>
          </a:r>
          <a:r>
            <a:rPr lang="en-US" sz="1800">
              <a:latin typeface="Arial" pitchFamily="34" charset="0"/>
              <a:cs typeface="Arial" pitchFamily="34" charset="0"/>
            </a:rPr>
            <a:t>       </a:t>
          </a:r>
          <a:r>
            <a:rPr lang="ru-RU" sz="1800">
              <a:latin typeface="Arial" pitchFamily="34" charset="0"/>
              <a:cs typeface="Arial" pitchFamily="34" charset="0"/>
            </a:rPr>
            <a:t>Расходы на</a:t>
          </a:r>
          <a:r>
            <a:rPr lang="ru-RU" sz="1800" baseline="0">
              <a:latin typeface="Arial" pitchFamily="34" charset="0"/>
              <a:cs typeface="Arial" pitchFamily="34" charset="0"/>
            </a:rPr>
            <a:t> конечное потребление </a:t>
          </a:r>
          <a:r>
            <a:rPr lang="ru-RU" sz="1800">
              <a:latin typeface="Arial" pitchFamily="34" charset="0"/>
              <a:cs typeface="Arial" pitchFamily="34" charset="0"/>
            </a:rPr>
            <a:t>ДХ      </a:t>
          </a:r>
        </a:p>
      </cdr:txBody>
    </cdr:sp>
  </cdr:relSizeAnchor>
  <cdr:relSizeAnchor xmlns:cdr="http://schemas.openxmlformats.org/drawingml/2006/chartDrawing">
    <cdr:from>
      <cdr:x>0.66463</cdr:x>
      <cdr:y>0.60525</cdr:y>
    </cdr:from>
    <cdr:to>
      <cdr:x>0.77341</cdr:x>
      <cdr:y>0.63563</cdr:y>
    </cdr:to>
    <cdr:sp macro="" textlink="">
      <cdr:nvSpPr>
        <cdr:cNvPr id="4" name="TextBox 3"/>
        <cdr:cNvSpPr txBox="1"/>
      </cdr:nvSpPr>
      <cdr:spPr>
        <a:xfrm xmlns:a="http://schemas.openxmlformats.org/drawingml/2006/main">
          <a:off x="5541500" y="5458202"/>
          <a:ext cx="906984" cy="27397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600"/>
            <a:t>ТРЕНД</a:t>
          </a:r>
        </a:p>
      </cdr:txBody>
    </cdr:sp>
  </cdr:relSizeAnchor>
  <cdr:relSizeAnchor xmlns:cdr="http://schemas.openxmlformats.org/drawingml/2006/chartDrawing">
    <cdr:from>
      <cdr:x>0.19826</cdr:x>
      <cdr:y>0.25726</cdr:y>
    </cdr:from>
    <cdr:to>
      <cdr:x>0.60978</cdr:x>
      <cdr:y>0.32139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1678212" y="2401660"/>
          <a:ext cx="3483429" cy="59871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ru-RU" sz="1100"/>
        </a:p>
      </cdr:txBody>
    </cdr:sp>
  </cdr:relSizeAnchor>
</c:userShapes>
</file>

<file path=xl/drawings/drawing157.xml><?xml version="1.0" encoding="utf-8"?>
<c:userShapes xmlns:c="http://schemas.openxmlformats.org/drawingml/2006/chart">
  <cdr:relSizeAnchor xmlns:cdr="http://schemas.openxmlformats.org/drawingml/2006/chartDrawing">
    <cdr:from>
      <cdr:x>0.06851</cdr:x>
      <cdr:y>0.03052</cdr:y>
    </cdr:from>
    <cdr:to>
      <cdr:x>0.70607</cdr:x>
      <cdr:y>0.08438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578304" y="269876"/>
          <a:ext cx="5381625" cy="4762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>
              <a:latin typeface="Arial" pitchFamily="34" charset="0"/>
              <a:cs typeface="Arial" pitchFamily="34" charset="0"/>
            </a:rPr>
            <a:t>Dd  </a:t>
          </a:r>
          <a:r>
            <a:rPr lang="ru-RU" sz="1800">
              <a:latin typeface="Arial" pitchFamily="34" charset="0"/>
              <a:cs typeface="Arial" pitchFamily="34" charset="0"/>
            </a:rPr>
            <a:t>базисный дефлятор домашних хозяйств</a:t>
          </a:r>
        </a:p>
      </cdr:txBody>
    </cdr:sp>
  </cdr:relSizeAnchor>
  <cdr:relSizeAnchor xmlns:cdr="http://schemas.openxmlformats.org/drawingml/2006/chartDrawing">
    <cdr:from>
      <cdr:x>0.89602</cdr:x>
      <cdr:y>0.90126</cdr:y>
    </cdr:from>
    <cdr:to>
      <cdr:x>0.97313</cdr:x>
      <cdr:y>0.95153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563304" y="7969251"/>
          <a:ext cx="650875" cy="444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>
              <a:latin typeface="Arial" pitchFamily="34" charset="0"/>
              <a:cs typeface="Arial" pitchFamily="34" charset="0"/>
            </a:rPr>
            <a:t>IPC</a:t>
          </a:r>
          <a:endParaRPr lang="ru-RU" sz="1800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0.25506</cdr:x>
      <cdr:y>0.28269</cdr:y>
    </cdr:from>
    <cdr:to>
      <cdr:x>0.36338</cdr:x>
      <cdr:y>0.3861</cdr:y>
    </cdr:to>
    <cdr:sp macro="" textlink="">
      <cdr:nvSpPr>
        <cdr:cNvPr id="4" name="TextBox 3"/>
        <cdr:cNvSpPr txBox="1"/>
      </cdr:nvSpPr>
      <cdr:spPr>
        <a:xfrm xmlns:a="http://schemas.openxmlformats.org/drawingml/2006/main">
          <a:off x="2173965" y="2584948"/>
          <a:ext cx="923352" cy="94558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600">
              <a:latin typeface="Arial" pitchFamily="34" charset="0"/>
              <a:cs typeface="Arial" pitchFamily="34" charset="0"/>
            </a:rPr>
            <a:t>ТРЕНД</a:t>
          </a:r>
        </a:p>
        <a:p xmlns:a="http://schemas.openxmlformats.org/drawingml/2006/main">
          <a:endParaRPr lang="ru-RU" sz="1400">
            <a:latin typeface="Arial" pitchFamily="34" charset="0"/>
            <a:cs typeface="Arial" pitchFamily="34" charset="0"/>
          </a:endParaRPr>
        </a:p>
      </cdr:txBody>
    </cdr:sp>
  </cdr:relSizeAnchor>
</c:userShapes>
</file>

<file path=xl/drawings/drawing158.xml><?xml version="1.0" encoding="utf-8"?>
<c:userShapes xmlns:c="http://schemas.openxmlformats.org/drawingml/2006/chart">
  <cdr:relSizeAnchor xmlns:cdr="http://schemas.openxmlformats.org/drawingml/2006/chartDrawing">
    <cdr:from>
      <cdr:x>0.84374</cdr:x>
      <cdr:y>0.92206</cdr:y>
    </cdr:from>
    <cdr:to>
      <cdr:x>0.95264</cdr:x>
      <cdr:y>0.95677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7474064" y="8344560"/>
          <a:ext cx="964633" cy="31411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baseline="0">
              <a:latin typeface="Arial" pitchFamily="34" charset="0"/>
              <a:cs typeface="Arial" pitchFamily="34" charset="0"/>
            </a:rPr>
            <a:t>  WWP</a:t>
          </a:r>
          <a:endParaRPr lang="ru-RU" sz="1800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0.11788</cdr:x>
      <cdr:y>0.02853</cdr:y>
    </cdr:from>
    <cdr:to>
      <cdr:x>0.41849</cdr:x>
      <cdr:y>0.06543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997858" y="263986"/>
          <a:ext cx="2544536" cy="34153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ОТ</a:t>
          </a:r>
          <a:r>
            <a:rPr lang="en-US" sz="1800">
              <a:latin typeface="Arial" pitchFamily="34" charset="0"/>
              <a:cs typeface="Arial" pitchFamily="34" charset="0"/>
            </a:rPr>
            <a:t>   </a:t>
          </a:r>
          <a:r>
            <a:rPr lang="ru-RU" sz="1800">
              <a:latin typeface="Arial" pitchFamily="34" charset="0"/>
              <a:cs typeface="Arial" pitchFamily="34" charset="0"/>
            </a:rPr>
            <a:t>оплата труда      </a:t>
          </a:r>
        </a:p>
      </cdr:txBody>
    </cdr:sp>
  </cdr:relSizeAnchor>
  <cdr:relSizeAnchor xmlns:cdr="http://schemas.openxmlformats.org/drawingml/2006/chartDrawing">
    <cdr:from>
      <cdr:x>0.75921</cdr:x>
      <cdr:y>0.45783</cdr:y>
    </cdr:from>
    <cdr:to>
      <cdr:x>0.87128</cdr:x>
      <cdr:y>0.49044</cdr:y>
    </cdr:to>
    <cdr:sp macro="" textlink="">
      <cdr:nvSpPr>
        <cdr:cNvPr id="4" name="TextBox 3"/>
        <cdr:cNvSpPr txBox="1"/>
      </cdr:nvSpPr>
      <cdr:spPr>
        <a:xfrm xmlns:a="http://schemas.openxmlformats.org/drawingml/2006/main">
          <a:off x="6821704" y="4261665"/>
          <a:ext cx="1006939" cy="303531"/>
        </a:xfrm>
        <a:prstGeom xmlns:a="http://schemas.openxmlformats.org/drawingml/2006/main" prst="rect">
          <a:avLst/>
        </a:prstGeom>
        <a:ln xmlns:a="http://schemas.openxmlformats.org/drawingml/2006/main" w="28575">
          <a:noFill/>
          <a:prstDash val="lgDash"/>
        </a:ln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600" baseline="0"/>
            <a:t>  </a:t>
          </a:r>
          <a:r>
            <a:rPr lang="ru-RU" sz="1600"/>
            <a:t>ТРЕНД</a:t>
          </a:r>
        </a:p>
      </cdr:txBody>
    </cdr:sp>
  </cdr:relSizeAnchor>
</c:userShapes>
</file>

<file path=xl/drawings/drawing159.xml><?xml version="1.0" encoding="utf-8"?>
<c:userShapes xmlns:c="http://schemas.openxmlformats.org/drawingml/2006/chart">
  <cdr:relSizeAnchor xmlns:cdr="http://schemas.openxmlformats.org/drawingml/2006/chartDrawing">
    <cdr:from>
      <cdr:x>0.84488</cdr:x>
      <cdr:y>0.88131</cdr:y>
    </cdr:from>
    <cdr:to>
      <cdr:x>0.95278</cdr:x>
      <cdr:y>0.92047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7587611" y="7740945"/>
          <a:ext cx="969015" cy="34396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baseline="0">
              <a:latin typeface="Arial" pitchFamily="34" charset="0"/>
              <a:cs typeface="Arial" pitchFamily="34" charset="0"/>
            </a:rPr>
            <a:t>  </a:t>
          </a:r>
          <a:r>
            <a:rPr lang="ru-RU" sz="1800" baseline="0">
              <a:latin typeface="Arial" pitchFamily="34" charset="0"/>
              <a:cs typeface="Arial" pitchFamily="34" charset="0"/>
            </a:rPr>
            <a:t>Годы  </a:t>
          </a:r>
          <a:endParaRPr lang="ru-RU" sz="1800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0.22619</cdr:x>
      <cdr:y>0.10504</cdr:y>
    </cdr:from>
    <cdr:to>
      <cdr:x>0.7383</cdr:x>
      <cdr:y>0.16138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2014398" y="952104"/>
          <a:ext cx="4560788" cy="51070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2000">
              <a:latin typeface="Arial" pitchFamily="34" charset="0"/>
              <a:cs typeface="Arial" pitchFamily="34" charset="0"/>
            </a:rPr>
            <a:t>  ДОЛЯ ОПЛАТЫ ТРУДА В ВВП  ( </a:t>
          </a:r>
          <a:r>
            <a:rPr lang="en-US" sz="2000">
              <a:latin typeface="Arial" pitchFamily="34" charset="0"/>
              <a:cs typeface="Arial" pitchFamily="34" charset="0"/>
            </a:rPr>
            <a:t>q</a:t>
          </a:r>
          <a:r>
            <a:rPr lang="ru-RU" sz="2000">
              <a:latin typeface="Arial" pitchFamily="34" charset="0"/>
              <a:cs typeface="Arial" pitchFamily="34" charset="0"/>
            </a:rPr>
            <a:t>ОТ</a:t>
          </a:r>
          <a:r>
            <a:rPr lang="en-US" sz="2000">
              <a:latin typeface="Arial" pitchFamily="34" charset="0"/>
              <a:cs typeface="Arial" pitchFamily="34" charset="0"/>
            </a:rPr>
            <a:t> </a:t>
          </a:r>
          <a:r>
            <a:rPr lang="ru-RU" sz="2000">
              <a:latin typeface="Arial" pitchFamily="34" charset="0"/>
              <a:cs typeface="Arial" pitchFamily="34" charset="0"/>
            </a:rPr>
            <a:t>)</a:t>
          </a:r>
          <a:r>
            <a:rPr lang="en-US" sz="2000">
              <a:latin typeface="Arial" pitchFamily="34" charset="0"/>
              <a:cs typeface="Arial" pitchFamily="34" charset="0"/>
            </a:rPr>
            <a:t> </a:t>
          </a:r>
          <a:r>
            <a:rPr lang="ru-RU" sz="2000">
              <a:latin typeface="Arial" pitchFamily="34" charset="0"/>
              <a:cs typeface="Arial" pitchFamily="34" charset="0"/>
            </a:rPr>
            <a:t>     </a:t>
          </a:r>
        </a:p>
      </cdr:txBody>
    </cdr:sp>
  </cdr:relSizeAnchor>
  <cdr:relSizeAnchor xmlns:cdr="http://schemas.openxmlformats.org/drawingml/2006/chartDrawing">
    <cdr:from>
      <cdr:x>0.39691</cdr:x>
      <cdr:y>0.65564</cdr:y>
    </cdr:from>
    <cdr:to>
      <cdr:x>0.63316</cdr:x>
      <cdr:y>0.71173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3534812" y="5943156"/>
          <a:ext cx="2104013" cy="50843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2000">
              <a:latin typeface="Arial" pitchFamily="34" charset="0"/>
              <a:cs typeface="Arial" pitchFamily="34" charset="0"/>
            </a:rPr>
            <a:t>qOT</a:t>
          </a:r>
          <a:r>
            <a:rPr lang="en-US" sz="2000" baseline="0">
              <a:latin typeface="Arial" pitchFamily="34" charset="0"/>
              <a:cs typeface="Arial" pitchFamily="34" charset="0"/>
            </a:rPr>
            <a:t> = OT /  WWP</a:t>
          </a:r>
          <a:endParaRPr lang="ru-RU" sz="2000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0.50381</cdr:x>
      <cdr:y>0.36158</cdr:y>
    </cdr:from>
    <cdr:to>
      <cdr:x>0.58335</cdr:x>
      <cdr:y>0.39773</cdr:y>
    </cdr:to>
    <cdr:sp macro="" textlink="">
      <cdr:nvSpPr>
        <cdr:cNvPr id="6" name="TextBox 5"/>
        <cdr:cNvSpPr txBox="1"/>
      </cdr:nvSpPr>
      <cdr:spPr>
        <a:xfrm xmlns:a="http://schemas.openxmlformats.org/drawingml/2006/main">
          <a:off x="4486910" y="3277595"/>
          <a:ext cx="708373" cy="32768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600">
              <a:latin typeface="Arial" pitchFamily="34" charset="0"/>
              <a:cs typeface="Arial" pitchFamily="34" charset="0"/>
            </a:rPr>
            <a:t>2014</a:t>
          </a:r>
          <a:endParaRPr lang="ru-RU" sz="1600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0.45475</cdr:x>
      <cdr:y>0.40948</cdr:y>
    </cdr:from>
    <cdr:to>
      <cdr:x>0.53076</cdr:x>
      <cdr:y>0.44925</cdr:y>
    </cdr:to>
    <cdr:sp macro="" textlink="">
      <cdr:nvSpPr>
        <cdr:cNvPr id="7" name="TextBox 6"/>
        <cdr:cNvSpPr txBox="1"/>
      </cdr:nvSpPr>
      <cdr:spPr>
        <a:xfrm xmlns:a="http://schemas.openxmlformats.org/drawingml/2006/main">
          <a:off x="4049965" y="3711792"/>
          <a:ext cx="676935" cy="36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600">
              <a:latin typeface="Arial" pitchFamily="34" charset="0"/>
              <a:cs typeface="Arial" pitchFamily="34" charset="0"/>
            </a:rPr>
            <a:t>2013</a:t>
          </a:r>
          <a:endParaRPr lang="ru-RU" sz="1600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0.18914</cdr:x>
      <cdr:y>0.63815</cdr:y>
    </cdr:from>
    <cdr:to>
      <cdr:x>0.27045</cdr:x>
      <cdr:y>0.6761</cdr:y>
    </cdr:to>
    <cdr:sp macro="" textlink="">
      <cdr:nvSpPr>
        <cdr:cNvPr id="8" name="TextBox 7"/>
        <cdr:cNvSpPr txBox="1"/>
      </cdr:nvSpPr>
      <cdr:spPr>
        <a:xfrm xmlns:a="http://schemas.openxmlformats.org/drawingml/2006/main">
          <a:off x="1684471" y="5754185"/>
          <a:ext cx="724164" cy="34224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600">
              <a:latin typeface="Arial" pitchFamily="34" charset="0"/>
              <a:cs typeface="Arial" pitchFamily="34" charset="0"/>
            </a:rPr>
            <a:t>2000</a:t>
          </a:r>
          <a:endParaRPr lang="ru-RU" sz="1600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0.34116</cdr:x>
      <cdr:y>0.2156</cdr:y>
    </cdr:from>
    <cdr:to>
      <cdr:x>0.41717</cdr:x>
      <cdr:y>0.25174</cdr:y>
    </cdr:to>
    <cdr:sp macro="" textlink="">
      <cdr:nvSpPr>
        <cdr:cNvPr id="9" name="TextBox 8"/>
        <cdr:cNvSpPr txBox="1"/>
      </cdr:nvSpPr>
      <cdr:spPr>
        <a:xfrm xmlns:a="http://schemas.openxmlformats.org/drawingml/2006/main">
          <a:off x="3063876" y="1893661"/>
          <a:ext cx="682625" cy="317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600">
              <a:latin typeface="Arial" pitchFamily="34" charset="0"/>
              <a:cs typeface="Arial" pitchFamily="34" charset="0"/>
            </a:rPr>
            <a:t>2009</a:t>
          </a:r>
          <a:endParaRPr lang="ru-RU" sz="1600">
            <a:latin typeface="Arial" pitchFamily="34" charset="0"/>
            <a:cs typeface="Arial" pitchFamily="34" charset="0"/>
          </a:endParaRPr>
        </a:p>
      </cdr:txBody>
    </cdr:sp>
  </cdr:relSizeAnchor>
</c:userShapes>
</file>

<file path=xl/drawings/drawing160.xml><?xml version="1.0" encoding="utf-8"?>
<c:userShapes xmlns:c="http://schemas.openxmlformats.org/drawingml/2006/chart">
  <cdr:relSizeAnchor xmlns:cdr="http://schemas.openxmlformats.org/drawingml/2006/chartDrawing">
    <cdr:from>
      <cdr:x>0.84488</cdr:x>
      <cdr:y>0.88131</cdr:y>
    </cdr:from>
    <cdr:to>
      <cdr:x>0.95278</cdr:x>
      <cdr:y>0.92047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7587611" y="7740945"/>
          <a:ext cx="969015" cy="34396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baseline="0">
              <a:latin typeface="Arial" pitchFamily="34" charset="0"/>
              <a:cs typeface="Arial" pitchFamily="34" charset="0"/>
            </a:rPr>
            <a:t>  </a:t>
          </a:r>
          <a:r>
            <a:rPr lang="ru-RU" sz="1800" baseline="0">
              <a:latin typeface="Arial" pitchFamily="34" charset="0"/>
              <a:cs typeface="Arial" pitchFamily="34" charset="0"/>
            </a:rPr>
            <a:t>Годы  </a:t>
          </a:r>
          <a:endParaRPr lang="ru-RU" sz="1800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0.08002</cdr:x>
      <cdr:y>0.08428</cdr:y>
    </cdr:from>
    <cdr:to>
      <cdr:x>0.94986</cdr:x>
      <cdr:y>0.1473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20270" y="760177"/>
          <a:ext cx="7829551" cy="56839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2400">
              <a:latin typeface="Arial Rounded MT Bold" panose="020F0704030504030204" pitchFamily="34" charset="0"/>
              <a:cs typeface="Arial" pitchFamily="34" charset="0"/>
            </a:rPr>
            <a:t> </a:t>
          </a:r>
          <a:r>
            <a:rPr lang="ru-RU" sz="2400" b="1">
              <a:latin typeface="Arial Rounded MT Bold" panose="020F0704030504030204" pitchFamily="34" charset="0"/>
              <a:cs typeface="Arial" pitchFamily="34" charset="0"/>
            </a:rPr>
            <a:t>КОЭФФИЦИЕНТ РЕАЛЬНОЙ УДЕЛЬНОЙ ОПЛАТЫ ТРУДА</a:t>
          </a:r>
          <a:r>
            <a:rPr lang="ru-RU" sz="2400" b="1">
              <a:latin typeface="Arial" pitchFamily="34" charset="0"/>
              <a:cs typeface="Arial" pitchFamily="34" charset="0"/>
            </a:rPr>
            <a:t>     </a:t>
          </a:r>
        </a:p>
      </cdr:txBody>
    </cdr:sp>
  </cdr:relSizeAnchor>
  <cdr:relSizeAnchor xmlns:cdr="http://schemas.openxmlformats.org/drawingml/2006/chartDrawing">
    <cdr:from>
      <cdr:x>0.3239</cdr:x>
      <cdr:y>0.58317</cdr:y>
    </cdr:from>
    <cdr:to>
      <cdr:x>0.76644</cdr:x>
      <cdr:y>0.63616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2915465" y="5259773"/>
          <a:ext cx="3983356" cy="477906"/>
        </a:xfrm>
        <a:prstGeom xmlns:a="http://schemas.openxmlformats.org/drawingml/2006/main" prst="rect">
          <a:avLst/>
        </a:prstGeom>
        <a:noFill xmlns:a="http://schemas.openxmlformats.org/drawingml/2006/main"/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2000" baseline="0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rPr>
            <a:t>kRU = UOT / (UOTo*IPC)</a:t>
          </a:r>
          <a:endParaRPr lang="ru-RU" sz="2000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0.41347</cdr:x>
      <cdr:y>0.5832</cdr:y>
    </cdr:from>
    <cdr:to>
      <cdr:x>0.71676</cdr:x>
      <cdr:y>0.68771</cdr:y>
    </cdr:to>
    <cdr:sp macro="" textlink="">
      <cdr:nvSpPr>
        <cdr:cNvPr id="6" name="TextBox 5"/>
        <cdr:cNvSpPr txBox="1"/>
      </cdr:nvSpPr>
      <cdr:spPr>
        <a:xfrm xmlns:a="http://schemas.openxmlformats.org/drawingml/2006/main">
          <a:off x="3787320" y="5102679"/>
          <a:ext cx="2778125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ru-RU" sz="1100"/>
        </a:p>
      </cdr:txBody>
    </cdr:sp>
  </cdr:relSizeAnchor>
  <cdr:relSizeAnchor xmlns:cdr="http://schemas.openxmlformats.org/drawingml/2006/chartDrawing">
    <cdr:from>
      <cdr:x>0.32508</cdr:x>
      <cdr:y>0.63401</cdr:y>
    </cdr:from>
    <cdr:to>
      <cdr:x>0.64945</cdr:x>
      <cdr:y>0.68621</cdr:y>
    </cdr:to>
    <cdr:sp macro="" textlink="">
      <cdr:nvSpPr>
        <cdr:cNvPr id="7" name="TextBox 6"/>
        <cdr:cNvSpPr txBox="1"/>
      </cdr:nvSpPr>
      <cdr:spPr>
        <a:xfrm xmlns:a="http://schemas.openxmlformats.org/drawingml/2006/main">
          <a:off x="3006592" y="5905514"/>
          <a:ext cx="3000054" cy="48621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2000" b="0">
              <a:latin typeface="Arial" panose="020B0604020202020204" pitchFamily="34" charset="0"/>
              <a:cs typeface="Arial" panose="020B0604020202020204" pitchFamily="34" charset="0"/>
            </a:rPr>
            <a:t>OT = kRU*IPC*LZ*UOTo</a:t>
          </a:r>
          <a:endParaRPr lang="ru-RU" sz="2000" b="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</c:userShapes>
</file>

<file path=xl/drawings/drawing161.xml><?xml version="1.0" encoding="utf-8"?>
<c:userShapes xmlns:c="http://schemas.openxmlformats.org/drawingml/2006/chart">
  <cdr:relSizeAnchor xmlns:cdr="http://schemas.openxmlformats.org/drawingml/2006/chartDrawing">
    <cdr:from>
      <cdr:x>0.84488</cdr:x>
      <cdr:y>0.88131</cdr:y>
    </cdr:from>
    <cdr:to>
      <cdr:x>0.95278</cdr:x>
      <cdr:y>0.92047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7587611" y="7740945"/>
          <a:ext cx="969015" cy="34396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baseline="0">
              <a:latin typeface="Arial" pitchFamily="34" charset="0"/>
              <a:cs typeface="Arial" pitchFamily="34" charset="0"/>
            </a:rPr>
            <a:t>  </a:t>
          </a:r>
          <a:r>
            <a:rPr lang="ru-RU" sz="1800" baseline="0">
              <a:latin typeface="Arial" pitchFamily="34" charset="0"/>
              <a:cs typeface="Arial" pitchFamily="34" charset="0"/>
            </a:rPr>
            <a:t>Годы  </a:t>
          </a:r>
          <a:endParaRPr lang="ru-RU" sz="1800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0.08002</cdr:x>
      <cdr:y>0.03148</cdr:y>
    </cdr:from>
    <cdr:to>
      <cdr:x>0.96109</cdr:x>
      <cdr:y>0.0945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41503" y="276502"/>
          <a:ext cx="8164373" cy="55353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2400">
              <a:latin typeface="Arial" pitchFamily="34" charset="0"/>
              <a:cs typeface="Arial" pitchFamily="34" charset="0"/>
            </a:rPr>
            <a:t>ТЕМПЫ</a:t>
          </a:r>
          <a:r>
            <a:rPr lang="ru-RU" sz="2400" baseline="0">
              <a:latin typeface="Arial" pitchFamily="34" charset="0"/>
              <a:cs typeface="Arial" pitchFamily="34" charset="0"/>
            </a:rPr>
            <a:t> РОСТА  РОЗНИЧНОГО ТОВАРООБОРОТА</a:t>
          </a:r>
          <a:r>
            <a:rPr lang="ru-RU" sz="2400">
              <a:latin typeface="Arial" pitchFamily="34" charset="0"/>
              <a:cs typeface="Arial" pitchFamily="34" charset="0"/>
            </a:rPr>
            <a:t>     </a:t>
          </a:r>
        </a:p>
      </cdr:txBody>
    </cdr:sp>
  </cdr:relSizeAnchor>
  <cdr:relSizeAnchor xmlns:cdr="http://schemas.openxmlformats.org/drawingml/2006/chartDrawing">
    <cdr:from>
      <cdr:x>0.08216</cdr:x>
      <cdr:y>0.0856</cdr:y>
    </cdr:from>
    <cdr:to>
      <cdr:x>0.38563</cdr:x>
      <cdr:y>0.13305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777876" y="780554"/>
          <a:ext cx="2873375" cy="432751"/>
        </a:xfrm>
        <a:prstGeom xmlns:a="http://schemas.openxmlformats.org/drawingml/2006/main" prst="rect">
          <a:avLst/>
        </a:prstGeom>
        <a:noFill xmlns:a="http://schemas.openxmlformats.org/drawingml/2006/main"/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ru-RU" sz="2400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0.41347</cdr:x>
      <cdr:y>0.5832</cdr:y>
    </cdr:from>
    <cdr:to>
      <cdr:x>0.71676</cdr:x>
      <cdr:y>0.68771</cdr:y>
    </cdr:to>
    <cdr:sp macro="" textlink="">
      <cdr:nvSpPr>
        <cdr:cNvPr id="6" name="TextBox 5"/>
        <cdr:cNvSpPr txBox="1"/>
      </cdr:nvSpPr>
      <cdr:spPr>
        <a:xfrm xmlns:a="http://schemas.openxmlformats.org/drawingml/2006/main">
          <a:off x="3787320" y="5102679"/>
          <a:ext cx="2778125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ru-RU" sz="1100"/>
        </a:p>
      </cdr:txBody>
    </cdr:sp>
  </cdr:relSizeAnchor>
</c:userShapes>
</file>

<file path=xl/drawings/drawing162.xml><?xml version="1.0" encoding="utf-8"?>
<c:userShapes xmlns:c="http://schemas.openxmlformats.org/drawingml/2006/chart"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0.20307</cdr:x>
      <cdr:y>0.13746</cdr:y>
    </cdr:from>
    <cdr:to>
      <cdr:x>0.81127</cdr:x>
      <cdr:y>0.25529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1961830" y="1238251"/>
          <a:ext cx="5875885" cy="10613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ДИНАМИКА РОСТА ДЕНЕЖНОЙ МАССЫ М2</a:t>
          </a:r>
        </a:p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</a:t>
          </a:r>
        </a:p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</a:t>
          </a:r>
          <a:r>
            <a:rPr lang="ru-RU" sz="1800" b="1">
              <a:latin typeface="Arial" pitchFamily="34" charset="0"/>
              <a:cs typeface="Arial" pitchFamily="34" charset="0"/>
            </a:rPr>
            <a:t>М2</a:t>
          </a:r>
          <a:r>
            <a:rPr lang="en-US" sz="1800" b="1">
              <a:latin typeface="Arial" pitchFamily="34" charset="0"/>
              <a:cs typeface="Arial" pitchFamily="34" charset="0"/>
            </a:rPr>
            <a:t> = 0,1019*T*T - </a:t>
          </a:r>
          <a:r>
            <a:rPr lang="ru-RU" sz="1800" b="1">
              <a:latin typeface="Arial" pitchFamily="34" charset="0"/>
              <a:cs typeface="Arial" pitchFamily="34" charset="0"/>
            </a:rPr>
            <a:t>0</a:t>
          </a:r>
          <a:r>
            <a:rPr lang="en-US" sz="1800" b="1">
              <a:latin typeface="Arial" pitchFamily="34" charset="0"/>
              <a:cs typeface="Arial" pitchFamily="34" charset="0"/>
            </a:rPr>
            <a:t>,</a:t>
          </a:r>
          <a:r>
            <a:rPr lang="ru-RU" sz="1800" b="1">
              <a:latin typeface="Arial" pitchFamily="34" charset="0"/>
              <a:cs typeface="Arial" pitchFamily="34" charset="0"/>
            </a:rPr>
            <a:t>6626</a:t>
          </a:r>
          <a:r>
            <a:rPr lang="en-US" sz="1800" b="1">
              <a:latin typeface="Arial" pitchFamily="34" charset="0"/>
              <a:cs typeface="Arial" pitchFamily="34" charset="0"/>
            </a:rPr>
            <a:t>*T </a:t>
          </a:r>
          <a:r>
            <a:rPr lang="en-US" sz="1800" b="1" baseline="0">
              <a:latin typeface="Arial" pitchFamily="34" charset="0"/>
              <a:cs typeface="Arial" pitchFamily="34" charset="0"/>
            </a:rPr>
            <a:t>+ </a:t>
          </a:r>
          <a:r>
            <a:rPr lang="ru-RU" sz="1800" b="1" baseline="0">
              <a:latin typeface="Arial" pitchFamily="34" charset="0"/>
              <a:cs typeface="Arial" pitchFamily="34" charset="0"/>
            </a:rPr>
            <a:t>0,8384</a:t>
          </a:r>
          <a:endParaRPr lang="en-US" sz="2000" b="1" baseline="0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en-US" sz="2000" b="1" baseline="0">
              <a:latin typeface="Arial" pitchFamily="34" charset="0"/>
              <a:cs typeface="Arial" pitchFamily="34" charset="0"/>
            </a:rPr>
            <a:t> </a:t>
          </a:r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en-US" sz="2000" b="1">
              <a:latin typeface="Arial" pitchFamily="34" charset="0"/>
              <a:cs typeface="Arial" pitchFamily="34" charset="0"/>
            </a:rPr>
            <a:t>                     </a:t>
          </a:r>
          <a:endParaRPr lang="ru-RU" sz="20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0.68985</cdr:x>
      <cdr:y>0.86401</cdr:y>
    </cdr:from>
    <cdr:to>
      <cdr:x>0.95781</cdr:x>
      <cdr:y>0.90764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C62E565B-F758-4D5E-85D4-ACC5727F5068}"/>
            </a:ext>
          </a:extLst>
        </cdr:cNvPr>
        <cdr:cNvSpPr txBox="1"/>
      </cdr:nvSpPr>
      <cdr:spPr>
        <a:xfrm xmlns:a="http://schemas.openxmlformats.org/drawingml/2006/main">
          <a:off x="5905500" y="6654786"/>
          <a:ext cx="2293922" cy="33604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baseline="0">
              <a:latin typeface="Arial" pitchFamily="34" charset="0"/>
              <a:cs typeface="Arial" pitchFamily="34" charset="0"/>
            </a:rPr>
            <a:t>  </a:t>
          </a:r>
          <a:r>
            <a:rPr lang="ru-RU" sz="1800" baseline="0">
              <a:latin typeface="Arial" pitchFamily="34" charset="0"/>
              <a:cs typeface="Arial" pitchFamily="34" charset="0"/>
            </a:rPr>
            <a:t>фактор  </a:t>
          </a:r>
          <a:r>
            <a:rPr lang="ru-RU" sz="1800" b="1" baseline="0">
              <a:latin typeface="Arial" pitchFamily="34" charset="0"/>
              <a:cs typeface="Arial" pitchFamily="34" charset="0"/>
            </a:rPr>
            <a:t>- </a:t>
          </a:r>
          <a:r>
            <a:rPr lang="en-US" sz="1800" b="1" baseline="0">
              <a:latin typeface="Arial" pitchFamily="34" charset="0"/>
              <a:cs typeface="Arial" pitchFamily="34" charset="0"/>
            </a:rPr>
            <a:t> </a:t>
          </a:r>
          <a:r>
            <a:rPr lang="ru-RU" sz="1800" b="1" baseline="0">
              <a:latin typeface="Arial" pitchFamily="34" charset="0"/>
              <a:cs typeface="Arial" pitchFamily="34" charset="0"/>
            </a:rPr>
            <a:t>Время</a:t>
          </a:r>
          <a:endParaRPr lang="ru-RU" sz="18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0.08044</cdr:x>
      <cdr:y>0.03226</cdr:y>
    </cdr:from>
    <cdr:to>
      <cdr:x>0.27426</cdr:x>
      <cdr:y>0.08801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C05C57E-6B9F-4CA9-9390-B31B20F966A5}"/>
            </a:ext>
          </a:extLst>
        </cdr:cNvPr>
        <cdr:cNvSpPr txBox="1"/>
      </cdr:nvSpPr>
      <cdr:spPr>
        <a:xfrm xmlns:a="http://schemas.openxmlformats.org/drawingml/2006/main">
          <a:off x="778231" y="290592"/>
          <a:ext cx="1875162" cy="50218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2000">
              <a:latin typeface="Arial" pitchFamily="34" charset="0"/>
              <a:cs typeface="Arial" pitchFamily="34" charset="0"/>
            </a:rPr>
            <a:t>M2</a:t>
          </a:r>
          <a:r>
            <a:rPr lang="ru-RU" sz="2400">
              <a:latin typeface="Arial" pitchFamily="34" charset="0"/>
              <a:cs typeface="Arial" pitchFamily="34" charset="0"/>
            </a:rPr>
            <a:t> </a:t>
          </a:r>
          <a:r>
            <a:rPr lang="ru-RU" sz="1800">
              <a:latin typeface="Arial" pitchFamily="34" charset="0"/>
              <a:cs typeface="Arial" pitchFamily="34" charset="0"/>
            </a:rPr>
            <a:t>(трлн</a:t>
          </a:r>
          <a:r>
            <a:rPr lang="ru-RU" sz="1800" baseline="0">
              <a:latin typeface="Arial" pitchFamily="34" charset="0"/>
              <a:cs typeface="Arial" pitchFamily="34" charset="0"/>
            </a:rPr>
            <a:t> руб)</a:t>
          </a:r>
          <a:r>
            <a:rPr lang="ru-RU" sz="1800">
              <a:latin typeface="Arial" pitchFamily="34" charset="0"/>
              <a:cs typeface="Arial" pitchFamily="34" charset="0"/>
            </a:rPr>
            <a:t> </a:t>
          </a:r>
          <a:r>
            <a:rPr lang="ru-RU" sz="1400">
              <a:latin typeface="Arial" pitchFamily="34" charset="0"/>
              <a:cs typeface="Arial" pitchFamily="34" charset="0"/>
            </a:rPr>
            <a:t> </a:t>
          </a:r>
          <a:endParaRPr lang="ru-RU" sz="1800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0.34812</cdr:x>
      <cdr:y>0.43746</cdr:y>
    </cdr:from>
    <cdr:to>
      <cdr:x>0.45862</cdr:x>
      <cdr:y>0.47448</cdr:y>
    </cdr:to>
    <cdr:sp macro="" textlink="">
      <cdr:nvSpPr>
        <cdr:cNvPr id="9" name="TextBox 5">
          <a:extLst xmlns:a="http://schemas.openxmlformats.org/drawingml/2006/main">
            <a:ext uri="{FF2B5EF4-FFF2-40B4-BE49-F238E27FC236}">
              <a16:creationId xmlns:a16="http://schemas.microsoft.com/office/drawing/2014/main" id="{71F1EE7D-ED1E-453C-A8EA-CE26BCBCF352}"/>
            </a:ext>
          </a:extLst>
        </cdr:cNvPr>
        <cdr:cNvSpPr txBox="1"/>
      </cdr:nvSpPr>
      <cdr:spPr>
        <a:xfrm xmlns:a="http://schemas.openxmlformats.org/drawingml/2006/main">
          <a:off x="3339505" y="3964384"/>
          <a:ext cx="1060030" cy="3354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600">
              <a:latin typeface="Arial" pitchFamily="34" charset="0"/>
              <a:cs typeface="Arial" pitchFamily="34" charset="0"/>
            </a:rPr>
            <a:t>Тренд  </a:t>
          </a:r>
        </a:p>
      </cdr:txBody>
    </cdr:sp>
  </cdr:relSizeAnchor>
</c:userShapes>
</file>

<file path=xl/drawings/drawing163.xml><?xml version="1.0" encoding="utf-8"?>
<xdr:wsDr xmlns:xdr="http://schemas.openxmlformats.org/drawingml/2006/spreadsheetDrawing" xmlns:a="http://schemas.openxmlformats.org/drawingml/2006/main">
  <xdr:twoCellAnchor>
    <xdr:from>
      <xdr:col>32</xdr:col>
      <xdr:colOff>70756</xdr:colOff>
      <xdr:row>23</xdr:row>
      <xdr:rowOff>175191</xdr:rowOff>
    </xdr:from>
    <xdr:to>
      <xdr:col>44</xdr:col>
      <xdr:colOff>8503</xdr:colOff>
      <xdr:row>60</xdr:row>
      <xdr:rowOff>149678</xdr:rowOff>
    </xdr:to>
    <xdr:graphicFrame macro="">
      <xdr:nvGraphicFramePr>
        <xdr:cNvPr id="60142408" name="Диаграмма 1">
          <a:extLst>
            <a:ext uri="{FF2B5EF4-FFF2-40B4-BE49-F238E27FC236}">
              <a16:creationId xmlns:a16="http://schemas.microsoft.com/office/drawing/2014/main" id="{00000000-0008-0000-0800-000048B395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32</xdr:col>
      <xdr:colOff>504825</xdr:colOff>
      <xdr:row>24</xdr:row>
      <xdr:rowOff>161925</xdr:rowOff>
    </xdr:from>
    <xdr:ext cx="4416426" cy="440532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SpPr txBox="1"/>
      </xdr:nvSpPr>
      <xdr:spPr>
        <a:xfrm>
          <a:off x="20793075" y="4755092"/>
          <a:ext cx="4416426" cy="4405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ru-RU" sz="1600">
              <a:latin typeface="Arial" pitchFamily="34" charset="0"/>
              <a:cs typeface="Arial" pitchFamily="34" charset="0"/>
            </a:rPr>
            <a:t>производительность</a:t>
          </a:r>
          <a:r>
            <a:rPr lang="en-US" sz="1600">
              <a:latin typeface="Arial" pitchFamily="34" charset="0"/>
              <a:cs typeface="Arial" pitchFamily="34" charset="0"/>
            </a:rPr>
            <a:t>   </a:t>
          </a:r>
          <a:r>
            <a:rPr lang="ru-RU" sz="1600">
              <a:latin typeface="Arial" pitchFamily="34" charset="0"/>
              <a:cs typeface="Arial" pitchFamily="34" charset="0"/>
            </a:rPr>
            <a:t>труда</a:t>
          </a:r>
          <a:r>
            <a:rPr lang="en-US" sz="1600">
              <a:latin typeface="Arial" pitchFamily="34" charset="0"/>
              <a:cs typeface="Arial" pitchFamily="34" charset="0"/>
            </a:rPr>
            <a:t>    </a:t>
          </a:r>
          <a:r>
            <a:rPr lang="en-US" sz="1600" b="1">
              <a:latin typeface="Arial" pitchFamily="34" charset="0"/>
              <a:cs typeface="Arial" pitchFamily="34" charset="0"/>
            </a:rPr>
            <a:t>^WWPS / L</a:t>
          </a:r>
          <a:endParaRPr lang="ru-RU" sz="1600" b="1">
            <a:latin typeface="Arial" pitchFamily="34" charset="0"/>
            <a:cs typeface="Arial" pitchFamily="34" charset="0"/>
          </a:endParaRPr>
        </a:p>
      </xdr:txBody>
    </xdr:sp>
    <xdr:clientData/>
  </xdr:oneCellAnchor>
  <xdr:oneCellAnchor>
    <xdr:from>
      <xdr:col>40</xdr:col>
      <xdr:colOff>166725</xdr:colOff>
      <xdr:row>35</xdr:row>
      <xdr:rowOff>177726</xdr:rowOff>
    </xdr:from>
    <xdr:ext cx="527067" cy="269369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SpPr txBox="1"/>
      </xdr:nvSpPr>
      <xdr:spPr>
        <a:xfrm>
          <a:off x="25680118" y="7062940"/>
          <a:ext cx="527067" cy="26936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1200">
              <a:latin typeface="Arial" panose="020B0604020202020204" pitchFamily="34" charset="0"/>
              <a:cs typeface="Arial" panose="020B0604020202020204" pitchFamily="34" charset="0"/>
            </a:rPr>
            <a:t>2016</a:t>
          </a:r>
        </a:p>
      </xdr:txBody>
    </xdr:sp>
    <xdr:clientData/>
  </xdr:oneCellAnchor>
  <xdr:oneCellAnchor>
    <xdr:from>
      <xdr:col>34</xdr:col>
      <xdr:colOff>130442</xdr:colOff>
      <xdr:row>50</xdr:row>
      <xdr:rowOff>26458</xdr:rowOff>
    </xdr:from>
    <xdr:ext cx="451816" cy="274007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00000000-0008-0000-0800-000007000000}"/>
            </a:ext>
          </a:extLst>
        </xdr:cNvPr>
        <xdr:cNvSpPr txBox="1"/>
      </xdr:nvSpPr>
      <xdr:spPr>
        <a:xfrm>
          <a:off x="20763973" y="9563364"/>
          <a:ext cx="451816" cy="27400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1100"/>
            <a:t>2002</a:t>
          </a:r>
        </a:p>
      </xdr:txBody>
    </xdr:sp>
    <xdr:clientData/>
  </xdr:oneCellAnchor>
  <xdr:oneCellAnchor>
    <xdr:from>
      <xdr:col>34</xdr:col>
      <xdr:colOff>602455</xdr:colOff>
      <xdr:row>35</xdr:row>
      <xdr:rowOff>3704</xdr:rowOff>
    </xdr:from>
    <xdr:ext cx="451816" cy="264560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00000000-0008-0000-0800-000008000000}"/>
            </a:ext>
          </a:extLst>
        </xdr:cNvPr>
        <xdr:cNvSpPr txBox="1"/>
      </xdr:nvSpPr>
      <xdr:spPr>
        <a:xfrm>
          <a:off x="22118372" y="6861704"/>
          <a:ext cx="451816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1100"/>
            <a:t>2008</a:t>
          </a:r>
        </a:p>
      </xdr:txBody>
    </xdr:sp>
    <xdr:clientData/>
  </xdr:oneCellAnchor>
  <xdr:twoCellAnchor>
    <xdr:from>
      <xdr:col>28</xdr:col>
      <xdr:colOff>66674</xdr:colOff>
      <xdr:row>62</xdr:row>
      <xdr:rowOff>19051</xdr:rowOff>
    </xdr:from>
    <xdr:to>
      <xdr:col>39</xdr:col>
      <xdr:colOff>571499</xdr:colOff>
      <xdr:row>94</xdr:row>
      <xdr:rowOff>1</xdr:rowOff>
    </xdr:to>
    <xdr:graphicFrame macro="">
      <xdr:nvGraphicFramePr>
        <xdr:cNvPr id="60142415" name="Диаграмма 8">
          <a:extLst>
            <a:ext uri="{FF2B5EF4-FFF2-40B4-BE49-F238E27FC236}">
              <a16:creationId xmlns:a16="http://schemas.microsoft.com/office/drawing/2014/main" id="{00000000-0008-0000-0800-00004FB395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41</xdr:col>
      <xdr:colOff>71438</xdr:colOff>
      <xdr:row>62</xdr:row>
      <xdr:rowOff>23811</xdr:rowOff>
    </xdr:from>
    <xdr:to>
      <xdr:col>53</xdr:col>
      <xdr:colOff>11907</xdr:colOff>
      <xdr:row>93</xdr:row>
      <xdr:rowOff>238124</xdr:rowOff>
    </xdr:to>
    <xdr:graphicFrame macro="">
      <xdr:nvGraphicFramePr>
        <xdr:cNvPr id="60142416" name="Диаграмма 9">
          <a:extLst>
            <a:ext uri="{FF2B5EF4-FFF2-40B4-BE49-F238E27FC236}">
              <a16:creationId xmlns:a16="http://schemas.microsoft.com/office/drawing/2014/main" id="{00000000-0008-0000-0800-000050B395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oneCellAnchor>
    <xdr:from>
      <xdr:col>35</xdr:col>
      <xdr:colOff>243568</xdr:colOff>
      <xdr:row>77</xdr:row>
      <xdr:rowOff>122464</xdr:rowOff>
    </xdr:from>
    <xdr:ext cx="194453" cy="353413"/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00000000-0008-0000-0800-00000B000000}"/>
            </a:ext>
          </a:extLst>
        </xdr:cNvPr>
        <xdr:cNvSpPr txBox="1"/>
      </xdr:nvSpPr>
      <xdr:spPr>
        <a:xfrm>
          <a:off x="21722443" y="15105289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35</xdr:col>
      <xdr:colOff>176893</xdr:colOff>
      <xdr:row>78</xdr:row>
      <xdr:rowOff>0</xdr:rowOff>
    </xdr:from>
    <xdr:ext cx="194453" cy="349597"/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00000000-0008-0000-0800-00000C000000}"/>
            </a:ext>
          </a:extLst>
        </xdr:cNvPr>
        <xdr:cNvSpPr txBox="1"/>
      </xdr:nvSpPr>
      <xdr:spPr>
        <a:xfrm>
          <a:off x="21627193" y="151733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35</xdr:col>
      <xdr:colOff>215827</xdr:colOff>
      <xdr:row>84</xdr:row>
      <xdr:rowOff>32508</xdr:rowOff>
    </xdr:from>
    <xdr:ext cx="1483179" cy="687917"/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00000000-0008-0000-0800-00000D000000}"/>
            </a:ext>
          </a:extLst>
        </xdr:cNvPr>
        <xdr:cNvSpPr txBox="1"/>
      </xdr:nvSpPr>
      <xdr:spPr>
        <a:xfrm>
          <a:off x="22278108" y="17629946"/>
          <a:ext cx="1483179" cy="6879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US" sz="1100"/>
            <a:t> </a:t>
          </a:r>
          <a:r>
            <a:rPr lang="en-US" sz="1100" b="0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        </a:t>
          </a:r>
          <a:r>
            <a:rPr lang="ru-RU" sz="1200" b="0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ТРЕНД БАЗЫ</a:t>
          </a:r>
          <a:r>
            <a:rPr lang="en-US" sz="1200"/>
            <a:t> </a:t>
          </a:r>
        </a:p>
        <a:p>
          <a:r>
            <a:rPr lang="en-US" sz="1200"/>
            <a:t>y = 0,0055x + 56,57</a:t>
          </a:r>
          <a:endParaRPr lang="ru-RU" sz="1200"/>
        </a:p>
        <a:p>
          <a:r>
            <a:rPr lang="ru-RU" sz="1200"/>
            <a:t>       </a:t>
          </a:r>
          <a:r>
            <a:rPr lang="en-US" sz="1200"/>
            <a:t> R² = 0,9</a:t>
          </a:r>
          <a:r>
            <a:rPr lang="ru-RU" sz="1200"/>
            <a:t>7</a:t>
          </a:r>
          <a:r>
            <a:rPr lang="en-US" sz="1200"/>
            <a:t>84</a:t>
          </a:r>
        </a:p>
        <a:p>
          <a:r>
            <a:rPr lang="en-US" sz="1200"/>
            <a:t> </a:t>
          </a:r>
          <a:endParaRPr lang="ru-RU" sz="1200"/>
        </a:p>
      </xdr:txBody>
    </xdr:sp>
    <xdr:clientData/>
  </xdr:oneCellAnchor>
  <xdr:oneCellAnchor>
    <xdr:from>
      <xdr:col>31</xdr:col>
      <xdr:colOff>223193</xdr:colOff>
      <xdr:row>83</xdr:row>
      <xdr:rowOff>48609</xdr:rowOff>
    </xdr:from>
    <xdr:ext cx="538805" cy="284766"/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00000000-0008-0000-0800-00000E000000}"/>
            </a:ext>
          </a:extLst>
        </xdr:cNvPr>
        <xdr:cNvSpPr txBox="1"/>
      </xdr:nvSpPr>
      <xdr:spPr>
        <a:xfrm>
          <a:off x="19856599" y="17384109"/>
          <a:ext cx="538805" cy="2847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ru-RU" sz="1200"/>
            <a:t>200</a:t>
          </a:r>
          <a:r>
            <a:rPr lang="en-US" sz="1200"/>
            <a:t>1</a:t>
          </a:r>
          <a:endParaRPr lang="ru-RU" sz="1200"/>
        </a:p>
      </xdr:txBody>
    </xdr:sp>
    <xdr:clientData/>
  </xdr:oneCellAnchor>
  <xdr:oneCellAnchor>
    <xdr:from>
      <xdr:col>34</xdr:col>
      <xdr:colOff>175609</xdr:colOff>
      <xdr:row>76</xdr:row>
      <xdr:rowOff>224515</xdr:rowOff>
    </xdr:from>
    <xdr:ext cx="496546" cy="280205"/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00000000-0008-0000-0800-00000F000000}"/>
            </a:ext>
          </a:extLst>
        </xdr:cNvPr>
        <xdr:cNvSpPr txBox="1"/>
      </xdr:nvSpPr>
      <xdr:spPr>
        <a:xfrm>
          <a:off x="21630672" y="15726453"/>
          <a:ext cx="496546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1200"/>
            <a:t>200</a:t>
          </a:r>
          <a:r>
            <a:rPr lang="en-US" sz="1200"/>
            <a:t>7</a:t>
          </a:r>
          <a:endParaRPr lang="ru-RU" sz="1200"/>
        </a:p>
      </xdr:txBody>
    </xdr:sp>
    <xdr:clientData/>
  </xdr:oneCellAnchor>
  <xdr:twoCellAnchor>
    <xdr:from>
      <xdr:col>19</xdr:col>
      <xdr:colOff>95250</xdr:colOff>
      <xdr:row>160</xdr:row>
      <xdr:rowOff>85725</xdr:rowOff>
    </xdr:from>
    <xdr:to>
      <xdr:col>29</xdr:col>
      <xdr:colOff>542925</xdr:colOff>
      <xdr:row>194</xdr:row>
      <xdr:rowOff>85725</xdr:rowOff>
    </xdr:to>
    <xdr:graphicFrame macro="">
      <xdr:nvGraphicFramePr>
        <xdr:cNvPr id="60142423" name="Диаграмма 20">
          <a:extLst>
            <a:ext uri="{FF2B5EF4-FFF2-40B4-BE49-F238E27FC236}">
              <a16:creationId xmlns:a16="http://schemas.microsoft.com/office/drawing/2014/main" id="{00000000-0008-0000-0800-000057B395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31</xdr:col>
      <xdr:colOff>0</xdr:colOff>
      <xdr:row>160</xdr:row>
      <xdr:rowOff>0</xdr:rowOff>
    </xdr:from>
    <xdr:to>
      <xdr:col>41</xdr:col>
      <xdr:colOff>542925</xdr:colOff>
      <xdr:row>194</xdr:row>
      <xdr:rowOff>76200</xdr:rowOff>
    </xdr:to>
    <xdr:graphicFrame macro="">
      <xdr:nvGraphicFramePr>
        <xdr:cNvPr id="60142424" name="Диаграмма 21">
          <a:extLst>
            <a:ext uri="{FF2B5EF4-FFF2-40B4-BE49-F238E27FC236}">
              <a16:creationId xmlns:a16="http://schemas.microsoft.com/office/drawing/2014/main" id="{00000000-0008-0000-0800-000058B395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oneCellAnchor>
    <xdr:from>
      <xdr:col>25</xdr:col>
      <xdr:colOff>368754</xdr:colOff>
      <xdr:row>190</xdr:row>
      <xdr:rowOff>155121</xdr:rowOff>
    </xdr:from>
    <xdr:ext cx="2365868" cy="352308"/>
    <xdr:sp macro="" textlink="">
      <xdr:nvSpPr>
        <xdr:cNvPr id="23" name="TextBox 22">
          <a:extLst>
            <a:ext uri="{FF2B5EF4-FFF2-40B4-BE49-F238E27FC236}">
              <a16:creationId xmlns:a16="http://schemas.microsoft.com/office/drawing/2014/main" id="{00000000-0008-0000-0800-000017000000}"/>
            </a:ext>
          </a:extLst>
        </xdr:cNvPr>
        <xdr:cNvSpPr txBox="1"/>
      </xdr:nvSpPr>
      <xdr:spPr>
        <a:xfrm>
          <a:off x="15535729" y="40690346"/>
          <a:ext cx="2420984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1600"/>
            <a:t>ВВП (млрд руб) в ц.1995г.</a:t>
          </a:r>
        </a:p>
      </xdr:txBody>
    </xdr:sp>
    <xdr:clientData/>
  </xdr:oneCellAnchor>
  <xdr:oneCellAnchor>
    <xdr:from>
      <xdr:col>25</xdr:col>
      <xdr:colOff>87086</xdr:colOff>
      <xdr:row>177</xdr:row>
      <xdr:rowOff>32657</xdr:rowOff>
    </xdr:from>
    <xdr:ext cx="515644" cy="270865"/>
    <xdr:sp macro="" textlink="">
      <xdr:nvSpPr>
        <xdr:cNvPr id="24" name="TextBox 23">
          <a:extLst>
            <a:ext uri="{FF2B5EF4-FFF2-40B4-BE49-F238E27FC236}">
              <a16:creationId xmlns:a16="http://schemas.microsoft.com/office/drawing/2014/main" id="{00000000-0008-0000-0800-000018000000}"/>
            </a:ext>
          </a:extLst>
        </xdr:cNvPr>
        <xdr:cNvSpPr txBox="1"/>
      </xdr:nvSpPr>
      <xdr:spPr>
        <a:xfrm>
          <a:off x="15254061" y="37926282"/>
          <a:ext cx="496546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1200"/>
            <a:t>2009</a:t>
          </a:r>
        </a:p>
      </xdr:txBody>
    </xdr:sp>
    <xdr:clientData/>
  </xdr:oneCellAnchor>
  <xdr:twoCellAnchor>
    <xdr:from>
      <xdr:col>55</xdr:col>
      <xdr:colOff>76200</xdr:colOff>
      <xdr:row>23</xdr:row>
      <xdr:rowOff>0</xdr:rowOff>
    </xdr:from>
    <xdr:to>
      <xdr:col>66</xdr:col>
      <xdr:colOff>542925</xdr:colOff>
      <xdr:row>60</xdr:row>
      <xdr:rowOff>180975</xdr:rowOff>
    </xdr:to>
    <xdr:graphicFrame macro="">
      <xdr:nvGraphicFramePr>
        <xdr:cNvPr id="60142427" name="Chart 11">
          <a:extLst>
            <a:ext uri="{FF2B5EF4-FFF2-40B4-BE49-F238E27FC236}">
              <a16:creationId xmlns:a16="http://schemas.microsoft.com/office/drawing/2014/main" id="{00000000-0008-0000-0800-00005BB395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oneCellAnchor>
    <xdr:from>
      <xdr:col>7</xdr:col>
      <xdr:colOff>496166</xdr:colOff>
      <xdr:row>37</xdr:row>
      <xdr:rowOff>128503</xdr:rowOff>
    </xdr:from>
    <xdr:ext cx="1496475" cy="373103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SpPr txBox="1"/>
      </xdr:nvSpPr>
      <xdr:spPr>
        <a:xfrm>
          <a:off x="4782416" y="7653253"/>
          <a:ext cx="1496475" cy="37310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200"/>
            <a:t>2013</a:t>
          </a:r>
          <a:endParaRPr lang="ru-RU" sz="1200"/>
        </a:p>
      </xdr:txBody>
    </xdr:sp>
    <xdr:clientData/>
  </xdr:oneCellAnchor>
  <xdr:oneCellAnchor>
    <xdr:from>
      <xdr:col>35</xdr:col>
      <xdr:colOff>63499</xdr:colOff>
      <xdr:row>31</xdr:row>
      <xdr:rowOff>177271</xdr:rowOff>
    </xdr:from>
    <xdr:ext cx="677301" cy="264560"/>
    <xdr:sp macro="" textlink="">
      <xdr:nvSpPr>
        <xdr:cNvPr id="25" name="TextBox 24">
          <a:extLst>
            <a:ext uri="{FF2B5EF4-FFF2-40B4-BE49-F238E27FC236}">
              <a16:creationId xmlns:a16="http://schemas.microsoft.com/office/drawing/2014/main" id="{00000000-0008-0000-0800-000019000000}"/>
            </a:ext>
          </a:extLst>
        </xdr:cNvPr>
        <xdr:cNvSpPr txBox="1"/>
      </xdr:nvSpPr>
      <xdr:spPr>
        <a:xfrm>
          <a:off x="21911468" y="6082771"/>
          <a:ext cx="67730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ru-RU" sz="1100"/>
            <a:t>ТРЕНД</a:t>
          </a:r>
          <a:r>
            <a:rPr lang="ru-RU" sz="1100" baseline="0"/>
            <a:t> 1</a:t>
          </a:r>
          <a:endParaRPr lang="ru-RU" sz="1100"/>
        </a:p>
      </xdr:txBody>
    </xdr:sp>
    <xdr:clientData/>
  </xdr:oneCellAnchor>
  <xdr:oneCellAnchor>
    <xdr:from>
      <xdr:col>76</xdr:col>
      <xdr:colOff>54428</xdr:colOff>
      <xdr:row>33</xdr:row>
      <xdr:rowOff>186758</xdr:rowOff>
    </xdr:from>
    <xdr:ext cx="184731" cy="298800"/>
    <xdr:sp macro="" textlink="">
      <xdr:nvSpPr>
        <xdr:cNvPr id="27" name="TextBox 26">
          <a:extLst>
            <a:ext uri="{FF2B5EF4-FFF2-40B4-BE49-F238E27FC236}">
              <a16:creationId xmlns:a16="http://schemas.microsoft.com/office/drawing/2014/main" id="{00000000-0008-0000-0800-00001B000000}"/>
            </a:ext>
          </a:extLst>
        </xdr:cNvPr>
        <xdr:cNvSpPr txBox="1"/>
      </xdr:nvSpPr>
      <xdr:spPr>
        <a:xfrm>
          <a:off x="47815499" y="6609329"/>
          <a:ext cx="184731" cy="2988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 sz="1400">
            <a:latin typeface="Arial" pitchFamily="34" charset="0"/>
            <a:cs typeface="Arial" pitchFamily="34" charset="0"/>
          </a:endParaRPr>
        </a:p>
      </xdr:txBody>
    </xdr:sp>
    <xdr:clientData/>
  </xdr:oneCellAnchor>
  <xdr:twoCellAnchor>
    <xdr:from>
      <xdr:col>117</xdr:col>
      <xdr:colOff>85610</xdr:colOff>
      <xdr:row>64</xdr:row>
      <xdr:rowOff>5103</xdr:rowOff>
    </xdr:from>
    <xdr:to>
      <xdr:col>132</xdr:col>
      <xdr:colOff>13606</xdr:colOff>
      <xdr:row>103</xdr:row>
      <xdr:rowOff>0</xdr:rowOff>
    </xdr:to>
    <xdr:graphicFrame macro="">
      <xdr:nvGraphicFramePr>
        <xdr:cNvPr id="28" name="Диаграмма 27">
          <a:extLst>
            <a:ext uri="{FF2B5EF4-FFF2-40B4-BE49-F238E27FC236}">
              <a16:creationId xmlns:a16="http://schemas.microsoft.com/office/drawing/2014/main" id="{00000000-0008-0000-0800-00001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oneCellAnchor>
    <xdr:from>
      <xdr:col>119</xdr:col>
      <xdr:colOff>136070</xdr:colOff>
      <xdr:row>65</xdr:row>
      <xdr:rowOff>200364</xdr:rowOff>
    </xdr:from>
    <xdr:ext cx="5320394" cy="1092315"/>
    <xdr:sp macro="" textlink="">
      <xdr:nvSpPr>
        <xdr:cNvPr id="29" name="TextBox 28">
          <a:extLst>
            <a:ext uri="{FF2B5EF4-FFF2-40B4-BE49-F238E27FC236}">
              <a16:creationId xmlns:a16="http://schemas.microsoft.com/office/drawing/2014/main" id="{00000000-0008-0000-0800-00001D000000}"/>
            </a:ext>
          </a:extLst>
        </xdr:cNvPr>
        <xdr:cNvSpPr txBox="1"/>
      </xdr:nvSpPr>
      <xdr:spPr>
        <a:xfrm>
          <a:off x="74390249" y="13086328"/>
          <a:ext cx="5320394" cy="10923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ru-RU" sz="1800">
              <a:latin typeface="Arial" pitchFamily="34" charset="0"/>
              <a:cs typeface="Arial" pitchFamily="34" charset="0"/>
            </a:rPr>
            <a:t>                       СОСТАВЛЯЮЩИЕ ВВП</a:t>
          </a:r>
        </a:p>
        <a:p>
          <a:r>
            <a:rPr lang="ru-RU" sz="1400">
              <a:latin typeface="Arial" pitchFamily="34" charset="0"/>
              <a:cs typeface="Arial" pitchFamily="34" charset="0"/>
            </a:rPr>
            <a:t> </a:t>
          </a:r>
          <a:r>
            <a:rPr lang="en-US" sz="1400">
              <a:latin typeface="Arial" pitchFamily="34" charset="0"/>
              <a:cs typeface="Arial" pitchFamily="34" charset="0"/>
            </a:rPr>
            <a:t>YD</a:t>
          </a:r>
          <a:r>
            <a:rPr lang="ru-RU" sz="1400">
              <a:latin typeface="Arial" pitchFamily="34" charset="0"/>
              <a:cs typeface="Arial" pitchFamily="34" charset="0"/>
            </a:rPr>
            <a:t>  - КОНЕЧНОЕ ПОТРЕБЛЕНИЕ ДОМАШНИХ ХОЗЯЙСТВ</a:t>
          </a:r>
        </a:p>
        <a:p>
          <a:r>
            <a:rPr lang="ru-RU" sz="1400">
              <a:latin typeface="Arial" pitchFamily="34" charset="0"/>
              <a:cs typeface="Arial" pitchFamily="34" charset="0"/>
            </a:rPr>
            <a:t> </a:t>
          </a:r>
          <a:r>
            <a:rPr lang="en-US" sz="1400">
              <a:latin typeface="Arial" pitchFamily="34" charset="0"/>
              <a:cs typeface="Arial" pitchFamily="34" charset="0"/>
            </a:rPr>
            <a:t>YGm</a:t>
          </a:r>
          <a:r>
            <a:rPr lang="ru-RU" sz="1400">
              <a:latin typeface="Arial" pitchFamily="34" charset="0"/>
              <a:cs typeface="Arial" pitchFamily="34" charset="0"/>
            </a:rPr>
            <a:t> - модиф. ПОТРЕБЛЕНИЕ ГОСУДАРСТВА</a:t>
          </a:r>
        </a:p>
        <a:p>
          <a:r>
            <a:rPr lang="ru-RU" sz="1400">
              <a:latin typeface="Arial" pitchFamily="34" charset="0"/>
              <a:cs typeface="Arial" pitchFamily="34" charset="0"/>
            </a:rPr>
            <a:t> </a:t>
          </a:r>
          <a:r>
            <a:rPr lang="en-US" sz="1400">
              <a:latin typeface="Arial" pitchFamily="34" charset="0"/>
              <a:cs typeface="Arial" pitchFamily="34" charset="0"/>
            </a:rPr>
            <a:t>IN  </a:t>
          </a:r>
          <a:r>
            <a:rPr lang="ru-RU" sz="1400">
              <a:latin typeface="Arial" pitchFamily="34" charset="0"/>
              <a:cs typeface="Arial" pitchFamily="34" charset="0"/>
            </a:rPr>
            <a:t>  - ИНВЕСТИЦИИ В ОСНОВНОЙ</a:t>
          </a:r>
          <a:r>
            <a:rPr lang="ru-RU" sz="1400" baseline="0">
              <a:latin typeface="Arial" pitchFamily="34" charset="0"/>
              <a:cs typeface="Arial" pitchFamily="34" charset="0"/>
            </a:rPr>
            <a:t> КАПИТАЛ</a:t>
          </a:r>
          <a:endParaRPr lang="ru-RU" sz="1400">
            <a:latin typeface="Arial" pitchFamily="34" charset="0"/>
            <a:cs typeface="Arial" pitchFamily="34" charset="0"/>
          </a:endParaRPr>
        </a:p>
      </xdr:txBody>
    </xdr:sp>
    <xdr:clientData/>
  </xdr:oneCellAnchor>
  <xdr:oneCellAnchor>
    <xdr:from>
      <xdr:col>129</xdr:col>
      <xdr:colOff>137773</xdr:colOff>
      <xdr:row>46</xdr:row>
      <xdr:rowOff>55790</xdr:rowOff>
    </xdr:from>
    <xdr:ext cx="466987" cy="357790"/>
    <xdr:sp macro="" textlink="">
      <xdr:nvSpPr>
        <xdr:cNvPr id="31" name="TextBox 30">
          <a:extLst>
            <a:ext uri="{FF2B5EF4-FFF2-40B4-BE49-F238E27FC236}">
              <a16:creationId xmlns:a16="http://schemas.microsoft.com/office/drawing/2014/main" id="{00000000-0008-0000-0800-00001F000000}"/>
            </a:ext>
          </a:extLst>
        </xdr:cNvPr>
        <xdr:cNvSpPr txBox="1"/>
      </xdr:nvSpPr>
      <xdr:spPr>
        <a:xfrm>
          <a:off x="79873929" y="9104540"/>
          <a:ext cx="466987" cy="35779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sz="1800">
              <a:latin typeface="Arial" pitchFamily="34" charset="0"/>
              <a:cs typeface="Arial" pitchFamily="34" charset="0"/>
            </a:rPr>
            <a:t>Pg</a:t>
          </a:r>
          <a:endParaRPr lang="ru-RU" sz="1800">
            <a:latin typeface="Arial" pitchFamily="34" charset="0"/>
            <a:cs typeface="Arial" pitchFamily="34" charset="0"/>
          </a:endParaRPr>
        </a:p>
      </xdr:txBody>
    </xdr:sp>
    <xdr:clientData/>
  </xdr:oneCellAnchor>
  <xdr:twoCellAnchor>
    <xdr:from>
      <xdr:col>138</xdr:col>
      <xdr:colOff>85610</xdr:colOff>
      <xdr:row>23</xdr:row>
      <xdr:rowOff>5103</xdr:rowOff>
    </xdr:from>
    <xdr:to>
      <xdr:col>153</xdr:col>
      <xdr:colOff>13606</xdr:colOff>
      <xdr:row>62</xdr:row>
      <xdr:rowOff>0</xdr:rowOff>
    </xdr:to>
    <xdr:graphicFrame macro="">
      <xdr:nvGraphicFramePr>
        <xdr:cNvPr id="32" name="Диаграмма 31">
          <a:extLst>
            <a:ext uri="{FF2B5EF4-FFF2-40B4-BE49-F238E27FC236}">
              <a16:creationId xmlns:a16="http://schemas.microsoft.com/office/drawing/2014/main" id="{00000000-0008-0000-0800-000020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oneCellAnchor>
    <xdr:from>
      <xdr:col>147</xdr:col>
      <xdr:colOff>128701</xdr:colOff>
      <xdr:row>40</xdr:row>
      <xdr:rowOff>107951</xdr:rowOff>
    </xdr:from>
    <xdr:ext cx="560727" cy="452210"/>
    <xdr:sp macro="" textlink="">
      <xdr:nvSpPr>
        <xdr:cNvPr id="33" name="TextBox 32">
          <a:extLst>
            <a:ext uri="{FF2B5EF4-FFF2-40B4-BE49-F238E27FC236}">
              <a16:creationId xmlns:a16="http://schemas.microsoft.com/office/drawing/2014/main" id="{00000000-0008-0000-0800-000021000000}"/>
            </a:ext>
          </a:extLst>
        </xdr:cNvPr>
        <xdr:cNvSpPr txBox="1"/>
      </xdr:nvSpPr>
      <xdr:spPr>
        <a:xfrm>
          <a:off x="91552826" y="8045451"/>
          <a:ext cx="560727" cy="4522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en-US" sz="2000">
              <a:latin typeface="Arial" pitchFamily="34" charset="0"/>
              <a:cs typeface="Arial" pitchFamily="34" charset="0"/>
            </a:rPr>
            <a:t>YG</a:t>
          </a:r>
          <a:endParaRPr lang="ru-RU" sz="2000">
            <a:latin typeface="Arial" pitchFamily="34" charset="0"/>
            <a:cs typeface="Arial" pitchFamily="34" charset="0"/>
          </a:endParaRPr>
        </a:p>
      </xdr:txBody>
    </xdr:sp>
    <xdr:clientData/>
  </xdr:oneCellAnchor>
  <xdr:twoCellAnchor>
    <xdr:from>
      <xdr:col>117</xdr:col>
      <xdr:colOff>81644</xdr:colOff>
      <xdr:row>22</xdr:row>
      <xdr:rowOff>176893</xdr:rowOff>
    </xdr:from>
    <xdr:to>
      <xdr:col>130</xdr:col>
      <xdr:colOff>585107</xdr:colOff>
      <xdr:row>62</xdr:row>
      <xdr:rowOff>13607</xdr:rowOff>
    </xdr:to>
    <xdr:graphicFrame macro="">
      <xdr:nvGraphicFramePr>
        <xdr:cNvPr id="36" name="Диаграмма 35">
          <a:extLst>
            <a:ext uri="{FF2B5EF4-FFF2-40B4-BE49-F238E27FC236}">
              <a16:creationId xmlns:a16="http://schemas.microsoft.com/office/drawing/2014/main" id="{00000000-0008-0000-0800-00002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oneCellAnchor>
    <xdr:from>
      <xdr:col>118</xdr:col>
      <xdr:colOff>571500</xdr:colOff>
      <xdr:row>24</xdr:row>
      <xdr:rowOff>0</xdr:rowOff>
    </xdr:from>
    <xdr:ext cx="7048500" cy="1206500"/>
    <xdr:sp macro="" textlink="">
      <xdr:nvSpPr>
        <xdr:cNvPr id="37" name="TextBox 36">
          <a:extLst>
            <a:ext uri="{FF2B5EF4-FFF2-40B4-BE49-F238E27FC236}">
              <a16:creationId xmlns:a16="http://schemas.microsoft.com/office/drawing/2014/main" id="{00000000-0008-0000-0800-000025000000}"/>
            </a:ext>
          </a:extLst>
        </xdr:cNvPr>
        <xdr:cNvSpPr txBox="1"/>
      </xdr:nvSpPr>
      <xdr:spPr>
        <a:xfrm>
          <a:off x="73977500" y="4587875"/>
          <a:ext cx="7048500" cy="12065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ru-RU" sz="1800">
              <a:latin typeface="Arial" pitchFamily="34" charset="0"/>
              <a:cs typeface="Arial" pitchFamily="34" charset="0"/>
            </a:rPr>
            <a:t>БАЗИСНЫЕ ТЕМПЫ  РОСТА КОНЕЧНОГО ПОТРЕБЛЕНИЯ  </a:t>
          </a:r>
          <a:r>
            <a:rPr lang="ru-RU" sz="1400">
              <a:latin typeface="Arial" pitchFamily="34" charset="0"/>
              <a:cs typeface="Arial" pitchFamily="34" charset="0"/>
            </a:rPr>
            <a:t>ГОСУДАРСТВА (по СНС 2008)</a:t>
          </a:r>
        </a:p>
        <a:p>
          <a:r>
            <a:rPr lang="ru-RU" sz="1400">
              <a:latin typeface="Arial" pitchFamily="34" charset="0"/>
              <a:cs typeface="Arial" pitchFamily="34" charset="0"/>
            </a:rPr>
            <a:t>и </a:t>
          </a:r>
          <a:r>
            <a:rPr lang="en-US" sz="1400">
              <a:latin typeface="Arial" pitchFamily="34" charset="0"/>
              <a:cs typeface="Arial" pitchFamily="34" charset="0"/>
            </a:rPr>
            <a:t> </a:t>
          </a:r>
          <a:r>
            <a:rPr lang="ru-RU" sz="1400">
              <a:latin typeface="Arial" pitchFamily="34" charset="0"/>
              <a:cs typeface="Arial" pitchFamily="34" charset="0"/>
            </a:rPr>
            <a:t>модифицированные  ТЕМПЫ РОСТА КОНЕЧНОГО ПОТРЕБЛЕНИЯ </a:t>
          </a:r>
          <a:r>
            <a:rPr lang="ru-RU" sz="1400" baseline="0">
              <a:latin typeface="Arial" pitchFamily="34" charset="0"/>
              <a:cs typeface="Arial" pitchFamily="34" charset="0"/>
            </a:rPr>
            <a:t>ГОСУДАРСТВА</a:t>
          </a:r>
          <a:endParaRPr lang="en-US" sz="1400" baseline="0">
            <a:latin typeface="Arial" pitchFamily="34" charset="0"/>
            <a:cs typeface="Arial" pitchFamily="34" charset="0"/>
          </a:endParaRPr>
        </a:p>
        <a:p>
          <a:r>
            <a:rPr lang="en-US" sz="1400" baseline="0">
              <a:latin typeface="Arial" pitchFamily="34" charset="0"/>
              <a:cs typeface="Arial" pitchFamily="34" charset="0"/>
            </a:rPr>
            <a:t> </a:t>
          </a:r>
          <a:r>
            <a:rPr lang="ru-RU" sz="1400" baseline="0">
              <a:latin typeface="Arial" pitchFamily="34" charset="0"/>
              <a:cs typeface="Arial" pitchFamily="34" charset="0"/>
            </a:rPr>
            <a:t>на фоне базисных темпов инвестиций в ОК</a:t>
          </a:r>
          <a:endParaRPr lang="ru-RU" sz="1400">
            <a:latin typeface="Arial" pitchFamily="34" charset="0"/>
            <a:cs typeface="Arial" pitchFamily="34" charset="0"/>
          </a:endParaRPr>
        </a:p>
      </xdr:txBody>
    </xdr:sp>
    <xdr:clientData/>
  </xdr:oneCellAnchor>
  <xdr:oneCellAnchor>
    <xdr:from>
      <xdr:col>127</xdr:col>
      <xdr:colOff>87085</xdr:colOff>
      <xdr:row>31</xdr:row>
      <xdr:rowOff>100691</xdr:rowOff>
    </xdr:from>
    <xdr:ext cx="503465" cy="381001"/>
    <xdr:sp macro="" textlink="">
      <xdr:nvSpPr>
        <xdr:cNvPr id="38" name="TextBox 37">
          <a:extLst>
            <a:ext uri="{FF2B5EF4-FFF2-40B4-BE49-F238E27FC236}">
              <a16:creationId xmlns:a16="http://schemas.microsoft.com/office/drawing/2014/main" id="{00000000-0008-0000-0800-000026000000}"/>
            </a:ext>
          </a:extLst>
        </xdr:cNvPr>
        <xdr:cNvSpPr txBox="1"/>
      </xdr:nvSpPr>
      <xdr:spPr>
        <a:xfrm>
          <a:off x="79411285" y="6158591"/>
          <a:ext cx="503465" cy="38100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en-US" sz="1800">
              <a:latin typeface="Arial" pitchFamily="34" charset="0"/>
              <a:cs typeface="Arial" pitchFamily="34" charset="0"/>
            </a:rPr>
            <a:t>Pn</a:t>
          </a:r>
          <a:endParaRPr lang="ru-RU" sz="1800">
            <a:latin typeface="Arial" pitchFamily="34" charset="0"/>
            <a:cs typeface="Arial" pitchFamily="34" charset="0"/>
          </a:endParaRPr>
        </a:p>
      </xdr:txBody>
    </xdr:sp>
    <xdr:clientData/>
  </xdr:oneCellAnchor>
  <xdr:twoCellAnchor>
    <xdr:from>
      <xdr:col>96</xdr:col>
      <xdr:colOff>85610</xdr:colOff>
      <xdr:row>64</xdr:row>
      <xdr:rowOff>5103</xdr:rowOff>
    </xdr:from>
    <xdr:to>
      <xdr:col>111</xdr:col>
      <xdr:colOff>13606</xdr:colOff>
      <xdr:row>103</xdr:row>
      <xdr:rowOff>0</xdr:rowOff>
    </xdr:to>
    <xdr:graphicFrame macro="">
      <xdr:nvGraphicFramePr>
        <xdr:cNvPr id="45" name="Диаграмма 44">
          <a:extLst>
            <a:ext uri="{FF2B5EF4-FFF2-40B4-BE49-F238E27FC236}">
              <a16:creationId xmlns:a16="http://schemas.microsoft.com/office/drawing/2014/main" id="{00000000-0008-0000-0800-00002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oneCellAnchor>
    <xdr:from>
      <xdr:col>97</xdr:col>
      <xdr:colOff>40819</xdr:colOff>
      <xdr:row>65</xdr:row>
      <xdr:rowOff>54429</xdr:rowOff>
    </xdr:from>
    <xdr:ext cx="5347609" cy="789214"/>
    <xdr:sp macro="" textlink="">
      <xdr:nvSpPr>
        <xdr:cNvPr id="46" name="TextBox 45">
          <a:extLst>
            <a:ext uri="{FF2B5EF4-FFF2-40B4-BE49-F238E27FC236}">
              <a16:creationId xmlns:a16="http://schemas.microsoft.com/office/drawing/2014/main" id="{00000000-0008-0000-0800-00002E000000}"/>
            </a:ext>
          </a:extLst>
        </xdr:cNvPr>
        <xdr:cNvSpPr txBox="1"/>
      </xdr:nvSpPr>
      <xdr:spPr>
        <a:xfrm>
          <a:off x="60687855" y="12940393"/>
          <a:ext cx="5347609" cy="78921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en-US" sz="2000">
            <a:latin typeface="Arial" pitchFamily="34" charset="0"/>
            <a:cs typeface="Arial" pitchFamily="34" charset="0"/>
          </a:endParaRPr>
        </a:p>
        <a:p>
          <a:r>
            <a:rPr lang="ru-RU" sz="2000">
              <a:latin typeface="Arial" pitchFamily="34" charset="0"/>
              <a:cs typeface="Arial" pitchFamily="34" charset="0"/>
            </a:rPr>
            <a:t> </a:t>
          </a:r>
          <a:r>
            <a:rPr lang="en-US" sz="1600">
              <a:latin typeface="Arial" pitchFamily="34" charset="0"/>
              <a:cs typeface="Arial" pitchFamily="34" charset="0"/>
            </a:rPr>
            <a:t>IN  </a:t>
          </a:r>
          <a:r>
            <a:rPr lang="ru-RU" sz="1600">
              <a:latin typeface="Arial" pitchFamily="34" charset="0"/>
              <a:cs typeface="Arial" pitchFamily="34" charset="0"/>
            </a:rPr>
            <a:t>  - ИНВЕСТИЦИИ В ОСНОВНОЙ</a:t>
          </a:r>
          <a:r>
            <a:rPr lang="ru-RU" sz="1600" baseline="0">
              <a:latin typeface="Arial" pitchFamily="34" charset="0"/>
              <a:cs typeface="Arial" pitchFamily="34" charset="0"/>
            </a:rPr>
            <a:t> КАПИТАЛ</a:t>
          </a:r>
          <a:endParaRPr lang="ru-RU" sz="1600">
            <a:latin typeface="Arial" pitchFamily="34" charset="0"/>
            <a:cs typeface="Arial" pitchFamily="34" charset="0"/>
          </a:endParaRPr>
        </a:p>
      </xdr:txBody>
    </xdr:sp>
    <xdr:clientData/>
  </xdr:oneCellAnchor>
  <xdr:twoCellAnchor>
    <xdr:from>
      <xdr:col>97</xdr:col>
      <xdr:colOff>47510</xdr:colOff>
      <xdr:row>22</xdr:row>
      <xdr:rowOff>157503</xdr:rowOff>
    </xdr:from>
    <xdr:to>
      <xdr:col>109</xdr:col>
      <xdr:colOff>555625</xdr:colOff>
      <xdr:row>61</xdr:row>
      <xdr:rowOff>152400</xdr:rowOff>
    </xdr:to>
    <xdr:graphicFrame macro="">
      <xdr:nvGraphicFramePr>
        <xdr:cNvPr id="47" name="Диаграмма 46">
          <a:extLst>
            <a:ext uri="{FF2B5EF4-FFF2-40B4-BE49-F238E27FC236}">
              <a16:creationId xmlns:a16="http://schemas.microsoft.com/office/drawing/2014/main" id="{00000000-0008-0000-0800-00002F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oneCellAnchor>
    <xdr:from>
      <xdr:col>98</xdr:col>
      <xdr:colOff>54426</xdr:colOff>
      <xdr:row>23</xdr:row>
      <xdr:rowOff>122464</xdr:rowOff>
    </xdr:from>
    <xdr:ext cx="5347609" cy="789214"/>
    <xdr:sp macro="" textlink="">
      <xdr:nvSpPr>
        <xdr:cNvPr id="48" name="TextBox 47">
          <a:extLst>
            <a:ext uri="{FF2B5EF4-FFF2-40B4-BE49-F238E27FC236}">
              <a16:creationId xmlns:a16="http://schemas.microsoft.com/office/drawing/2014/main" id="{00000000-0008-0000-0800-000030000000}"/>
            </a:ext>
          </a:extLst>
        </xdr:cNvPr>
        <xdr:cNvSpPr txBox="1"/>
      </xdr:nvSpPr>
      <xdr:spPr>
        <a:xfrm>
          <a:off x="61313783" y="4503964"/>
          <a:ext cx="5347609" cy="78921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en-US" sz="2000">
            <a:latin typeface="Arial" pitchFamily="34" charset="0"/>
            <a:cs typeface="Arial" pitchFamily="34" charset="0"/>
          </a:endParaRPr>
        </a:p>
        <a:p>
          <a:r>
            <a:rPr lang="ru-RU" sz="2000" b="1">
              <a:latin typeface="Arial" pitchFamily="34" charset="0"/>
              <a:cs typeface="Arial" pitchFamily="34" charset="0"/>
            </a:rPr>
            <a:t> </a:t>
          </a:r>
          <a:r>
            <a:rPr lang="en-US" sz="2000" b="1">
              <a:latin typeface="Arial" pitchFamily="34" charset="0"/>
              <a:cs typeface="Arial" pitchFamily="34" charset="0"/>
            </a:rPr>
            <a:t>OT  </a:t>
          </a:r>
          <a:r>
            <a:rPr lang="en-US" sz="2000">
              <a:latin typeface="Arial" pitchFamily="34" charset="0"/>
              <a:cs typeface="Arial" pitchFamily="34" charset="0"/>
            </a:rPr>
            <a:t>- </a:t>
          </a:r>
          <a:r>
            <a:rPr lang="ru-RU" sz="1600">
              <a:latin typeface="Arial" pitchFamily="34" charset="0"/>
              <a:cs typeface="Arial" pitchFamily="34" charset="0"/>
            </a:rPr>
            <a:t>ОПЛАТА ТРУДА</a:t>
          </a:r>
          <a:r>
            <a:rPr lang="en-US" sz="1600">
              <a:latin typeface="Arial" pitchFamily="34" charset="0"/>
              <a:cs typeface="Arial" pitchFamily="34" charset="0"/>
            </a:rPr>
            <a:t> </a:t>
          </a:r>
          <a:r>
            <a:rPr lang="ru-RU" sz="1600">
              <a:latin typeface="Arial" pitchFamily="34" charset="0"/>
              <a:cs typeface="Arial" pitchFamily="34" charset="0"/>
            </a:rPr>
            <a:t>(млрд руб)</a:t>
          </a:r>
        </a:p>
      </xdr:txBody>
    </xdr:sp>
    <xdr:clientData/>
  </xdr:oneCellAnchor>
  <xdr:twoCellAnchor>
    <xdr:from>
      <xdr:col>76</xdr:col>
      <xdr:colOff>47510</xdr:colOff>
      <xdr:row>22</xdr:row>
      <xdr:rowOff>157503</xdr:rowOff>
    </xdr:from>
    <xdr:to>
      <xdr:col>90</xdr:col>
      <xdr:colOff>585106</xdr:colOff>
      <xdr:row>61</xdr:row>
      <xdr:rowOff>152400</xdr:rowOff>
    </xdr:to>
    <xdr:graphicFrame macro="">
      <xdr:nvGraphicFramePr>
        <xdr:cNvPr id="49" name="Диаграмма 48">
          <a:extLst>
            <a:ext uri="{FF2B5EF4-FFF2-40B4-BE49-F238E27FC236}">
              <a16:creationId xmlns:a16="http://schemas.microsoft.com/office/drawing/2014/main" id="{00000000-0008-0000-0800-000031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oneCellAnchor>
    <xdr:from>
      <xdr:col>77</xdr:col>
      <xdr:colOff>54426</xdr:colOff>
      <xdr:row>23</xdr:row>
      <xdr:rowOff>142875</xdr:rowOff>
    </xdr:from>
    <xdr:ext cx="1072699" cy="873125"/>
    <xdr:sp macro="" textlink="">
      <xdr:nvSpPr>
        <xdr:cNvPr id="50" name="TextBox 49">
          <a:extLst>
            <a:ext uri="{FF2B5EF4-FFF2-40B4-BE49-F238E27FC236}">
              <a16:creationId xmlns:a16="http://schemas.microsoft.com/office/drawing/2014/main" id="{00000000-0008-0000-0800-000032000000}"/>
            </a:ext>
          </a:extLst>
        </xdr:cNvPr>
        <xdr:cNvSpPr txBox="1"/>
      </xdr:nvSpPr>
      <xdr:spPr>
        <a:xfrm>
          <a:off x="48123926" y="4524375"/>
          <a:ext cx="1072699" cy="8731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en-US" sz="2000">
            <a:latin typeface="Arial" pitchFamily="34" charset="0"/>
            <a:cs typeface="Arial" pitchFamily="34" charset="0"/>
          </a:endParaRPr>
        </a:p>
        <a:p>
          <a:r>
            <a:rPr lang="ru-RU" sz="2000" b="1">
              <a:latin typeface="Arial" pitchFamily="34" charset="0"/>
              <a:cs typeface="Arial" pitchFamily="34" charset="0"/>
            </a:rPr>
            <a:t> </a:t>
          </a:r>
          <a:r>
            <a:rPr lang="en-US" sz="2000" b="1">
              <a:latin typeface="Arial" pitchFamily="34" charset="0"/>
              <a:cs typeface="Arial" pitchFamily="34" charset="0"/>
            </a:rPr>
            <a:t>kRU </a:t>
          </a:r>
          <a:endParaRPr lang="ru-RU" sz="1600" b="1">
            <a:latin typeface="Arial" pitchFamily="34" charset="0"/>
            <a:cs typeface="Arial" pitchFamily="34" charset="0"/>
          </a:endParaRPr>
        </a:p>
      </xdr:txBody>
    </xdr:sp>
    <xdr:clientData/>
  </xdr:oneCellAnchor>
  <xdr:oneCellAnchor>
    <xdr:from>
      <xdr:col>29</xdr:col>
      <xdr:colOff>15875</xdr:colOff>
      <xdr:row>78</xdr:row>
      <xdr:rowOff>238126</xdr:rowOff>
    </xdr:from>
    <xdr:ext cx="2444750" cy="563562"/>
    <xdr:sp macro="" textlink="">
      <xdr:nvSpPr>
        <xdr:cNvPr id="51" name="TextBox 50">
          <a:extLst>
            <a:ext uri="{FF2B5EF4-FFF2-40B4-BE49-F238E27FC236}">
              <a16:creationId xmlns:a16="http://schemas.microsoft.com/office/drawing/2014/main" id="{00000000-0008-0000-0800-000033000000}"/>
            </a:ext>
          </a:extLst>
        </xdr:cNvPr>
        <xdr:cNvSpPr txBox="1"/>
      </xdr:nvSpPr>
      <xdr:spPr>
        <a:xfrm>
          <a:off x="18462625" y="16414751"/>
          <a:ext cx="2444750" cy="56356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en-US" sz="1400" b="0" i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 </a:t>
          </a:r>
          <a:r>
            <a:rPr lang="ru-RU" sz="1400" b="0" i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РАБОЧАЯ</a:t>
          </a:r>
          <a:r>
            <a:rPr lang="ru-RU" sz="1400" b="0" i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 ГИПОТЕЗА</a:t>
          </a:r>
          <a:r>
            <a:rPr lang="en-US" sz="1400" b="0" i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 </a:t>
          </a:r>
          <a:r>
            <a:rPr lang="en-US" sz="140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 </a:t>
          </a:r>
          <a:endParaRPr lang="ru-RU" sz="1400">
            <a:latin typeface="Arial" panose="020B0604020202020204" pitchFamily="34" charset="0"/>
            <a:cs typeface="Arial" panose="020B0604020202020204" pitchFamily="34" charset="0"/>
          </a:endParaRPr>
        </a:p>
        <a:p>
          <a:r>
            <a:rPr lang="en-US" sz="140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y = 0,0055x + 57,68</a:t>
          </a:r>
          <a:endParaRPr lang="ru-RU" sz="1400">
            <a:solidFill>
              <a:schemeClr val="tx1"/>
            </a:solidFill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  <a:p>
          <a:r>
            <a:rPr lang="ru-RU" sz="120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       </a:t>
          </a:r>
          <a:r>
            <a:rPr lang="en-US" sz="120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 </a:t>
          </a:r>
          <a:endParaRPr lang="ru-RU" sz="1200">
            <a:solidFill>
              <a:schemeClr val="tx1"/>
            </a:solidFill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  <a:p>
          <a:endParaRPr lang="ru-RU" sz="1100"/>
        </a:p>
      </xdr:txBody>
    </xdr:sp>
    <xdr:clientData/>
  </xdr:oneCellAnchor>
  <xdr:oneCellAnchor>
    <xdr:from>
      <xdr:col>178</xdr:col>
      <xdr:colOff>530678</xdr:colOff>
      <xdr:row>79</xdr:row>
      <xdr:rowOff>42181</xdr:rowOff>
    </xdr:from>
    <xdr:ext cx="666751" cy="357790"/>
    <xdr:sp macro="" textlink="">
      <xdr:nvSpPr>
        <xdr:cNvPr id="52" name="TextBox 51">
          <a:extLst>
            <a:ext uri="{FF2B5EF4-FFF2-40B4-BE49-F238E27FC236}">
              <a16:creationId xmlns:a16="http://schemas.microsoft.com/office/drawing/2014/main" id="{00000000-0008-0000-0800-000034000000}"/>
            </a:ext>
          </a:extLst>
        </xdr:cNvPr>
        <xdr:cNvSpPr txBox="1"/>
      </xdr:nvSpPr>
      <xdr:spPr>
        <a:xfrm>
          <a:off x="92980328" y="16196581"/>
          <a:ext cx="666751" cy="35779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en-US" sz="2000">
              <a:latin typeface="Arial" pitchFamily="34" charset="0"/>
              <a:cs typeface="Arial" pitchFamily="34" charset="0"/>
            </a:rPr>
            <a:t>Dg</a:t>
          </a:r>
          <a:endParaRPr lang="ru-RU" sz="2000">
            <a:latin typeface="Arial" pitchFamily="34" charset="0"/>
            <a:cs typeface="Arial" pitchFamily="34" charset="0"/>
          </a:endParaRPr>
        </a:p>
      </xdr:txBody>
    </xdr:sp>
    <xdr:clientData/>
  </xdr:oneCellAnchor>
  <xdr:twoCellAnchor>
    <xdr:from>
      <xdr:col>168</xdr:col>
      <xdr:colOff>40821</xdr:colOff>
      <xdr:row>64</xdr:row>
      <xdr:rowOff>190500</xdr:rowOff>
    </xdr:from>
    <xdr:to>
      <xdr:col>183</xdr:col>
      <xdr:colOff>0</xdr:colOff>
      <xdr:row>102</xdr:row>
      <xdr:rowOff>258536</xdr:rowOff>
    </xdr:to>
    <xdr:graphicFrame macro="">
      <xdr:nvGraphicFramePr>
        <xdr:cNvPr id="53" name="Диаграмма 52">
          <a:extLst>
            <a:ext uri="{FF2B5EF4-FFF2-40B4-BE49-F238E27FC236}">
              <a16:creationId xmlns:a16="http://schemas.microsoft.com/office/drawing/2014/main" id="{00000000-0008-0000-0800-00003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oneCellAnchor>
    <xdr:from>
      <xdr:col>172</xdr:col>
      <xdr:colOff>34925</xdr:colOff>
      <xdr:row>68</xdr:row>
      <xdr:rowOff>49893</xdr:rowOff>
    </xdr:from>
    <xdr:ext cx="7108371" cy="1575708"/>
    <xdr:sp macro="" textlink="">
      <xdr:nvSpPr>
        <xdr:cNvPr id="54" name="TextBox 53">
          <a:extLst>
            <a:ext uri="{FF2B5EF4-FFF2-40B4-BE49-F238E27FC236}">
              <a16:creationId xmlns:a16="http://schemas.microsoft.com/office/drawing/2014/main" id="{00000000-0008-0000-0800-000036000000}"/>
            </a:ext>
          </a:extLst>
        </xdr:cNvPr>
        <xdr:cNvSpPr txBox="1"/>
      </xdr:nvSpPr>
      <xdr:spPr>
        <a:xfrm>
          <a:off x="107619800" y="13829393"/>
          <a:ext cx="7108371" cy="157570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ru-RU" sz="2000">
              <a:latin typeface="Arial" pitchFamily="34" charset="0"/>
              <a:cs typeface="Arial" pitchFamily="34" charset="0"/>
            </a:rPr>
            <a:t>ДИНАМИКА  БАЗИСНЫХ ДЕФЛЯТОРОВ</a:t>
          </a:r>
          <a:r>
            <a:rPr lang="en-US" sz="2000">
              <a:latin typeface="Arial" pitchFamily="34" charset="0"/>
              <a:cs typeface="Arial" pitchFamily="34" charset="0"/>
            </a:rPr>
            <a:t>  </a:t>
          </a:r>
          <a:r>
            <a:rPr lang="ru-RU" sz="2000">
              <a:latin typeface="Arial" pitchFamily="34" charset="0"/>
              <a:cs typeface="Arial" pitchFamily="34" charset="0"/>
            </a:rPr>
            <a:t>ОТЕЧЕСТВЕННОГО</a:t>
          </a:r>
          <a:r>
            <a:rPr lang="ru-RU" sz="2000" baseline="0">
              <a:latin typeface="Arial" pitchFamily="34" charset="0"/>
              <a:cs typeface="Arial" pitchFamily="34" charset="0"/>
            </a:rPr>
            <a:t>     ВЫПУСКА  И  ИМПОРТА</a:t>
          </a:r>
          <a:r>
            <a:rPr lang="ru-RU" sz="2000">
              <a:latin typeface="Arial" pitchFamily="34" charset="0"/>
              <a:cs typeface="Arial" pitchFamily="34" charset="0"/>
            </a:rPr>
            <a:t> </a:t>
          </a:r>
        </a:p>
        <a:p>
          <a:r>
            <a:rPr lang="en-US" sz="1800">
              <a:latin typeface="Arial" pitchFamily="34" charset="0"/>
              <a:cs typeface="Arial" pitchFamily="34" charset="0"/>
            </a:rPr>
            <a:t>D</a:t>
          </a:r>
          <a:r>
            <a:rPr lang="ru-RU" sz="1800">
              <a:latin typeface="Arial" pitchFamily="34" charset="0"/>
              <a:cs typeface="Arial" pitchFamily="34" charset="0"/>
            </a:rPr>
            <a:t>х</a:t>
          </a:r>
          <a:r>
            <a:rPr lang="en-US" sz="1800">
              <a:latin typeface="Arial" pitchFamily="34" charset="0"/>
              <a:cs typeface="Arial" pitchFamily="34" charset="0"/>
            </a:rPr>
            <a:t>  -</a:t>
          </a:r>
          <a:r>
            <a:rPr lang="ru-RU" sz="1800">
              <a:latin typeface="Arial" pitchFamily="34" charset="0"/>
              <a:cs typeface="Arial" pitchFamily="34" charset="0"/>
            </a:rPr>
            <a:t> базисный</a:t>
          </a:r>
          <a:r>
            <a:rPr lang="en-US" sz="1800">
              <a:latin typeface="Arial" pitchFamily="34" charset="0"/>
              <a:cs typeface="Arial" pitchFamily="34" charset="0"/>
            </a:rPr>
            <a:t> </a:t>
          </a:r>
          <a:r>
            <a:rPr lang="ru-RU" sz="1800">
              <a:latin typeface="Arial" pitchFamily="34" charset="0"/>
              <a:cs typeface="Arial" pitchFamily="34" charset="0"/>
            </a:rPr>
            <a:t>дефлятор отечественного выпуска</a:t>
          </a:r>
        </a:p>
        <a:p>
          <a:r>
            <a:rPr lang="en-US" sz="1800">
              <a:latin typeface="Arial" pitchFamily="34" charset="0"/>
              <a:cs typeface="Arial" pitchFamily="34" charset="0"/>
            </a:rPr>
            <a:t>IPC -</a:t>
          </a:r>
          <a:r>
            <a:rPr lang="ru-RU" sz="1800">
              <a:latin typeface="Arial" pitchFamily="34" charset="0"/>
              <a:cs typeface="Arial" pitchFamily="34" charset="0"/>
            </a:rPr>
            <a:t> базисный индекс</a:t>
          </a:r>
          <a:r>
            <a:rPr lang="ru-RU" sz="1800" baseline="0">
              <a:latin typeface="Arial" pitchFamily="34" charset="0"/>
              <a:cs typeface="Arial" pitchFamily="34" charset="0"/>
            </a:rPr>
            <a:t> потребительских цен</a:t>
          </a:r>
          <a:endParaRPr lang="ru-RU" sz="1800">
            <a:latin typeface="Arial" pitchFamily="34" charset="0"/>
            <a:cs typeface="Arial" pitchFamily="34" charset="0"/>
          </a:endParaRPr>
        </a:p>
        <a:p>
          <a:r>
            <a:rPr lang="en-US" sz="1800">
              <a:latin typeface="Arial" pitchFamily="34" charset="0"/>
              <a:cs typeface="Arial" pitchFamily="34" charset="0"/>
            </a:rPr>
            <a:t>Dm   -</a:t>
          </a:r>
          <a:r>
            <a:rPr lang="ru-RU" sz="1800">
              <a:latin typeface="Arial" pitchFamily="34" charset="0"/>
              <a:cs typeface="Arial" pitchFamily="34" charset="0"/>
            </a:rPr>
            <a:t> базисный дефлятор  импорта</a:t>
          </a:r>
        </a:p>
      </xdr:txBody>
    </xdr:sp>
    <xdr:clientData/>
  </xdr:oneCellAnchor>
  <xdr:oneCellAnchor>
    <xdr:from>
      <xdr:col>174</xdr:col>
      <xdr:colOff>136073</xdr:colOff>
      <xdr:row>79</xdr:row>
      <xdr:rowOff>120198</xdr:rowOff>
    </xdr:from>
    <xdr:ext cx="571500" cy="381000"/>
    <xdr:sp macro="" textlink="">
      <xdr:nvSpPr>
        <xdr:cNvPr id="55" name="TextBox 54">
          <a:extLst>
            <a:ext uri="{FF2B5EF4-FFF2-40B4-BE49-F238E27FC236}">
              <a16:creationId xmlns:a16="http://schemas.microsoft.com/office/drawing/2014/main" id="{00000000-0008-0000-0800-000037000000}"/>
            </a:ext>
          </a:extLst>
        </xdr:cNvPr>
        <xdr:cNvSpPr txBox="1"/>
      </xdr:nvSpPr>
      <xdr:spPr>
        <a:xfrm>
          <a:off x="108927448" y="16693698"/>
          <a:ext cx="571500" cy="3810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en-US" sz="2000">
              <a:latin typeface="Arial" pitchFamily="34" charset="0"/>
              <a:cs typeface="Arial" pitchFamily="34" charset="0"/>
            </a:rPr>
            <a:t>Dx</a:t>
          </a:r>
          <a:endParaRPr lang="ru-RU" sz="2000">
            <a:latin typeface="Arial" pitchFamily="34" charset="0"/>
            <a:cs typeface="Arial" pitchFamily="34" charset="0"/>
          </a:endParaRPr>
        </a:p>
      </xdr:txBody>
    </xdr:sp>
    <xdr:clientData/>
  </xdr:oneCellAnchor>
  <xdr:oneCellAnchor>
    <xdr:from>
      <xdr:col>175</xdr:col>
      <xdr:colOff>185967</xdr:colOff>
      <xdr:row>90</xdr:row>
      <xdr:rowOff>24947</xdr:rowOff>
    </xdr:from>
    <xdr:ext cx="615818" cy="493861"/>
    <xdr:sp macro="" textlink="">
      <xdr:nvSpPr>
        <xdr:cNvPr id="56" name="TextBox 55">
          <a:extLst>
            <a:ext uri="{FF2B5EF4-FFF2-40B4-BE49-F238E27FC236}">
              <a16:creationId xmlns:a16="http://schemas.microsoft.com/office/drawing/2014/main" id="{00000000-0008-0000-0800-000038000000}"/>
            </a:ext>
          </a:extLst>
        </xdr:cNvPr>
        <xdr:cNvSpPr txBox="1"/>
      </xdr:nvSpPr>
      <xdr:spPr>
        <a:xfrm>
          <a:off x="109580592" y="19424197"/>
          <a:ext cx="615818" cy="49386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en-US" sz="2000">
              <a:latin typeface="Arial" pitchFamily="34" charset="0"/>
              <a:cs typeface="Arial" pitchFamily="34" charset="0"/>
            </a:rPr>
            <a:t>Dm</a:t>
          </a:r>
          <a:endParaRPr lang="ru-RU" sz="2000">
            <a:latin typeface="Arial" pitchFamily="34" charset="0"/>
            <a:cs typeface="Arial" pitchFamily="34" charset="0"/>
          </a:endParaRPr>
        </a:p>
      </xdr:txBody>
    </xdr:sp>
    <xdr:clientData/>
  </xdr:oneCellAnchor>
  <xdr:twoCellAnchor>
    <xdr:from>
      <xdr:col>142</xdr:col>
      <xdr:colOff>95250</xdr:colOff>
      <xdr:row>64</xdr:row>
      <xdr:rowOff>0</xdr:rowOff>
    </xdr:from>
    <xdr:to>
      <xdr:col>157</xdr:col>
      <xdr:colOff>571500</xdr:colOff>
      <xdr:row>103</xdr:row>
      <xdr:rowOff>13607</xdr:rowOff>
    </xdr:to>
    <xdr:graphicFrame macro="">
      <xdr:nvGraphicFramePr>
        <xdr:cNvPr id="58" name="Диаграмма 57">
          <a:extLst>
            <a:ext uri="{FF2B5EF4-FFF2-40B4-BE49-F238E27FC236}">
              <a16:creationId xmlns:a16="http://schemas.microsoft.com/office/drawing/2014/main" id="{00000000-0008-0000-0800-00003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142</xdr:col>
      <xdr:colOff>95250</xdr:colOff>
      <xdr:row>119</xdr:row>
      <xdr:rowOff>0</xdr:rowOff>
    </xdr:from>
    <xdr:to>
      <xdr:col>156</xdr:col>
      <xdr:colOff>587375</xdr:colOff>
      <xdr:row>158</xdr:row>
      <xdr:rowOff>13607</xdr:rowOff>
    </xdr:to>
    <xdr:graphicFrame macro="">
      <xdr:nvGraphicFramePr>
        <xdr:cNvPr id="44" name="Диаграмма 43">
          <a:extLst>
            <a:ext uri="{FF2B5EF4-FFF2-40B4-BE49-F238E27FC236}">
              <a16:creationId xmlns:a16="http://schemas.microsoft.com/office/drawing/2014/main" id="{00000000-0008-0000-0800-00002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58</xdr:col>
      <xdr:colOff>63499</xdr:colOff>
      <xdr:row>63</xdr:row>
      <xdr:rowOff>45356</xdr:rowOff>
    </xdr:from>
    <xdr:to>
      <xdr:col>71</xdr:col>
      <xdr:colOff>551089</xdr:colOff>
      <xdr:row>101</xdr:row>
      <xdr:rowOff>22678</xdr:rowOff>
    </xdr:to>
    <xdr:graphicFrame macro="">
      <xdr:nvGraphicFramePr>
        <xdr:cNvPr id="59" name="Chart 11">
          <a:extLst>
            <a:ext uri="{FF2B5EF4-FFF2-40B4-BE49-F238E27FC236}">
              <a16:creationId xmlns:a16="http://schemas.microsoft.com/office/drawing/2014/main" id="{00000000-0008-0000-0800-00003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76</xdr:col>
      <xdr:colOff>95250</xdr:colOff>
      <xdr:row>63</xdr:row>
      <xdr:rowOff>0</xdr:rowOff>
    </xdr:from>
    <xdr:to>
      <xdr:col>90</xdr:col>
      <xdr:colOff>508000</xdr:colOff>
      <xdr:row>100</xdr:row>
      <xdr:rowOff>244022</xdr:rowOff>
    </xdr:to>
    <xdr:graphicFrame macro="">
      <xdr:nvGraphicFramePr>
        <xdr:cNvPr id="62" name="Chart 11">
          <a:extLst>
            <a:ext uri="{FF2B5EF4-FFF2-40B4-BE49-F238E27FC236}">
              <a16:creationId xmlns:a16="http://schemas.microsoft.com/office/drawing/2014/main" id="{00000000-0008-0000-0800-00003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159</xdr:col>
      <xdr:colOff>85610</xdr:colOff>
      <xdr:row>23</xdr:row>
      <xdr:rowOff>5103</xdr:rowOff>
    </xdr:from>
    <xdr:to>
      <xdr:col>171</xdr:col>
      <xdr:colOff>587375</xdr:colOff>
      <xdr:row>62</xdr:row>
      <xdr:rowOff>0</xdr:rowOff>
    </xdr:to>
    <xdr:graphicFrame macro="">
      <xdr:nvGraphicFramePr>
        <xdr:cNvPr id="61" name="Диаграмма 60">
          <a:extLst>
            <a:ext uri="{FF2B5EF4-FFF2-40B4-BE49-F238E27FC236}">
              <a16:creationId xmlns:a16="http://schemas.microsoft.com/office/drawing/2014/main" id="{00000000-0008-0000-0800-00003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oneCellAnchor>
    <xdr:from>
      <xdr:col>162</xdr:col>
      <xdr:colOff>271576</xdr:colOff>
      <xdr:row>42</xdr:row>
      <xdr:rowOff>171451</xdr:rowOff>
    </xdr:from>
    <xdr:ext cx="560727" cy="452210"/>
    <xdr:sp macro="" textlink="">
      <xdr:nvSpPr>
        <xdr:cNvPr id="63" name="TextBox 62">
          <a:extLst>
            <a:ext uri="{FF2B5EF4-FFF2-40B4-BE49-F238E27FC236}">
              <a16:creationId xmlns:a16="http://schemas.microsoft.com/office/drawing/2014/main" id="{00000000-0008-0000-0800-00003F000000}"/>
            </a:ext>
          </a:extLst>
        </xdr:cNvPr>
        <xdr:cNvSpPr txBox="1"/>
      </xdr:nvSpPr>
      <xdr:spPr>
        <a:xfrm>
          <a:off x="101823951" y="8553451"/>
          <a:ext cx="560727" cy="4522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en-US" sz="2000">
              <a:latin typeface="Arial" pitchFamily="34" charset="0"/>
              <a:cs typeface="Arial" pitchFamily="34" charset="0"/>
            </a:rPr>
            <a:t>Dn</a:t>
          </a:r>
          <a:endParaRPr lang="ru-RU" sz="2000">
            <a:latin typeface="Arial" pitchFamily="34" charset="0"/>
            <a:cs typeface="Arial" pitchFamily="34" charset="0"/>
          </a:endParaRPr>
        </a:p>
      </xdr:txBody>
    </xdr:sp>
    <xdr:clientData/>
  </xdr:oneCellAnchor>
</xdr:wsDr>
</file>

<file path=xl/drawings/drawing164.xml><?xml version="1.0" encoding="utf-8"?>
<c:userShapes xmlns:c="http://schemas.openxmlformats.org/drawingml/2006/chart">
  <cdr:relSizeAnchor xmlns:cdr="http://schemas.openxmlformats.org/drawingml/2006/chartDrawing">
    <cdr:from>
      <cdr:x>0.65645</cdr:x>
      <cdr:y>0.84912</cdr:y>
    </cdr:from>
    <cdr:to>
      <cdr:x>0.84627</cdr:x>
      <cdr:y>0.9057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162299" y="5145882"/>
          <a:ext cx="914400" cy="34289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ru-RU"/>
        </a:p>
      </cdr:txBody>
    </cdr:sp>
  </cdr:relSizeAnchor>
  <cdr:relSizeAnchor xmlns:cdr="http://schemas.openxmlformats.org/drawingml/2006/chartDrawing">
    <cdr:from>
      <cdr:x>0.61104</cdr:x>
      <cdr:y>0.89795</cdr:y>
    </cdr:from>
    <cdr:to>
      <cdr:x>0.95308</cdr:x>
      <cdr:y>0.94471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4461935" y="6698641"/>
          <a:ext cx="2497667" cy="34882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400">
              <a:latin typeface="Arial" pitchFamily="34" charset="0"/>
              <a:cs typeface="Arial" pitchFamily="34" charset="0"/>
            </a:rPr>
            <a:t>фондовооружённость</a:t>
          </a:r>
          <a:r>
            <a:rPr lang="en-US" sz="1400">
              <a:latin typeface="Arial" pitchFamily="34" charset="0"/>
              <a:cs typeface="Arial" pitchFamily="34" charset="0"/>
            </a:rPr>
            <a:t> </a:t>
          </a:r>
          <a:r>
            <a:rPr lang="en-US" sz="1400" b="1">
              <a:latin typeface="Arial" pitchFamily="34" charset="0"/>
              <a:cs typeface="Arial" pitchFamily="34" charset="0"/>
            </a:rPr>
            <a:t>FS / L</a:t>
          </a:r>
          <a:endParaRPr lang="ru-RU" sz="14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0.32046</cdr:x>
      <cdr:y>0.84226</cdr:y>
    </cdr:from>
    <cdr:to>
      <cdr:x>0.389</cdr:x>
      <cdr:y>0.8771</cdr:y>
    </cdr:to>
    <cdr:sp macro="" textlink="">
      <cdr:nvSpPr>
        <cdr:cNvPr id="4" name="TextBox 3"/>
        <cdr:cNvSpPr txBox="1"/>
      </cdr:nvSpPr>
      <cdr:spPr>
        <a:xfrm xmlns:a="http://schemas.openxmlformats.org/drawingml/2006/main">
          <a:off x="2316744" y="5956737"/>
          <a:ext cx="495513" cy="2464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100"/>
            <a:t>1998</a:t>
          </a:r>
        </a:p>
      </cdr:txBody>
    </cdr:sp>
  </cdr:relSizeAnchor>
  <cdr:relSizeAnchor xmlns:cdr="http://schemas.openxmlformats.org/drawingml/2006/chartDrawing">
    <cdr:from>
      <cdr:x>0.17786</cdr:x>
      <cdr:y>0.78555</cdr:y>
    </cdr:from>
    <cdr:to>
      <cdr:x>0.25231</cdr:x>
      <cdr:y>0.82492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1285839" y="5555631"/>
          <a:ext cx="538199" cy="27843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100"/>
            <a:t>2000</a:t>
          </a:r>
        </a:p>
      </cdr:txBody>
    </cdr:sp>
  </cdr:relSizeAnchor>
  <cdr:relSizeAnchor xmlns:cdr="http://schemas.openxmlformats.org/drawingml/2006/chartDrawing">
    <cdr:from>
      <cdr:x>0.15719</cdr:x>
      <cdr:y>0.72495</cdr:y>
    </cdr:from>
    <cdr:to>
      <cdr:x>0.34701</cdr:x>
      <cdr:y>0.87583</cdr:y>
    </cdr:to>
    <cdr:sp macro="" textlink="">
      <cdr:nvSpPr>
        <cdr:cNvPr id="6" name="TextBox 5"/>
        <cdr:cNvSpPr txBox="1"/>
      </cdr:nvSpPr>
      <cdr:spPr>
        <a:xfrm xmlns:a="http://schemas.openxmlformats.org/drawingml/2006/main">
          <a:off x="757236" y="43934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ru-RU"/>
        </a:p>
      </cdr:txBody>
    </cdr:sp>
  </cdr:relSizeAnchor>
  <cdr:relSizeAnchor xmlns:cdr="http://schemas.openxmlformats.org/drawingml/2006/chartDrawing">
    <cdr:from>
      <cdr:x>0.20111</cdr:x>
      <cdr:y>0.59493</cdr:y>
    </cdr:from>
    <cdr:to>
      <cdr:x>0.26219</cdr:x>
      <cdr:y>0.62795</cdr:y>
    </cdr:to>
    <cdr:sp macro="" textlink="">
      <cdr:nvSpPr>
        <cdr:cNvPr id="7" name="TextBox 6"/>
        <cdr:cNvSpPr txBox="1"/>
      </cdr:nvSpPr>
      <cdr:spPr>
        <a:xfrm xmlns:a="http://schemas.openxmlformats.org/drawingml/2006/main">
          <a:off x="1453909" y="4207534"/>
          <a:ext cx="441567" cy="23349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100"/>
            <a:t>2004</a:t>
          </a:r>
        </a:p>
      </cdr:txBody>
    </cdr:sp>
  </cdr:relSizeAnchor>
  <cdr:relSizeAnchor xmlns:cdr="http://schemas.openxmlformats.org/drawingml/2006/chartDrawing">
    <cdr:from>
      <cdr:x>0.21557</cdr:x>
      <cdr:y>0.47261</cdr:y>
    </cdr:from>
    <cdr:to>
      <cdr:x>0.27866</cdr:x>
      <cdr:y>0.5101</cdr:y>
    </cdr:to>
    <cdr:sp macro="" textlink="">
      <cdr:nvSpPr>
        <cdr:cNvPr id="8" name="TextBox 7"/>
        <cdr:cNvSpPr txBox="1"/>
      </cdr:nvSpPr>
      <cdr:spPr>
        <a:xfrm xmlns:a="http://schemas.openxmlformats.org/drawingml/2006/main">
          <a:off x="1558455" y="3342433"/>
          <a:ext cx="456084" cy="2651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100"/>
            <a:t>2006</a:t>
          </a:r>
        </a:p>
      </cdr:txBody>
    </cdr:sp>
  </cdr:relSizeAnchor>
  <cdr:relSizeAnchor xmlns:cdr="http://schemas.openxmlformats.org/drawingml/2006/chartDrawing">
    <cdr:from>
      <cdr:x>0.47108</cdr:x>
      <cdr:y>0.28487</cdr:y>
    </cdr:from>
    <cdr:to>
      <cdr:x>0.6609</cdr:x>
      <cdr:y>0.43576</cdr:y>
    </cdr:to>
    <cdr:sp macro="" textlink="">
      <cdr:nvSpPr>
        <cdr:cNvPr id="9" name="TextBox 8"/>
        <cdr:cNvSpPr txBox="1"/>
      </cdr:nvSpPr>
      <cdr:spPr>
        <a:xfrm xmlns:a="http://schemas.openxmlformats.org/drawingml/2006/main">
          <a:off x="2269331" y="17264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ru-RU"/>
        </a:p>
      </cdr:txBody>
    </cdr:sp>
  </cdr:relSizeAnchor>
  <cdr:relSizeAnchor xmlns:cdr="http://schemas.openxmlformats.org/drawingml/2006/chartDrawing">
    <cdr:from>
      <cdr:x>0.32077</cdr:x>
      <cdr:y>0.43546</cdr:y>
    </cdr:from>
    <cdr:to>
      <cdr:x>0.41717</cdr:x>
      <cdr:y>0.48654</cdr:y>
    </cdr:to>
    <cdr:sp macro="" textlink="">
      <cdr:nvSpPr>
        <cdr:cNvPr id="10" name="TextBox 9"/>
        <cdr:cNvSpPr txBox="1"/>
      </cdr:nvSpPr>
      <cdr:spPr>
        <a:xfrm xmlns:a="http://schemas.openxmlformats.org/drawingml/2006/main">
          <a:off x="2318985" y="3079713"/>
          <a:ext cx="696922" cy="36125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100"/>
            <a:t>20</a:t>
          </a:r>
          <a:r>
            <a:rPr lang="en-US" sz="1100"/>
            <a:t>09</a:t>
          </a:r>
          <a:endParaRPr lang="ru-RU" sz="1100"/>
        </a:p>
      </cdr:txBody>
    </cdr:sp>
  </cdr:relSizeAnchor>
  <cdr:relSizeAnchor xmlns:cdr="http://schemas.openxmlformats.org/drawingml/2006/chartDrawing">
    <cdr:from>
      <cdr:x>0.39062</cdr:x>
      <cdr:y>0.25857</cdr:y>
    </cdr:from>
    <cdr:to>
      <cdr:x>0.47467</cdr:x>
      <cdr:y>0.30202</cdr:y>
    </cdr:to>
    <cdr:sp macro="" textlink="">
      <cdr:nvSpPr>
        <cdr:cNvPr id="11" name="TextBox 10"/>
        <cdr:cNvSpPr txBox="1"/>
      </cdr:nvSpPr>
      <cdr:spPr>
        <a:xfrm xmlns:a="http://schemas.openxmlformats.org/drawingml/2006/main">
          <a:off x="2852372" y="1928950"/>
          <a:ext cx="613753" cy="3240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/>
            <a:t>2012</a:t>
          </a:r>
        </a:p>
        <a:p xmlns:a="http://schemas.openxmlformats.org/drawingml/2006/main">
          <a:endParaRPr lang="ru-RU" sz="1100"/>
        </a:p>
      </cdr:txBody>
    </cdr:sp>
  </cdr:relSizeAnchor>
  <cdr:relSizeAnchor xmlns:cdr="http://schemas.openxmlformats.org/drawingml/2006/chartDrawing">
    <cdr:from>
      <cdr:x>0.48095</cdr:x>
      <cdr:y>0.2401</cdr:y>
    </cdr:from>
    <cdr:to>
      <cdr:x>0.55306</cdr:x>
      <cdr:y>0.28187</cdr:y>
    </cdr:to>
    <cdr:sp macro="" textlink="">
      <cdr:nvSpPr>
        <cdr:cNvPr id="12" name="TextBox 11"/>
        <cdr:cNvSpPr txBox="1"/>
      </cdr:nvSpPr>
      <cdr:spPr>
        <a:xfrm xmlns:a="http://schemas.openxmlformats.org/drawingml/2006/main">
          <a:off x="3511979" y="1791156"/>
          <a:ext cx="526623" cy="31160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/>
            <a:t>2013</a:t>
          </a:r>
          <a:endParaRPr lang="ru-RU" sz="1100"/>
        </a:p>
      </cdr:txBody>
    </cdr:sp>
  </cdr:relSizeAnchor>
  <cdr:relSizeAnchor xmlns:cdr="http://schemas.openxmlformats.org/drawingml/2006/chartDrawing">
    <cdr:from>
      <cdr:x>0.69754</cdr:x>
      <cdr:y>0.20506</cdr:y>
    </cdr:from>
    <cdr:to>
      <cdr:x>0.79606</cdr:x>
      <cdr:y>0.24827</cdr:y>
    </cdr:to>
    <cdr:sp macro="" textlink="">
      <cdr:nvSpPr>
        <cdr:cNvPr id="13" name="TextBox 12"/>
        <cdr:cNvSpPr txBox="1"/>
      </cdr:nvSpPr>
      <cdr:spPr>
        <a:xfrm xmlns:a="http://schemas.openxmlformats.org/drawingml/2006/main">
          <a:off x="5093587" y="1529762"/>
          <a:ext cx="719416" cy="32234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100"/>
            <a:t>ТРЕНД 2</a:t>
          </a:r>
        </a:p>
      </cdr:txBody>
    </cdr:sp>
  </cdr:relSizeAnchor>
  <cdr:relSizeAnchor xmlns:cdr="http://schemas.openxmlformats.org/drawingml/2006/chartDrawing">
    <cdr:from>
      <cdr:x>0.5641</cdr:x>
      <cdr:y>0.22785</cdr:y>
    </cdr:from>
    <cdr:to>
      <cdr:x>0.63656</cdr:x>
      <cdr:y>0.26772</cdr:y>
    </cdr:to>
    <cdr:sp macro="" textlink="">
      <cdr:nvSpPr>
        <cdr:cNvPr id="14" name="TextBox 13"/>
        <cdr:cNvSpPr txBox="1"/>
      </cdr:nvSpPr>
      <cdr:spPr>
        <a:xfrm xmlns:a="http://schemas.openxmlformats.org/drawingml/2006/main">
          <a:off x="4119172" y="1699726"/>
          <a:ext cx="529120" cy="29742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/>
            <a:t>2014</a:t>
          </a:r>
          <a:endParaRPr lang="ru-RU" sz="1100"/>
        </a:p>
      </cdr:txBody>
    </cdr:sp>
  </cdr:relSizeAnchor>
  <cdr:relSizeAnchor xmlns:cdr="http://schemas.openxmlformats.org/drawingml/2006/chartDrawing">
    <cdr:from>
      <cdr:x>0.57909</cdr:x>
      <cdr:y>0.33171</cdr:y>
    </cdr:from>
    <cdr:to>
      <cdr:x>0.6617</cdr:x>
      <cdr:y>0.37285</cdr:y>
    </cdr:to>
    <cdr:sp macro="" textlink="">
      <cdr:nvSpPr>
        <cdr:cNvPr id="15" name="TextBox 14"/>
        <cdr:cNvSpPr txBox="1"/>
      </cdr:nvSpPr>
      <cdr:spPr>
        <a:xfrm xmlns:a="http://schemas.openxmlformats.org/drawingml/2006/main">
          <a:off x="4219040" y="2514655"/>
          <a:ext cx="601863" cy="31187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200">
              <a:latin typeface="Arial" panose="020B0604020202020204" pitchFamily="34" charset="0"/>
              <a:cs typeface="Arial" panose="020B0604020202020204" pitchFamily="34" charset="0"/>
            </a:rPr>
            <a:t>2015</a:t>
          </a:r>
          <a:endParaRPr lang="ru-RU" sz="12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</c:userShapes>
</file>

<file path=xl/drawings/drawing165.xml><?xml version="1.0" encoding="utf-8"?>
<c:userShapes xmlns:c="http://schemas.openxmlformats.org/drawingml/2006/chart">
  <cdr:relSizeAnchor xmlns:cdr="http://schemas.openxmlformats.org/drawingml/2006/chartDrawing">
    <cdr:from>
      <cdr:x>0.61258</cdr:x>
      <cdr:y>0.19371</cdr:y>
    </cdr:from>
    <cdr:to>
      <cdr:x>0.94776</cdr:x>
      <cdr:y>0.24897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4415480" y="1525422"/>
          <a:ext cx="2415992" cy="4351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600"/>
            <a:t>Эк. активное население</a:t>
          </a:r>
        </a:p>
      </cdr:txBody>
    </cdr:sp>
  </cdr:relSizeAnchor>
  <cdr:relSizeAnchor xmlns:cdr="http://schemas.openxmlformats.org/drawingml/2006/chartDrawing">
    <cdr:from>
      <cdr:x>0.05537</cdr:x>
      <cdr:y>0.02492</cdr:y>
    </cdr:from>
    <cdr:to>
      <cdr:x>0.6079</cdr:x>
      <cdr:y>0.07713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367949" y="181898"/>
          <a:ext cx="3671709" cy="3811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600">
              <a:latin typeface="Arial" pitchFamily="34" charset="0"/>
              <a:cs typeface="Arial" pitchFamily="34" charset="0"/>
            </a:rPr>
            <a:t>LZW  - </a:t>
          </a:r>
          <a:r>
            <a:rPr lang="ru-RU" sz="1600">
              <a:latin typeface="Arial" pitchFamily="34" charset="0"/>
              <a:cs typeface="Arial" pitchFamily="34" charset="0"/>
            </a:rPr>
            <a:t>Численность занятых</a:t>
          </a:r>
          <a:r>
            <a:rPr lang="en-US" sz="1600">
              <a:latin typeface="Arial" pitchFamily="34" charset="0"/>
              <a:cs typeface="Arial" pitchFamily="34" charset="0"/>
            </a:rPr>
            <a:t> </a:t>
          </a:r>
          <a:r>
            <a:rPr lang="ru-RU" sz="1600">
              <a:latin typeface="Arial" pitchFamily="34" charset="0"/>
              <a:cs typeface="Arial" pitchFamily="34" charset="0"/>
            </a:rPr>
            <a:t>всего (млн чел)</a:t>
          </a:r>
        </a:p>
      </cdr:txBody>
    </cdr:sp>
  </cdr:relSizeAnchor>
  <cdr:relSizeAnchor xmlns:cdr="http://schemas.openxmlformats.org/drawingml/2006/chartDrawing">
    <cdr:from>
      <cdr:x>0.41966</cdr:x>
      <cdr:y>0.90731</cdr:y>
    </cdr:from>
    <cdr:to>
      <cdr:x>0.86419</cdr:x>
      <cdr:y>0.95653</cdr:y>
    </cdr:to>
    <cdr:sp macro="" textlink="">
      <cdr:nvSpPr>
        <cdr:cNvPr id="4" name="TextBox 3"/>
        <cdr:cNvSpPr txBox="1"/>
      </cdr:nvSpPr>
      <cdr:spPr>
        <a:xfrm xmlns:a="http://schemas.openxmlformats.org/drawingml/2006/main">
          <a:off x="2788735" y="6622751"/>
          <a:ext cx="2954024" cy="35927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600">
              <a:latin typeface="Arial" pitchFamily="34" charset="0"/>
              <a:cs typeface="Arial" pitchFamily="34" charset="0"/>
            </a:rPr>
            <a:t>ВВП ( млрд руб)</a:t>
          </a:r>
          <a:r>
            <a:rPr lang="en-US" sz="1600">
              <a:latin typeface="Arial" pitchFamily="34" charset="0"/>
              <a:cs typeface="Arial" pitchFamily="34" charset="0"/>
            </a:rPr>
            <a:t> </a:t>
          </a:r>
          <a:r>
            <a:rPr lang="ru-RU" sz="1600">
              <a:latin typeface="Arial" pitchFamily="34" charset="0"/>
              <a:cs typeface="Arial" pitchFamily="34" charset="0"/>
            </a:rPr>
            <a:t>в</a:t>
          </a:r>
          <a:r>
            <a:rPr lang="ru-RU" sz="1600" baseline="0">
              <a:latin typeface="Arial" pitchFamily="34" charset="0"/>
              <a:cs typeface="Arial" pitchFamily="34" charset="0"/>
            </a:rPr>
            <a:t> ц.1995г - </a:t>
          </a:r>
          <a:r>
            <a:rPr lang="en-US" sz="1600" baseline="0">
              <a:latin typeface="Arial" pitchFamily="34" charset="0"/>
              <a:cs typeface="Arial" pitchFamily="34" charset="0"/>
            </a:rPr>
            <a:t>WWPS</a:t>
          </a:r>
          <a:endParaRPr lang="ru-RU" sz="1600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0.10423</cdr:x>
      <cdr:y>0.83586</cdr:y>
    </cdr:from>
    <cdr:to>
      <cdr:x>0.1801</cdr:x>
      <cdr:y>0.87715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686000" y="6273689"/>
          <a:ext cx="499359" cy="30991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200"/>
            <a:t>1998</a:t>
          </a:r>
        </a:p>
      </cdr:txBody>
    </cdr:sp>
  </cdr:relSizeAnchor>
  <cdr:relSizeAnchor xmlns:cdr="http://schemas.openxmlformats.org/drawingml/2006/chartDrawing">
    <cdr:from>
      <cdr:x>0.21439</cdr:x>
      <cdr:y>0.68095</cdr:y>
    </cdr:from>
    <cdr:to>
      <cdr:x>0.30851</cdr:x>
      <cdr:y>0.71963</cdr:y>
    </cdr:to>
    <cdr:sp macro="" textlink="">
      <cdr:nvSpPr>
        <cdr:cNvPr id="30102533" name="TextBox 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545357" y="5362321"/>
          <a:ext cx="678421" cy="30459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91440" tIns="45720" rIns="91440" bIns="45720" anchor="t" upright="1"/>
        <a:lstStyle xmlns:a="http://schemas.openxmlformats.org/drawingml/2006/main"/>
        <a:p xmlns:a="http://schemas.openxmlformats.org/drawingml/2006/main">
          <a:pPr algn="l" rtl="1">
            <a:defRPr sz="1000"/>
          </a:pPr>
          <a:r>
            <a:rPr lang="ru-RU" sz="1200" b="0" i="0" strike="noStrike">
              <a:solidFill>
                <a:srgbClr val="000000"/>
              </a:solidFill>
              <a:latin typeface="Calibri"/>
            </a:rPr>
            <a:t>199</a:t>
          </a:r>
          <a:r>
            <a:rPr lang="en-US" sz="1200" b="0" i="0" strike="noStrike">
              <a:solidFill>
                <a:srgbClr val="000000"/>
              </a:solidFill>
              <a:latin typeface="Calibri"/>
            </a:rPr>
            <a:t>9</a:t>
          </a:r>
          <a:endParaRPr lang="ru-RU" sz="1200" b="0" i="0" strike="noStrike">
            <a:solidFill>
              <a:srgbClr val="000000"/>
            </a:solidFill>
            <a:latin typeface="Calibri"/>
          </a:endParaRPr>
        </a:p>
      </cdr:txBody>
    </cdr:sp>
  </cdr:relSizeAnchor>
  <cdr:relSizeAnchor xmlns:cdr="http://schemas.openxmlformats.org/drawingml/2006/chartDrawing">
    <cdr:from>
      <cdr:x>0.18456</cdr:x>
      <cdr:y>0.53167</cdr:y>
    </cdr:from>
    <cdr:to>
      <cdr:x>0.32236</cdr:x>
      <cdr:y>0.67124</cdr:y>
    </cdr:to>
    <cdr:sp macro="" textlink="">
      <cdr:nvSpPr>
        <cdr:cNvPr id="7" name="TextBox 6"/>
        <cdr:cNvSpPr txBox="1"/>
      </cdr:nvSpPr>
      <cdr:spPr>
        <a:xfrm xmlns:a="http://schemas.openxmlformats.org/drawingml/2006/main">
          <a:off x="1224642" y="3483429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ru-RU"/>
        </a:p>
      </cdr:txBody>
    </cdr:sp>
  </cdr:relSizeAnchor>
  <cdr:relSizeAnchor xmlns:cdr="http://schemas.openxmlformats.org/drawingml/2006/chartDrawing">
    <cdr:from>
      <cdr:x>0.40179</cdr:x>
      <cdr:y>0.56858</cdr:y>
    </cdr:from>
    <cdr:to>
      <cdr:x>0.4932</cdr:x>
      <cdr:y>0.60825</cdr:y>
    </cdr:to>
    <cdr:sp macro="" textlink="">
      <cdr:nvSpPr>
        <cdr:cNvPr id="30102535" name="TextBox 7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896126" y="4477439"/>
          <a:ext cx="658888" cy="31239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91440" tIns="45720" rIns="91440" bIns="45720" anchor="t" upright="1"/>
        <a:lstStyle xmlns:a="http://schemas.openxmlformats.org/drawingml/2006/main"/>
        <a:p xmlns:a="http://schemas.openxmlformats.org/drawingml/2006/main">
          <a:pPr algn="l" rtl="1">
            <a:defRPr sz="1000"/>
          </a:pPr>
          <a:r>
            <a:rPr lang="ru-RU" sz="1200" b="0" i="0" strike="noStrike">
              <a:solidFill>
                <a:srgbClr val="000000"/>
              </a:solidFill>
              <a:latin typeface="Calibri"/>
            </a:rPr>
            <a:t>200</a:t>
          </a:r>
          <a:r>
            <a:rPr lang="en-US" sz="1200" b="0" i="0" strike="noStrike">
              <a:solidFill>
                <a:srgbClr val="000000"/>
              </a:solidFill>
              <a:latin typeface="Calibri"/>
            </a:rPr>
            <a:t>4</a:t>
          </a:r>
          <a:endParaRPr lang="ru-RU" sz="1200" b="0" i="0" strike="noStrike">
            <a:solidFill>
              <a:srgbClr val="000000"/>
            </a:solidFill>
            <a:latin typeface="Calibri"/>
          </a:endParaRPr>
        </a:p>
      </cdr:txBody>
    </cdr:sp>
  </cdr:relSizeAnchor>
  <cdr:relSizeAnchor xmlns:cdr="http://schemas.openxmlformats.org/drawingml/2006/chartDrawing">
    <cdr:from>
      <cdr:x>0.44004</cdr:x>
      <cdr:y>0.53734</cdr:y>
    </cdr:from>
    <cdr:to>
      <cdr:x>0.51107</cdr:x>
      <cdr:y>0.56607</cdr:y>
    </cdr:to>
    <cdr:sp macro="" textlink="">
      <cdr:nvSpPr>
        <cdr:cNvPr id="30102536" name="TextBox 8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171826" y="4231479"/>
          <a:ext cx="511968" cy="22621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91440" tIns="45720" rIns="91440" bIns="45720" anchor="t" upright="1"/>
        <a:lstStyle xmlns:a="http://schemas.openxmlformats.org/drawingml/2006/main"/>
        <a:p xmlns:a="http://schemas.openxmlformats.org/drawingml/2006/main">
          <a:pPr algn="l" rtl="1">
            <a:defRPr sz="1000"/>
          </a:pPr>
          <a:r>
            <a:rPr lang="ru-RU" sz="1200" b="0" i="0" strike="noStrike">
              <a:solidFill>
                <a:srgbClr val="000000"/>
              </a:solidFill>
              <a:latin typeface="Calibri"/>
            </a:rPr>
            <a:t>200</a:t>
          </a:r>
          <a:r>
            <a:rPr lang="en-US" sz="1200" b="0" i="0" strike="noStrike">
              <a:solidFill>
                <a:srgbClr val="000000"/>
              </a:solidFill>
              <a:latin typeface="Calibri"/>
            </a:rPr>
            <a:t>5</a:t>
          </a:r>
          <a:endParaRPr lang="ru-RU" sz="1200" b="0" i="0" strike="noStrike">
            <a:solidFill>
              <a:srgbClr val="000000"/>
            </a:solidFill>
            <a:latin typeface="Calibri"/>
          </a:endParaRPr>
        </a:p>
      </cdr:txBody>
    </cdr:sp>
  </cdr:relSizeAnchor>
  <cdr:relSizeAnchor xmlns:cdr="http://schemas.openxmlformats.org/drawingml/2006/chartDrawing">
    <cdr:from>
      <cdr:x>0.62191</cdr:x>
      <cdr:y>0.45535</cdr:y>
    </cdr:from>
    <cdr:to>
      <cdr:x>0.69983</cdr:x>
      <cdr:y>0.48874</cdr:y>
    </cdr:to>
    <cdr:sp macro="" textlink="">
      <cdr:nvSpPr>
        <cdr:cNvPr id="10" name="TextBox 9"/>
        <cdr:cNvSpPr txBox="1"/>
      </cdr:nvSpPr>
      <cdr:spPr>
        <a:xfrm xmlns:a="http://schemas.openxmlformats.org/drawingml/2006/main">
          <a:off x="4482772" y="3585770"/>
          <a:ext cx="561651" cy="2629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200"/>
            <a:t>20</a:t>
          </a:r>
          <a:r>
            <a:rPr lang="en-US" sz="1200"/>
            <a:t>11</a:t>
          </a:r>
          <a:endParaRPr lang="ru-RU" sz="1200"/>
        </a:p>
      </cdr:txBody>
    </cdr:sp>
  </cdr:relSizeAnchor>
  <cdr:relSizeAnchor xmlns:cdr="http://schemas.openxmlformats.org/drawingml/2006/chartDrawing">
    <cdr:from>
      <cdr:x>0.53281</cdr:x>
      <cdr:y>0.50734</cdr:y>
    </cdr:from>
    <cdr:to>
      <cdr:x>0.63136</cdr:x>
      <cdr:y>0.54874</cdr:y>
    </cdr:to>
    <cdr:sp macro="" textlink="">
      <cdr:nvSpPr>
        <cdr:cNvPr id="30102538" name="TextBox 10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840529" y="3995170"/>
          <a:ext cx="710353" cy="32601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91440" tIns="45720" rIns="91440" bIns="45720" anchor="t" upright="1"/>
        <a:lstStyle xmlns:a="http://schemas.openxmlformats.org/drawingml/2006/main"/>
        <a:p xmlns:a="http://schemas.openxmlformats.org/drawingml/2006/main">
          <a:pPr algn="l" rtl="1">
            <a:defRPr sz="1000"/>
          </a:pPr>
          <a:r>
            <a:rPr lang="ru-RU" sz="1200" b="0" i="0" strike="noStrike">
              <a:solidFill>
                <a:srgbClr val="000000"/>
              </a:solidFill>
              <a:latin typeface="Calibri"/>
            </a:rPr>
            <a:t>2009</a:t>
          </a:r>
        </a:p>
      </cdr:txBody>
    </cdr:sp>
  </cdr:relSizeAnchor>
  <cdr:relSizeAnchor xmlns:cdr="http://schemas.openxmlformats.org/drawingml/2006/chartDrawing">
    <cdr:from>
      <cdr:x>0.58163</cdr:x>
      <cdr:y>0.48487</cdr:y>
    </cdr:from>
    <cdr:to>
      <cdr:x>0.66836</cdr:x>
      <cdr:y>0.52295</cdr:y>
    </cdr:to>
    <cdr:sp macro="" textlink="">
      <cdr:nvSpPr>
        <cdr:cNvPr id="30102539" name="TextBox 1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192438" y="3818251"/>
          <a:ext cx="625154" cy="29987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91440" tIns="45720" rIns="91440" bIns="45720" anchor="t" upright="1"/>
        <a:lstStyle xmlns:a="http://schemas.openxmlformats.org/drawingml/2006/main"/>
        <a:p xmlns:a="http://schemas.openxmlformats.org/drawingml/2006/main">
          <a:pPr algn="l" rtl="1">
            <a:defRPr sz="1000"/>
          </a:pPr>
          <a:r>
            <a:rPr lang="ru-RU" sz="1200" b="0" i="0" strike="noStrike">
              <a:solidFill>
                <a:srgbClr val="000000"/>
              </a:solidFill>
              <a:latin typeface="Calibri"/>
            </a:rPr>
            <a:t>201</a:t>
          </a:r>
          <a:r>
            <a:rPr lang="en-US" sz="1200" b="0" i="0" strike="noStrike">
              <a:solidFill>
                <a:srgbClr val="000000"/>
              </a:solidFill>
              <a:latin typeface="Calibri"/>
            </a:rPr>
            <a:t>0</a:t>
          </a:r>
          <a:endParaRPr lang="ru-RU" sz="1200" b="0" i="0" strike="noStrike">
            <a:solidFill>
              <a:srgbClr val="000000"/>
            </a:solidFill>
            <a:latin typeface="Calibri"/>
          </a:endParaRPr>
        </a:p>
      </cdr:txBody>
    </cdr:sp>
  </cdr:relSizeAnchor>
  <cdr:relSizeAnchor xmlns:cdr="http://schemas.openxmlformats.org/drawingml/2006/chartDrawing">
    <cdr:from>
      <cdr:x>0.69443</cdr:x>
      <cdr:y>0.41986</cdr:y>
    </cdr:from>
    <cdr:to>
      <cdr:x>0.77764</cdr:x>
      <cdr:y>0.45181</cdr:y>
    </cdr:to>
    <cdr:sp macro="" textlink="">
      <cdr:nvSpPr>
        <cdr:cNvPr id="13" name="TextBox 12"/>
        <cdr:cNvSpPr txBox="1"/>
      </cdr:nvSpPr>
      <cdr:spPr>
        <a:xfrm xmlns:a="http://schemas.openxmlformats.org/drawingml/2006/main">
          <a:off x="5005487" y="3306331"/>
          <a:ext cx="599781" cy="2516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/>
            <a:t>2014</a:t>
          </a:r>
          <a:endParaRPr lang="ru-RU" sz="1100"/>
        </a:p>
      </cdr:txBody>
    </cdr:sp>
  </cdr:relSizeAnchor>
  <cdr:relSizeAnchor xmlns:cdr="http://schemas.openxmlformats.org/drawingml/2006/chartDrawing">
    <cdr:from>
      <cdr:x>0.65147</cdr:x>
      <cdr:y>0.37819</cdr:y>
    </cdr:from>
    <cdr:to>
      <cdr:x>0.76214</cdr:x>
      <cdr:y>0.41488</cdr:y>
    </cdr:to>
    <cdr:sp macro="" textlink="">
      <cdr:nvSpPr>
        <cdr:cNvPr id="14" name="TextBox 13"/>
        <cdr:cNvSpPr txBox="1"/>
      </cdr:nvSpPr>
      <cdr:spPr>
        <a:xfrm xmlns:a="http://schemas.openxmlformats.org/drawingml/2006/main">
          <a:off x="4695826" y="2978132"/>
          <a:ext cx="797718" cy="28894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/>
            <a:t>2015, 2016</a:t>
          </a:r>
          <a:endParaRPr lang="ru-RU" sz="1100"/>
        </a:p>
      </cdr:txBody>
    </cdr:sp>
  </cdr:relSizeAnchor>
</c:userShapes>
</file>

<file path=xl/drawings/drawing166.xml><?xml version="1.0" encoding="utf-8"?>
<c:userShapes xmlns:c="http://schemas.openxmlformats.org/drawingml/2006/chart">
  <cdr:relSizeAnchor xmlns:cdr="http://schemas.openxmlformats.org/drawingml/2006/chartDrawing">
    <cdr:from>
      <cdr:x>0.32259</cdr:x>
      <cdr:y>0.14347</cdr:y>
    </cdr:from>
    <cdr:to>
      <cdr:x>0.70943</cdr:x>
      <cdr:y>0.18557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2132457" y="1108952"/>
          <a:ext cx="2557147" cy="3254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400">
              <a:latin typeface="Arial" pitchFamily="34" charset="0"/>
              <a:cs typeface="Arial" pitchFamily="34" charset="0"/>
            </a:rPr>
            <a:t>ЛОКАЛЬНАЯ  РЕГРЕССИЯ</a:t>
          </a:r>
        </a:p>
      </cdr:txBody>
    </cdr:sp>
  </cdr:relSizeAnchor>
</c:userShapes>
</file>

<file path=xl/drawings/drawing167.xml><?xml version="1.0" encoding="utf-8"?>
<c:userShapes xmlns:c="http://schemas.openxmlformats.org/drawingml/2006/chart">
  <cdr:relSizeAnchor xmlns:cdr="http://schemas.openxmlformats.org/drawingml/2006/chartDrawing">
    <cdr:from>
      <cdr:x>0.18684</cdr:x>
      <cdr:y>0.26724</cdr:y>
    </cdr:from>
    <cdr:to>
      <cdr:x>0.32333</cdr:x>
      <cdr:y>0.32069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537857" y="1973035"/>
          <a:ext cx="911679" cy="3673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algn="l" rtl="1">
            <a:defRPr sz="1000"/>
          </a:pPr>
          <a:r>
            <a:rPr lang="ru-RU" sz="1600" b="0" i="0" strike="noStrike">
              <a:solidFill>
                <a:srgbClr val="000000"/>
              </a:solidFill>
              <a:latin typeface="Calibri"/>
            </a:rPr>
            <a:t>Тренд </a:t>
          </a:r>
        </a:p>
      </cdr:txBody>
    </cdr:sp>
  </cdr:relSizeAnchor>
  <cdr:relSizeAnchor xmlns:cdr="http://schemas.openxmlformats.org/drawingml/2006/chartDrawing">
    <cdr:from>
      <cdr:x>0.07045</cdr:x>
      <cdr:y>0.02685</cdr:y>
    </cdr:from>
    <cdr:to>
      <cdr:x>0.6089</cdr:x>
      <cdr:y>0.08005</cdr:y>
    </cdr:to>
    <cdr:sp macro="" textlink="">
      <cdr:nvSpPr>
        <cdr:cNvPr id="4" name="TextBox 3"/>
        <cdr:cNvSpPr txBox="1"/>
      </cdr:nvSpPr>
      <cdr:spPr>
        <a:xfrm xmlns:a="http://schemas.openxmlformats.org/drawingml/2006/main">
          <a:off x="476249" y="176892"/>
          <a:ext cx="3578679" cy="3673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600"/>
            <a:t>инвестиции в ОК (млрд</a:t>
          </a:r>
          <a:r>
            <a:rPr lang="ru-RU" sz="1600" baseline="0"/>
            <a:t> руб) в ц..1995г.</a:t>
          </a:r>
          <a:endParaRPr lang="ru-RU" sz="1600"/>
        </a:p>
      </cdr:txBody>
    </cdr:sp>
  </cdr:relSizeAnchor>
  <cdr:relSizeAnchor xmlns:cdr="http://schemas.openxmlformats.org/drawingml/2006/chartDrawing">
    <cdr:from>
      <cdr:x>0.1449</cdr:x>
      <cdr:y>0.72512</cdr:y>
    </cdr:from>
    <cdr:to>
      <cdr:x>0.21633</cdr:x>
      <cdr:y>0.76256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966107" y="5007429"/>
          <a:ext cx="476250" cy="2585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200"/>
            <a:t>1995</a:t>
          </a:r>
        </a:p>
      </cdr:txBody>
    </cdr:sp>
  </cdr:relSizeAnchor>
  <cdr:relSizeAnchor xmlns:cdr="http://schemas.openxmlformats.org/drawingml/2006/chartDrawing">
    <cdr:from>
      <cdr:x>0.12653</cdr:x>
      <cdr:y>0.84985</cdr:y>
    </cdr:from>
    <cdr:to>
      <cdr:x>0.19388</cdr:x>
      <cdr:y>0.89261</cdr:y>
    </cdr:to>
    <cdr:sp macro="" textlink="">
      <cdr:nvSpPr>
        <cdr:cNvPr id="6" name="TextBox 5"/>
        <cdr:cNvSpPr txBox="1"/>
      </cdr:nvSpPr>
      <cdr:spPr>
        <a:xfrm xmlns:a="http://schemas.openxmlformats.org/drawingml/2006/main">
          <a:off x="843644" y="5868762"/>
          <a:ext cx="449035" cy="29527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200"/>
            <a:t>1998</a:t>
          </a:r>
        </a:p>
      </cdr:txBody>
    </cdr:sp>
  </cdr:relSizeAnchor>
  <cdr:relSizeAnchor xmlns:cdr="http://schemas.openxmlformats.org/drawingml/2006/chartDrawing">
    <cdr:from>
      <cdr:x>0.25306</cdr:x>
      <cdr:y>0.80394</cdr:y>
    </cdr:from>
    <cdr:to>
      <cdr:x>0.32653</cdr:x>
      <cdr:y>0.84926</cdr:y>
    </cdr:to>
    <cdr:sp macro="" textlink="">
      <cdr:nvSpPr>
        <cdr:cNvPr id="7" name="TextBox 6"/>
        <cdr:cNvSpPr txBox="1"/>
      </cdr:nvSpPr>
      <cdr:spPr>
        <a:xfrm xmlns:a="http://schemas.openxmlformats.org/drawingml/2006/main">
          <a:off x="1687286" y="5551713"/>
          <a:ext cx="489857" cy="31296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200"/>
            <a:t>2000</a:t>
          </a:r>
        </a:p>
      </cdr:txBody>
    </cdr:sp>
  </cdr:relSizeAnchor>
  <cdr:relSizeAnchor xmlns:cdr="http://schemas.openxmlformats.org/drawingml/2006/chartDrawing">
    <cdr:from>
      <cdr:x>0.31837</cdr:x>
      <cdr:y>0.76453</cdr:y>
    </cdr:from>
    <cdr:to>
      <cdr:x>0.4</cdr:x>
      <cdr:y>0.80197</cdr:y>
    </cdr:to>
    <cdr:sp macro="" textlink="">
      <cdr:nvSpPr>
        <cdr:cNvPr id="8" name="TextBox 7"/>
        <cdr:cNvSpPr txBox="1"/>
      </cdr:nvSpPr>
      <cdr:spPr>
        <a:xfrm xmlns:a="http://schemas.openxmlformats.org/drawingml/2006/main">
          <a:off x="2122714" y="5279571"/>
          <a:ext cx="544286" cy="2585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200"/>
            <a:t>2002</a:t>
          </a:r>
        </a:p>
      </cdr:txBody>
    </cdr:sp>
  </cdr:relSizeAnchor>
  <cdr:relSizeAnchor xmlns:cdr="http://schemas.openxmlformats.org/drawingml/2006/chartDrawing">
    <cdr:from>
      <cdr:x>0.32449</cdr:x>
      <cdr:y>0.64631</cdr:y>
    </cdr:from>
    <cdr:to>
      <cdr:x>0.39796</cdr:x>
      <cdr:y>0.68965</cdr:y>
    </cdr:to>
    <cdr:sp macro="" textlink="">
      <cdr:nvSpPr>
        <cdr:cNvPr id="9" name="TextBox 8"/>
        <cdr:cNvSpPr txBox="1"/>
      </cdr:nvSpPr>
      <cdr:spPr>
        <a:xfrm xmlns:a="http://schemas.openxmlformats.org/drawingml/2006/main">
          <a:off x="2163536" y="4463142"/>
          <a:ext cx="489857" cy="29935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200"/>
            <a:t>2004</a:t>
          </a:r>
        </a:p>
      </cdr:txBody>
    </cdr:sp>
  </cdr:relSizeAnchor>
  <cdr:relSizeAnchor xmlns:cdr="http://schemas.openxmlformats.org/drawingml/2006/chartDrawing">
    <cdr:from>
      <cdr:x>0.42857</cdr:x>
      <cdr:y>0.54581</cdr:y>
    </cdr:from>
    <cdr:to>
      <cdr:x>0.5</cdr:x>
      <cdr:y>0.58916</cdr:y>
    </cdr:to>
    <cdr:sp macro="" textlink="">
      <cdr:nvSpPr>
        <cdr:cNvPr id="10" name="TextBox 9"/>
        <cdr:cNvSpPr txBox="1"/>
      </cdr:nvSpPr>
      <cdr:spPr>
        <a:xfrm xmlns:a="http://schemas.openxmlformats.org/drawingml/2006/main">
          <a:off x="2857500" y="3769178"/>
          <a:ext cx="476250" cy="29935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200"/>
            <a:t>2006</a:t>
          </a:r>
        </a:p>
      </cdr:txBody>
    </cdr:sp>
  </cdr:relSizeAnchor>
  <cdr:relSizeAnchor xmlns:cdr="http://schemas.openxmlformats.org/drawingml/2006/chartDrawing">
    <cdr:from>
      <cdr:x>0.4898</cdr:x>
      <cdr:y>0.42562</cdr:y>
    </cdr:from>
    <cdr:to>
      <cdr:x>0.56122</cdr:x>
      <cdr:y>0.46502</cdr:y>
    </cdr:to>
    <cdr:sp macro="" textlink="">
      <cdr:nvSpPr>
        <cdr:cNvPr id="11" name="TextBox 10"/>
        <cdr:cNvSpPr txBox="1"/>
      </cdr:nvSpPr>
      <cdr:spPr>
        <a:xfrm xmlns:a="http://schemas.openxmlformats.org/drawingml/2006/main">
          <a:off x="3265714" y="2939142"/>
          <a:ext cx="476250" cy="27214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200"/>
            <a:t>2007</a:t>
          </a:r>
        </a:p>
      </cdr:txBody>
    </cdr:sp>
  </cdr:relSizeAnchor>
  <cdr:relSizeAnchor xmlns:cdr="http://schemas.openxmlformats.org/drawingml/2006/chartDrawing">
    <cdr:from>
      <cdr:x>0.5551</cdr:x>
      <cdr:y>0.36256</cdr:y>
    </cdr:from>
    <cdr:to>
      <cdr:x>0.63673</cdr:x>
      <cdr:y>0.40591</cdr:y>
    </cdr:to>
    <cdr:sp macro="" textlink="">
      <cdr:nvSpPr>
        <cdr:cNvPr id="12" name="TextBox 11"/>
        <cdr:cNvSpPr txBox="1"/>
      </cdr:nvSpPr>
      <cdr:spPr>
        <a:xfrm xmlns:a="http://schemas.openxmlformats.org/drawingml/2006/main">
          <a:off x="3701143" y="2503714"/>
          <a:ext cx="544286" cy="29935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200"/>
            <a:t>2008</a:t>
          </a:r>
        </a:p>
      </cdr:txBody>
    </cdr:sp>
  </cdr:relSizeAnchor>
  <cdr:relSizeAnchor xmlns:cdr="http://schemas.openxmlformats.org/drawingml/2006/chartDrawing">
    <cdr:from>
      <cdr:x>0.62245</cdr:x>
      <cdr:y>0.41773</cdr:y>
    </cdr:from>
    <cdr:to>
      <cdr:x>0.69592</cdr:x>
      <cdr:y>0.45911</cdr:y>
    </cdr:to>
    <cdr:sp macro="" textlink="">
      <cdr:nvSpPr>
        <cdr:cNvPr id="13" name="TextBox 12"/>
        <cdr:cNvSpPr txBox="1"/>
      </cdr:nvSpPr>
      <cdr:spPr>
        <a:xfrm xmlns:a="http://schemas.openxmlformats.org/drawingml/2006/main">
          <a:off x="4150178" y="2884714"/>
          <a:ext cx="489857" cy="2857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200"/>
            <a:t>2011</a:t>
          </a:r>
        </a:p>
      </cdr:txBody>
    </cdr:sp>
  </cdr:relSizeAnchor>
</c:userShapes>
</file>

<file path=xl/drawings/drawing168.xml><?xml version="1.0" encoding="utf-8"?>
<c:userShapes xmlns:c="http://schemas.openxmlformats.org/drawingml/2006/chart">
  <cdr:relSizeAnchor xmlns:cdr="http://schemas.openxmlformats.org/drawingml/2006/chartDrawing">
    <cdr:from>
      <cdr:x>0.33785</cdr:x>
      <cdr:y>0.40985</cdr:y>
    </cdr:from>
    <cdr:to>
      <cdr:x>0.47968</cdr:x>
      <cdr:y>0.45813</cdr:y>
    </cdr:to>
    <cdr:sp macro="" textlink="">
      <cdr:nvSpPr>
        <cdr:cNvPr id="12289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431726" y="3210233"/>
          <a:ext cx="1020853" cy="37816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27432" rIns="36576" bIns="27432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ru-RU" sz="1400" b="0" i="0" strike="noStrike">
              <a:solidFill>
                <a:srgbClr val="000000"/>
              </a:solidFill>
              <a:latin typeface="Arial Cyr"/>
            </a:rPr>
            <a:t>Тренд 1</a:t>
          </a:r>
        </a:p>
      </cdr:txBody>
    </cdr:sp>
  </cdr:relSizeAnchor>
  <cdr:relSizeAnchor xmlns:cdr="http://schemas.openxmlformats.org/drawingml/2006/chartDrawing">
    <cdr:from>
      <cdr:x>0.76027</cdr:x>
      <cdr:y>0.56288</cdr:y>
    </cdr:from>
    <cdr:to>
      <cdr:x>0.89071</cdr:x>
      <cdr:y>0.60893</cdr:y>
    </cdr:to>
    <cdr:sp macro="" textlink="">
      <cdr:nvSpPr>
        <cdr:cNvPr id="12290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472238" y="4408898"/>
          <a:ext cx="938872" cy="36069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27432" rIns="36576" bIns="27432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ru-RU" sz="1600" b="0" i="0" strike="noStrike">
              <a:solidFill>
                <a:srgbClr val="000000"/>
              </a:solidFill>
              <a:latin typeface="Arial Cyr"/>
            </a:rPr>
            <a:t>Счёт </a:t>
          </a:r>
        </a:p>
      </cdr:txBody>
    </cdr:sp>
  </cdr:relSizeAnchor>
  <cdr:relSizeAnchor xmlns:cdr="http://schemas.openxmlformats.org/drawingml/2006/chartDrawing">
    <cdr:from>
      <cdr:x>0.40124</cdr:x>
      <cdr:y>0.65162</cdr:y>
    </cdr:from>
    <cdr:to>
      <cdr:x>0.7216</cdr:x>
      <cdr:y>0.69995</cdr:y>
    </cdr:to>
    <cdr:sp macro="" textlink="">
      <cdr:nvSpPr>
        <cdr:cNvPr id="12291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888000" y="5103958"/>
          <a:ext cx="2305863" cy="37855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22860" rIns="36576" bIns="22860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en-US" sz="1600" b="0" i="0" strike="noStrike">
              <a:solidFill>
                <a:srgbClr val="000000"/>
              </a:solidFill>
              <a:latin typeface="Arial Cyr"/>
            </a:rPr>
            <a:t>PWS = ^WWPS /  LZ </a:t>
          </a:r>
        </a:p>
      </cdr:txBody>
    </cdr:sp>
  </cdr:relSizeAnchor>
  <cdr:relSizeAnchor xmlns:cdr="http://schemas.openxmlformats.org/drawingml/2006/chartDrawing">
    <cdr:from>
      <cdr:x>0.11575</cdr:x>
      <cdr:y>0.10798</cdr:y>
    </cdr:from>
    <cdr:to>
      <cdr:x>0.97309</cdr:x>
      <cdr:y>0.17792</cdr:y>
    </cdr:to>
    <cdr:sp macro="" textlink="">
      <cdr:nvSpPr>
        <cdr:cNvPr id="12292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39833" y="600869"/>
          <a:ext cx="5060918" cy="45105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22860" rIns="36576" bIns="22860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ru-RU" sz="2000" b="0" i="0" strike="noStrike">
              <a:solidFill>
                <a:srgbClr val="000000"/>
              </a:solidFill>
              <a:latin typeface="+mn-lt"/>
            </a:rPr>
            <a:t>ПРОИЗВОДИТЕЛЬНОСТЬ ТРУДА ПО ВВП в ценах 1995г.</a:t>
          </a:r>
        </a:p>
      </cdr:txBody>
    </cdr:sp>
  </cdr:relSizeAnchor>
  <cdr:relSizeAnchor xmlns:cdr="http://schemas.openxmlformats.org/drawingml/2006/chartDrawing">
    <cdr:from>
      <cdr:x>0.29475</cdr:x>
      <cdr:y>0.85173</cdr:y>
    </cdr:from>
    <cdr:to>
      <cdr:x>0.43259</cdr:x>
      <cdr:y>0.88774</cdr:y>
    </cdr:to>
    <cdr:sp macro="" textlink="">
      <cdr:nvSpPr>
        <cdr:cNvPr id="12293" name="Text Box 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262840" y="6793058"/>
          <a:ext cx="1058210" cy="28719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ru-RU" sz="1400" b="0" i="0" strike="noStrike">
              <a:solidFill>
                <a:srgbClr val="000000"/>
              </a:solidFill>
              <a:latin typeface="Arial Cyr"/>
            </a:rPr>
            <a:t>ОТЧЁТ</a:t>
          </a:r>
        </a:p>
      </cdr:txBody>
    </cdr:sp>
  </cdr:relSizeAnchor>
  <cdr:relSizeAnchor xmlns:cdr="http://schemas.openxmlformats.org/drawingml/2006/chartDrawing">
    <cdr:from>
      <cdr:x>0.68223</cdr:x>
      <cdr:y>0.85173</cdr:y>
    </cdr:from>
    <cdr:to>
      <cdr:x>0.8295</cdr:x>
      <cdr:y>0.89384</cdr:y>
    </cdr:to>
    <cdr:sp macro="" textlink="">
      <cdr:nvSpPr>
        <cdr:cNvPr id="12294" name="Text Box 6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872078" y="5397468"/>
          <a:ext cx="879974" cy="27032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ru-RU" sz="1400" b="0" i="0" strike="noStrike">
              <a:solidFill>
                <a:srgbClr val="000000"/>
              </a:solidFill>
              <a:latin typeface="Arial Cyr"/>
            </a:rPr>
            <a:t>ПРОГНОЗ</a:t>
          </a:r>
        </a:p>
      </cdr:txBody>
    </cdr:sp>
  </cdr:relSizeAnchor>
  <cdr:relSizeAnchor xmlns:cdr="http://schemas.openxmlformats.org/drawingml/2006/chartDrawing">
    <cdr:from>
      <cdr:x>0.06673</cdr:x>
      <cdr:y>0.02669</cdr:y>
    </cdr:from>
    <cdr:to>
      <cdr:x>0.23216</cdr:x>
      <cdr:y>0.06626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482437" y="204076"/>
          <a:ext cx="1195972" cy="3025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600"/>
            <a:t>тыс руб / чел</a:t>
          </a:r>
        </a:p>
      </cdr:txBody>
    </cdr:sp>
  </cdr:relSizeAnchor>
  <cdr:relSizeAnchor xmlns:cdr="http://schemas.openxmlformats.org/drawingml/2006/chartDrawing">
    <cdr:from>
      <cdr:x>0.63303</cdr:x>
      <cdr:y>0.42816</cdr:y>
    </cdr:from>
    <cdr:to>
      <cdr:x>0.75951</cdr:x>
      <cdr:y>0.4702</cdr:y>
    </cdr:to>
    <cdr:sp macro="" textlink="">
      <cdr:nvSpPr>
        <cdr:cNvPr id="9" name="TextBox 8"/>
        <cdr:cNvSpPr txBox="1"/>
      </cdr:nvSpPr>
      <cdr:spPr>
        <a:xfrm xmlns:a="http://schemas.openxmlformats.org/drawingml/2006/main">
          <a:off x="4556390" y="3353634"/>
          <a:ext cx="910369" cy="32928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400">
              <a:latin typeface="Arial" pitchFamily="34" charset="0"/>
              <a:cs typeface="Arial" pitchFamily="34" charset="0"/>
            </a:rPr>
            <a:t>Тренд</a:t>
          </a:r>
          <a:r>
            <a:rPr lang="ru-RU" sz="1400" baseline="0">
              <a:latin typeface="Arial" pitchFamily="34" charset="0"/>
              <a:cs typeface="Arial" pitchFamily="34" charset="0"/>
            </a:rPr>
            <a:t> 2</a:t>
          </a:r>
          <a:endParaRPr lang="ru-RU" sz="1400">
            <a:latin typeface="Arial" pitchFamily="34" charset="0"/>
            <a:cs typeface="Arial" pitchFamily="34" charset="0"/>
          </a:endParaRPr>
        </a:p>
      </cdr:txBody>
    </cdr:sp>
  </cdr:relSizeAnchor>
</c:userShapes>
</file>

<file path=xl/drawings/drawing169.xml><?xml version="1.0" encoding="utf-8"?>
<c:userShapes xmlns:c="http://schemas.openxmlformats.org/drawingml/2006/chart">
  <cdr:relSizeAnchor xmlns:cdr="http://schemas.openxmlformats.org/drawingml/2006/chartDrawing">
    <cdr:from>
      <cdr:x>0.66449</cdr:x>
      <cdr:y>0.88347</cdr:y>
    </cdr:from>
    <cdr:to>
      <cdr:x>0.9582</cdr:x>
      <cdr:y>0.9271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055421" y="8254260"/>
          <a:ext cx="2676435" cy="4076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baseline="0">
              <a:latin typeface="Arial" pitchFamily="34" charset="0"/>
              <a:cs typeface="Arial" pitchFamily="34" charset="0"/>
            </a:rPr>
            <a:t>  </a:t>
          </a:r>
          <a:r>
            <a:rPr lang="ru-RU" sz="1800" baseline="0">
              <a:latin typeface="Arial" pitchFamily="34" charset="0"/>
              <a:cs typeface="Arial" pitchFamily="34" charset="0"/>
            </a:rPr>
            <a:t>Произв. ВВП  -  </a:t>
          </a:r>
          <a:r>
            <a:rPr lang="en-US" sz="1800" baseline="0">
              <a:latin typeface="Arial" pitchFamily="34" charset="0"/>
              <a:cs typeface="Arial" pitchFamily="34" charset="0"/>
            </a:rPr>
            <a:t>WWP</a:t>
          </a:r>
          <a:endParaRPr lang="ru-RU" sz="1800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0.68793</cdr:x>
      <cdr:y>0.13686</cdr:y>
    </cdr:from>
    <cdr:to>
      <cdr:x>0.74766</cdr:x>
      <cdr:y>0.18062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6268937" y="1278669"/>
          <a:ext cx="544308" cy="4088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>
              <a:latin typeface="Arial" pitchFamily="34" charset="0"/>
              <a:cs typeface="Arial" pitchFamily="34" charset="0"/>
            </a:rPr>
            <a:t>YD</a:t>
          </a:r>
          <a:endParaRPr lang="ru-RU" sz="1800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0.68192</cdr:x>
      <cdr:y>0.4795</cdr:y>
    </cdr:from>
    <cdr:to>
      <cdr:x>0.78647</cdr:x>
      <cdr:y>0.52471</cdr:y>
    </cdr:to>
    <cdr:sp macro="" textlink="">
      <cdr:nvSpPr>
        <cdr:cNvPr id="6" name="TextBox 5"/>
        <cdr:cNvSpPr txBox="1"/>
      </cdr:nvSpPr>
      <cdr:spPr>
        <a:xfrm xmlns:a="http://schemas.openxmlformats.org/drawingml/2006/main">
          <a:off x="6214243" y="4479943"/>
          <a:ext cx="952745" cy="42239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>
              <a:latin typeface="Arial" pitchFamily="34" charset="0"/>
              <a:cs typeface="Arial" pitchFamily="34" charset="0"/>
            </a:rPr>
            <a:t>YGm</a:t>
          </a:r>
          <a:endParaRPr lang="ru-RU" sz="1800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0.70285</cdr:x>
      <cdr:y>0.66899</cdr:y>
    </cdr:from>
    <cdr:to>
      <cdr:x>0.7596</cdr:x>
      <cdr:y>0.72296</cdr:y>
    </cdr:to>
    <cdr:sp macro="" textlink="">
      <cdr:nvSpPr>
        <cdr:cNvPr id="7" name="TextBox 6"/>
        <cdr:cNvSpPr txBox="1"/>
      </cdr:nvSpPr>
      <cdr:spPr>
        <a:xfrm xmlns:a="http://schemas.openxmlformats.org/drawingml/2006/main">
          <a:off x="6404954" y="6250372"/>
          <a:ext cx="517153" cy="50424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>
              <a:latin typeface="Arial" pitchFamily="34" charset="0"/>
              <a:cs typeface="Arial" pitchFamily="34" charset="0"/>
            </a:rPr>
            <a:t>IN</a:t>
          </a:r>
          <a:endParaRPr lang="ru-RU" sz="1800">
            <a:latin typeface="Arial" pitchFamily="34" charset="0"/>
            <a:cs typeface="Arial" pitchFamily="34" charset="0"/>
          </a:endParaRPr>
        </a:p>
      </cdr:txBody>
    </cdr:sp>
  </cdr:relSizeAnchor>
</c:userShapes>
</file>

<file path=xl/drawings/drawing170.xml><?xml version="1.0" encoding="utf-8"?>
<c:userShapes xmlns:c="http://schemas.openxmlformats.org/drawingml/2006/chart">
  <cdr:relSizeAnchor xmlns:cdr="http://schemas.openxmlformats.org/drawingml/2006/chartDrawing">
    <cdr:from>
      <cdr:x>0.49624</cdr:x>
      <cdr:y>0.87369</cdr:y>
    </cdr:from>
    <cdr:to>
      <cdr:x>0.95958</cdr:x>
      <cdr:y>0.92895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4454641" y="7027522"/>
          <a:ext cx="4159249" cy="444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baseline="0">
              <a:latin typeface="Arial" pitchFamily="34" charset="0"/>
              <a:cs typeface="Arial" pitchFamily="34" charset="0"/>
            </a:rPr>
            <a:t>  WWP</a:t>
          </a:r>
          <a:r>
            <a:rPr lang="ru-RU" sz="1800" baseline="0">
              <a:latin typeface="Arial" pitchFamily="34" charset="0"/>
              <a:cs typeface="Arial" pitchFamily="34" charset="0"/>
            </a:rPr>
            <a:t> в рыночных ценах</a:t>
          </a:r>
          <a:r>
            <a:rPr lang="en-US" sz="1800" baseline="0">
              <a:latin typeface="Arial" pitchFamily="34" charset="0"/>
              <a:cs typeface="Arial" pitchFamily="34" charset="0"/>
            </a:rPr>
            <a:t> (</a:t>
          </a:r>
          <a:r>
            <a:rPr lang="ru-RU" sz="1800" baseline="0">
              <a:latin typeface="Arial" pitchFamily="34" charset="0"/>
              <a:cs typeface="Arial" pitchFamily="34" charset="0"/>
            </a:rPr>
            <a:t>млрд руб)</a:t>
          </a:r>
          <a:endParaRPr lang="ru-RU" sz="1800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0.19207</cdr:x>
      <cdr:y>0.03907</cdr:y>
    </cdr:from>
    <cdr:to>
      <cdr:x>0.87646</cdr:x>
      <cdr:y>0.20783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1724140" y="312397"/>
          <a:ext cx="6143625" cy="13493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>
              <a:latin typeface="Arial" pitchFamily="34" charset="0"/>
              <a:cs typeface="Arial" pitchFamily="34" charset="0"/>
            </a:rPr>
            <a:t>         </a:t>
          </a:r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0.48386</cdr:x>
      <cdr:y>0.27732</cdr:y>
    </cdr:from>
    <cdr:to>
      <cdr:x>0.58447</cdr:x>
      <cdr:y>0.33568</cdr:y>
    </cdr:to>
    <cdr:sp macro="" textlink="">
      <cdr:nvSpPr>
        <cdr:cNvPr id="4" name="TextBox 3"/>
        <cdr:cNvSpPr txBox="1"/>
      </cdr:nvSpPr>
      <cdr:spPr>
        <a:xfrm xmlns:a="http://schemas.openxmlformats.org/drawingml/2006/main">
          <a:off x="4343515" y="2217398"/>
          <a:ext cx="903136" cy="466702"/>
        </a:xfrm>
        <a:prstGeom xmlns:a="http://schemas.openxmlformats.org/drawingml/2006/main" prst="rect">
          <a:avLst/>
        </a:prstGeom>
        <a:ln xmlns:a="http://schemas.openxmlformats.org/drawingml/2006/main" w="9525">
          <a:noFill/>
          <a:prstDash val="lgDash"/>
        </a:ln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 baseline="0"/>
            <a:t> </a:t>
          </a:r>
          <a:r>
            <a:rPr lang="en-US" sz="2000" baseline="0">
              <a:latin typeface="Arial" pitchFamily="34" charset="0"/>
              <a:cs typeface="Arial" pitchFamily="34" charset="0"/>
            </a:rPr>
            <a:t>YGM</a:t>
          </a:r>
          <a:endParaRPr lang="ru-RU" sz="2000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0.10337</cdr:x>
      <cdr:y>0.04952</cdr:y>
    </cdr:from>
    <cdr:to>
      <cdr:x>0.95753</cdr:x>
      <cdr:y>0.19731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942021" y="394607"/>
          <a:ext cx="7783804" cy="117769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2000">
              <a:latin typeface="Arial" pitchFamily="34" charset="0"/>
              <a:cs typeface="Arial" pitchFamily="34" charset="0"/>
            </a:rPr>
            <a:t>    </a:t>
          </a:r>
          <a:r>
            <a:rPr lang="ru-RU" sz="2000">
              <a:latin typeface="Arial" pitchFamily="34" charset="0"/>
              <a:cs typeface="Arial" pitchFamily="34" charset="0"/>
            </a:rPr>
            <a:t>  КОНЕЧНОЕ ПОТРЕБЛЕНИЕ  ГОСУДАРСТВА  ( </a:t>
          </a:r>
          <a:r>
            <a:rPr lang="en-US" sz="2000">
              <a:latin typeface="Arial" pitchFamily="34" charset="0"/>
              <a:cs typeface="Arial" pitchFamily="34" charset="0"/>
            </a:rPr>
            <a:t>YGM)  </a:t>
          </a:r>
          <a:endParaRPr lang="ru-RU" sz="2000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ru-RU" sz="2000">
              <a:latin typeface="Arial" pitchFamily="34" charset="0"/>
              <a:cs typeface="Arial" pitchFamily="34" charset="0"/>
            </a:rPr>
            <a:t>                     модифицированное</a:t>
          </a:r>
          <a:r>
            <a:rPr lang="ru-RU" sz="2000" baseline="0">
              <a:latin typeface="Arial" pitchFamily="34" charset="0"/>
              <a:cs typeface="Arial" pitchFamily="34" charset="0"/>
            </a:rPr>
            <a:t> значение  </a:t>
          </a:r>
        </a:p>
        <a:p xmlns:a="http://schemas.openxmlformats.org/drawingml/2006/main">
          <a:r>
            <a:rPr lang="ru-RU" sz="2000" baseline="0">
              <a:latin typeface="Arial" pitchFamily="34" charset="0"/>
              <a:cs typeface="Arial" pitchFamily="34" charset="0"/>
            </a:rPr>
            <a:t>                                        (млрд руб)</a:t>
          </a:r>
          <a:endParaRPr lang="ru-RU" sz="2000">
            <a:latin typeface="Arial" pitchFamily="34" charset="0"/>
            <a:cs typeface="Arial" pitchFamily="34" charset="0"/>
          </a:endParaRPr>
        </a:p>
      </cdr:txBody>
    </cdr:sp>
  </cdr:relSizeAnchor>
</c:userShapes>
</file>

<file path=xl/drawings/drawing171.xml><?xml version="1.0" encoding="utf-8"?>
<c:userShapes xmlns:c="http://schemas.openxmlformats.org/drawingml/2006/chart">
  <cdr:relSizeAnchor xmlns:cdr="http://schemas.openxmlformats.org/drawingml/2006/chartDrawing">
    <cdr:from>
      <cdr:x>0.63405</cdr:x>
      <cdr:y>0.39509</cdr:y>
    </cdr:from>
    <cdr:to>
      <cdr:x>0.71642</cdr:x>
      <cdr:y>0.44646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5756298" y="3224577"/>
          <a:ext cx="747811" cy="4192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>
              <a:latin typeface="Arial" pitchFamily="34" charset="0"/>
              <a:cs typeface="Arial" pitchFamily="34" charset="0"/>
            </a:rPr>
            <a:t>Pgm</a:t>
          </a:r>
          <a:endParaRPr lang="ru-RU" sz="1800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0.6313</cdr:x>
      <cdr:y>0.58281</cdr:y>
    </cdr:from>
    <cdr:to>
      <cdr:x>0.70379</cdr:x>
      <cdr:y>0.63932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5731357" y="4756675"/>
          <a:ext cx="658114" cy="46121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>
              <a:latin typeface="Arial" pitchFamily="34" charset="0"/>
              <a:cs typeface="Arial" pitchFamily="34" charset="0"/>
            </a:rPr>
            <a:t>Pg</a:t>
          </a:r>
          <a:endParaRPr lang="ru-RU" sz="1800">
            <a:latin typeface="Arial" pitchFamily="34" charset="0"/>
            <a:cs typeface="Arial" pitchFamily="34" charset="0"/>
          </a:endParaRPr>
        </a:p>
      </cdr:txBody>
    </cdr:sp>
  </cdr:relSizeAnchor>
</c:userShapes>
</file>

<file path=xl/drawings/drawing172.xml><?xml version="1.0" encoding="utf-8"?>
<c:userShapes xmlns:c="http://schemas.openxmlformats.org/drawingml/2006/chart">
  <cdr:relSizeAnchor xmlns:cdr="http://schemas.openxmlformats.org/drawingml/2006/chartDrawing">
    <cdr:from>
      <cdr:x>0.65255</cdr:x>
      <cdr:y>0.91699</cdr:y>
    </cdr:from>
    <cdr:to>
      <cdr:x>0.94625</cdr:x>
      <cdr:y>0.96062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5946564" y="8554984"/>
          <a:ext cx="2676435" cy="40704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baseline="0">
              <a:latin typeface="Arial" pitchFamily="34" charset="0"/>
              <a:cs typeface="Arial" pitchFamily="34" charset="0"/>
            </a:rPr>
            <a:t>  </a:t>
          </a:r>
          <a:r>
            <a:rPr lang="ru-RU" sz="1800" baseline="0">
              <a:latin typeface="Arial" pitchFamily="34" charset="0"/>
              <a:cs typeface="Arial" pitchFamily="34" charset="0"/>
            </a:rPr>
            <a:t>Произв. ВВП  -  </a:t>
          </a:r>
          <a:r>
            <a:rPr lang="en-US" sz="1800" baseline="0">
              <a:latin typeface="Arial" pitchFamily="34" charset="0"/>
              <a:cs typeface="Arial" pitchFamily="34" charset="0"/>
            </a:rPr>
            <a:t>WWP</a:t>
          </a:r>
          <a:endParaRPr lang="ru-RU" sz="1800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0.23535</cdr:x>
      <cdr:y>0.12847</cdr:y>
    </cdr:from>
    <cdr:to>
      <cdr:x>0.88301</cdr:x>
      <cdr:y>0.18247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2135094" y="1230363"/>
          <a:ext cx="5875546" cy="51713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2000">
              <a:latin typeface="Arial" pitchFamily="34" charset="0"/>
              <a:cs typeface="Arial" pitchFamily="34" charset="0"/>
            </a:rPr>
            <a:t>СМЕНА ТРЕНДА</a:t>
          </a:r>
          <a:r>
            <a:rPr lang="en-US" sz="2000">
              <a:latin typeface="Arial" pitchFamily="34" charset="0"/>
              <a:cs typeface="Arial" pitchFamily="34" charset="0"/>
            </a:rPr>
            <a:t>  </a:t>
          </a:r>
          <a:r>
            <a:rPr lang="ru-RU" sz="2000">
              <a:latin typeface="Arial" pitchFamily="34" charset="0"/>
              <a:cs typeface="Arial" pitchFamily="34" charset="0"/>
            </a:rPr>
            <a:t>ЗАКОНА ИНВЕСТИРОВАНИЯ</a:t>
          </a:r>
        </a:p>
      </cdr:txBody>
    </cdr:sp>
  </cdr:relSizeAnchor>
  <cdr:relSizeAnchor xmlns:cdr="http://schemas.openxmlformats.org/drawingml/2006/chartDrawing">
    <cdr:from>
      <cdr:x>0.33291</cdr:x>
      <cdr:y>0.34937</cdr:y>
    </cdr:from>
    <cdr:to>
      <cdr:x>0.44341</cdr:x>
      <cdr:y>0.38146</cdr:y>
    </cdr:to>
    <cdr:sp macro="" textlink="">
      <cdr:nvSpPr>
        <cdr:cNvPr id="6" name="TextBox 5"/>
        <cdr:cNvSpPr txBox="1"/>
      </cdr:nvSpPr>
      <cdr:spPr>
        <a:xfrm xmlns:a="http://schemas.openxmlformats.org/drawingml/2006/main">
          <a:off x="2988405" y="3242783"/>
          <a:ext cx="991930" cy="29785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600">
              <a:latin typeface="Arial" pitchFamily="34" charset="0"/>
              <a:cs typeface="Arial" pitchFamily="34" charset="0"/>
            </a:rPr>
            <a:t>ТРЕНД  1</a:t>
          </a:r>
        </a:p>
      </cdr:txBody>
    </cdr:sp>
  </cdr:relSizeAnchor>
</c:userShapes>
</file>

<file path=xl/drawings/drawing173.xml><?xml version="1.0" encoding="utf-8"?>
<c:userShapes xmlns:c="http://schemas.openxmlformats.org/drawingml/2006/chart">
  <cdr:relSizeAnchor xmlns:cdr="http://schemas.openxmlformats.org/drawingml/2006/chartDrawing">
    <cdr:from>
      <cdr:x>0.6333</cdr:x>
      <cdr:y>0.86897</cdr:y>
    </cdr:from>
    <cdr:to>
      <cdr:x>0.88717</cdr:x>
      <cdr:y>0.91164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4544291" y="7431003"/>
          <a:ext cx="1821699" cy="36486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baseline="0">
              <a:latin typeface="Arial" pitchFamily="34" charset="0"/>
              <a:cs typeface="Arial" pitchFamily="34" charset="0"/>
            </a:rPr>
            <a:t>  </a:t>
          </a:r>
          <a:r>
            <a:rPr lang="ru-RU" sz="1800" baseline="0">
              <a:latin typeface="Arial" pitchFamily="34" charset="0"/>
              <a:cs typeface="Arial" pitchFamily="34" charset="0"/>
            </a:rPr>
            <a:t>ВЫПУСК  </a:t>
          </a:r>
          <a:r>
            <a:rPr lang="ru-RU" sz="1800" b="1" baseline="0">
              <a:latin typeface="Arial" pitchFamily="34" charset="0"/>
              <a:cs typeface="Arial" pitchFamily="34" charset="0"/>
            </a:rPr>
            <a:t>-  Х</a:t>
          </a:r>
          <a:endParaRPr lang="ru-RU" sz="18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0.17652</cdr:x>
      <cdr:y>0.16279</cdr:y>
    </cdr:from>
    <cdr:to>
      <cdr:x>0.64838</cdr:x>
      <cdr:y>0.21082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1266622" y="1392122"/>
          <a:ext cx="3385886" cy="4107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РЕГРЕССИЯ</a:t>
          </a:r>
          <a:r>
            <a:rPr lang="en-US" sz="2000" b="1">
              <a:latin typeface="Arial" pitchFamily="34" charset="0"/>
              <a:cs typeface="Arial" pitchFamily="34" charset="0"/>
            </a:rPr>
            <a:t> </a:t>
          </a:r>
          <a:r>
            <a:rPr lang="ru-RU" sz="2000" b="1">
              <a:latin typeface="Arial" pitchFamily="34" charset="0"/>
              <a:cs typeface="Arial" pitchFamily="34" charset="0"/>
            </a:rPr>
            <a:t>ОПЛАТЫ ТРУДА</a:t>
          </a:r>
        </a:p>
      </cdr:txBody>
    </cdr:sp>
  </cdr:relSizeAnchor>
  <cdr:relSizeAnchor xmlns:cdr="http://schemas.openxmlformats.org/drawingml/2006/chartDrawing">
    <cdr:from>
      <cdr:x>0.66908</cdr:x>
      <cdr:y>0.46283</cdr:y>
    </cdr:from>
    <cdr:to>
      <cdr:x>0.77958</cdr:x>
      <cdr:y>0.49492</cdr:y>
    </cdr:to>
    <cdr:sp macro="" textlink="">
      <cdr:nvSpPr>
        <cdr:cNvPr id="6" name="TextBox 5"/>
        <cdr:cNvSpPr txBox="1"/>
      </cdr:nvSpPr>
      <cdr:spPr>
        <a:xfrm xmlns:a="http://schemas.openxmlformats.org/drawingml/2006/main">
          <a:off x="4801065" y="3957918"/>
          <a:ext cx="792905" cy="27441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400">
              <a:latin typeface="Arial" pitchFamily="34" charset="0"/>
              <a:cs typeface="Arial" pitchFamily="34" charset="0"/>
            </a:rPr>
            <a:t>ТРЕНД  </a:t>
          </a:r>
        </a:p>
      </cdr:txBody>
    </cdr:sp>
  </cdr:relSizeAnchor>
</c:userShapes>
</file>

<file path=xl/drawings/drawing174.xml><?xml version="1.0" encoding="utf-8"?>
<c:userShapes xmlns:c="http://schemas.openxmlformats.org/drawingml/2006/chart">
  <cdr:relSizeAnchor xmlns:cdr="http://schemas.openxmlformats.org/drawingml/2006/chartDrawing">
    <cdr:from>
      <cdr:x>0.58278</cdr:x>
      <cdr:y>0.90502</cdr:y>
    </cdr:from>
    <cdr:to>
      <cdr:x>0.93598</cdr:x>
      <cdr:y>0.94865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5235131" y="7265181"/>
          <a:ext cx="3172830" cy="3502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baseline="0">
              <a:latin typeface="Arial" pitchFamily="34" charset="0"/>
              <a:cs typeface="Arial" pitchFamily="34" charset="0"/>
            </a:rPr>
            <a:t>  </a:t>
          </a:r>
          <a:r>
            <a:rPr lang="ru-RU" sz="1800" baseline="0">
              <a:latin typeface="Arial" pitchFamily="34" charset="0"/>
              <a:cs typeface="Arial" pitchFamily="34" charset="0"/>
            </a:rPr>
            <a:t>Базисный темп ВВП -    </a:t>
          </a:r>
          <a:r>
            <a:rPr lang="en-US" sz="2000" b="1" baseline="0">
              <a:latin typeface="Arial" pitchFamily="34" charset="0"/>
              <a:cs typeface="Arial" pitchFamily="34" charset="0"/>
            </a:rPr>
            <a:t>Pw</a:t>
          </a:r>
          <a:endParaRPr lang="ru-RU" sz="20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0.13212</cdr:x>
      <cdr:y>0.14129</cdr:y>
    </cdr:from>
    <cdr:to>
      <cdr:x>0.80056</cdr:x>
      <cdr:y>0.24142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1186876" y="1134231"/>
          <a:ext cx="6004614" cy="80376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algn="ctr"/>
          <a:r>
            <a:rPr lang="ru-RU" sz="2000" baseline="0">
              <a:latin typeface="Arial" pitchFamily="34" charset="0"/>
              <a:cs typeface="Arial" pitchFamily="34" charset="0"/>
            </a:rPr>
            <a:t>РЕГРЕССИЯ КОЭФФИЦИЕНТА РЕАЛЬНОЙ</a:t>
          </a:r>
        </a:p>
        <a:p xmlns:a="http://schemas.openxmlformats.org/drawingml/2006/main">
          <a:pPr algn="ctr"/>
          <a:r>
            <a:rPr lang="ru-RU" sz="2000" baseline="0">
              <a:latin typeface="Arial" pitchFamily="34" charset="0"/>
              <a:cs typeface="Arial" pitchFamily="34" charset="0"/>
            </a:rPr>
            <a:t>УДЕЛЬНОЙ</a:t>
          </a:r>
          <a:r>
            <a:rPr lang="ru-RU" sz="2000">
              <a:latin typeface="Arial" pitchFamily="34" charset="0"/>
              <a:cs typeface="Arial" pitchFamily="34" charset="0"/>
            </a:rPr>
            <a:t> ОПЛАТЫ ТРУДА</a:t>
          </a:r>
        </a:p>
      </cdr:txBody>
    </cdr:sp>
  </cdr:relSizeAnchor>
  <cdr:relSizeAnchor xmlns:cdr="http://schemas.openxmlformats.org/drawingml/2006/chartDrawing">
    <cdr:from>
      <cdr:x>0.19219</cdr:x>
      <cdr:y>0.45542</cdr:y>
    </cdr:from>
    <cdr:to>
      <cdr:x>0.30269</cdr:x>
      <cdr:y>0.48751</cdr:y>
    </cdr:to>
    <cdr:sp macro="" textlink="">
      <cdr:nvSpPr>
        <cdr:cNvPr id="6" name="TextBox 5"/>
        <cdr:cNvSpPr txBox="1"/>
      </cdr:nvSpPr>
      <cdr:spPr>
        <a:xfrm xmlns:a="http://schemas.openxmlformats.org/drawingml/2006/main">
          <a:off x="1732558" y="3622873"/>
          <a:ext cx="996140" cy="25527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400">
              <a:latin typeface="Arial" pitchFamily="34" charset="0"/>
              <a:cs typeface="Arial" pitchFamily="34" charset="0"/>
            </a:rPr>
            <a:t>ТРЕНД  1</a:t>
          </a:r>
        </a:p>
      </cdr:txBody>
    </cdr:sp>
  </cdr:relSizeAnchor>
  <cdr:relSizeAnchor xmlns:cdr="http://schemas.openxmlformats.org/drawingml/2006/chartDrawing">
    <cdr:from>
      <cdr:x>0.72678</cdr:x>
      <cdr:y>0.45738</cdr:y>
    </cdr:from>
    <cdr:to>
      <cdr:x>0.83728</cdr:x>
      <cdr:y>0.48947</cdr:y>
    </cdr:to>
    <cdr:sp macro="" textlink="">
      <cdr:nvSpPr>
        <cdr:cNvPr id="7" name="TextBox 6"/>
        <cdr:cNvSpPr txBox="1"/>
      </cdr:nvSpPr>
      <cdr:spPr>
        <a:xfrm xmlns:a="http://schemas.openxmlformats.org/drawingml/2006/main">
          <a:off x="6551799" y="3638470"/>
          <a:ext cx="996140" cy="25527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400">
              <a:latin typeface="Arial" pitchFamily="34" charset="0"/>
              <a:cs typeface="Arial" pitchFamily="34" charset="0"/>
            </a:rPr>
            <a:t>ТРЕНД 2</a:t>
          </a:r>
        </a:p>
      </cdr:txBody>
    </cdr:sp>
  </cdr:relSizeAnchor>
  <cdr:relSizeAnchor xmlns:cdr="http://schemas.openxmlformats.org/drawingml/2006/chartDrawing">
    <cdr:from>
      <cdr:x>0.39668</cdr:x>
      <cdr:y>0.73891</cdr:y>
    </cdr:from>
    <cdr:to>
      <cdr:x>0.69252</cdr:x>
      <cdr:y>0.79022</cdr:y>
    </cdr:to>
    <cdr:sp macro="" textlink="">
      <cdr:nvSpPr>
        <cdr:cNvPr id="8" name="TextBox 7"/>
        <cdr:cNvSpPr txBox="1"/>
      </cdr:nvSpPr>
      <cdr:spPr>
        <a:xfrm xmlns:a="http://schemas.openxmlformats.org/drawingml/2006/main">
          <a:off x="3563446" y="5931740"/>
          <a:ext cx="2657559" cy="411899"/>
        </a:xfrm>
        <a:prstGeom xmlns:a="http://schemas.openxmlformats.org/drawingml/2006/main" prst="rect">
          <a:avLst/>
        </a:prstGeom>
        <a:noFill xmlns:a="http://schemas.openxmlformats.org/drawingml/2006/main"/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2000" b="1">
              <a:latin typeface="Arial" pitchFamily="34" charset="0"/>
              <a:cs typeface="Arial" pitchFamily="34" charset="0"/>
            </a:rPr>
            <a:t>kRU</a:t>
          </a:r>
          <a:r>
            <a:rPr lang="en-US" sz="2000" b="1" baseline="0">
              <a:latin typeface="Arial" pitchFamily="34" charset="0"/>
              <a:cs typeface="Arial" pitchFamily="34" charset="0"/>
            </a:rPr>
            <a:t> = UOT /  (UOTo* IPC)</a:t>
          </a:r>
          <a:endParaRPr lang="ru-RU" sz="2000" b="1">
            <a:latin typeface="Arial" pitchFamily="34" charset="0"/>
            <a:cs typeface="Arial" pitchFamily="34" charset="0"/>
          </a:endParaRPr>
        </a:p>
      </cdr:txBody>
    </cdr:sp>
  </cdr:relSizeAnchor>
</c:userShapes>
</file>

<file path=xl/drawings/drawing175.xml><?xml version="1.0" encoding="utf-8"?>
<c:userShapes xmlns:c="http://schemas.openxmlformats.org/drawingml/2006/chart">
  <cdr:relSizeAnchor xmlns:cdr="http://schemas.openxmlformats.org/drawingml/2006/chartDrawing">
    <cdr:from>
      <cdr:x>0.45433</cdr:x>
      <cdr:y>0.54353</cdr:y>
    </cdr:from>
    <cdr:to>
      <cdr:x>0.52279</cdr:x>
      <cdr:y>0.58839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4092602" y="5345984"/>
          <a:ext cx="616683" cy="44122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2000">
              <a:latin typeface="Arial" pitchFamily="34" charset="0"/>
              <a:cs typeface="Arial" pitchFamily="34" charset="0"/>
            </a:rPr>
            <a:t>IPC</a:t>
          </a:r>
          <a:endParaRPr lang="ru-RU" sz="2000">
            <a:latin typeface="Arial" pitchFamily="34" charset="0"/>
            <a:cs typeface="Arial" pitchFamily="34" charset="0"/>
          </a:endParaRPr>
        </a:p>
      </cdr:txBody>
    </cdr:sp>
  </cdr:relSizeAnchor>
</c:userShapes>
</file>

<file path=xl/drawings/drawing176.xml><?xml version="1.0" encoding="utf-8"?>
<c:userShapes xmlns:c="http://schemas.openxmlformats.org/drawingml/2006/chart">
  <cdr:relSizeAnchor xmlns:cdr="http://schemas.openxmlformats.org/drawingml/2006/chartDrawing">
    <cdr:from>
      <cdr:x>0.43017</cdr:x>
      <cdr:y>0.87369</cdr:y>
    </cdr:from>
    <cdr:to>
      <cdr:x>0.95958</cdr:x>
      <cdr:y>0.92895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4191000" y="8179236"/>
          <a:ext cx="5157914" cy="51732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baseline="0">
              <a:latin typeface="Arial" pitchFamily="34" charset="0"/>
              <a:cs typeface="Arial" pitchFamily="34" charset="0"/>
            </a:rPr>
            <a:t>  </a:t>
          </a:r>
          <a:r>
            <a:rPr lang="ru-RU" sz="1800" baseline="0">
              <a:latin typeface="Arial" pitchFamily="34" charset="0"/>
              <a:cs typeface="Arial" pitchFamily="34" charset="0"/>
            </a:rPr>
            <a:t>Базисный индекс потребительских цен  </a:t>
          </a:r>
          <a:r>
            <a:rPr lang="en-US" sz="1800" b="1" baseline="0">
              <a:latin typeface="Arial" pitchFamily="34" charset="0"/>
              <a:cs typeface="Arial" pitchFamily="34" charset="0"/>
            </a:rPr>
            <a:t>IPC</a:t>
          </a:r>
          <a:r>
            <a:rPr lang="ru-RU" sz="1800" baseline="0">
              <a:latin typeface="Arial" pitchFamily="34" charset="0"/>
              <a:cs typeface="Arial" pitchFamily="34" charset="0"/>
            </a:rPr>
            <a:t> </a:t>
          </a:r>
          <a:endParaRPr lang="ru-RU" sz="1800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0.19207</cdr:x>
      <cdr:y>0.03907</cdr:y>
    </cdr:from>
    <cdr:to>
      <cdr:x>0.87646</cdr:x>
      <cdr:y>0.20783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1724140" y="312397"/>
          <a:ext cx="6143625" cy="13493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>
              <a:latin typeface="Arial" pitchFamily="34" charset="0"/>
              <a:cs typeface="Arial" pitchFamily="34" charset="0"/>
            </a:rPr>
            <a:t>         </a:t>
          </a:r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0.04471</cdr:x>
      <cdr:y>0.04663</cdr:y>
    </cdr:from>
    <cdr:to>
      <cdr:x>0.7933</cdr:x>
      <cdr:y>0.17987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428702" y="460375"/>
          <a:ext cx="7177855" cy="13152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2000">
              <a:latin typeface="Arial" pitchFamily="34" charset="0"/>
              <a:cs typeface="Arial" pitchFamily="34" charset="0"/>
            </a:rPr>
            <a:t>    </a:t>
          </a:r>
          <a:r>
            <a:rPr lang="ru-RU" sz="2000">
              <a:latin typeface="Arial" pitchFamily="34" charset="0"/>
              <a:cs typeface="Arial" pitchFamily="34" charset="0"/>
            </a:rPr>
            <a:t>  РЕГРЕССИЯ</a:t>
          </a:r>
          <a:r>
            <a:rPr lang="ru-RU" sz="2000" baseline="0">
              <a:latin typeface="Arial" pitchFamily="34" charset="0"/>
              <a:cs typeface="Arial" pitchFamily="34" charset="0"/>
            </a:rPr>
            <a:t> БАЗИСНЫХ ДЕФЛЯТОРОВ</a:t>
          </a:r>
        </a:p>
        <a:p xmlns:a="http://schemas.openxmlformats.org/drawingml/2006/main">
          <a:r>
            <a:rPr lang="ru-RU" sz="2000" baseline="0">
              <a:latin typeface="Arial" pitchFamily="34" charset="0"/>
              <a:cs typeface="Arial" pitchFamily="34" charset="0"/>
            </a:rPr>
            <a:t>      - инвестиций в основной капитал</a:t>
          </a:r>
        </a:p>
        <a:p xmlns:a="http://schemas.openxmlformats.org/drawingml/2006/main">
          <a:r>
            <a:rPr lang="ru-RU" sz="2000" baseline="0">
              <a:latin typeface="Arial" pitchFamily="34" charset="0"/>
              <a:cs typeface="Arial" pitchFamily="34" charset="0"/>
            </a:rPr>
            <a:t>      - расходов сектора "Государство"</a:t>
          </a:r>
          <a:r>
            <a:rPr lang="en-US" sz="2000" baseline="0">
              <a:latin typeface="Arial" pitchFamily="34" charset="0"/>
              <a:cs typeface="Arial" pitchFamily="34" charset="0"/>
            </a:rPr>
            <a:t> </a:t>
          </a:r>
          <a:r>
            <a:rPr lang="ru-RU" sz="2000" baseline="0">
              <a:latin typeface="Arial" pitchFamily="34" charset="0"/>
              <a:cs typeface="Arial" pitchFamily="34" charset="0"/>
            </a:rPr>
            <a:t>и рабочая гипотеза о</a:t>
          </a:r>
        </a:p>
        <a:p xmlns:a="http://schemas.openxmlformats.org/drawingml/2006/main">
          <a:r>
            <a:rPr lang="ru-RU" sz="2000" baseline="0">
              <a:latin typeface="Arial" pitchFamily="34" charset="0"/>
              <a:cs typeface="Arial" pitchFamily="34" charset="0"/>
            </a:rPr>
            <a:t>      - модифицированных расходах сектора "Государство" </a:t>
          </a:r>
          <a:endParaRPr lang="ru-RU" sz="2000">
            <a:latin typeface="Arial" pitchFamily="34" charset="0"/>
            <a:cs typeface="Arial" pitchFamily="34" charset="0"/>
          </a:endParaRPr>
        </a:p>
      </cdr:txBody>
    </cdr:sp>
  </cdr:relSizeAnchor>
</c:userShapes>
</file>

<file path=xl/drawings/drawing177.xml><?xml version="1.0" encoding="utf-8"?>
<c:userShapes xmlns:c="http://schemas.openxmlformats.org/drawingml/2006/chart">
  <cdr:relSizeAnchor xmlns:cdr="http://schemas.openxmlformats.org/drawingml/2006/chartDrawing">
    <cdr:from>
      <cdr:x>0.43017</cdr:x>
      <cdr:y>0.87369</cdr:y>
    </cdr:from>
    <cdr:to>
      <cdr:x>0.95958</cdr:x>
      <cdr:y>0.92895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4191000" y="8179236"/>
          <a:ext cx="5157914" cy="51732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baseline="0">
              <a:latin typeface="Arial" pitchFamily="34" charset="0"/>
              <a:cs typeface="Arial" pitchFamily="34" charset="0"/>
            </a:rPr>
            <a:t>  </a:t>
          </a:r>
          <a:r>
            <a:rPr lang="ru-RU" sz="1800" baseline="0">
              <a:latin typeface="Arial" pitchFamily="34" charset="0"/>
              <a:cs typeface="Arial" pitchFamily="34" charset="0"/>
            </a:rPr>
            <a:t>Базисный индекс потребительских цен  </a:t>
          </a:r>
          <a:r>
            <a:rPr lang="en-US" sz="1800" b="1" baseline="0">
              <a:latin typeface="Arial" pitchFamily="34" charset="0"/>
              <a:cs typeface="Arial" pitchFamily="34" charset="0"/>
            </a:rPr>
            <a:t>IPC</a:t>
          </a:r>
          <a:r>
            <a:rPr lang="ru-RU" sz="1800" baseline="0">
              <a:latin typeface="Arial" pitchFamily="34" charset="0"/>
              <a:cs typeface="Arial" pitchFamily="34" charset="0"/>
            </a:rPr>
            <a:t> </a:t>
          </a:r>
          <a:endParaRPr lang="ru-RU" sz="1800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0.19207</cdr:x>
      <cdr:y>0.03907</cdr:y>
    </cdr:from>
    <cdr:to>
      <cdr:x>0.87646</cdr:x>
      <cdr:y>0.20783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1724140" y="312397"/>
          <a:ext cx="6143625" cy="13493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>
              <a:latin typeface="Arial" pitchFamily="34" charset="0"/>
              <a:cs typeface="Arial" pitchFamily="34" charset="0"/>
            </a:rPr>
            <a:t>         </a:t>
          </a:r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0.04471</cdr:x>
      <cdr:y>0.04663</cdr:y>
    </cdr:from>
    <cdr:to>
      <cdr:x>0.87478</cdr:x>
      <cdr:y>0.22616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402440" y="402591"/>
          <a:ext cx="7471560" cy="155003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2000">
              <a:latin typeface="Arial" pitchFamily="34" charset="0"/>
              <a:cs typeface="Arial" pitchFamily="34" charset="0"/>
            </a:rPr>
            <a:t>    </a:t>
          </a:r>
          <a:r>
            <a:rPr lang="ru-RU" sz="2000">
              <a:latin typeface="Arial" pitchFamily="34" charset="0"/>
              <a:cs typeface="Arial" pitchFamily="34" charset="0"/>
            </a:rPr>
            <a:t>  РЕГРЕССИЯ</a:t>
          </a:r>
          <a:r>
            <a:rPr lang="ru-RU" sz="2000" baseline="0">
              <a:latin typeface="Arial" pitchFamily="34" charset="0"/>
              <a:cs typeface="Arial" pitchFamily="34" charset="0"/>
            </a:rPr>
            <a:t> БАЗИСНЫХ ДЕФЛЯТОРОВ</a:t>
          </a:r>
        </a:p>
        <a:p xmlns:a="http://schemas.openxmlformats.org/drawingml/2006/main">
          <a:r>
            <a:rPr lang="ru-RU" sz="2000" baseline="0">
              <a:latin typeface="Arial" pitchFamily="34" charset="0"/>
              <a:cs typeface="Arial" pitchFamily="34" charset="0"/>
            </a:rPr>
            <a:t>      - инвестиций в основной капитал</a:t>
          </a:r>
        </a:p>
        <a:p xmlns:a="http://schemas.openxmlformats.org/drawingml/2006/main">
          <a:r>
            <a:rPr lang="ru-RU" sz="2000" baseline="0">
              <a:latin typeface="Arial" pitchFamily="34" charset="0"/>
              <a:cs typeface="Arial" pitchFamily="34" charset="0"/>
            </a:rPr>
            <a:t>      - расходов сектора "Государство"</a:t>
          </a:r>
          <a:r>
            <a:rPr lang="en-US" sz="2000" baseline="0">
              <a:latin typeface="Arial" pitchFamily="34" charset="0"/>
              <a:cs typeface="Arial" pitchFamily="34" charset="0"/>
            </a:rPr>
            <a:t> </a:t>
          </a:r>
          <a:r>
            <a:rPr lang="ru-RU" sz="2000" baseline="0">
              <a:latin typeface="Arial" pitchFamily="34" charset="0"/>
              <a:cs typeface="Arial" pitchFamily="34" charset="0"/>
            </a:rPr>
            <a:t>и рабочая гипотеза о</a:t>
          </a:r>
        </a:p>
        <a:p xmlns:a="http://schemas.openxmlformats.org/drawingml/2006/main">
          <a:r>
            <a:rPr lang="ru-RU" sz="2000" baseline="0">
              <a:latin typeface="Arial" pitchFamily="34" charset="0"/>
              <a:cs typeface="Arial" pitchFamily="34" charset="0"/>
            </a:rPr>
            <a:t>      - модифицированных расходах сектора "Государство" </a:t>
          </a:r>
          <a:endParaRPr lang="ru-RU" sz="2000">
            <a:latin typeface="Arial" pitchFamily="34" charset="0"/>
            <a:cs typeface="Arial" pitchFamily="34" charset="0"/>
          </a:endParaRPr>
        </a:p>
      </cdr:txBody>
    </cdr:sp>
  </cdr:relSizeAnchor>
</c:userShapes>
</file>

<file path=xl/drawings/drawing178.xml><?xml version="1.0" encoding="utf-8"?>
<c:userShapes xmlns:c="http://schemas.openxmlformats.org/drawingml/2006/chart">
  <cdr:relSizeAnchor xmlns:cdr="http://schemas.openxmlformats.org/drawingml/2006/chartDrawing">
    <cdr:from>
      <cdr:x>0.23428</cdr:x>
      <cdr:y>0.43108</cdr:y>
    </cdr:from>
    <cdr:to>
      <cdr:x>0.33474</cdr:x>
      <cdr:y>0.47528</cdr:y>
    </cdr:to>
    <cdr:sp macro="" textlink="">
      <cdr:nvSpPr>
        <cdr:cNvPr id="12289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011061" y="4123616"/>
          <a:ext cx="862333" cy="42280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27432" rIns="36576" bIns="27432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endParaRPr lang="ru-RU" sz="1400" b="0" i="0" strike="noStrike">
            <a:solidFill>
              <a:srgbClr val="000000"/>
            </a:solidFill>
            <a:latin typeface="Arial Cyr"/>
          </a:endParaRPr>
        </a:p>
      </cdr:txBody>
    </cdr:sp>
  </cdr:relSizeAnchor>
  <cdr:relSizeAnchor xmlns:cdr="http://schemas.openxmlformats.org/drawingml/2006/chartDrawing">
    <cdr:from>
      <cdr:x>0.76582</cdr:x>
      <cdr:y>0.2886</cdr:y>
    </cdr:from>
    <cdr:to>
      <cdr:x>0.84703</cdr:x>
      <cdr:y>0.32771</cdr:y>
    </cdr:to>
    <cdr:sp macro="" textlink="">
      <cdr:nvSpPr>
        <cdr:cNvPr id="12290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573661" y="2756099"/>
          <a:ext cx="697090" cy="37354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27432" rIns="36576" bIns="27432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ru-RU" sz="1600" b="0" i="0" strike="noStrike">
              <a:solidFill>
                <a:srgbClr val="000000"/>
              </a:solidFill>
              <a:latin typeface="Arial Cyr"/>
            </a:rPr>
            <a:t> </a:t>
          </a:r>
        </a:p>
      </cdr:txBody>
    </cdr:sp>
  </cdr:relSizeAnchor>
  <cdr:relSizeAnchor xmlns:cdr="http://schemas.openxmlformats.org/drawingml/2006/chartDrawing">
    <cdr:from>
      <cdr:x>0.40124</cdr:x>
      <cdr:y>0.65162</cdr:y>
    </cdr:from>
    <cdr:to>
      <cdr:x>0.7216</cdr:x>
      <cdr:y>0.69995</cdr:y>
    </cdr:to>
    <cdr:sp macro="" textlink="">
      <cdr:nvSpPr>
        <cdr:cNvPr id="12291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888000" y="5103958"/>
          <a:ext cx="2305863" cy="37855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22860" rIns="36576" bIns="22860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en-US" sz="1600" b="0" i="0" strike="noStrike">
              <a:solidFill>
                <a:srgbClr val="000000"/>
              </a:solidFill>
              <a:latin typeface="Arial Cyr"/>
            </a:rPr>
            <a:t>P</a:t>
          </a:r>
          <a:r>
            <a:rPr lang="ru-RU" sz="1600" b="0" i="0" strike="noStrike">
              <a:solidFill>
                <a:srgbClr val="000000"/>
              </a:solidFill>
              <a:latin typeface="Arial Cyr"/>
            </a:rPr>
            <a:t>О</a:t>
          </a:r>
          <a:r>
            <a:rPr lang="en-US" sz="1600" b="0" i="0" strike="noStrike">
              <a:solidFill>
                <a:srgbClr val="000000"/>
              </a:solidFill>
              <a:latin typeface="Arial Cyr"/>
            </a:rPr>
            <a:t>S = </a:t>
          </a:r>
          <a:r>
            <a:rPr lang="ru-RU" sz="1600" b="0" i="0" strike="noStrike">
              <a:solidFill>
                <a:srgbClr val="000000"/>
              </a:solidFill>
              <a:latin typeface="Arial Cyr"/>
            </a:rPr>
            <a:t>ХО</a:t>
          </a:r>
          <a:r>
            <a:rPr lang="en-US" sz="1600" b="0" i="0" strike="noStrike">
              <a:solidFill>
                <a:srgbClr val="000000"/>
              </a:solidFill>
              <a:latin typeface="Arial Cyr"/>
            </a:rPr>
            <a:t>S /  LZ </a:t>
          </a:r>
        </a:p>
      </cdr:txBody>
    </cdr:sp>
  </cdr:relSizeAnchor>
  <cdr:relSizeAnchor xmlns:cdr="http://schemas.openxmlformats.org/drawingml/2006/chartDrawing">
    <cdr:from>
      <cdr:x>0.09809</cdr:x>
      <cdr:y>0.13437</cdr:y>
    </cdr:from>
    <cdr:to>
      <cdr:x>0.95543</cdr:x>
      <cdr:y>0.20431</cdr:y>
    </cdr:to>
    <cdr:sp macro="" textlink="">
      <cdr:nvSpPr>
        <cdr:cNvPr id="12292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842008" y="1285323"/>
          <a:ext cx="7359270" cy="66903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22860" rIns="36576" bIns="22860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ru-RU" sz="2000" b="0" i="0" strike="noStrike">
              <a:solidFill>
                <a:srgbClr val="000000"/>
              </a:solidFill>
              <a:latin typeface="Arial" panose="020B0604020202020204" pitchFamily="34" charset="0"/>
              <a:cs typeface="Arial" panose="020B0604020202020204" pitchFamily="34" charset="0"/>
            </a:rPr>
            <a:t>ПРОИЗВОДИТЕЛЬНОСТЬ ТРУДА ПО ВЫПУСКУ в ОЦ 1995г.</a:t>
          </a:r>
        </a:p>
      </cdr:txBody>
    </cdr:sp>
  </cdr:relSizeAnchor>
  <cdr:relSizeAnchor xmlns:cdr="http://schemas.openxmlformats.org/drawingml/2006/chartDrawing">
    <cdr:from>
      <cdr:x>0.29475</cdr:x>
      <cdr:y>0.85173</cdr:y>
    </cdr:from>
    <cdr:to>
      <cdr:x>0.43259</cdr:x>
      <cdr:y>0.88774</cdr:y>
    </cdr:to>
    <cdr:sp macro="" textlink="">
      <cdr:nvSpPr>
        <cdr:cNvPr id="12293" name="Text Box 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262840" y="6793058"/>
          <a:ext cx="1058210" cy="28719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ru-RU" sz="1400" b="0" i="0" strike="noStrike">
              <a:solidFill>
                <a:srgbClr val="000000"/>
              </a:solidFill>
              <a:latin typeface="Arial Cyr"/>
            </a:rPr>
            <a:t>ОТЧЁТ</a:t>
          </a:r>
        </a:p>
      </cdr:txBody>
    </cdr:sp>
  </cdr:relSizeAnchor>
  <cdr:relSizeAnchor xmlns:cdr="http://schemas.openxmlformats.org/drawingml/2006/chartDrawing">
    <cdr:from>
      <cdr:x>0.68223</cdr:x>
      <cdr:y>0.85173</cdr:y>
    </cdr:from>
    <cdr:to>
      <cdr:x>0.8295</cdr:x>
      <cdr:y>0.89384</cdr:y>
    </cdr:to>
    <cdr:sp macro="" textlink="">
      <cdr:nvSpPr>
        <cdr:cNvPr id="12294" name="Text Box 6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872078" y="5397468"/>
          <a:ext cx="879974" cy="27032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ru-RU" sz="1400" b="0" i="0" strike="noStrike">
              <a:solidFill>
                <a:srgbClr val="000000"/>
              </a:solidFill>
              <a:latin typeface="Arial Cyr"/>
            </a:rPr>
            <a:t>ПРОГНОЗ</a:t>
          </a:r>
        </a:p>
      </cdr:txBody>
    </cdr:sp>
  </cdr:relSizeAnchor>
  <cdr:relSizeAnchor xmlns:cdr="http://schemas.openxmlformats.org/drawingml/2006/chartDrawing">
    <cdr:from>
      <cdr:x>0.06673</cdr:x>
      <cdr:y>0.02669</cdr:y>
    </cdr:from>
    <cdr:to>
      <cdr:x>0.23216</cdr:x>
      <cdr:y>0.06626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482437" y="204076"/>
          <a:ext cx="1195972" cy="3025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>
              <a:latin typeface="Arial" panose="020B0604020202020204" pitchFamily="34" charset="0"/>
              <a:cs typeface="Arial" panose="020B0604020202020204" pitchFamily="34" charset="0"/>
            </a:rPr>
            <a:t>POS</a:t>
          </a:r>
          <a:r>
            <a:rPr lang="en-US" sz="1600"/>
            <a:t> </a:t>
          </a:r>
          <a:r>
            <a:rPr lang="ru-RU" sz="1600"/>
            <a:t>(тыс руб / чел)</a:t>
          </a:r>
        </a:p>
      </cdr:txBody>
    </cdr:sp>
  </cdr:relSizeAnchor>
  <cdr:relSizeAnchor xmlns:cdr="http://schemas.openxmlformats.org/drawingml/2006/chartDrawing">
    <cdr:from>
      <cdr:x>0.42167</cdr:x>
      <cdr:y>0.29171</cdr:y>
    </cdr:from>
    <cdr:to>
      <cdr:x>0.52523</cdr:x>
      <cdr:y>0.33375</cdr:y>
    </cdr:to>
    <cdr:sp macro="" textlink="">
      <cdr:nvSpPr>
        <cdr:cNvPr id="9" name="TextBox 8"/>
        <cdr:cNvSpPr txBox="1"/>
      </cdr:nvSpPr>
      <cdr:spPr>
        <a:xfrm xmlns:a="http://schemas.openxmlformats.org/drawingml/2006/main">
          <a:off x="3619532" y="2790415"/>
          <a:ext cx="888943" cy="40214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ru-RU" sz="1400">
            <a:latin typeface="Arial" pitchFamily="34" charset="0"/>
            <a:cs typeface="Arial" pitchFamily="34" charset="0"/>
          </a:endParaRPr>
        </a:p>
      </cdr:txBody>
    </cdr:sp>
  </cdr:relSizeAnchor>
</c:userShapes>
</file>

<file path=xl/drawings/drawing179.xml><?xml version="1.0" encoding="utf-8"?>
<c:userShapes xmlns:c="http://schemas.openxmlformats.org/drawingml/2006/chart">
  <cdr:relSizeAnchor xmlns:cdr="http://schemas.openxmlformats.org/drawingml/2006/chartDrawing">
    <cdr:from>
      <cdr:x>0.1784</cdr:x>
      <cdr:y>0.40425</cdr:y>
    </cdr:from>
    <cdr:to>
      <cdr:x>0.27885</cdr:x>
      <cdr:y>0.44845</cdr:y>
    </cdr:to>
    <cdr:sp macro="" textlink="">
      <cdr:nvSpPr>
        <cdr:cNvPr id="12289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580268" y="3872121"/>
          <a:ext cx="889899" cy="42337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27432" rIns="36576" bIns="27432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endParaRPr lang="ru-RU" sz="1400" b="0" i="0" strike="noStrike">
            <a:solidFill>
              <a:srgbClr val="000000"/>
            </a:solidFill>
            <a:latin typeface="Arial Cyr"/>
          </a:endParaRPr>
        </a:p>
      </cdr:txBody>
    </cdr:sp>
  </cdr:relSizeAnchor>
  <cdr:relSizeAnchor xmlns:cdr="http://schemas.openxmlformats.org/drawingml/2006/chartDrawing">
    <cdr:from>
      <cdr:x>0.7397</cdr:x>
      <cdr:y>0.65322</cdr:y>
    </cdr:from>
    <cdr:to>
      <cdr:x>0.82091</cdr:x>
      <cdr:y>0.69233</cdr:y>
    </cdr:to>
    <cdr:sp macro="" textlink="">
      <cdr:nvSpPr>
        <cdr:cNvPr id="12290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744040" y="6256861"/>
          <a:ext cx="740411" cy="37461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27432" rIns="36576" bIns="27432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endParaRPr lang="ru-RU" sz="1600" b="0" i="0" strike="noStrike">
            <a:solidFill>
              <a:srgbClr val="000000"/>
            </a:solidFill>
            <a:latin typeface="Arial Cyr"/>
          </a:endParaRPr>
        </a:p>
      </cdr:txBody>
    </cdr:sp>
  </cdr:relSizeAnchor>
  <cdr:relSizeAnchor xmlns:cdr="http://schemas.openxmlformats.org/drawingml/2006/chartDrawing">
    <cdr:from>
      <cdr:x>0.38209</cdr:x>
      <cdr:y>0.70797</cdr:y>
    </cdr:from>
    <cdr:to>
      <cdr:x>0.61987</cdr:x>
      <cdr:y>0.7563</cdr:y>
    </cdr:to>
    <cdr:sp macro="" textlink="">
      <cdr:nvSpPr>
        <cdr:cNvPr id="12291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483577" y="6781307"/>
          <a:ext cx="2167924" cy="46292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22860" rIns="36576" bIns="22860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en-US" sz="1600" b="0" i="0" strike="noStrike">
              <a:solidFill>
                <a:srgbClr val="000000"/>
              </a:solidFill>
              <a:latin typeface="Arial Cyr"/>
            </a:rPr>
            <a:t>FOS = </a:t>
          </a:r>
          <a:r>
            <a:rPr lang="ru-RU" sz="1600" b="0" i="0" strike="noStrike">
              <a:solidFill>
                <a:srgbClr val="000000"/>
              </a:solidFill>
              <a:latin typeface="Arial Cyr"/>
            </a:rPr>
            <a:t>ХО</a:t>
          </a:r>
          <a:r>
            <a:rPr lang="en-US" sz="1600" b="0" i="0" strike="noStrike">
              <a:solidFill>
                <a:srgbClr val="000000"/>
              </a:solidFill>
              <a:latin typeface="Arial Cyr"/>
            </a:rPr>
            <a:t>S /  FS</a:t>
          </a:r>
        </a:p>
      </cdr:txBody>
    </cdr:sp>
  </cdr:relSizeAnchor>
  <cdr:relSizeAnchor xmlns:cdr="http://schemas.openxmlformats.org/drawingml/2006/chartDrawing">
    <cdr:from>
      <cdr:x>0.19786</cdr:x>
      <cdr:y>0.10112</cdr:y>
    </cdr:from>
    <cdr:to>
      <cdr:x>0.89</cdr:x>
      <cdr:y>0.17106</cdr:y>
    </cdr:to>
    <cdr:sp macro="" textlink="">
      <cdr:nvSpPr>
        <cdr:cNvPr id="12292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752732" y="968575"/>
          <a:ext cx="6131150" cy="66992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22860" rIns="36576" bIns="22860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ru-RU" sz="2000" b="0" i="0" strike="noStrike">
              <a:solidFill>
                <a:srgbClr val="000000"/>
              </a:solidFill>
              <a:latin typeface="Arial" panose="020B0604020202020204" pitchFamily="34" charset="0"/>
              <a:cs typeface="Arial" panose="020B0604020202020204" pitchFamily="34" charset="0"/>
            </a:rPr>
            <a:t>ФОНДООТДАЧА  ПО ВЫПУСКУ в ОЦ 1995г</a:t>
          </a:r>
          <a:r>
            <a:rPr lang="ru-RU" sz="2000" b="0" i="0" strike="noStrike">
              <a:solidFill>
                <a:srgbClr val="000000"/>
              </a:solidFill>
              <a:latin typeface="+mn-lt"/>
            </a:rPr>
            <a:t>.</a:t>
          </a:r>
        </a:p>
      </cdr:txBody>
    </cdr:sp>
  </cdr:relSizeAnchor>
  <cdr:relSizeAnchor xmlns:cdr="http://schemas.openxmlformats.org/drawingml/2006/chartDrawing">
    <cdr:from>
      <cdr:x>0.29475</cdr:x>
      <cdr:y>0.85173</cdr:y>
    </cdr:from>
    <cdr:to>
      <cdr:x>0.43259</cdr:x>
      <cdr:y>0.88774</cdr:y>
    </cdr:to>
    <cdr:sp macro="" textlink="">
      <cdr:nvSpPr>
        <cdr:cNvPr id="12293" name="Text Box 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262840" y="6793058"/>
          <a:ext cx="1058210" cy="28719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ru-RU" sz="1400" b="0" i="0" strike="noStrike">
              <a:solidFill>
                <a:srgbClr val="000000"/>
              </a:solidFill>
              <a:latin typeface="Arial Cyr"/>
            </a:rPr>
            <a:t>ОТЧЁТ</a:t>
          </a:r>
        </a:p>
      </cdr:txBody>
    </cdr:sp>
  </cdr:relSizeAnchor>
  <cdr:relSizeAnchor xmlns:cdr="http://schemas.openxmlformats.org/drawingml/2006/chartDrawing">
    <cdr:from>
      <cdr:x>0.68223</cdr:x>
      <cdr:y>0.85173</cdr:y>
    </cdr:from>
    <cdr:to>
      <cdr:x>0.8295</cdr:x>
      <cdr:y>0.89384</cdr:y>
    </cdr:to>
    <cdr:sp macro="" textlink="">
      <cdr:nvSpPr>
        <cdr:cNvPr id="12294" name="Text Box 6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872078" y="5397468"/>
          <a:ext cx="879974" cy="27032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ru-RU" sz="1400" b="0" i="0" strike="noStrike">
              <a:solidFill>
                <a:srgbClr val="000000"/>
              </a:solidFill>
              <a:latin typeface="Arial Cyr"/>
            </a:rPr>
            <a:t>ПРОГНОЗ</a:t>
          </a:r>
        </a:p>
      </cdr:txBody>
    </cdr:sp>
  </cdr:relSizeAnchor>
  <cdr:relSizeAnchor xmlns:cdr="http://schemas.openxmlformats.org/drawingml/2006/chartDrawing">
    <cdr:from>
      <cdr:x>0.08286</cdr:x>
      <cdr:y>0.03663</cdr:y>
    </cdr:from>
    <cdr:to>
      <cdr:x>0.30645</cdr:x>
      <cdr:y>0.07624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733985" y="350900"/>
          <a:ext cx="1980639" cy="37934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>
              <a:latin typeface="Arial" panose="020B0604020202020204" pitchFamily="34" charset="0"/>
              <a:cs typeface="Arial" panose="020B0604020202020204" pitchFamily="34" charset="0"/>
            </a:rPr>
            <a:t>FOS(</a:t>
          </a:r>
          <a:r>
            <a:rPr lang="ru-RU" sz="1600"/>
            <a:t>тыс руб / чел</a:t>
          </a:r>
          <a:r>
            <a:rPr lang="en-US" sz="1600"/>
            <a:t>)</a:t>
          </a:r>
          <a:endParaRPr lang="ru-RU" sz="1600"/>
        </a:p>
      </cdr:txBody>
    </cdr:sp>
  </cdr:relSizeAnchor>
  <cdr:relSizeAnchor xmlns:cdr="http://schemas.openxmlformats.org/drawingml/2006/chartDrawing">
    <cdr:from>
      <cdr:x>0.58938</cdr:x>
      <cdr:y>0.39766</cdr:y>
    </cdr:from>
    <cdr:to>
      <cdr:x>0.69294</cdr:x>
      <cdr:y>0.4397</cdr:y>
    </cdr:to>
    <cdr:sp macro="" textlink="">
      <cdr:nvSpPr>
        <cdr:cNvPr id="9" name="TextBox 8"/>
        <cdr:cNvSpPr txBox="1"/>
      </cdr:nvSpPr>
      <cdr:spPr>
        <a:xfrm xmlns:a="http://schemas.openxmlformats.org/drawingml/2006/main">
          <a:off x="5220864" y="3809037"/>
          <a:ext cx="917360" cy="40268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ru-RU" sz="1400">
            <a:latin typeface="Arial" pitchFamily="34" charset="0"/>
            <a:cs typeface="Arial" pitchFamily="34" charset="0"/>
          </a:endParaRPr>
        </a:p>
      </cdr:txBody>
    </cdr:sp>
  </cdr:relSizeAnchor>
</c:userShapes>
</file>

<file path=xl/drawings/drawing180.xml><?xml version="1.0" encoding="utf-8"?>
<c:userShapes xmlns:c="http://schemas.openxmlformats.org/drawingml/2006/chart">
  <cdr:relSizeAnchor xmlns:cdr="http://schemas.openxmlformats.org/drawingml/2006/chartDrawing">
    <cdr:from>
      <cdr:x>0.83932</cdr:x>
      <cdr:y>0.87369</cdr:y>
    </cdr:from>
    <cdr:to>
      <cdr:x>0.95958</cdr:x>
      <cdr:y>0.92895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7534390" y="7055284"/>
          <a:ext cx="1079516" cy="4462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baseline="0">
              <a:latin typeface="Arial" pitchFamily="34" charset="0"/>
              <a:cs typeface="Arial" pitchFamily="34" charset="0"/>
            </a:rPr>
            <a:t>  IPC</a:t>
          </a:r>
          <a:endParaRPr lang="ru-RU" sz="1800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0.19207</cdr:x>
      <cdr:y>0.03907</cdr:y>
    </cdr:from>
    <cdr:to>
      <cdr:x>0.87646</cdr:x>
      <cdr:y>0.20783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1724140" y="312397"/>
          <a:ext cx="6143625" cy="13493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>
              <a:latin typeface="Arial" pitchFamily="34" charset="0"/>
              <a:cs typeface="Arial" pitchFamily="34" charset="0"/>
            </a:rPr>
            <a:t>         </a:t>
          </a:r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0.57511</cdr:x>
      <cdr:y>0.69726</cdr:y>
    </cdr:from>
    <cdr:to>
      <cdr:x>0.67597</cdr:x>
      <cdr:y>0.77196</cdr:y>
    </cdr:to>
    <cdr:sp macro="" textlink="">
      <cdr:nvSpPr>
        <cdr:cNvPr id="4" name="TextBox 3"/>
        <cdr:cNvSpPr txBox="1"/>
      </cdr:nvSpPr>
      <cdr:spPr>
        <a:xfrm xmlns:a="http://schemas.openxmlformats.org/drawingml/2006/main">
          <a:off x="4451770" y="5630536"/>
          <a:ext cx="780745" cy="603223"/>
        </a:xfrm>
        <a:prstGeom xmlns:a="http://schemas.openxmlformats.org/drawingml/2006/main" prst="rect">
          <a:avLst/>
        </a:prstGeom>
        <a:ln xmlns:a="http://schemas.openxmlformats.org/drawingml/2006/main" w="9525">
          <a:noFill/>
          <a:prstDash val="lgDash"/>
        </a:ln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 baseline="0"/>
            <a:t> </a:t>
          </a:r>
          <a:r>
            <a:rPr lang="en-US" sz="2000" baseline="0">
              <a:latin typeface="Arial" panose="020B0604020202020204" pitchFamily="34" charset="0"/>
              <a:cs typeface="Arial" panose="020B0604020202020204" pitchFamily="34" charset="0"/>
            </a:rPr>
            <a:t>Dww</a:t>
          </a:r>
          <a:endParaRPr lang="ru-RU" sz="2000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0.06787</cdr:x>
      <cdr:y>0.04952</cdr:y>
    </cdr:from>
    <cdr:to>
      <cdr:x>0.91183</cdr:x>
      <cdr:y>0.18023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565265" y="399887"/>
          <a:ext cx="7028583" cy="105551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algn="l"/>
          <a:r>
            <a:rPr lang="en-US" sz="2000">
              <a:latin typeface="Arial" pitchFamily="34" charset="0"/>
              <a:cs typeface="Arial" pitchFamily="34" charset="0"/>
            </a:rPr>
            <a:t>  </a:t>
          </a:r>
          <a:r>
            <a:rPr lang="ru-RU" sz="2000">
              <a:latin typeface="Arial" pitchFamily="34" charset="0"/>
              <a:cs typeface="Arial" pitchFamily="34" charset="0"/>
            </a:rPr>
            <a:t>РЕГРЕССИЯ БАЗИСНЫХ ДЕФЛЯТОРОВ ИНВЕСТИЦИЙ</a:t>
          </a:r>
        </a:p>
        <a:p xmlns:a="http://schemas.openxmlformats.org/drawingml/2006/main">
          <a:pPr algn="l"/>
          <a:r>
            <a:rPr lang="ru-RU" sz="2000">
              <a:latin typeface="Arial" pitchFamily="34" charset="0"/>
              <a:cs typeface="Arial" pitchFamily="34" charset="0"/>
            </a:rPr>
            <a:t>  И</a:t>
          </a:r>
          <a:r>
            <a:rPr lang="ru-RU" sz="2000" baseline="0">
              <a:latin typeface="Arial" pitchFamily="34" charset="0"/>
              <a:cs typeface="Arial" pitchFamily="34" charset="0"/>
            </a:rPr>
            <a:t> ВВОДОВ </a:t>
          </a:r>
          <a:r>
            <a:rPr lang="ru-RU" sz="2000">
              <a:latin typeface="Arial" pitchFamily="34" charset="0"/>
              <a:cs typeface="Arial" pitchFamily="34" charset="0"/>
            </a:rPr>
            <a:t>ОТ БАЗИСНОГО ИНДЕКСА</a:t>
          </a:r>
        </a:p>
        <a:p xmlns:a="http://schemas.openxmlformats.org/drawingml/2006/main">
          <a:pPr algn="l"/>
          <a:r>
            <a:rPr lang="ru-RU" sz="2000">
              <a:latin typeface="Arial" pitchFamily="34" charset="0"/>
              <a:cs typeface="Arial" pitchFamily="34" charset="0"/>
            </a:rPr>
            <a:t> </a:t>
          </a:r>
          <a:r>
            <a:rPr lang="en-US" sz="2000">
              <a:latin typeface="Arial" pitchFamily="34" charset="0"/>
              <a:cs typeface="Arial" pitchFamily="34" charset="0"/>
            </a:rPr>
            <a:t> </a:t>
          </a:r>
          <a:r>
            <a:rPr lang="ru-RU" sz="2000">
              <a:latin typeface="Arial" pitchFamily="34" charset="0"/>
              <a:cs typeface="Arial" pitchFamily="34" charset="0"/>
            </a:rPr>
            <a:t>ПОТРЕБИТЕЛЬСКИХ ЦЕН</a:t>
          </a:r>
        </a:p>
        <a:p xmlns:a="http://schemas.openxmlformats.org/drawingml/2006/main">
          <a:r>
            <a:rPr lang="ru-RU" sz="2000">
              <a:latin typeface="Arial" pitchFamily="34" charset="0"/>
              <a:cs typeface="Arial" pitchFamily="34" charset="0"/>
            </a:rPr>
            <a:t>                     </a:t>
          </a:r>
        </a:p>
      </cdr:txBody>
    </cdr:sp>
  </cdr:relSizeAnchor>
</c:userShapes>
</file>

<file path=xl/drawings/drawing18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10</xdr:col>
      <xdr:colOff>372341</xdr:colOff>
      <xdr:row>28</xdr:row>
      <xdr:rowOff>129021</xdr:rowOff>
    </xdr:to>
    <xdr:pic>
      <xdr:nvPicPr>
        <xdr:cNvPr id="1033" name="Picture 9">
          <a:extLst>
            <a:ext uri="{FF2B5EF4-FFF2-40B4-BE49-F238E27FC236}">
              <a16:creationId xmlns:a16="http://schemas.microsoft.com/office/drawing/2014/main" id="{00000000-0008-0000-0900-000009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06136" y="1151659"/>
          <a:ext cx="5827569" cy="4423930"/>
        </a:xfrm>
        <a:prstGeom prst="rect">
          <a:avLst/>
        </a:prstGeom>
        <a:noFill/>
      </xdr:spPr>
    </xdr:pic>
    <xdr:clientData/>
  </xdr:twoCellAnchor>
</xdr:wsDr>
</file>

<file path=xl/drawings/drawing182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119063</xdr:colOff>
      <xdr:row>6</xdr:row>
      <xdr:rowOff>52387</xdr:rowOff>
    </xdr:from>
    <xdr:to>
      <xdr:col>33</xdr:col>
      <xdr:colOff>7143</xdr:colOff>
      <xdr:row>43</xdr:row>
      <xdr:rowOff>185737</xdr:rowOff>
    </xdr:to>
    <xdr:graphicFrame macro="">
      <xdr:nvGraphicFramePr>
        <xdr:cNvPr id="3" name="Chart 21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3.xml><?xml version="1.0" encoding="utf-8"?>
<c:userShapes xmlns:c="http://schemas.openxmlformats.org/drawingml/2006/chart">
  <cdr:relSizeAnchor xmlns:cdr="http://schemas.openxmlformats.org/drawingml/2006/chartDrawing">
    <cdr:from>
      <cdr:x>0.5075</cdr:x>
      <cdr:y>0.40712</cdr:y>
    </cdr:from>
    <cdr:to>
      <cdr:x>0.63079</cdr:x>
      <cdr:y>0.4739</cdr:y>
    </cdr:to>
    <cdr:sp macro="" textlink="">
      <cdr:nvSpPr>
        <cdr:cNvPr id="276481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915889" y="2113103"/>
          <a:ext cx="763556" cy="36437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32004" rIns="36576" bIns="32004" anchor="ctr" upright="1"/>
        <a:lstStyle xmlns:a="http://schemas.openxmlformats.org/drawingml/2006/main"/>
        <a:p xmlns:a="http://schemas.openxmlformats.org/drawingml/2006/main">
          <a:endParaRPr lang="ru-RU"/>
        </a:p>
      </cdr:txBody>
    </cdr:sp>
  </cdr:relSizeAnchor>
  <cdr:relSizeAnchor xmlns:cdr="http://schemas.openxmlformats.org/drawingml/2006/chartDrawing">
    <cdr:from>
      <cdr:x>0.2114</cdr:x>
      <cdr:y>0.08996</cdr:y>
    </cdr:from>
    <cdr:to>
      <cdr:x>0.92428</cdr:x>
      <cdr:y>0.15904</cdr:y>
    </cdr:to>
    <cdr:sp macro="" textlink="">
      <cdr:nvSpPr>
        <cdr:cNvPr id="276485" name="Text Box 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213351" y="459530"/>
          <a:ext cx="4914082" cy="46318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22860" rIns="36576" bIns="22860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ru-RU" sz="1600" b="0" i="0" strike="noStrike">
              <a:solidFill>
                <a:srgbClr val="000000"/>
              </a:solidFill>
              <a:latin typeface="Arial Cyr"/>
            </a:rPr>
            <a:t>РАЗНОСТЬ ПОКАЗАТЕЛЕЙ </a:t>
          </a:r>
          <a:r>
            <a:rPr lang="en-US" sz="1600" b="0" i="0" strike="noStrike">
              <a:solidFill>
                <a:srgbClr val="000000"/>
              </a:solidFill>
              <a:latin typeface="Arial Cyr"/>
            </a:rPr>
            <a:t>YD,</a:t>
          </a:r>
          <a:r>
            <a:rPr lang="en-US" sz="1600" b="0" i="0" strike="noStrike" baseline="0">
              <a:solidFill>
                <a:srgbClr val="000000"/>
              </a:solidFill>
              <a:latin typeface="Arial Cyr"/>
            </a:rPr>
            <a:t> WWP, RBJ</a:t>
          </a:r>
          <a:endParaRPr lang="ru-RU" sz="1600" b="0" i="0" strike="noStrike">
            <a:solidFill>
              <a:srgbClr val="000000"/>
            </a:solidFill>
            <a:latin typeface="Arial Cyr"/>
          </a:endParaRPr>
        </a:p>
      </cdr:txBody>
    </cdr:sp>
  </cdr:relSizeAnchor>
  <cdr:relSizeAnchor xmlns:cdr="http://schemas.openxmlformats.org/drawingml/2006/chartDrawing">
    <cdr:from>
      <cdr:x>0.30878</cdr:x>
      <cdr:y>0.4955</cdr:y>
    </cdr:from>
    <cdr:to>
      <cdr:x>0.45752</cdr:x>
      <cdr:y>0.56055</cdr:y>
    </cdr:to>
    <cdr:sp macro="" textlink="">
      <cdr:nvSpPr>
        <cdr:cNvPr id="2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394857" y="3920844"/>
          <a:ext cx="1301063" cy="53672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32004" rIns="36576" bIns="32004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endParaRPr lang="ru-RU" sz="1600" b="0" i="0" strike="noStrike">
            <a:solidFill>
              <a:srgbClr val="000000"/>
            </a:solidFill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0.25501</cdr:x>
      <cdr:y>0.77105</cdr:y>
    </cdr:from>
    <cdr:to>
      <cdr:x>0.38861</cdr:x>
      <cdr:y>0.82112</cdr:y>
    </cdr:to>
    <cdr:sp macro="" textlink="">
      <cdr:nvSpPr>
        <cdr:cNvPr id="3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894796" y="6268306"/>
          <a:ext cx="1154645" cy="41866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22860" rIns="36576" bIns="22860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ru-RU" sz="1600" b="0" i="0" strike="noStrike">
              <a:solidFill>
                <a:srgbClr val="000000"/>
              </a:solidFill>
              <a:latin typeface="Arial Cyr"/>
            </a:rPr>
            <a:t>отчёт</a:t>
          </a:r>
          <a:r>
            <a:rPr lang="ru-RU" sz="1400" b="0" i="0" strike="noStrike">
              <a:solidFill>
                <a:srgbClr val="000000"/>
              </a:solidFill>
              <a:latin typeface="Arial Cyr"/>
            </a:rPr>
            <a:t> </a:t>
          </a:r>
        </a:p>
      </cdr:txBody>
    </cdr:sp>
  </cdr:relSizeAnchor>
  <cdr:relSizeAnchor xmlns:cdr="http://schemas.openxmlformats.org/drawingml/2006/chartDrawing">
    <cdr:from>
      <cdr:x>0.69274</cdr:x>
      <cdr:y>0.77164</cdr:y>
    </cdr:from>
    <cdr:to>
      <cdr:x>0.85261</cdr:x>
      <cdr:y>0.81705</cdr:y>
    </cdr:to>
    <cdr:sp macro="" textlink="">
      <cdr:nvSpPr>
        <cdr:cNvPr id="4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672721" y="6274829"/>
          <a:ext cx="1381839" cy="38061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22860" rIns="36576" bIns="22860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ru-RU" sz="1600" b="0" i="0" strike="noStrike">
              <a:solidFill>
                <a:srgbClr val="000000"/>
              </a:solidFill>
              <a:latin typeface="Arial Cyr"/>
            </a:rPr>
            <a:t>прогноз</a:t>
          </a:r>
        </a:p>
      </cdr:txBody>
    </cdr:sp>
  </cdr:relSizeAnchor>
  <cdr:relSizeAnchor xmlns:cdr="http://schemas.openxmlformats.org/drawingml/2006/chartDrawing">
    <cdr:from>
      <cdr:x>0.17645</cdr:x>
      <cdr:y>0.37705</cdr:y>
    </cdr:from>
    <cdr:to>
      <cdr:x>0.61963</cdr:x>
      <cdr:y>0.4247</cdr:y>
    </cdr:to>
    <cdr:sp macro="" textlink="">
      <cdr:nvSpPr>
        <cdr:cNvPr id="28170246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490563" y="2879920"/>
          <a:ext cx="3735884" cy="36352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36576" tIns="32004" rIns="36576" bIns="32004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endParaRPr lang="ru-RU" sz="1575" b="0" i="0" strike="noStrike">
            <a:solidFill>
              <a:srgbClr val="000000"/>
            </a:solidFill>
            <a:latin typeface="Arial Cyr"/>
          </a:endParaRPr>
        </a:p>
      </cdr:txBody>
    </cdr:sp>
  </cdr:relSizeAnchor>
  <cdr:relSizeAnchor xmlns:cdr="http://schemas.openxmlformats.org/drawingml/2006/chartDrawing">
    <cdr:from>
      <cdr:x>0.12094</cdr:x>
      <cdr:y>0.09021</cdr:y>
    </cdr:from>
    <cdr:to>
      <cdr:x>0.95368</cdr:x>
      <cdr:y>0.24099</cdr:y>
    </cdr:to>
    <cdr:sp macro="" textlink="">
      <cdr:nvSpPr>
        <cdr:cNvPr id="6" name="Text Box 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44100" y="440644"/>
          <a:ext cx="5310514" cy="966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22860" rIns="36576" bIns="22860" anchor="ctr" upright="1"/>
        <a:lstStyle xmlns:a="http://schemas.openxmlformats.org/drawingml/2006/main"/>
        <a:p xmlns:a="http://schemas.openxmlformats.org/drawingml/2006/main">
          <a:endParaRPr lang="ru-RU"/>
        </a:p>
      </cdr:txBody>
    </cdr:sp>
  </cdr:relSizeAnchor>
  <cdr:relSizeAnchor xmlns:cdr="http://schemas.openxmlformats.org/drawingml/2006/chartDrawing">
    <cdr:from>
      <cdr:x>0.60676</cdr:x>
      <cdr:y>0.48832</cdr:y>
    </cdr:from>
    <cdr:to>
      <cdr:x>0.71139</cdr:x>
      <cdr:y>0.53153</cdr:y>
    </cdr:to>
    <cdr:sp macro="" textlink="">
      <cdr:nvSpPr>
        <cdr:cNvPr id="16" name="TextBox 15"/>
        <cdr:cNvSpPr txBox="1"/>
      </cdr:nvSpPr>
      <cdr:spPr>
        <a:xfrm xmlns:a="http://schemas.openxmlformats.org/drawingml/2006/main">
          <a:off x="5058884" y="3793900"/>
          <a:ext cx="872358" cy="3357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/>
        <a:p xmlns:a="http://schemas.openxmlformats.org/drawingml/2006/main">
          <a:endParaRPr lang="ru-RU" sz="1800">
            <a:latin typeface="Arial" pitchFamily="34" charset="0"/>
            <a:cs typeface="Arial" pitchFamily="34" charset="0"/>
          </a:endParaRPr>
        </a:p>
      </cdr:txBody>
    </cdr:sp>
  </cdr:relSizeAnchor>
</c:userShapes>
</file>

<file path=xl/drawings/drawing184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119063</xdr:colOff>
      <xdr:row>4</xdr:row>
      <xdr:rowOff>52387</xdr:rowOff>
    </xdr:from>
    <xdr:to>
      <xdr:col>33</xdr:col>
      <xdr:colOff>7143</xdr:colOff>
      <xdr:row>41</xdr:row>
      <xdr:rowOff>185737</xdr:rowOff>
    </xdr:to>
    <xdr:graphicFrame macro="">
      <xdr:nvGraphicFramePr>
        <xdr:cNvPr id="2" name="Chart 2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5.xml><?xml version="1.0" encoding="utf-8"?>
<c:userShapes xmlns:c="http://schemas.openxmlformats.org/drawingml/2006/chart">
  <cdr:relSizeAnchor xmlns:cdr="http://schemas.openxmlformats.org/drawingml/2006/chartDrawing">
    <cdr:from>
      <cdr:x>0.5075</cdr:x>
      <cdr:y>0.40712</cdr:y>
    </cdr:from>
    <cdr:to>
      <cdr:x>0.63079</cdr:x>
      <cdr:y>0.4739</cdr:y>
    </cdr:to>
    <cdr:sp macro="" textlink="">
      <cdr:nvSpPr>
        <cdr:cNvPr id="276481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915889" y="2113103"/>
          <a:ext cx="763556" cy="36437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32004" rIns="36576" bIns="32004" anchor="ctr" upright="1"/>
        <a:lstStyle xmlns:a="http://schemas.openxmlformats.org/drawingml/2006/main"/>
        <a:p xmlns:a="http://schemas.openxmlformats.org/drawingml/2006/main">
          <a:endParaRPr lang="ru-RU"/>
        </a:p>
      </cdr:txBody>
    </cdr:sp>
  </cdr:relSizeAnchor>
  <cdr:relSizeAnchor xmlns:cdr="http://schemas.openxmlformats.org/drawingml/2006/chartDrawing">
    <cdr:from>
      <cdr:x>0.2114</cdr:x>
      <cdr:y>0.08996</cdr:y>
    </cdr:from>
    <cdr:to>
      <cdr:x>0.86406</cdr:x>
      <cdr:y>0.15904</cdr:y>
    </cdr:to>
    <cdr:sp macro="" textlink="">
      <cdr:nvSpPr>
        <cdr:cNvPr id="276485" name="Text Box 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788567" y="690147"/>
          <a:ext cx="5521870" cy="52996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22860" rIns="36576" bIns="22860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ru-RU" sz="1600" b="0" i="0" strike="noStrike">
              <a:solidFill>
                <a:srgbClr val="000000"/>
              </a:solidFill>
              <a:latin typeface="Arial Cyr"/>
            </a:rPr>
            <a:t>РАЗНОСТЬ ПОКАЗАТЕЛЕЙ </a:t>
          </a:r>
          <a:r>
            <a:rPr lang="en-US" sz="1600" b="0" i="0" strike="noStrike">
              <a:solidFill>
                <a:srgbClr val="000000"/>
              </a:solidFill>
              <a:latin typeface="Arial Cyr"/>
            </a:rPr>
            <a:t>YD,</a:t>
          </a:r>
          <a:r>
            <a:rPr lang="en-US" sz="1600" b="0" i="0" strike="noStrike" baseline="0">
              <a:solidFill>
                <a:srgbClr val="000000"/>
              </a:solidFill>
              <a:latin typeface="Arial Cyr"/>
            </a:rPr>
            <a:t> DH, WWP, RBJ </a:t>
          </a:r>
          <a:r>
            <a:rPr lang="ru-RU" sz="1600" b="0" i="0" strike="noStrike" baseline="0">
              <a:solidFill>
                <a:srgbClr val="000000"/>
              </a:solidFill>
              <a:latin typeface="Arial Cyr"/>
            </a:rPr>
            <a:t>в %%</a:t>
          </a:r>
          <a:endParaRPr lang="ru-RU" sz="1600" b="0" i="0" strike="noStrike">
            <a:solidFill>
              <a:srgbClr val="000000"/>
            </a:solidFill>
            <a:latin typeface="Arial Cyr"/>
          </a:endParaRPr>
        </a:p>
      </cdr:txBody>
    </cdr:sp>
  </cdr:relSizeAnchor>
  <cdr:relSizeAnchor xmlns:cdr="http://schemas.openxmlformats.org/drawingml/2006/chartDrawing">
    <cdr:from>
      <cdr:x>0.30878</cdr:x>
      <cdr:y>0.4955</cdr:y>
    </cdr:from>
    <cdr:to>
      <cdr:x>0.45752</cdr:x>
      <cdr:y>0.56055</cdr:y>
    </cdr:to>
    <cdr:sp macro="" textlink="">
      <cdr:nvSpPr>
        <cdr:cNvPr id="2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394857" y="3920844"/>
          <a:ext cx="1301063" cy="53672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32004" rIns="36576" bIns="32004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endParaRPr lang="ru-RU" sz="1600" b="0" i="0" strike="noStrike">
            <a:solidFill>
              <a:srgbClr val="000000"/>
            </a:solidFill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0.17645</cdr:x>
      <cdr:y>0.37705</cdr:y>
    </cdr:from>
    <cdr:to>
      <cdr:x>0.61963</cdr:x>
      <cdr:y>0.4247</cdr:y>
    </cdr:to>
    <cdr:sp macro="" textlink="">
      <cdr:nvSpPr>
        <cdr:cNvPr id="28170246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490563" y="2879920"/>
          <a:ext cx="3735884" cy="36352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36576" tIns="32004" rIns="36576" bIns="32004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endParaRPr lang="ru-RU" sz="1575" b="0" i="0" strike="noStrike">
            <a:solidFill>
              <a:srgbClr val="000000"/>
            </a:solidFill>
            <a:latin typeface="Arial Cyr"/>
          </a:endParaRPr>
        </a:p>
      </cdr:txBody>
    </cdr:sp>
  </cdr:relSizeAnchor>
  <cdr:relSizeAnchor xmlns:cdr="http://schemas.openxmlformats.org/drawingml/2006/chartDrawing">
    <cdr:from>
      <cdr:x>0.12094</cdr:x>
      <cdr:y>0.09021</cdr:y>
    </cdr:from>
    <cdr:to>
      <cdr:x>0.95368</cdr:x>
      <cdr:y>0.24099</cdr:y>
    </cdr:to>
    <cdr:sp macro="" textlink="">
      <cdr:nvSpPr>
        <cdr:cNvPr id="6" name="Text Box 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44100" y="440644"/>
          <a:ext cx="5310514" cy="966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22860" rIns="36576" bIns="22860" anchor="ctr" upright="1"/>
        <a:lstStyle xmlns:a="http://schemas.openxmlformats.org/drawingml/2006/main"/>
        <a:p xmlns:a="http://schemas.openxmlformats.org/drawingml/2006/main">
          <a:endParaRPr lang="ru-RU"/>
        </a:p>
      </cdr:txBody>
    </cdr:sp>
  </cdr:relSizeAnchor>
  <cdr:relSizeAnchor xmlns:cdr="http://schemas.openxmlformats.org/drawingml/2006/chartDrawing">
    <cdr:from>
      <cdr:x>0.60676</cdr:x>
      <cdr:y>0.48832</cdr:y>
    </cdr:from>
    <cdr:to>
      <cdr:x>0.71139</cdr:x>
      <cdr:y>0.53153</cdr:y>
    </cdr:to>
    <cdr:sp macro="" textlink="">
      <cdr:nvSpPr>
        <cdr:cNvPr id="16" name="TextBox 15"/>
        <cdr:cNvSpPr txBox="1"/>
      </cdr:nvSpPr>
      <cdr:spPr>
        <a:xfrm xmlns:a="http://schemas.openxmlformats.org/drawingml/2006/main">
          <a:off x="5058884" y="3793900"/>
          <a:ext cx="872358" cy="3357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/>
        <a:p xmlns:a="http://schemas.openxmlformats.org/drawingml/2006/main">
          <a:endParaRPr lang="ru-RU" sz="1800">
            <a:latin typeface="Arial" pitchFamily="34" charset="0"/>
            <a:cs typeface="Arial" pitchFamily="34" charset="0"/>
          </a:endParaRPr>
        </a:p>
      </cdr:txBody>
    </cdr:sp>
  </cdr:relSizeAnchor>
</c:userShape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Стандартная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Стандартная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Стандартная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Стандартная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Стандартная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Стандартная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8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6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0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50.xml"/><Relationship Id="rId2" Type="http://schemas.openxmlformats.org/officeDocument/2006/relationships/printerSettings" Target="../printerSettings/printerSettings7.bin"/><Relationship Id="rId1" Type="http://schemas.openxmlformats.org/officeDocument/2006/relationships/hyperlink" Target="http://www.gks.ru/wps/wcm/connect/rosstat_main/rosstat/ru/statistics/population/level/" TargetMode="Externa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3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1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2.xml"/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4.xml"/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ZP481"/>
  <sheetViews>
    <sheetView tabSelected="1" topLeftCell="KS10" zoomScale="61" zoomScaleNormal="61" workbookViewId="0">
      <selection activeCell="KI11" sqref="KI11"/>
    </sheetView>
  </sheetViews>
  <sheetFormatPr defaultRowHeight="14.4"/>
  <cols>
    <col min="5" max="5" width="9.5546875" bestFit="1" customWidth="1"/>
    <col min="6" max="6" width="10.6640625" bestFit="1" customWidth="1"/>
    <col min="7" max="8" width="12" customWidth="1"/>
    <col min="9" max="10" width="10.5546875" customWidth="1"/>
    <col min="11" max="11" width="11.33203125" customWidth="1"/>
    <col min="12" max="12" width="11.44140625" customWidth="1"/>
    <col min="29" max="29" width="12.109375" customWidth="1"/>
    <col min="30" max="30" width="11.6640625" customWidth="1"/>
    <col min="31" max="31" width="9.88671875" bestFit="1" customWidth="1"/>
    <col min="32" max="32" width="10.6640625" customWidth="1"/>
    <col min="50" max="50" width="10.109375" customWidth="1"/>
    <col min="51" max="51" width="12" customWidth="1"/>
    <col min="52" max="52" width="11.5546875" bestFit="1" customWidth="1"/>
    <col min="53" max="53" width="10.44140625" customWidth="1"/>
    <col min="54" max="54" width="11.44140625" customWidth="1"/>
    <col min="70" max="70" width="10.6640625" bestFit="1" customWidth="1"/>
    <col min="71" max="72" width="10.6640625" customWidth="1"/>
    <col min="73" max="73" width="10.109375" bestFit="1" customWidth="1"/>
    <col min="74" max="74" width="11.5546875" bestFit="1" customWidth="1"/>
    <col min="75" max="75" width="11.33203125" customWidth="1"/>
    <col min="76" max="76" width="10.6640625" bestFit="1" customWidth="1"/>
    <col min="77" max="77" width="12" customWidth="1"/>
    <col min="81" max="81" width="10.109375" customWidth="1"/>
    <col min="91" max="91" width="10.33203125" bestFit="1" customWidth="1"/>
    <col min="92" max="93" width="10.88671875" bestFit="1" customWidth="1"/>
    <col min="94" max="96" width="10.88671875" customWidth="1"/>
    <col min="97" max="97" width="10.33203125" bestFit="1" customWidth="1"/>
    <col min="98" max="98" width="13" bestFit="1" customWidth="1"/>
    <col min="113" max="113" width="10.33203125" bestFit="1" customWidth="1"/>
    <col min="114" max="114" width="9.88671875" bestFit="1" customWidth="1"/>
    <col min="115" max="115" width="10" bestFit="1" customWidth="1"/>
    <col min="118" max="118" width="11.5546875" bestFit="1" customWidth="1"/>
    <col min="119" max="119" width="13" bestFit="1" customWidth="1"/>
    <col min="120" max="120" width="12.109375" customWidth="1"/>
    <col min="121" max="134" width="14.44140625" bestFit="1" customWidth="1"/>
    <col min="135" max="135" width="11.88671875" customWidth="1"/>
    <col min="136" max="143" width="14.44140625" bestFit="1" customWidth="1"/>
    <col min="157" max="157" width="11.44140625" customWidth="1"/>
    <col min="158" max="158" width="12.5546875" customWidth="1"/>
    <col min="180" max="180" width="11.6640625" customWidth="1"/>
    <col min="224" max="224" width="8.88671875" customWidth="1"/>
    <col min="225" max="225" width="11.6640625" customWidth="1"/>
    <col min="270" max="271" width="12.21875" customWidth="1"/>
    <col min="383" max="383" width="10.88671875" customWidth="1"/>
    <col min="385" max="385" width="9.77734375" customWidth="1"/>
    <col min="386" max="386" width="15" customWidth="1"/>
    <col min="387" max="387" width="10.33203125" customWidth="1"/>
    <col min="388" max="389" width="10.5546875" customWidth="1"/>
    <col min="390" max="390" width="10.33203125" customWidth="1"/>
    <col min="409" max="409" width="11.109375" customWidth="1"/>
    <col min="410" max="410" width="11.44140625" customWidth="1"/>
    <col min="480" max="480" width="11.77734375" customWidth="1"/>
    <col min="544" max="544" width="11.44140625" customWidth="1"/>
    <col min="545" max="545" width="10.5546875" customWidth="1"/>
  </cols>
  <sheetData>
    <row r="2" spans="2:692" ht="23.4">
      <c r="B2" s="2601" t="s">
        <v>2193</v>
      </c>
      <c r="C2" s="2602"/>
      <c r="D2" s="2602"/>
      <c r="E2" s="2602"/>
      <c r="F2" s="2602"/>
      <c r="G2" s="2602"/>
      <c r="H2" s="2602"/>
      <c r="I2" s="2602"/>
      <c r="J2" s="2602"/>
      <c r="K2" s="2602"/>
      <c r="L2" s="2602"/>
      <c r="M2" s="2602"/>
      <c r="N2" s="2602"/>
      <c r="O2" s="2602"/>
      <c r="P2" s="2603"/>
    </row>
    <row r="3" spans="2:692" ht="23.4">
      <c r="B3" s="2604" t="s">
        <v>2194</v>
      </c>
      <c r="C3" s="2605"/>
      <c r="D3" s="2605"/>
      <c r="E3" s="2605"/>
      <c r="F3" s="2605"/>
      <c r="G3" s="2605"/>
      <c r="H3" s="2605"/>
      <c r="I3" s="2605"/>
      <c r="J3" s="2605"/>
      <c r="K3" s="2605"/>
      <c r="L3" s="2605"/>
      <c r="M3" s="2605"/>
      <c r="N3" s="2605"/>
      <c r="O3" s="2605"/>
      <c r="P3" s="2606"/>
    </row>
    <row r="4" spans="2:692" ht="20.399999999999999">
      <c r="B4" s="2598" t="s">
        <v>2147</v>
      </c>
      <c r="C4" s="2599"/>
      <c r="D4" s="2599"/>
      <c r="E4" s="2599"/>
      <c r="F4" s="2599"/>
      <c r="G4" s="2599"/>
      <c r="H4" s="2599"/>
      <c r="I4" s="2599"/>
      <c r="J4" s="2599"/>
      <c r="K4" s="2599"/>
      <c r="L4" s="2599"/>
      <c r="M4" s="2600"/>
    </row>
    <row r="5" spans="2:692" ht="28.8">
      <c r="B5" s="2590" t="s">
        <v>2148</v>
      </c>
      <c r="C5" s="2591"/>
      <c r="D5" s="2591"/>
      <c r="E5" s="2591"/>
      <c r="F5" s="2591"/>
      <c r="G5" s="2591"/>
      <c r="H5" s="2591"/>
      <c r="I5" s="2591"/>
      <c r="J5" s="2591"/>
      <c r="K5" s="2591"/>
      <c r="L5" s="2591"/>
      <c r="M5" s="2592"/>
      <c r="BE5" t="s">
        <v>2274</v>
      </c>
      <c r="ZE5" s="2618" t="s">
        <v>2199</v>
      </c>
    </row>
    <row r="6" spans="2:692" ht="20.399999999999999">
      <c r="B6" s="2589" t="s">
        <v>2161</v>
      </c>
      <c r="C6" s="682"/>
      <c r="D6" s="682"/>
      <c r="E6" s="682"/>
      <c r="F6" s="682"/>
      <c r="G6" s="682"/>
      <c r="ZE6" s="2585" t="s">
        <v>2147</v>
      </c>
      <c r="ZF6" s="774"/>
      <c r="ZG6" s="774"/>
      <c r="ZH6" s="774"/>
      <c r="ZI6" s="774"/>
      <c r="ZJ6" s="774"/>
      <c r="ZK6" s="774"/>
      <c r="ZL6" s="774"/>
      <c r="ZM6" s="774"/>
      <c r="ZN6" s="774"/>
      <c r="ZO6" s="774"/>
      <c r="ZP6" s="776"/>
    </row>
    <row r="7" spans="2:692" ht="20.399999999999999">
      <c r="B7" s="2589" t="s">
        <v>2162</v>
      </c>
      <c r="C7" s="682"/>
      <c r="D7" s="682"/>
      <c r="E7" s="682"/>
      <c r="F7" s="682"/>
      <c r="G7" s="682"/>
      <c r="ZE7" s="2586" t="s">
        <v>2148</v>
      </c>
      <c r="ZF7" s="765"/>
      <c r="ZG7" s="765"/>
      <c r="ZH7" s="765"/>
      <c r="ZI7" s="765"/>
      <c r="ZJ7" s="765"/>
      <c r="ZK7" s="765"/>
      <c r="ZL7" s="765"/>
      <c r="ZM7" s="765"/>
      <c r="ZN7" s="765"/>
      <c r="ZO7" s="765"/>
      <c r="ZP7" s="777"/>
    </row>
    <row r="8" spans="2:692" ht="20.399999999999999">
      <c r="B8" s="2589" t="s">
        <v>2163</v>
      </c>
      <c r="C8" s="682"/>
      <c r="D8" s="682"/>
      <c r="E8" s="682"/>
      <c r="F8" s="682"/>
      <c r="G8" s="682"/>
      <c r="ZE8" s="2587" t="s">
        <v>2149</v>
      </c>
      <c r="ZF8" s="765"/>
      <c r="ZG8" s="765"/>
      <c r="ZH8" s="765"/>
      <c r="ZI8" s="765"/>
      <c r="ZJ8" s="765"/>
      <c r="ZK8" s="765"/>
      <c r="ZL8" s="765"/>
      <c r="ZM8" s="765"/>
      <c r="ZN8" s="765"/>
      <c r="ZO8" s="765"/>
      <c r="ZP8" s="777"/>
    </row>
    <row r="9" spans="2:692" ht="17.25" customHeight="1">
      <c r="B9" s="2589" t="s">
        <v>2195</v>
      </c>
      <c r="C9" s="682"/>
      <c r="D9" s="682"/>
      <c r="E9" s="682"/>
      <c r="F9" s="682"/>
      <c r="G9" s="682"/>
      <c r="K9" s="2068"/>
      <c r="L9" s="2068"/>
      <c r="M9" s="2068"/>
      <c r="N9" s="2068"/>
      <c r="O9" s="2068"/>
      <c r="P9" s="2068"/>
      <c r="Q9" s="2068"/>
      <c r="R9" s="2068"/>
      <c r="S9" s="2068"/>
      <c r="T9" s="2068"/>
      <c r="U9" s="2068"/>
      <c r="V9" s="2068"/>
      <c r="W9" s="2068"/>
      <c r="X9" s="2068"/>
      <c r="AD9" s="24"/>
      <c r="AE9" s="24"/>
      <c r="AF9" s="24"/>
      <c r="AG9" s="24"/>
      <c r="AH9" s="24"/>
      <c r="AI9" s="24"/>
      <c r="AJ9" s="24"/>
      <c r="AK9" s="24"/>
      <c r="AL9" s="24"/>
      <c r="AM9" s="24"/>
      <c r="AN9" s="24"/>
      <c r="AO9" s="24"/>
      <c r="AP9" s="24"/>
      <c r="AQ9" s="24"/>
      <c r="BC9" s="2068"/>
      <c r="BD9" s="2068"/>
      <c r="BE9" s="2068"/>
      <c r="BF9" s="2068"/>
      <c r="BG9" s="2068"/>
      <c r="BH9" s="2068"/>
      <c r="BI9" s="2068"/>
      <c r="BJ9" s="2068"/>
      <c r="BK9" s="2068"/>
      <c r="BL9" s="2068"/>
      <c r="BM9" s="2068"/>
      <c r="BN9" s="2068"/>
      <c r="BO9" s="2068"/>
      <c r="BP9" s="2068"/>
      <c r="BV9" s="24"/>
      <c r="BW9" s="24"/>
      <c r="BX9" s="24"/>
      <c r="BY9" s="24"/>
      <c r="BZ9" s="24"/>
      <c r="CA9" s="24"/>
      <c r="CB9" s="24"/>
      <c r="CC9" s="24"/>
      <c r="CD9" s="24"/>
      <c r="CE9" s="24"/>
      <c r="CF9" s="24"/>
      <c r="CG9" s="24"/>
      <c r="CH9" s="24"/>
      <c r="CI9" s="24"/>
      <c r="ZE9" s="2587" t="s">
        <v>2150</v>
      </c>
      <c r="ZF9" s="765"/>
      <c r="ZG9" s="765"/>
      <c r="ZH9" s="765"/>
      <c r="ZI9" s="765"/>
      <c r="ZJ9" s="765"/>
      <c r="ZK9" s="765"/>
      <c r="ZL9" s="765"/>
      <c r="ZM9" s="765"/>
      <c r="ZN9" s="765"/>
      <c r="ZO9" s="765"/>
      <c r="ZP9" s="777"/>
    </row>
    <row r="10" spans="2:692" ht="21" thickBot="1">
      <c r="K10" s="6"/>
      <c r="L10" s="6"/>
      <c r="M10" s="6"/>
      <c r="N10" s="6"/>
      <c r="O10" s="6"/>
      <c r="P10" s="6"/>
      <c r="Q10" s="6"/>
      <c r="R10" s="6"/>
      <c r="S10" s="6"/>
      <c r="T10" s="6"/>
      <c r="AD10" s="52"/>
      <c r="AE10" s="24"/>
      <c r="AF10" s="24"/>
      <c r="AG10" s="24"/>
      <c r="AH10" s="24"/>
      <c r="AI10" s="24"/>
      <c r="AJ10" s="24"/>
      <c r="AK10" s="24"/>
      <c r="AL10" s="24"/>
      <c r="AM10" s="24"/>
      <c r="AN10" s="24"/>
      <c r="AO10" s="24"/>
      <c r="AP10" s="24"/>
      <c r="AQ10" s="24"/>
      <c r="BC10" s="6"/>
      <c r="BD10" s="6"/>
      <c r="BE10" s="6"/>
      <c r="BF10" s="6"/>
      <c r="BG10" s="6"/>
      <c r="BH10" s="6"/>
      <c r="BI10" s="6"/>
      <c r="BJ10" s="6"/>
      <c r="BK10" s="6"/>
      <c r="BL10" s="6"/>
      <c r="BV10" s="52"/>
      <c r="BW10" s="24"/>
      <c r="BX10" s="24"/>
      <c r="BY10" s="24"/>
      <c r="BZ10" s="24"/>
      <c r="CA10" s="24"/>
      <c r="CB10" s="24"/>
      <c r="CC10" s="24"/>
      <c r="CD10" s="24"/>
      <c r="CE10" s="24"/>
      <c r="CF10" s="24"/>
      <c r="CG10" s="24"/>
      <c r="CH10" s="24"/>
      <c r="CI10" s="24"/>
      <c r="TX10" s="2748"/>
      <c r="ZE10" s="2587" t="s">
        <v>2151</v>
      </c>
      <c r="ZF10" s="765"/>
      <c r="ZG10" s="765"/>
      <c r="ZH10" s="765"/>
      <c r="ZI10" s="765"/>
      <c r="ZJ10" s="765"/>
      <c r="ZK10" s="765"/>
      <c r="ZL10" s="765"/>
      <c r="ZM10" s="765"/>
      <c r="ZN10" s="765"/>
      <c r="ZO10" s="765"/>
      <c r="ZP10" s="777"/>
    </row>
    <row r="11" spans="2:692" ht="21">
      <c r="G11" s="1602" t="s">
        <v>351</v>
      </c>
      <c r="H11" s="1591" t="s">
        <v>1922</v>
      </c>
      <c r="I11" s="2430" t="s">
        <v>1407</v>
      </c>
      <c r="K11" s="739"/>
      <c r="L11" s="739"/>
      <c r="M11" s="739"/>
      <c r="N11" s="739"/>
      <c r="O11" s="739"/>
      <c r="P11" s="739"/>
      <c r="Q11" s="739"/>
      <c r="R11" s="739"/>
      <c r="S11" s="739"/>
      <c r="T11" s="739"/>
      <c r="AD11" s="1602" t="s">
        <v>351</v>
      </c>
      <c r="AE11" s="1591" t="s">
        <v>692</v>
      </c>
      <c r="AF11" s="1603" t="s">
        <v>1904</v>
      </c>
      <c r="AG11" s="2619" t="s">
        <v>1407</v>
      </c>
      <c r="AH11" s="739"/>
      <c r="AI11" s="739"/>
      <c r="AJ11" s="739"/>
      <c r="AK11" s="739"/>
      <c r="AL11" s="739"/>
      <c r="AM11" s="739"/>
      <c r="AN11" s="739"/>
      <c r="AO11" s="739"/>
      <c r="AP11" s="739"/>
      <c r="AQ11" s="739"/>
      <c r="AR11" s="739"/>
      <c r="AS11" s="1596">
        <v>2035</v>
      </c>
      <c r="AT11" s="2098"/>
      <c r="AU11" s="1808"/>
      <c r="BA11" s="1602" t="s">
        <v>351</v>
      </c>
      <c r="BB11" s="1591" t="s">
        <v>1927</v>
      </c>
      <c r="BC11" s="2430" t="s">
        <v>1407</v>
      </c>
      <c r="BD11" s="739"/>
      <c r="BE11" s="739"/>
      <c r="BF11" s="739"/>
      <c r="BG11" s="739"/>
      <c r="BH11" s="739"/>
      <c r="BI11" s="739"/>
      <c r="BJ11" s="739"/>
      <c r="BK11" s="739"/>
      <c r="BL11" s="739"/>
      <c r="BM11" s="739"/>
      <c r="BN11" s="739"/>
      <c r="BO11" s="1596">
        <v>2035</v>
      </c>
      <c r="BP11" s="2098"/>
      <c r="BQ11" s="1808"/>
      <c r="BW11" s="1602" t="s">
        <v>351</v>
      </c>
      <c r="BX11" s="1591" t="s">
        <v>1928</v>
      </c>
      <c r="BY11" s="1591" t="s">
        <v>1932</v>
      </c>
      <c r="BZ11" s="2430" t="s">
        <v>1407</v>
      </c>
      <c r="CA11" s="739"/>
      <c r="CB11" s="739"/>
      <c r="CC11" s="739"/>
      <c r="CD11" s="739"/>
      <c r="CE11" s="739"/>
      <c r="CF11" s="739"/>
      <c r="CG11" s="739"/>
      <c r="CH11" s="739"/>
      <c r="CI11" s="739"/>
      <c r="CJ11" s="739"/>
      <c r="CK11" s="24"/>
      <c r="CT11" s="1602" t="s">
        <v>351</v>
      </c>
      <c r="CU11" s="1591" t="s">
        <v>116</v>
      </c>
      <c r="CV11" s="2430" t="s">
        <v>1407</v>
      </c>
      <c r="CW11" s="739"/>
      <c r="CX11" s="739"/>
      <c r="CY11" s="739"/>
      <c r="CZ11" s="739"/>
      <c r="DA11" s="739"/>
      <c r="DB11" s="739"/>
      <c r="DC11" s="739"/>
      <c r="DD11" s="739"/>
      <c r="DE11" s="739"/>
      <c r="DF11" s="739"/>
      <c r="DG11" s="739"/>
      <c r="DH11" s="1596">
        <v>2035</v>
      </c>
      <c r="DI11" s="2098"/>
      <c r="DJ11" s="1808"/>
      <c r="DO11" s="1602" t="s">
        <v>351</v>
      </c>
      <c r="DP11" s="1591" t="s">
        <v>1938</v>
      </c>
      <c r="DQ11" s="1591" t="s">
        <v>1940</v>
      </c>
      <c r="DR11" s="2430" t="s">
        <v>660</v>
      </c>
      <c r="DS11" s="739"/>
      <c r="DT11" s="739"/>
      <c r="DU11" s="739"/>
      <c r="DV11" s="739"/>
      <c r="DW11" s="739"/>
      <c r="DX11" s="739"/>
      <c r="DY11" s="739"/>
      <c r="DZ11" s="739"/>
      <c r="EA11" s="739"/>
      <c r="EE11" s="2748"/>
      <c r="EG11" s="1602" t="s">
        <v>351</v>
      </c>
      <c r="EH11" s="1591" t="s">
        <v>1660</v>
      </c>
      <c r="EI11" s="2430" t="s">
        <v>1407</v>
      </c>
      <c r="EJ11" s="739"/>
      <c r="EK11" s="739"/>
      <c r="EL11" s="739"/>
      <c r="EM11" s="739"/>
      <c r="EN11" s="739"/>
      <c r="EO11" s="739"/>
      <c r="EP11" s="739"/>
      <c r="EQ11" s="739"/>
      <c r="ER11" s="739"/>
      <c r="ES11" s="739"/>
      <c r="ET11" s="739"/>
      <c r="EU11" s="1596">
        <v>2035</v>
      </c>
      <c r="EV11" s="2098"/>
      <c r="EW11" s="1808"/>
      <c r="FC11" s="1602" t="s">
        <v>351</v>
      </c>
      <c r="FD11" s="1591" t="s">
        <v>1923</v>
      </c>
      <c r="FE11" s="2430" t="s">
        <v>1407</v>
      </c>
      <c r="FF11" s="739"/>
      <c r="FG11" s="739"/>
      <c r="FH11" s="739"/>
      <c r="FI11" s="739"/>
      <c r="FJ11" s="739"/>
      <c r="FK11" s="739"/>
      <c r="FL11" s="739"/>
      <c r="FM11" s="739"/>
      <c r="FN11" s="739"/>
      <c r="FO11" s="739"/>
      <c r="FP11" s="739"/>
      <c r="FQ11" s="1596">
        <v>2035</v>
      </c>
      <c r="FR11" s="2098"/>
      <c r="FS11" s="1808"/>
      <c r="FY11" s="1602" t="s">
        <v>351</v>
      </c>
      <c r="FZ11" s="1591" t="s">
        <v>1937</v>
      </c>
      <c r="GA11" s="2430" t="s">
        <v>1407</v>
      </c>
      <c r="GB11" s="739"/>
      <c r="GC11" s="739"/>
      <c r="GD11" s="739"/>
      <c r="GE11" s="739"/>
      <c r="GF11" s="739"/>
      <c r="GG11" s="739"/>
      <c r="GH11" s="739"/>
      <c r="GI11" s="739"/>
      <c r="GJ11" s="739"/>
      <c r="GK11" s="739"/>
      <c r="GL11" s="739"/>
      <c r="GM11" s="1596">
        <v>2035</v>
      </c>
      <c r="GN11" s="2098"/>
      <c r="GO11" s="1808"/>
      <c r="GU11" s="1602" t="s">
        <v>351</v>
      </c>
      <c r="GV11" s="1591" t="s">
        <v>1784</v>
      </c>
      <c r="GW11" s="1591" t="s">
        <v>2200</v>
      </c>
      <c r="GX11" s="2430" t="s">
        <v>1407</v>
      </c>
      <c r="GY11" s="739"/>
      <c r="GZ11" s="739"/>
      <c r="HA11" s="739"/>
      <c r="HB11" s="739"/>
      <c r="HC11" s="739"/>
      <c r="HD11" s="739"/>
      <c r="HE11" s="739"/>
      <c r="HF11" s="739"/>
      <c r="HG11" s="739"/>
      <c r="HH11" s="739"/>
      <c r="HI11" s="1596">
        <v>2035</v>
      </c>
      <c r="HJ11" s="2098"/>
      <c r="HK11" s="1808"/>
      <c r="HR11" s="1602" t="s">
        <v>351</v>
      </c>
      <c r="HS11" s="1591" t="s">
        <v>2003</v>
      </c>
      <c r="HT11" s="2430" t="s">
        <v>1407</v>
      </c>
      <c r="HU11" s="739"/>
      <c r="HV11" s="739"/>
      <c r="HW11" s="739"/>
      <c r="HX11" s="739"/>
      <c r="HY11" s="739"/>
      <c r="HZ11" s="739"/>
      <c r="IA11" s="739"/>
      <c r="IB11" s="739"/>
      <c r="IC11" s="739"/>
      <c r="ID11" s="739"/>
      <c r="IE11" s="739"/>
      <c r="IF11" s="1596">
        <v>2035</v>
      </c>
      <c r="IG11" s="2098"/>
      <c r="IH11" s="1808"/>
      <c r="IN11" s="1602" t="s">
        <v>351</v>
      </c>
      <c r="IO11" s="1591" t="s">
        <v>114</v>
      </c>
      <c r="IP11" s="1591" t="s">
        <v>1942</v>
      </c>
      <c r="IQ11" s="2430" t="s">
        <v>1941</v>
      </c>
      <c r="IR11" s="739"/>
      <c r="IS11" s="739"/>
      <c r="IT11" s="739"/>
      <c r="IU11" s="739"/>
      <c r="IV11" s="739"/>
      <c r="IW11" s="739"/>
      <c r="IX11" s="739"/>
      <c r="IY11" s="739"/>
      <c r="IZ11" s="739"/>
      <c r="JJ11" s="2748"/>
      <c r="JL11" s="1602" t="s">
        <v>351</v>
      </c>
      <c r="JM11" s="1591" t="s">
        <v>1924</v>
      </c>
      <c r="JN11" s="2430" t="s">
        <v>1407</v>
      </c>
      <c r="JO11" s="739"/>
      <c r="JP11" s="739"/>
      <c r="JQ11" s="739"/>
      <c r="JR11" s="739"/>
      <c r="JS11" s="739"/>
      <c r="JT11" s="739"/>
      <c r="JU11" s="739"/>
      <c r="JV11" s="739"/>
      <c r="JW11" s="739"/>
      <c r="JX11" s="739"/>
      <c r="JY11" s="739"/>
      <c r="JZ11" s="1596">
        <v>2035</v>
      </c>
      <c r="KA11" s="2098"/>
      <c r="KB11" s="1808"/>
      <c r="KH11" s="1602" t="s">
        <v>351</v>
      </c>
      <c r="KI11" s="1591" t="s">
        <v>1202</v>
      </c>
      <c r="KJ11" s="1591" t="s">
        <v>1202</v>
      </c>
      <c r="KK11" s="2430" t="s">
        <v>1407</v>
      </c>
      <c r="KL11" s="739"/>
      <c r="KM11" s="739"/>
      <c r="KN11" s="739"/>
      <c r="KO11" s="739"/>
      <c r="KP11" s="739"/>
      <c r="KQ11" s="739"/>
      <c r="KR11" s="739"/>
      <c r="KS11" s="739"/>
      <c r="KT11" s="739"/>
      <c r="KU11" s="739"/>
      <c r="KV11" s="739"/>
      <c r="KW11" s="1596">
        <v>2035</v>
      </c>
      <c r="KX11" s="2098"/>
      <c r="KY11" s="1808"/>
      <c r="LE11" s="1602" t="s">
        <v>351</v>
      </c>
      <c r="LF11" s="1591" t="s">
        <v>1929</v>
      </c>
      <c r="LG11" s="2430" t="s">
        <v>1407</v>
      </c>
      <c r="LH11" s="1591" t="s">
        <v>1930</v>
      </c>
      <c r="LI11" s="2430" t="s">
        <v>1407</v>
      </c>
      <c r="LJ11" s="739"/>
      <c r="LK11" s="739"/>
      <c r="LL11" s="739"/>
      <c r="LM11" s="739"/>
      <c r="LN11" s="739"/>
      <c r="LO11" s="739"/>
      <c r="LP11" s="739"/>
      <c r="LQ11" s="739"/>
      <c r="LR11" s="739"/>
      <c r="LS11" s="739"/>
      <c r="LT11" s="1596">
        <v>2035</v>
      </c>
      <c r="LU11" s="2098"/>
      <c r="LV11" s="1808"/>
      <c r="MB11" s="1602" t="s">
        <v>351</v>
      </c>
      <c r="MC11" s="1591" t="s">
        <v>1931</v>
      </c>
      <c r="MD11" s="2430" t="s">
        <v>1407</v>
      </c>
      <c r="ME11" s="739"/>
      <c r="MF11" s="739"/>
      <c r="MG11" s="739"/>
      <c r="MH11" s="739"/>
      <c r="MI11" s="739"/>
      <c r="MJ11" s="739"/>
      <c r="MK11" s="739"/>
      <c r="ML11" s="739"/>
      <c r="MM11" s="739"/>
      <c r="MY11" s="1602" t="s">
        <v>351</v>
      </c>
      <c r="MZ11" s="1591" t="s">
        <v>1936</v>
      </c>
      <c r="NA11" s="2430" t="s">
        <v>1407</v>
      </c>
      <c r="NB11" s="739"/>
      <c r="NC11" s="739"/>
      <c r="ND11" s="739"/>
      <c r="NE11" s="739"/>
      <c r="NF11" s="739"/>
      <c r="NG11" s="739"/>
      <c r="NH11" s="739"/>
      <c r="NI11" s="739"/>
      <c r="NJ11" s="739"/>
      <c r="NK11" s="739"/>
      <c r="NL11" s="739"/>
      <c r="NM11" s="1596">
        <v>2035</v>
      </c>
      <c r="NN11" s="2098"/>
      <c r="NO11" s="1808"/>
      <c r="NV11" s="1602" t="s">
        <v>351</v>
      </c>
      <c r="NW11" s="1591" t="s">
        <v>1943</v>
      </c>
      <c r="NX11" s="1591" t="s">
        <v>80</v>
      </c>
      <c r="NY11" s="1591" t="s">
        <v>1944</v>
      </c>
      <c r="NZ11" s="1591" t="s">
        <v>1457</v>
      </c>
      <c r="OA11" s="739"/>
      <c r="OB11" s="739"/>
      <c r="OC11" s="739"/>
      <c r="OD11" s="739"/>
      <c r="OE11" s="739"/>
      <c r="OF11" s="739"/>
      <c r="OG11" s="739"/>
      <c r="OH11" s="739"/>
      <c r="OI11" s="739"/>
      <c r="OS11" s="2748"/>
      <c r="OU11" s="1602" t="s">
        <v>351</v>
      </c>
      <c r="OV11" s="1591" t="s">
        <v>1925</v>
      </c>
      <c r="OW11" s="2430" t="s">
        <v>1407</v>
      </c>
      <c r="OX11" s="739"/>
      <c r="OY11" s="739"/>
      <c r="OZ11" s="739"/>
      <c r="PA11" s="739"/>
      <c r="PB11" s="739"/>
      <c r="PC11" s="739"/>
      <c r="PD11" s="739"/>
      <c r="PE11" s="739"/>
      <c r="PF11" s="739"/>
      <c r="PG11" s="739"/>
      <c r="PQ11" s="1602" t="s">
        <v>351</v>
      </c>
      <c r="PR11" s="1591" t="s">
        <v>1831</v>
      </c>
      <c r="PS11" s="2430" t="s">
        <v>1407</v>
      </c>
      <c r="PT11" s="739"/>
      <c r="PU11" s="739"/>
      <c r="PV11" s="739"/>
      <c r="PW11" s="739"/>
      <c r="PX11" s="739"/>
      <c r="PY11" s="739"/>
      <c r="PZ11" s="739"/>
      <c r="QA11" s="739"/>
      <c r="QB11" s="739"/>
      <c r="QM11" s="1602" t="s">
        <v>351</v>
      </c>
      <c r="QN11" s="1591" t="s">
        <v>1922</v>
      </c>
      <c r="QO11" s="2430" t="s">
        <v>1407</v>
      </c>
      <c r="QP11" s="739"/>
      <c r="QQ11" s="739"/>
      <c r="QR11" s="739"/>
      <c r="QS11" s="739"/>
      <c r="QT11" s="739"/>
      <c r="QU11" s="739"/>
      <c r="QV11" s="739"/>
      <c r="QW11" s="739"/>
      <c r="QX11" s="739"/>
      <c r="QY11" s="739"/>
      <c r="QZ11" s="739"/>
      <c r="RA11" s="1596">
        <v>2035</v>
      </c>
      <c r="RB11" s="2098"/>
      <c r="RC11" s="1808"/>
      <c r="RJ11" s="1602" t="s">
        <v>351</v>
      </c>
      <c r="RK11" s="1591" t="s">
        <v>2206</v>
      </c>
      <c r="RL11" s="1591" t="s">
        <v>1934</v>
      </c>
      <c r="RM11" s="2430" t="s">
        <v>1407</v>
      </c>
      <c r="RN11" s="739"/>
      <c r="RO11" s="739"/>
      <c r="RP11" s="739"/>
      <c r="RQ11" s="739"/>
      <c r="RR11" s="739"/>
      <c r="RS11" s="739"/>
      <c r="RT11" s="739"/>
      <c r="RU11" s="739"/>
      <c r="RV11" s="739"/>
      <c r="RW11" s="739"/>
      <c r="RX11" s="739"/>
      <c r="RY11" s="739"/>
      <c r="RZ11" s="739"/>
      <c r="SG11" s="1602" t="s">
        <v>351</v>
      </c>
      <c r="SH11" s="1591" t="s">
        <v>1935</v>
      </c>
      <c r="SI11" s="2430" t="s">
        <v>1407</v>
      </c>
      <c r="SJ11" s="739"/>
      <c r="SK11" s="739"/>
      <c r="SL11" s="739"/>
      <c r="SM11" s="739"/>
      <c r="SN11" s="739"/>
      <c r="SO11" s="739"/>
      <c r="SP11" s="739"/>
      <c r="SQ11" s="739"/>
      <c r="SR11" s="739"/>
      <c r="SS11" s="739"/>
      <c r="TC11" s="1602" t="s">
        <v>351</v>
      </c>
      <c r="TD11" s="1591" t="s">
        <v>692</v>
      </c>
      <c r="TE11" s="2430" t="s">
        <v>1407</v>
      </c>
      <c r="TF11" s="739"/>
      <c r="TG11" s="739"/>
      <c r="TH11" s="739"/>
      <c r="TI11" s="739"/>
      <c r="TJ11" s="739"/>
      <c r="TK11" s="739"/>
      <c r="TL11" s="739"/>
      <c r="TM11" s="739"/>
      <c r="TN11" s="739"/>
      <c r="TO11" s="739"/>
      <c r="TP11" s="739"/>
      <c r="TX11" s="2748"/>
      <c r="TZ11" s="1602" t="s">
        <v>351</v>
      </c>
      <c r="UA11" s="1591" t="s">
        <v>1926</v>
      </c>
      <c r="UB11" s="1591" t="s">
        <v>1278</v>
      </c>
      <c r="UC11" s="2430" t="s">
        <v>1407</v>
      </c>
      <c r="UD11" s="739"/>
      <c r="UE11" s="739"/>
      <c r="UF11" s="739"/>
      <c r="UG11" s="739"/>
      <c r="UH11" s="739"/>
      <c r="UI11" s="739"/>
      <c r="UJ11" s="739"/>
      <c r="UK11" s="739"/>
      <c r="UL11" s="739"/>
      <c r="UM11" s="739"/>
      <c r="UN11" s="739"/>
      <c r="UO11" s="1596">
        <v>2035</v>
      </c>
      <c r="UP11" s="2098"/>
      <c r="UQ11" s="1808"/>
      <c r="UW11" s="1602" t="s">
        <v>351</v>
      </c>
      <c r="UX11" s="1591" t="s">
        <v>1203</v>
      </c>
      <c r="UY11" s="2430" t="s">
        <v>1407</v>
      </c>
      <c r="UZ11" s="739"/>
      <c r="VA11" s="739"/>
      <c r="VB11" s="739"/>
      <c r="VC11" s="739"/>
      <c r="VD11" s="739"/>
      <c r="VE11" s="739"/>
      <c r="VF11" s="739"/>
      <c r="VG11" s="739"/>
      <c r="VH11" s="739"/>
      <c r="VI11" s="739"/>
      <c r="VJ11" s="739"/>
      <c r="VK11" s="1596">
        <v>2035</v>
      </c>
      <c r="VL11" s="2098"/>
      <c r="VM11" s="1808"/>
      <c r="VS11" s="1602" t="s">
        <v>351</v>
      </c>
      <c r="VT11" s="1591" t="s">
        <v>1922</v>
      </c>
      <c r="VU11" s="2430" t="s">
        <v>1407</v>
      </c>
      <c r="VV11" s="739"/>
      <c r="VW11" s="739"/>
      <c r="VX11" s="739"/>
      <c r="VY11" s="739"/>
      <c r="VZ11" s="739"/>
      <c r="WA11" s="739"/>
      <c r="WB11" s="739"/>
      <c r="WC11" s="739"/>
      <c r="WD11" s="739"/>
      <c r="WE11" s="739"/>
      <c r="WF11" s="739"/>
      <c r="WG11" s="1596">
        <v>2035</v>
      </c>
      <c r="WH11" s="2098"/>
      <c r="WI11" s="1808"/>
      <c r="WO11" s="1602" t="s">
        <v>351</v>
      </c>
      <c r="WP11" s="1591" t="s">
        <v>1931</v>
      </c>
      <c r="WQ11" s="1591" t="s">
        <v>1933</v>
      </c>
      <c r="WR11" s="2430" t="s">
        <v>1407</v>
      </c>
      <c r="WS11" s="739"/>
      <c r="WT11" s="739"/>
      <c r="WU11" s="739"/>
      <c r="WV11" s="739"/>
      <c r="WW11" s="739"/>
      <c r="WX11" s="739"/>
      <c r="WY11" s="739"/>
      <c r="WZ11" s="739"/>
      <c r="XA11" s="739"/>
      <c r="XB11" s="739"/>
      <c r="XC11" s="739"/>
      <c r="XD11" s="1596">
        <v>2035</v>
      </c>
      <c r="XE11" s="2098"/>
      <c r="XF11" s="1808"/>
      <c r="XK11" s="1602" t="s">
        <v>351</v>
      </c>
      <c r="XL11" s="1869" t="s">
        <v>1945</v>
      </c>
      <c r="XM11" s="2430" t="s">
        <v>1407</v>
      </c>
      <c r="XN11" s="739"/>
      <c r="XO11" s="739"/>
      <c r="XP11" s="739"/>
      <c r="XQ11" s="739"/>
      <c r="XR11" s="739"/>
      <c r="XS11" s="739"/>
      <c r="XT11" s="739"/>
      <c r="XU11" s="739"/>
      <c r="XV11" s="739"/>
      <c r="XW11" s="739"/>
      <c r="XX11" s="739"/>
      <c r="XY11" s="1596">
        <v>2035</v>
      </c>
      <c r="XZ11" s="2098"/>
      <c r="YA11" s="1808"/>
      <c r="YG11" s="1602" t="s">
        <v>351</v>
      </c>
      <c r="YH11" s="1591" t="s">
        <v>692</v>
      </c>
      <c r="YI11" s="2430" t="s">
        <v>1407</v>
      </c>
      <c r="YJ11" s="739"/>
      <c r="YK11" s="739"/>
      <c r="YL11" s="739"/>
      <c r="YM11" s="739"/>
      <c r="YN11" s="739"/>
      <c r="YO11" s="739"/>
      <c r="YP11" s="739"/>
      <c r="YQ11" s="739"/>
      <c r="YR11" s="739"/>
      <c r="YS11" s="739"/>
      <c r="YT11" s="739"/>
      <c r="ZE11" s="2587" t="s">
        <v>2152</v>
      </c>
      <c r="ZF11" s="765"/>
      <c r="ZG11" s="765"/>
      <c r="ZH11" s="765"/>
      <c r="ZI11" s="765"/>
      <c r="ZJ11" s="765"/>
      <c r="ZK11" s="765"/>
      <c r="ZL11" s="765"/>
      <c r="ZM11" s="765"/>
      <c r="ZN11" s="765"/>
      <c r="ZO11" s="765"/>
      <c r="ZP11" s="777"/>
    </row>
    <row r="12" spans="2:692" ht="20.399999999999999">
      <c r="G12" s="1981">
        <v>44341</v>
      </c>
      <c r="H12" s="1880" t="s">
        <v>1454</v>
      </c>
      <c r="I12" s="1593" t="s">
        <v>1454</v>
      </c>
      <c r="K12" s="739"/>
      <c r="L12" s="739"/>
      <c r="M12" s="739"/>
      <c r="N12" s="739"/>
      <c r="O12" s="739"/>
      <c r="P12" s="739"/>
      <c r="Q12" s="2429"/>
      <c r="R12" s="739"/>
      <c r="S12" s="739"/>
      <c r="T12" s="739"/>
      <c r="U12" s="739"/>
      <c r="V12" s="739"/>
      <c r="W12" s="739"/>
      <c r="X12" s="739"/>
      <c r="AD12" s="1981">
        <f>G12</f>
        <v>44341</v>
      </c>
      <c r="AE12" s="1880" t="s">
        <v>1454</v>
      </c>
      <c r="AF12" s="1880" t="s">
        <v>1454</v>
      </c>
      <c r="AG12" s="1593" t="s">
        <v>1454</v>
      </c>
      <c r="AH12" s="739"/>
      <c r="AI12" s="739"/>
      <c r="AJ12" s="739"/>
      <c r="AK12" s="739"/>
      <c r="AL12" s="739"/>
      <c r="AM12" s="739"/>
      <c r="AN12" s="2429"/>
      <c r="AO12" s="739"/>
      <c r="AP12" s="739"/>
      <c r="AQ12" s="739"/>
      <c r="AR12" s="739"/>
      <c r="AS12" s="739"/>
      <c r="AT12" s="739"/>
      <c r="AU12" s="739"/>
      <c r="BA12" s="1981">
        <v>43933</v>
      </c>
      <c r="BB12" s="1880" t="s">
        <v>1454</v>
      </c>
      <c r="BC12" s="1593" t="s">
        <v>1454</v>
      </c>
      <c r="BD12" s="739"/>
      <c r="BE12" s="739"/>
      <c r="BF12" s="739"/>
      <c r="BG12" s="739"/>
      <c r="BH12" s="739"/>
      <c r="BI12" s="739"/>
      <c r="BJ12" s="2429"/>
      <c r="BK12" s="739"/>
      <c r="BL12" s="739"/>
      <c r="BM12" s="739"/>
      <c r="BN12" s="739"/>
      <c r="BO12" s="739"/>
      <c r="BP12" s="739"/>
      <c r="BQ12" s="739"/>
      <c r="BW12" s="1981">
        <v>43933</v>
      </c>
      <c r="BX12" s="1880" t="s">
        <v>1454</v>
      </c>
      <c r="BY12" s="1880" t="s">
        <v>1454</v>
      </c>
      <c r="BZ12" s="1593" t="s">
        <v>1454</v>
      </c>
      <c r="CA12" s="739"/>
      <c r="CB12" s="739"/>
      <c r="CC12" s="739"/>
      <c r="CD12" s="739"/>
      <c r="CE12" s="739"/>
      <c r="CF12" s="739"/>
      <c r="CG12" s="2429"/>
      <c r="CH12" s="739"/>
      <c r="CI12" s="739"/>
      <c r="CJ12" s="739"/>
      <c r="CK12" s="24"/>
      <c r="CT12" s="1981">
        <v>43934</v>
      </c>
      <c r="CU12" s="1880" t="s">
        <v>46</v>
      </c>
      <c r="CV12" s="1880" t="s">
        <v>46</v>
      </c>
      <c r="CW12" s="739"/>
      <c r="CX12" s="739"/>
      <c r="CY12" s="739"/>
      <c r="CZ12" s="739"/>
      <c r="DA12" s="739"/>
      <c r="DB12" s="739"/>
      <c r="DC12" s="2429"/>
      <c r="DD12" s="739"/>
      <c r="DE12" s="739"/>
      <c r="DF12" s="739"/>
      <c r="DG12" s="739"/>
      <c r="DH12" s="739"/>
      <c r="DI12" s="739"/>
      <c r="DJ12" s="739"/>
      <c r="DO12" s="1981">
        <v>43934</v>
      </c>
      <c r="DP12" s="1880" t="s">
        <v>46</v>
      </c>
      <c r="DQ12" s="1880" t="s">
        <v>1939</v>
      </c>
      <c r="DR12" s="1880" t="s">
        <v>46</v>
      </c>
      <c r="DS12" s="739"/>
      <c r="DT12" s="739"/>
      <c r="DU12" s="739"/>
      <c r="DV12" s="739"/>
      <c r="DW12" s="739"/>
      <c r="DX12" s="2429"/>
      <c r="DY12" s="739"/>
      <c r="DZ12" s="739"/>
      <c r="EA12" s="739"/>
      <c r="EE12" s="2748"/>
      <c r="EG12" s="1981">
        <v>44016</v>
      </c>
      <c r="EH12" s="1880" t="s">
        <v>1454</v>
      </c>
      <c r="EI12" s="1593" t="s">
        <v>1454</v>
      </c>
      <c r="EJ12" s="739"/>
      <c r="EK12" s="739"/>
      <c r="EL12" s="739"/>
      <c r="EM12" s="739"/>
      <c r="EN12" s="739"/>
      <c r="EO12" s="739"/>
      <c r="EP12" s="2429"/>
      <c r="EQ12" s="739"/>
      <c r="ER12" s="739"/>
      <c r="ES12" s="739"/>
      <c r="ET12" s="739"/>
      <c r="EU12" s="739"/>
      <c r="EV12" s="739"/>
      <c r="EW12" s="739"/>
      <c r="FC12" s="1981">
        <f>EG12</f>
        <v>44016</v>
      </c>
      <c r="FD12" s="1880" t="s">
        <v>1454</v>
      </c>
      <c r="FE12" s="1593" t="s">
        <v>1454</v>
      </c>
      <c r="FF12" s="739"/>
      <c r="FG12" s="739"/>
      <c r="FH12" s="739"/>
      <c r="FI12" s="739"/>
      <c r="FJ12" s="739"/>
      <c r="FK12" s="739"/>
      <c r="FL12" s="2429"/>
      <c r="FM12" s="739"/>
      <c r="FN12" s="739"/>
      <c r="FO12" s="739"/>
      <c r="FP12" s="739"/>
      <c r="FQ12" s="739"/>
      <c r="FR12" s="739"/>
      <c r="FS12" s="739"/>
      <c r="FY12" s="1981">
        <v>43953</v>
      </c>
      <c r="FZ12" s="1880" t="s">
        <v>1454</v>
      </c>
      <c r="GA12" s="1593" t="s">
        <v>1454</v>
      </c>
      <c r="GB12" s="739"/>
      <c r="GC12" s="739"/>
      <c r="GD12" s="739"/>
      <c r="GE12" s="739"/>
      <c r="GF12" s="739"/>
      <c r="GG12" s="739"/>
      <c r="GH12" s="2429"/>
      <c r="GI12" s="739"/>
      <c r="GJ12" s="739"/>
      <c r="GK12" s="739"/>
      <c r="GL12" s="739"/>
      <c r="GM12" s="739"/>
      <c r="GN12" s="739"/>
      <c r="GO12" s="739"/>
      <c r="GU12" s="1981">
        <v>43953</v>
      </c>
      <c r="GV12" s="1880" t="s">
        <v>46</v>
      </c>
      <c r="GW12" s="1880" t="s">
        <v>1454</v>
      </c>
      <c r="GX12" s="1880" t="s">
        <v>46</v>
      </c>
      <c r="GY12" s="739"/>
      <c r="GZ12" s="739"/>
      <c r="HA12" s="739"/>
      <c r="HB12" s="739"/>
      <c r="HC12" s="739"/>
      <c r="HD12" s="2429"/>
      <c r="HE12" s="739"/>
      <c r="HF12" s="739"/>
      <c r="HG12" s="739"/>
      <c r="HH12" s="739"/>
      <c r="HI12" s="739"/>
      <c r="HJ12" s="739"/>
      <c r="HK12" s="739"/>
      <c r="HR12" s="1981">
        <v>43931</v>
      </c>
      <c r="HS12" s="1880" t="s">
        <v>1454</v>
      </c>
      <c r="HT12" s="1593" t="s">
        <v>1454</v>
      </c>
      <c r="HU12" s="739"/>
      <c r="HV12" s="739"/>
      <c r="HW12" s="739"/>
      <c r="HX12" s="739"/>
      <c r="HY12" s="739"/>
      <c r="HZ12" s="739"/>
      <c r="IA12" s="2429"/>
      <c r="IB12" s="739"/>
      <c r="IC12" s="739"/>
      <c r="ID12" s="739"/>
      <c r="IE12" s="739"/>
      <c r="IF12" s="739"/>
      <c r="IG12" s="739"/>
      <c r="IH12" s="739"/>
      <c r="IN12" s="1981">
        <v>43935</v>
      </c>
      <c r="IO12" s="1880" t="s">
        <v>46</v>
      </c>
      <c r="IP12" s="1880" t="s">
        <v>46</v>
      </c>
      <c r="IQ12" s="1880" t="s">
        <v>46</v>
      </c>
      <c r="IR12" s="739"/>
      <c r="IS12" s="739"/>
      <c r="IT12" s="739"/>
      <c r="IU12" s="739"/>
      <c r="IV12" s="739"/>
      <c r="IW12" s="2429"/>
      <c r="IX12" s="739"/>
      <c r="IY12" s="739"/>
      <c r="IZ12" s="739"/>
      <c r="JJ12" s="2748"/>
      <c r="JL12" s="1981">
        <v>43931</v>
      </c>
      <c r="JM12" s="1880" t="s">
        <v>1454</v>
      </c>
      <c r="JN12" s="1593" t="s">
        <v>1454</v>
      </c>
      <c r="JO12" s="739"/>
      <c r="JP12" s="739"/>
      <c r="JQ12" s="739"/>
      <c r="JR12" s="739"/>
      <c r="JS12" s="739"/>
      <c r="JT12" s="739"/>
      <c r="JU12" s="2429"/>
      <c r="JV12" s="739"/>
      <c r="JW12" s="739"/>
      <c r="JX12" s="739"/>
      <c r="JY12" s="739"/>
      <c r="JZ12" s="739"/>
      <c r="KA12" s="739"/>
      <c r="KB12" s="739"/>
      <c r="KH12" s="2426">
        <v>43952</v>
      </c>
      <c r="KI12" s="1880" t="s">
        <v>1454</v>
      </c>
      <c r="KJ12" s="1880" t="s">
        <v>1454</v>
      </c>
      <c r="KK12" s="1593" t="s">
        <v>1454</v>
      </c>
      <c r="KL12" s="739"/>
      <c r="KM12" s="739"/>
      <c r="KN12" s="739"/>
      <c r="KO12" s="739"/>
      <c r="KP12" s="739"/>
      <c r="KQ12" s="739"/>
      <c r="KR12" s="2429"/>
      <c r="KS12" s="739"/>
      <c r="KT12" s="739"/>
      <c r="KU12" s="739"/>
      <c r="KV12" s="739"/>
      <c r="KW12" s="739"/>
      <c r="KX12" s="739"/>
      <c r="KY12" s="739"/>
      <c r="LE12" s="1981">
        <v>43931</v>
      </c>
      <c r="LF12" s="1880" t="s">
        <v>886</v>
      </c>
      <c r="LG12" s="1880" t="s">
        <v>886</v>
      </c>
      <c r="LH12" s="1880" t="s">
        <v>886</v>
      </c>
      <c r="LI12" s="1880" t="s">
        <v>886</v>
      </c>
      <c r="LJ12" s="739"/>
      <c r="LK12" s="739"/>
      <c r="LL12" s="739"/>
      <c r="LM12" s="739"/>
      <c r="LN12" s="739"/>
      <c r="LO12" s="2429"/>
      <c r="LP12" s="739"/>
      <c r="LQ12" s="739"/>
      <c r="LR12" s="739"/>
      <c r="LS12" s="739"/>
      <c r="LT12" s="739"/>
      <c r="LU12" s="739"/>
      <c r="LV12" s="739"/>
      <c r="MB12" s="1981">
        <v>43931</v>
      </c>
      <c r="MC12" s="1880" t="s">
        <v>46</v>
      </c>
      <c r="MD12" s="1880" t="s">
        <v>46</v>
      </c>
      <c r="ME12" s="739"/>
      <c r="MF12" s="739"/>
      <c r="MG12" s="739"/>
      <c r="MH12" s="739"/>
      <c r="MI12" s="739"/>
      <c r="MJ12" s="2429"/>
      <c r="MK12" s="739"/>
      <c r="ML12" s="739"/>
      <c r="MM12" s="739"/>
      <c r="MY12" s="1981">
        <v>43931</v>
      </c>
      <c r="MZ12" s="1880" t="s">
        <v>1454</v>
      </c>
      <c r="NA12" s="1593" t="s">
        <v>1454</v>
      </c>
      <c r="NB12" s="739"/>
      <c r="NC12" s="739"/>
      <c r="ND12" s="739"/>
      <c r="NE12" s="739"/>
      <c r="NF12" s="739"/>
      <c r="NG12" s="739"/>
      <c r="NH12" s="2429"/>
      <c r="NI12" s="739"/>
      <c r="NJ12" s="739"/>
      <c r="NK12" s="739"/>
      <c r="NL12" s="739"/>
      <c r="NM12" s="739"/>
      <c r="NN12" s="739"/>
      <c r="NO12" s="739"/>
      <c r="NV12" s="1981">
        <v>43935</v>
      </c>
      <c r="NW12" s="1880" t="s">
        <v>1454</v>
      </c>
      <c r="NX12" s="1880" t="s">
        <v>1454</v>
      </c>
      <c r="NY12" s="1880" t="s">
        <v>1454</v>
      </c>
      <c r="NZ12" s="1593" t="s">
        <v>1454</v>
      </c>
      <c r="OA12" s="739"/>
      <c r="OB12" s="739"/>
      <c r="OC12" s="739"/>
      <c r="OD12" s="739"/>
      <c r="OE12" s="2429"/>
      <c r="OF12" s="739"/>
      <c r="OG12" s="739"/>
      <c r="OH12" s="739"/>
      <c r="OI12" s="739"/>
      <c r="OS12" s="2748"/>
      <c r="OU12" s="2426" t="s">
        <v>2257</v>
      </c>
      <c r="OV12" s="1880" t="s">
        <v>1454</v>
      </c>
      <c r="OW12" s="1593" t="s">
        <v>1454</v>
      </c>
      <c r="OX12" s="739"/>
      <c r="OY12" s="739"/>
      <c r="OZ12" s="739"/>
      <c r="PA12" s="739"/>
      <c r="PB12" s="739"/>
      <c r="PC12" s="739"/>
      <c r="PD12" s="2429"/>
      <c r="PE12" s="739"/>
      <c r="PF12" s="739"/>
      <c r="PG12" s="739"/>
      <c r="PQ12" s="1981" t="str">
        <f>OU12</f>
        <v>054.07.2020</v>
      </c>
      <c r="PR12" s="1880" t="s">
        <v>1454</v>
      </c>
      <c r="PS12" s="1593" t="s">
        <v>1454</v>
      </c>
      <c r="PT12" s="739"/>
      <c r="PU12" s="739"/>
      <c r="PV12" s="739"/>
      <c r="PW12" s="739"/>
      <c r="PX12" s="739"/>
      <c r="PY12" s="739"/>
      <c r="PZ12" s="2429"/>
      <c r="QA12" s="739"/>
      <c r="QB12" s="739"/>
      <c r="QM12" s="1981">
        <v>43931</v>
      </c>
      <c r="QN12" s="1880" t="s">
        <v>1454</v>
      </c>
      <c r="QO12" s="1593" t="s">
        <v>1454</v>
      </c>
      <c r="QP12" s="739"/>
      <c r="QQ12" s="739"/>
      <c r="QR12" s="739"/>
      <c r="QS12" s="739"/>
      <c r="QT12" s="739"/>
      <c r="QU12" s="739"/>
      <c r="QV12" s="2429"/>
      <c r="QW12" s="739"/>
      <c r="QX12" s="739"/>
      <c r="QY12" s="739"/>
      <c r="QZ12" s="739"/>
      <c r="RA12" s="739"/>
      <c r="RB12" s="739"/>
      <c r="RC12" s="739"/>
      <c r="RJ12" s="1981">
        <v>43934</v>
      </c>
      <c r="RK12" s="1880" t="s">
        <v>46</v>
      </c>
      <c r="RL12" s="2496" t="s">
        <v>1278</v>
      </c>
      <c r="RM12" s="1880" t="s">
        <v>46</v>
      </c>
      <c r="RN12" s="739"/>
      <c r="RO12" s="739"/>
      <c r="RP12" s="739"/>
      <c r="RQ12" s="739"/>
      <c r="RR12" s="739"/>
      <c r="RS12" s="739"/>
      <c r="RT12" s="2429"/>
      <c r="RU12" s="739"/>
      <c r="RV12" s="739"/>
      <c r="RW12" s="739"/>
      <c r="RX12" s="739"/>
      <c r="RY12" s="739"/>
      <c r="RZ12" s="739"/>
      <c r="SG12" s="1981">
        <v>43956</v>
      </c>
      <c r="SH12" s="1880" t="s">
        <v>1454</v>
      </c>
      <c r="SI12" s="1593" t="s">
        <v>1454</v>
      </c>
      <c r="SJ12" s="739"/>
      <c r="SK12" s="739"/>
      <c r="SL12" s="739"/>
      <c r="SM12" s="739"/>
      <c r="SN12" s="739"/>
      <c r="SO12" s="739"/>
      <c r="SP12" s="2429"/>
      <c r="SQ12" s="739"/>
      <c r="SR12" s="739"/>
      <c r="SS12" s="739"/>
      <c r="TC12" s="1981">
        <v>43931</v>
      </c>
      <c r="TD12" s="1880" t="s">
        <v>1454</v>
      </c>
      <c r="TE12" s="1593" t="s">
        <v>1454</v>
      </c>
      <c r="TF12" s="739"/>
      <c r="TG12" s="739"/>
      <c r="TH12" s="739"/>
      <c r="TI12" s="739"/>
      <c r="TJ12" s="739"/>
      <c r="TK12" s="739"/>
      <c r="TL12" s="2429"/>
      <c r="TM12" s="739"/>
      <c r="TN12" s="739"/>
      <c r="TO12" s="739"/>
      <c r="TP12" s="739"/>
      <c r="TX12" s="2748"/>
      <c r="TZ12" s="2426">
        <v>43953</v>
      </c>
      <c r="UA12" s="1880" t="s">
        <v>1454</v>
      </c>
      <c r="UB12" s="1880" t="s">
        <v>1454</v>
      </c>
      <c r="UC12" s="1593" t="s">
        <v>1454</v>
      </c>
      <c r="UD12" s="739"/>
      <c r="UE12" s="739"/>
      <c r="UF12" s="739"/>
      <c r="UG12" s="739"/>
      <c r="UH12" s="739"/>
      <c r="UI12" s="739"/>
      <c r="UJ12" s="2429"/>
      <c r="UK12" s="739"/>
      <c r="UL12" s="739"/>
      <c r="UM12" s="739"/>
      <c r="UN12" s="739"/>
      <c r="UO12" s="739"/>
      <c r="UP12" s="739"/>
      <c r="UQ12" s="739"/>
      <c r="UW12" s="1981">
        <v>43932</v>
      </c>
      <c r="UX12" s="1880" t="s">
        <v>1454</v>
      </c>
      <c r="UY12" s="1593" t="s">
        <v>1454</v>
      </c>
      <c r="UZ12" s="739"/>
      <c r="VA12" s="739"/>
      <c r="VB12" s="739"/>
      <c r="VC12" s="739"/>
      <c r="VD12" s="739"/>
      <c r="VE12" s="739"/>
      <c r="VF12" s="2429"/>
      <c r="VG12" s="739"/>
      <c r="VH12" s="739"/>
      <c r="VI12" s="739"/>
      <c r="VJ12" s="739"/>
      <c r="VK12" s="739"/>
      <c r="VL12" s="739"/>
      <c r="VM12" s="739"/>
      <c r="VS12" s="1981">
        <v>43931</v>
      </c>
      <c r="VT12" s="1880" t="s">
        <v>1454</v>
      </c>
      <c r="VU12" s="1593" t="s">
        <v>1454</v>
      </c>
      <c r="VV12" s="739"/>
      <c r="VW12" s="739"/>
      <c r="VX12" s="739"/>
      <c r="VY12" s="739"/>
      <c r="VZ12" s="739"/>
      <c r="WA12" s="739"/>
      <c r="WB12" s="2429"/>
      <c r="WC12" s="739"/>
      <c r="WD12" s="739"/>
      <c r="WE12" s="739"/>
      <c r="WF12" s="739"/>
      <c r="WG12" s="739"/>
      <c r="WH12" s="739"/>
      <c r="WI12" s="739"/>
      <c r="WO12" s="1981">
        <v>43956</v>
      </c>
      <c r="WP12" s="1880" t="s">
        <v>46</v>
      </c>
      <c r="WQ12" s="1880" t="s">
        <v>46</v>
      </c>
      <c r="WR12" s="1880" t="s">
        <v>46</v>
      </c>
      <c r="WS12" s="739"/>
      <c r="WT12" s="739"/>
      <c r="WU12" s="739"/>
      <c r="WV12" s="739"/>
      <c r="WW12" s="739"/>
      <c r="WX12" s="739"/>
      <c r="WY12" s="2429"/>
      <c r="WZ12" s="739"/>
      <c r="XA12" s="739"/>
      <c r="XB12" s="739"/>
      <c r="XC12" s="739"/>
      <c r="XD12" s="739"/>
      <c r="XE12" s="739"/>
      <c r="XF12" s="739"/>
      <c r="XK12" s="1981">
        <v>43935</v>
      </c>
      <c r="XL12" s="1880" t="s">
        <v>1454</v>
      </c>
      <c r="XM12" s="1593" t="s">
        <v>1454</v>
      </c>
      <c r="XN12" s="739"/>
      <c r="XO12" s="739"/>
      <c r="XP12" s="739"/>
      <c r="XQ12" s="739"/>
      <c r="XR12" s="739"/>
      <c r="XS12" s="739"/>
      <c r="XT12" s="2429"/>
      <c r="XU12" s="739"/>
      <c r="XV12" s="739"/>
      <c r="XW12" s="739"/>
      <c r="XX12" s="739"/>
      <c r="XY12" s="739"/>
      <c r="XZ12" s="739"/>
      <c r="YA12" s="739"/>
      <c r="YG12" s="1981">
        <v>43931</v>
      </c>
      <c r="YH12" s="1880" t="s">
        <v>1454</v>
      </c>
      <c r="YI12" s="1593" t="s">
        <v>1454</v>
      </c>
      <c r="YJ12" s="739"/>
      <c r="YK12" s="739"/>
      <c r="YL12" s="739"/>
      <c r="YM12" s="739"/>
      <c r="YN12" s="739"/>
      <c r="YO12" s="739"/>
      <c r="YP12" s="2429"/>
      <c r="YQ12" s="739"/>
      <c r="YR12" s="739"/>
      <c r="YS12" s="739"/>
      <c r="YT12" s="739"/>
      <c r="ZE12" s="2587" t="s">
        <v>2153</v>
      </c>
      <c r="ZF12" s="765"/>
      <c r="ZG12" s="765"/>
      <c r="ZH12" s="765"/>
      <c r="ZI12" s="765"/>
      <c r="ZJ12" s="765"/>
      <c r="ZK12" s="765"/>
      <c r="ZL12" s="765"/>
      <c r="ZM12" s="765"/>
      <c r="ZN12" s="765"/>
      <c r="ZO12" s="765"/>
      <c r="ZP12" s="777"/>
    </row>
    <row r="13" spans="2:692" ht="20.399999999999999">
      <c r="G13" s="2097">
        <v>1995</v>
      </c>
      <c r="H13" s="2490">
        <f t="array" ref="H13:H38">TRANSPOSE(ОТЧЁТ!U127:AT127)</f>
        <v>0.95899999999999996</v>
      </c>
      <c r="I13" s="2593"/>
      <c r="K13" s="739"/>
      <c r="L13" s="739"/>
      <c r="M13" s="739"/>
      <c r="N13" s="739"/>
      <c r="O13" s="739"/>
      <c r="P13" s="739"/>
      <c r="Q13" s="739"/>
      <c r="R13" s="739"/>
      <c r="S13" s="739"/>
      <c r="T13" s="739"/>
      <c r="U13" s="739"/>
      <c r="V13" s="739"/>
      <c r="W13" s="739"/>
      <c r="X13" s="739"/>
      <c r="AD13" s="2097">
        <v>1995</v>
      </c>
      <c r="AE13" s="1785">
        <v>1</v>
      </c>
      <c r="AF13" s="774"/>
      <c r="AG13" s="2118"/>
      <c r="AH13" s="739"/>
      <c r="AI13" s="739"/>
      <c r="AJ13" s="739"/>
      <c r="AK13" s="739"/>
      <c r="AL13" s="739"/>
      <c r="AM13" s="739"/>
      <c r="AN13" s="739"/>
      <c r="AO13" s="739"/>
      <c r="AP13" s="739"/>
      <c r="AQ13" s="739"/>
      <c r="AR13" s="739"/>
      <c r="AS13" s="739"/>
      <c r="AT13" s="739"/>
      <c r="AU13" s="739"/>
      <c r="BA13" s="2097">
        <v>1995</v>
      </c>
      <c r="BB13" s="1285">
        <f t="array" ref="BB13:BB36">TRANSPOSE(СЧЁТ!O22:AL22)</f>
        <v>1</v>
      </c>
      <c r="BC13" s="2593"/>
      <c r="BD13" s="739"/>
      <c r="BE13" s="739"/>
      <c r="BF13" s="739"/>
      <c r="BG13" s="739"/>
      <c r="BH13" s="739"/>
      <c r="BI13" s="739"/>
      <c r="BJ13" s="739"/>
      <c r="BK13" s="739"/>
      <c r="BL13" s="739"/>
      <c r="BM13" s="739"/>
      <c r="BN13" s="739"/>
      <c r="BO13" s="739"/>
      <c r="BP13" s="739"/>
      <c r="BQ13" s="739"/>
      <c r="BW13" s="2097">
        <v>1995</v>
      </c>
      <c r="BX13" s="1785">
        <f>ОТЧЁТ!EE413</f>
        <v>1</v>
      </c>
      <c r="BY13" s="1785">
        <v>1</v>
      </c>
      <c r="BZ13" s="2118"/>
      <c r="CA13" s="739"/>
      <c r="CB13" s="739"/>
      <c r="CC13" s="739"/>
      <c r="CD13" s="739"/>
      <c r="CE13" s="739"/>
      <c r="CF13" s="739"/>
      <c r="CG13" s="739"/>
      <c r="CH13" s="739"/>
      <c r="CI13" s="739"/>
      <c r="CJ13" s="739"/>
      <c r="CK13" s="24"/>
      <c r="CT13" s="2097">
        <v>1995</v>
      </c>
      <c r="CU13" s="2487">
        <v>230.40700000000001</v>
      </c>
      <c r="CV13" s="2118"/>
      <c r="CW13" s="739"/>
      <c r="CX13" s="739"/>
      <c r="CY13" s="739"/>
      <c r="CZ13" s="739"/>
      <c r="DA13" s="739"/>
      <c r="DB13" s="739"/>
      <c r="DC13" s="739"/>
      <c r="DD13" s="739"/>
      <c r="DE13" s="739"/>
      <c r="DF13" s="739"/>
      <c r="DG13" s="739"/>
      <c r="DH13" s="739"/>
      <c r="DI13" s="739"/>
      <c r="DJ13" s="739"/>
      <c r="DO13" s="2097">
        <v>1995</v>
      </c>
      <c r="DP13" s="2487">
        <f t="shared" ref="DP13:DP36" si="0">CU13</f>
        <v>230.40700000000001</v>
      </c>
      <c r="DQ13" s="774"/>
      <c r="DR13" s="2400">
        <v>266.97399999999999</v>
      </c>
      <c r="DS13" s="1767"/>
      <c r="DT13" s="1767"/>
      <c r="DU13" s="1767"/>
      <c r="DV13" s="1767"/>
      <c r="DW13" s="1767"/>
      <c r="DX13" s="1767"/>
      <c r="DY13" s="1767"/>
      <c r="DZ13" s="1767"/>
      <c r="EA13" s="1767"/>
      <c r="EE13" s="2748"/>
      <c r="EG13" s="2097">
        <v>1995</v>
      </c>
      <c r="EH13" s="2416">
        <v>0.89900000000000002</v>
      </c>
      <c r="EI13" s="2416"/>
      <c r="EJ13" s="739"/>
      <c r="EK13" s="739"/>
      <c r="EL13" s="739"/>
      <c r="EM13" s="739"/>
      <c r="EN13" s="739"/>
      <c r="EO13" s="739"/>
      <c r="EP13" s="739"/>
      <c r="EQ13" s="739"/>
      <c r="ER13" s="739"/>
      <c r="ES13" s="739"/>
      <c r="ET13" s="739"/>
      <c r="EU13" s="739"/>
      <c r="EV13" s="739"/>
      <c r="EW13" s="739"/>
      <c r="FC13" s="2097">
        <v>1995</v>
      </c>
      <c r="FD13" s="1785">
        <v>1</v>
      </c>
      <c r="FE13" s="2118"/>
      <c r="FF13" s="739"/>
      <c r="FG13" s="739"/>
      <c r="FH13" s="739"/>
      <c r="FI13" s="739"/>
      <c r="FJ13" s="739"/>
      <c r="FK13" s="739"/>
      <c r="FL13" s="739"/>
      <c r="FM13" s="739"/>
      <c r="FN13" s="739"/>
      <c r="FO13" s="739"/>
      <c r="FP13" s="739"/>
      <c r="FQ13" s="739"/>
      <c r="FR13" s="739"/>
      <c r="FS13" s="739"/>
      <c r="FY13" s="2097">
        <v>1995</v>
      </c>
      <c r="FZ13" s="2490">
        <v>1.07</v>
      </c>
      <c r="GA13" s="2118"/>
      <c r="GB13" s="739"/>
      <c r="GC13" s="739"/>
      <c r="GD13" s="739"/>
      <c r="GE13" s="739"/>
      <c r="GF13" s="739"/>
      <c r="GG13" s="739"/>
      <c r="GH13" s="739"/>
      <c r="GI13" s="739"/>
      <c r="GJ13" s="739"/>
      <c r="GK13" s="739"/>
      <c r="GL13" s="739"/>
      <c r="GM13" s="739"/>
      <c r="GN13" s="739"/>
      <c r="GO13" s="739"/>
      <c r="GU13" s="2097">
        <v>1995</v>
      </c>
      <c r="GV13" s="2509">
        <v>1</v>
      </c>
      <c r="GW13" s="2509">
        <f t="shared" ref="GW13:GW53" si="1">10*HS13</f>
        <v>1.3365369276604215</v>
      </c>
      <c r="GX13" s="2118"/>
      <c r="GY13" s="739"/>
      <c r="GZ13" s="739"/>
      <c r="HA13" s="739"/>
      <c r="HB13" s="739"/>
      <c r="HC13" s="739"/>
      <c r="HD13" s="739"/>
      <c r="HE13" s="739"/>
      <c r="HF13" s="739"/>
      <c r="HG13" s="739"/>
      <c r="HH13" s="739"/>
      <c r="HI13" s="739"/>
      <c r="HJ13" s="739"/>
      <c r="HK13" s="739"/>
      <c r="HR13" s="2097">
        <v>1995</v>
      </c>
      <c r="HS13" s="2121">
        <f t="array" ref="HS13:HS53">TRANSPOSE(СЧЁТ!O13:BC13)</f>
        <v>0.13365369276604216</v>
      </c>
      <c r="HT13" s="2118"/>
      <c r="HU13" s="739"/>
      <c r="HV13" s="739"/>
      <c r="HW13" s="739"/>
      <c r="HX13" s="739"/>
      <c r="HY13" s="739"/>
      <c r="HZ13" s="739"/>
      <c r="IA13" s="739"/>
      <c r="IB13" s="739"/>
      <c r="IC13" s="739"/>
      <c r="ID13" s="739"/>
      <c r="IE13" s="739"/>
      <c r="IF13" s="739"/>
      <c r="IG13" s="739"/>
      <c r="IH13" s="739"/>
      <c r="IN13" s="2097">
        <v>1995</v>
      </c>
      <c r="IO13" s="1786">
        <v>230.40700000000001</v>
      </c>
      <c r="IP13" s="774"/>
      <c r="IQ13" s="1494">
        <v>266.97399999999999</v>
      </c>
      <c r="IR13" s="1767"/>
      <c r="IS13" s="1767"/>
      <c r="IT13" s="1767"/>
      <c r="IU13" s="1767"/>
      <c r="IV13" s="1767"/>
      <c r="IW13" s="1767"/>
      <c r="IX13" s="1767"/>
      <c r="IY13" s="1767"/>
      <c r="IZ13" s="1767"/>
      <c r="JJ13" s="2748"/>
      <c r="JL13" s="2097">
        <v>1995</v>
      </c>
      <c r="JM13" s="1785">
        <f t="array" ref="JM13:JM36">TRANSPOSE(ОТЧЁТ!U135:AR135)</f>
        <v>0.97199999999999998</v>
      </c>
      <c r="JN13" s="2118"/>
      <c r="JO13" s="739"/>
      <c r="JP13" s="739"/>
      <c r="JQ13" s="739"/>
      <c r="JR13" s="739"/>
      <c r="JS13" s="739"/>
      <c r="JT13" s="739"/>
      <c r="JU13" s="739"/>
      <c r="JV13" s="739"/>
      <c r="JW13" s="739"/>
      <c r="JX13" s="739"/>
      <c r="JY13" s="739"/>
      <c r="JZ13" s="739"/>
      <c r="KA13" s="739"/>
      <c r="KB13" s="739"/>
      <c r="KH13" s="2097">
        <v>1995</v>
      </c>
      <c r="KI13" s="1785">
        <v>1</v>
      </c>
      <c r="KJ13" s="774"/>
      <c r="KK13" s="2118"/>
      <c r="KL13" s="739"/>
      <c r="KM13" s="739"/>
      <c r="KN13" s="739"/>
      <c r="KO13" s="739"/>
      <c r="KP13" s="739"/>
      <c r="KQ13" s="739"/>
      <c r="KR13" s="739"/>
      <c r="KS13" s="739"/>
      <c r="KT13" s="739"/>
      <c r="KU13" s="739"/>
      <c r="KV13" s="739"/>
      <c r="KW13" s="739"/>
      <c r="KX13" s="739"/>
      <c r="KY13" s="739"/>
      <c r="LE13" s="2097">
        <v>1995</v>
      </c>
      <c r="LF13" s="1597">
        <f t="array" ref="LF13:LF36">TRANSPOSE(ОТЧЁТ!U91:AR91)</f>
        <v>64.055000000000007</v>
      </c>
      <c r="LG13" s="2118"/>
      <c r="LH13" s="1597">
        <v>6.6840000000000002</v>
      </c>
      <c r="LI13" s="2118"/>
      <c r="LJ13" s="739"/>
      <c r="LK13" s="739"/>
      <c r="LL13" s="739"/>
      <c r="LM13" s="739"/>
      <c r="LN13" s="739"/>
      <c r="LO13" s="739"/>
      <c r="LP13" s="739"/>
      <c r="LQ13" s="739"/>
      <c r="LR13" s="739"/>
      <c r="LS13" s="739"/>
      <c r="LT13" s="739"/>
      <c r="LU13" s="739"/>
      <c r="LV13" s="739"/>
      <c r="MB13" s="2097">
        <v>1995</v>
      </c>
      <c r="MC13" s="1383">
        <v>2767.6205</v>
      </c>
      <c r="MD13" s="2118"/>
      <c r="ME13" s="739"/>
      <c r="MF13" s="739"/>
      <c r="MG13" s="739"/>
      <c r="MH13" s="739"/>
      <c r="MI13" s="739"/>
      <c r="MJ13" s="739"/>
      <c r="MK13" s="739"/>
      <c r="ML13" s="739"/>
      <c r="MM13" s="739"/>
      <c r="MY13" s="2097">
        <v>1995</v>
      </c>
      <c r="MZ13" s="1597">
        <f t="shared" ref="MZ13:MZ36" si="2">MC13/LF13</f>
        <v>43.206939348996954</v>
      </c>
      <c r="NA13" s="2118"/>
      <c r="NB13" s="739"/>
      <c r="NC13" s="739"/>
      <c r="ND13" s="739"/>
      <c r="NE13" s="739"/>
      <c r="NF13" s="739"/>
      <c r="NG13" s="739"/>
      <c r="NH13" s="739"/>
      <c r="NI13" s="739"/>
      <c r="NJ13" s="739"/>
      <c r="NK13" s="739"/>
      <c r="NL13" s="739"/>
      <c r="NM13" s="739"/>
      <c r="NN13" s="739"/>
      <c r="NO13" s="739"/>
      <c r="NV13" s="2097">
        <v>1995</v>
      </c>
      <c r="NW13" s="1785">
        <v>1</v>
      </c>
      <c r="NX13" s="1597">
        <v>1</v>
      </c>
      <c r="NY13" s="1785">
        <v>1</v>
      </c>
      <c r="NZ13" s="2118">
        <v>1</v>
      </c>
      <c r="OA13" s="739"/>
      <c r="OB13" s="739"/>
      <c r="OC13" s="739"/>
      <c r="OD13" s="739"/>
      <c r="OE13" s="739"/>
      <c r="OF13" s="739"/>
      <c r="OG13" s="739"/>
      <c r="OH13" s="739"/>
      <c r="OI13" s="739"/>
      <c r="OS13" s="2748"/>
      <c r="OU13" s="2097">
        <v>1995</v>
      </c>
      <c r="OV13" s="1785">
        <v>1.0109999999999999</v>
      </c>
      <c r="OW13" s="2118"/>
      <c r="OX13" s="739"/>
      <c r="OY13" s="739"/>
      <c r="OZ13" s="739"/>
      <c r="PA13" s="739"/>
      <c r="PB13" s="739"/>
      <c r="PC13" s="739"/>
      <c r="PD13" s="739"/>
      <c r="PE13" s="739"/>
      <c r="PF13" s="739"/>
      <c r="PG13" s="739"/>
      <c r="PQ13" s="2097">
        <v>1995</v>
      </c>
      <c r="PR13" s="1785">
        <v>1</v>
      </c>
      <c r="PS13" s="2118"/>
      <c r="PT13" s="739"/>
      <c r="PU13" s="739"/>
      <c r="PV13" s="739"/>
      <c r="PW13" s="739"/>
      <c r="PX13" s="739"/>
      <c r="PY13" s="739"/>
      <c r="PZ13" s="739"/>
      <c r="QA13" s="739"/>
      <c r="QB13" s="739"/>
      <c r="QM13" s="2097">
        <v>1995</v>
      </c>
      <c r="QN13" s="1785">
        <v>0.95899999999999996</v>
      </c>
      <c r="QO13" s="2118"/>
      <c r="QP13" s="739"/>
      <c r="QQ13" s="739"/>
      <c r="QR13" s="739"/>
      <c r="QS13" s="739"/>
      <c r="QT13" s="739"/>
      <c r="QU13" s="739"/>
      <c r="QV13" s="739"/>
      <c r="QW13" s="739"/>
      <c r="QX13" s="739"/>
      <c r="QY13" s="739"/>
      <c r="QZ13" s="739"/>
      <c r="RA13" s="739"/>
      <c r="RB13" s="739"/>
      <c r="RC13" s="739"/>
      <c r="RI13" s="943">
        <v>1</v>
      </c>
      <c r="RJ13" s="2097">
        <v>1995</v>
      </c>
      <c r="RK13" s="1786">
        <v>5306</v>
      </c>
      <c r="RL13" s="1786"/>
      <c r="RM13" s="2118"/>
      <c r="RN13" s="739"/>
      <c r="RO13" s="739"/>
      <c r="RP13" s="739"/>
      <c r="RQ13" s="739"/>
      <c r="RR13" s="739"/>
      <c r="RS13" s="739"/>
      <c r="RT13" s="739"/>
      <c r="RU13" s="739"/>
      <c r="RV13" s="739"/>
      <c r="RW13" s="739"/>
      <c r="RX13" s="739"/>
      <c r="RY13" s="739"/>
      <c r="RZ13" s="739"/>
      <c r="SG13" s="2097">
        <v>1995</v>
      </c>
      <c r="SH13" s="1785">
        <f t="shared" ref="SH13:SH36" si="3">MC13/RK13</f>
        <v>0.52160205427817563</v>
      </c>
      <c r="SI13" s="2118"/>
      <c r="SJ13" s="739"/>
      <c r="SK13" s="739"/>
      <c r="SL13" s="739"/>
      <c r="SM13" s="739"/>
      <c r="SN13" s="739"/>
      <c r="SO13" s="739"/>
      <c r="SP13" s="739"/>
      <c r="SQ13" s="739"/>
      <c r="SR13" s="739"/>
      <c r="SS13" s="739"/>
      <c r="ST13" s="739"/>
      <c r="SU13" s="739"/>
      <c r="SV13" s="739"/>
      <c r="SW13" s="739"/>
      <c r="TC13" s="2097">
        <v>1995</v>
      </c>
      <c r="TD13" s="1785">
        <v>1</v>
      </c>
      <c r="TE13" s="2118"/>
      <c r="TF13" s="739"/>
      <c r="TG13" s="739"/>
      <c r="TH13" s="739"/>
      <c r="TI13" s="739"/>
      <c r="TJ13" s="739"/>
      <c r="TK13" s="739"/>
      <c r="TL13" s="739"/>
      <c r="TM13" s="739"/>
      <c r="TN13" s="739"/>
      <c r="TO13" s="739"/>
      <c r="TP13" s="739"/>
      <c r="TQ13" s="739"/>
      <c r="TX13" s="2748"/>
      <c r="TZ13" s="2097">
        <v>1995</v>
      </c>
      <c r="UA13" s="1785">
        <v>0.9</v>
      </c>
      <c r="UC13" s="2118"/>
      <c r="UD13" s="739"/>
      <c r="UE13" s="739"/>
      <c r="UF13" s="739"/>
      <c r="UG13" s="739"/>
      <c r="UH13" s="739"/>
      <c r="UI13" s="739"/>
      <c r="UJ13" s="739"/>
      <c r="UK13" s="739"/>
      <c r="UL13" s="739"/>
      <c r="UM13" s="739"/>
      <c r="UN13" s="739"/>
      <c r="UO13" s="739"/>
      <c r="UP13" s="739"/>
      <c r="UQ13" s="739"/>
      <c r="UW13" s="2097">
        <v>1995</v>
      </c>
      <c r="UX13" s="2029">
        <v>1</v>
      </c>
      <c r="UY13" s="2118"/>
      <c r="UZ13" s="739"/>
      <c r="VA13" s="739"/>
      <c r="VB13" s="739"/>
      <c r="VC13" s="739"/>
      <c r="VD13" s="739"/>
      <c r="VE13" s="739"/>
      <c r="VF13" s="739"/>
      <c r="VG13" s="739"/>
      <c r="VH13" s="739"/>
      <c r="VI13" s="739"/>
      <c r="VJ13" s="739"/>
      <c r="VK13" s="739"/>
      <c r="VL13" s="739"/>
      <c r="VM13" s="739"/>
      <c r="VS13" s="2097">
        <v>1995</v>
      </c>
      <c r="VT13" s="1785">
        <v>0.95899999999999996</v>
      </c>
      <c r="VU13" s="2118"/>
      <c r="VV13" s="739"/>
      <c r="VW13" s="739"/>
      <c r="VX13" s="739"/>
      <c r="VY13" s="739"/>
      <c r="VZ13" s="739"/>
      <c r="WA13" s="739"/>
      <c r="WB13" s="739"/>
      <c r="WC13" s="739"/>
      <c r="WD13" s="739"/>
      <c r="WE13" s="739"/>
      <c r="WF13" s="739"/>
      <c r="WG13" s="739"/>
      <c r="WH13" s="739"/>
      <c r="WI13" s="739"/>
      <c r="WO13" s="2097">
        <v>1995</v>
      </c>
      <c r="WP13" s="1383">
        <v>2767.6205</v>
      </c>
      <c r="WQ13" s="1786"/>
      <c r="WR13" s="1494">
        <v>2767.6205</v>
      </c>
      <c r="WS13" s="739"/>
      <c r="WT13" s="739"/>
      <c r="WU13" s="739"/>
      <c r="WV13" s="739"/>
      <c r="WW13" s="739"/>
      <c r="WX13" s="739"/>
      <c r="WY13" s="739"/>
      <c r="WZ13" s="739"/>
      <c r="XA13" s="739"/>
      <c r="XB13" s="739"/>
      <c r="XC13" s="739"/>
      <c r="XD13" s="739"/>
      <c r="XE13" s="739"/>
      <c r="XF13" s="739"/>
      <c r="XK13" s="2491">
        <v>1995</v>
      </c>
      <c r="XL13" s="2490">
        <v>1</v>
      </c>
      <c r="XM13" s="2118"/>
      <c r="XN13" s="739"/>
      <c r="XO13" s="739"/>
      <c r="XP13" s="739"/>
      <c r="XQ13" s="739"/>
      <c r="XR13" s="739"/>
      <c r="XS13" s="739"/>
      <c r="XT13" s="739"/>
      <c r="XU13" s="739"/>
      <c r="XV13" s="739"/>
      <c r="XW13" s="739"/>
      <c r="XX13" s="739"/>
      <c r="XY13" s="739"/>
      <c r="XZ13" s="739"/>
      <c r="YA13" s="739"/>
      <c r="YG13" s="2097">
        <v>1995</v>
      </c>
      <c r="YH13" s="1785">
        <v>1</v>
      </c>
      <c r="YI13" s="2118"/>
      <c r="YJ13" s="739"/>
      <c r="YK13" s="739"/>
      <c r="YL13" s="739"/>
      <c r="YM13" s="739"/>
      <c r="YN13" s="739"/>
      <c r="YO13" s="739"/>
      <c r="YP13" s="739"/>
      <c r="YQ13" s="739"/>
      <c r="YR13" s="739"/>
      <c r="YS13" s="739"/>
      <c r="YT13" s="739"/>
      <c r="ZE13" s="2587" t="s">
        <v>2154</v>
      </c>
      <c r="ZF13" s="765"/>
      <c r="ZG13" s="765"/>
      <c r="ZH13" s="765"/>
      <c r="ZI13" s="765"/>
      <c r="ZJ13" s="765"/>
      <c r="ZK13" s="765"/>
      <c r="ZL13" s="765"/>
      <c r="ZM13" s="765"/>
      <c r="ZN13" s="765"/>
      <c r="ZO13" s="765"/>
      <c r="ZP13" s="777"/>
    </row>
    <row r="14" spans="2:692" ht="20.399999999999999">
      <c r="G14" s="2281">
        <v>1996</v>
      </c>
      <c r="H14" s="2490">
        <v>0.96399999999999997</v>
      </c>
      <c r="I14" s="2416"/>
      <c r="K14" s="739"/>
      <c r="L14" s="739"/>
      <c r="M14" s="739"/>
      <c r="N14" s="739"/>
      <c r="O14" s="739"/>
      <c r="P14" s="739"/>
      <c r="Q14" s="739"/>
      <c r="R14" s="739"/>
      <c r="S14" s="739"/>
      <c r="T14" s="739"/>
      <c r="U14" s="739"/>
      <c r="V14" s="739"/>
      <c r="W14" s="739"/>
      <c r="X14" s="739"/>
      <c r="AD14" s="2281">
        <v>1996</v>
      </c>
      <c r="AE14" s="1785">
        <f>AE13*H14</f>
        <v>0.96399999999999997</v>
      </c>
      <c r="AF14" s="765"/>
      <c r="AG14" s="1966"/>
      <c r="AH14" s="739"/>
      <c r="AI14" s="739"/>
      <c r="AJ14" s="739"/>
      <c r="AK14" s="739"/>
      <c r="AL14" s="739"/>
      <c r="AM14" s="739"/>
      <c r="AN14" s="739"/>
      <c r="AO14" s="739"/>
      <c r="AP14" s="739"/>
      <c r="AQ14" s="739"/>
      <c r="AR14" s="739"/>
      <c r="AS14" s="739"/>
      <c r="AT14" s="739"/>
      <c r="AU14" s="739"/>
      <c r="BA14" s="2281">
        <v>1996</v>
      </c>
      <c r="BB14" s="1285">
        <v>1.1463921152743077</v>
      </c>
      <c r="BC14" s="2416"/>
      <c r="BD14" s="739"/>
      <c r="BE14" s="739"/>
      <c r="BF14" s="739"/>
      <c r="BG14" s="739"/>
      <c r="BH14" s="739"/>
      <c r="BI14" s="739"/>
      <c r="BJ14" s="739"/>
      <c r="BK14" s="739"/>
      <c r="BL14" s="739"/>
      <c r="BM14" s="739"/>
      <c r="BN14" s="739"/>
      <c r="BO14" s="739"/>
      <c r="BP14" s="739"/>
      <c r="BQ14" s="739"/>
      <c r="BW14" s="2281">
        <v>1996</v>
      </c>
      <c r="BX14" s="1785">
        <f>ОТЧЁТ!EE414</f>
        <v>1.0551238685898738</v>
      </c>
      <c r="BY14" s="1785">
        <v>1.0369999999999999</v>
      </c>
      <c r="BZ14" s="1966"/>
      <c r="CA14" s="739"/>
      <c r="CB14" s="739"/>
      <c r="CC14" s="739"/>
      <c r="CD14" s="739"/>
      <c r="CE14" s="739"/>
      <c r="CF14" s="739"/>
      <c r="CG14" s="739"/>
      <c r="CH14" s="739"/>
      <c r="CI14" s="739"/>
      <c r="CJ14" s="739"/>
      <c r="CK14" s="739"/>
      <c r="CL14" s="739"/>
      <c r="CM14" s="739"/>
      <c r="CN14" s="739"/>
      <c r="CT14" s="2281">
        <v>1996</v>
      </c>
      <c r="CU14" s="2487">
        <v>197.18216614420064</v>
      </c>
      <c r="CV14" s="1966"/>
      <c r="CW14" s="739"/>
      <c r="CX14" s="739"/>
      <c r="CY14" s="739"/>
      <c r="CZ14" s="739"/>
      <c r="DA14" s="739"/>
      <c r="DB14" s="739"/>
      <c r="DC14" s="739"/>
      <c r="DD14" s="739"/>
      <c r="DE14" s="739"/>
      <c r="DF14" s="739"/>
      <c r="DG14" s="739"/>
      <c r="DH14" s="739"/>
      <c r="DI14" s="739"/>
      <c r="DJ14" s="739"/>
      <c r="DO14" s="2281">
        <v>1996</v>
      </c>
      <c r="DP14" s="2487">
        <f t="shared" si="0"/>
        <v>197.18216614420064</v>
      </c>
      <c r="DQ14" s="765"/>
      <c r="DR14" s="2329">
        <v>218.65170599999999</v>
      </c>
      <c r="DS14" s="1767"/>
      <c r="DT14" s="1767"/>
      <c r="DU14" s="1767"/>
      <c r="DV14" s="1767"/>
      <c r="DW14" s="1767"/>
      <c r="DX14" s="1767"/>
      <c r="DY14" s="1767"/>
      <c r="DZ14" s="1767"/>
      <c r="EA14" s="1767"/>
      <c r="EB14" s="1767"/>
      <c r="EC14" s="1767"/>
      <c r="ED14" s="1767"/>
      <c r="EE14" s="2749"/>
      <c r="EG14" s="2281">
        <v>1996</v>
      </c>
      <c r="EH14" s="2416">
        <v>0.81899999999999995</v>
      </c>
      <c r="EI14" s="2416"/>
      <c r="EJ14" s="739"/>
      <c r="EK14" s="739"/>
      <c r="EL14" s="739"/>
      <c r="EM14" s="739"/>
      <c r="EN14" s="739"/>
      <c r="EO14" s="739"/>
      <c r="EP14" s="739"/>
      <c r="EQ14" s="739"/>
      <c r="ER14" s="739"/>
      <c r="ES14" s="739"/>
      <c r="ET14" s="739"/>
      <c r="EU14" s="739"/>
      <c r="EV14" s="739"/>
      <c r="EW14" s="739"/>
      <c r="FC14" s="2281">
        <v>1996</v>
      </c>
      <c r="FD14" s="1785">
        <v>0.81899999999999995</v>
      </c>
      <c r="FE14" s="1966"/>
      <c r="FF14" s="739"/>
      <c r="FG14" s="739"/>
      <c r="FH14" s="739"/>
      <c r="FI14" s="739"/>
      <c r="FJ14" s="739"/>
      <c r="FK14" s="739"/>
      <c r="FL14" s="739"/>
      <c r="FM14" s="739"/>
      <c r="FN14" s="739"/>
      <c r="FO14" s="739"/>
      <c r="FP14" s="739"/>
      <c r="FQ14" s="739"/>
      <c r="FR14" s="739"/>
      <c r="FS14" s="739"/>
      <c r="FY14" s="2281">
        <v>1996</v>
      </c>
      <c r="FZ14" s="2490">
        <f t="shared" ref="FZ14:FZ36" si="4">GV14/GV13</f>
        <v>1.0129999999999999</v>
      </c>
      <c r="GA14" s="1966"/>
      <c r="GB14" s="739"/>
      <c r="GC14" s="739"/>
      <c r="GD14" s="739"/>
      <c r="GE14" s="739"/>
      <c r="GF14" s="739"/>
      <c r="GG14" s="739"/>
      <c r="GH14" s="739"/>
      <c r="GI14" s="739"/>
      <c r="GJ14" s="739"/>
      <c r="GK14" s="739"/>
      <c r="GL14" s="739"/>
      <c r="GM14" s="739"/>
      <c r="GN14" s="739"/>
      <c r="GO14" s="739"/>
      <c r="GU14" s="2281">
        <v>1996</v>
      </c>
      <c r="GV14" s="2509">
        <f>СЧЁТ!CN7</f>
        <v>1.0129999999999999</v>
      </c>
      <c r="GW14" s="2509">
        <f t="shared" si="1"/>
        <v>1.3929134853086491</v>
      </c>
      <c r="GX14" s="1966"/>
      <c r="GY14" s="739"/>
      <c r="GZ14" s="739"/>
      <c r="HA14" s="739"/>
      <c r="HB14" s="739"/>
      <c r="HC14" s="739"/>
      <c r="HD14" s="739"/>
      <c r="HE14" s="739"/>
      <c r="HF14" s="739"/>
      <c r="HG14" s="739"/>
      <c r="HH14" s="739"/>
      <c r="HI14" s="739"/>
      <c r="HJ14" s="739"/>
      <c r="HK14" s="739"/>
      <c r="HR14" s="2281">
        <v>1996</v>
      </c>
      <c r="HS14" s="2121">
        <v>0.13929134853086492</v>
      </c>
      <c r="HT14" s="1966"/>
      <c r="HU14" s="739"/>
      <c r="HV14" s="739"/>
      <c r="HW14" s="739"/>
      <c r="HX14" s="739"/>
      <c r="HY14" s="739"/>
      <c r="HZ14" s="739"/>
      <c r="IA14" s="739"/>
      <c r="IB14" s="739"/>
      <c r="IC14" s="739"/>
      <c r="ID14" s="739"/>
      <c r="IE14" s="739"/>
      <c r="IF14" s="739"/>
      <c r="IG14" s="739"/>
      <c r="IH14" s="739"/>
      <c r="IN14" s="2281">
        <v>1996</v>
      </c>
      <c r="IO14" s="1786">
        <v>334.30200000000002</v>
      </c>
      <c r="IP14" s="765"/>
      <c r="IQ14" s="1495">
        <v>375.95800000000003</v>
      </c>
      <c r="IR14" s="1767"/>
      <c r="IS14" s="1767"/>
      <c r="IT14" s="1767"/>
      <c r="IU14" s="1767"/>
      <c r="IV14" s="1767"/>
      <c r="IW14" s="1767"/>
      <c r="IX14" s="1767"/>
      <c r="IY14" s="1767"/>
      <c r="IZ14" s="1767"/>
      <c r="JA14" s="1767"/>
      <c r="JJ14" s="2748"/>
      <c r="JL14" s="2281">
        <v>1996</v>
      </c>
      <c r="JM14" s="1785">
        <v>0.95099999999999996</v>
      </c>
      <c r="JN14" s="1966"/>
      <c r="JO14" s="739"/>
      <c r="JP14" s="739"/>
      <c r="JQ14" s="739"/>
      <c r="JR14" s="739"/>
      <c r="JS14" s="739"/>
      <c r="JT14" s="739"/>
      <c r="JU14" s="739"/>
      <c r="JV14" s="739"/>
      <c r="JW14" s="739"/>
      <c r="JX14" s="739"/>
      <c r="JY14" s="739"/>
      <c r="JZ14" s="739"/>
      <c r="KA14" s="739"/>
      <c r="KB14" s="739"/>
      <c r="KH14" s="2281">
        <v>1996</v>
      </c>
      <c r="KI14" s="1785">
        <v>0.95099999999999996</v>
      </c>
      <c r="KJ14" s="765"/>
      <c r="KK14" s="1966"/>
      <c r="KL14" s="739"/>
      <c r="KM14" s="739"/>
      <c r="KN14" s="739"/>
      <c r="KO14" s="739"/>
      <c r="KP14" s="739"/>
      <c r="KQ14" s="739"/>
      <c r="KR14" s="739"/>
      <c r="KS14" s="739"/>
      <c r="KT14" s="739"/>
      <c r="KU14" s="739"/>
      <c r="KV14" s="739"/>
      <c r="KW14" s="739"/>
      <c r="KX14" s="739"/>
      <c r="KY14" s="739"/>
      <c r="LE14" s="2281">
        <v>1996</v>
      </c>
      <c r="LF14" s="1597">
        <v>62.927999999999997</v>
      </c>
      <c r="LG14" s="1966"/>
      <c r="LH14" s="1597">
        <v>6.7320000000000002</v>
      </c>
      <c r="LI14" s="1966"/>
      <c r="LJ14" s="739"/>
      <c r="LK14" s="739"/>
      <c r="LL14" s="739"/>
      <c r="LM14" s="739"/>
      <c r="LN14" s="739"/>
      <c r="LO14" s="739"/>
      <c r="LP14" s="739"/>
      <c r="LQ14" s="739"/>
      <c r="LR14" s="739"/>
      <c r="LS14" s="739"/>
      <c r="LT14" s="739"/>
      <c r="LU14" s="739"/>
      <c r="LV14" s="739"/>
      <c r="MB14" s="2281">
        <v>1996</v>
      </c>
      <c r="MC14" s="2131">
        <v>2690.1271259999999</v>
      </c>
      <c r="MD14" s="1966"/>
      <c r="ME14" s="739"/>
      <c r="MF14" s="739"/>
      <c r="MG14" s="739"/>
      <c r="MH14" s="739"/>
      <c r="MI14" s="739"/>
      <c r="MJ14" s="739"/>
      <c r="MK14" s="739"/>
      <c r="ML14" s="739"/>
      <c r="MM14" s="739"/>
      <c r="MN14" s="739"/>
      <c r="MO14" s="739"/>
      <c r="MP14" s="739"/>
      <c r="MQ14" s="739"/>
      <c r="MY14" s="2281">
        <v>1996</v>
      </c>
      <c r="MZ14" s="1597">
        <f t="shared" si="2"/>
        <v>42.749286899313503</v>
      </c>
      <c r="NA14" s="1966"/>
      <c r="NB14" s="739"/>
      <c r="NC14" s="739"/>
      <c r="ND14" s="739"/>
      <c r="NE14" s="739"/>
      <c r="NF14" s="739"/>
      <c r="NG14" s="739"/>
      <c r="NH14" s="739"/>
      <c r="NI14" s="739"/>
      <c r="NJ14" s="739"/>
      <c r="NK14" s="739"/>
      <c r="NL14" s="739"/>
      <c r="NM14" s="739"/>
      <c r="NN14" s="739"/>
      <c r="NO14" s="739"/>
      <c r="NV14" s="2281">
        <v>1996</v>
      </c>
      <c r="NW14" s="1785">
        <v>1.6953967315458069</v>
      </c>
      <c r="NX14" s="1597">
        <v>1.218</v>
      </c>
      <c r="NY14" s="1785">
        <v>2.4661634872716665</v>
      </c>
      <c r="NZ14" s="1966">
        <v>1.7194377618988257</v>
      </c>
      <c r="OA14" s="739"/>
      <c r="OB14" s="739"/>
      <c r="OC14" s="739"/>
      <c r="OD14" s="739"/>
      <c r="OE14" s="739"/>
      <c r="OF14" s="739"/>
      <c r="OG14" s="739"/>
      <c r="OH14" s="739"/>
      <c r="OI14" s="739"/>
      <c r="OJ14" s="739"/>
      <c r="OK14" s="739"/>
      <c r="OS14" s="2748"/>
      <c r="OU14" s="2281">
        <v>1996</v>
      </c>
      <c r="OV14" s="1785">
        <f>PR14/PR13</f>
        <v>1.0309999999999999</v>
      </c>
      <c r="OW14" s="1966"/>
      <c r="OX14" s="739"/>
      <c r="OY14" s="739"/>
      <c r="OZ14" s="739"/>
      <c r="PA14" s="739"/>
      <c r="PB14" s="739"/>
      <c r="PC14" s="739"/>
      <c r="PD14" s="739"/>
      <c r="PE14" s="739"/>
      <c r="PF14" s="739"/>
      <c r="PG14" s="739"/>
      <c r="PH14" s="739"/>
      <c r="PI14" s="739"/>
      <c r="PJ14" s="739"/>
      <c r="PK14" s="739"/>
      <c r="PQ14" s="2281">
        <v>1996</v>
      </c>
      <c r="PR14" s="1785">
        <f>СЧЁТ!CI7</f>
        <v>1.0309999999999999</v>
      </c>
      <c r="PS14" s="1966"/>
      <c r="PT14" s="739"/>
      <c r="PU14" s="739"/>
      <c r="PV14" s="739"/>
      <c r="PW14" s="739"/>
      <c r="PX14" s="739"/>
      <c r="PY14" s="739"/>
      <c r="PZ14" s="739"/>
      <c r="QA14" s="739"/>
      <c r="QB14" s="739"/>
      <c r="QM14" s="2281">
        <v>1996</v>
      </c>
      <c r="QN14" s="1785">
        <v>0.96399999999999997</v>
      </c>
      <c r="QO14" s="1966"/>
      <c r="QP14" s="739"/>
      <c r="QQ14" s="739"/>
      <c r="QR14" s="739"/>
      <c r="QS14" s="739"/>
      <c r="QT14" s="739"/>
      <c r="QU14" s="739"/>
      <c r="QV14" s="739"/>
      <c r="QW14" s="739"/>
      <c r="QX14" s="739"/>
      <c r="QY14" s="739"/>
      <c r="QZ14" s="739"/>
      <c r="RA14" s="739"/>
      <c r="RB14" s="739"/>
      <c r="RC14" s="739"/>
      <c r="RI14" s="943">
        <v>2</v>
      </c>
      <c r="RJ14" s="2281">
        <v>1996</v>
      </c>
      <c r="RK14" s="1786">
        <v>5300.6940000000004</v>
      </c>
      <c r="RL14" s="1786"/>
      <c r="RM14" s="1966"/>
      <c r="RN14" s="739"/>
      <c r="RO14" s="739"/>
      <c r="RP14" s="739"/>
      <c r="RQ14" s="739"/>
      <c r="RR14" s="739"/>
      <c r="RS14" s="739"/>
      <c r="RT14" s="739"/>
      <c r="RU14" s="739"/>
      <c r="RV14" s="739"/>
      <c r="RW14" s="739"/>
      <c r="RX14" s="739"/>
      <c r="RY14" s="739"/>
      <c r="RZ14" s="739"/>
      <c r="SA14" s="739"/>
      <c r="SG14" s="2281">
        <v>1996</v>
      </c>
      <c r="SH14" s="1785">
        <f t="shared" si="3"/>
        <v>0.5075047014598465</v>
      </c>
      <c r="SI14" s="1966"/>
      <c r="SJ14" s="739"/>
      <c r="SK14" s="739"/>
      <c r="SL14" s="739"/>
      <c r="SM14" s="739"/>
      <c r="SN14" s="739"/>
      <c r="SO14" s="739"/>
      <c r="SP14" s="739"/>
      <c r="SQ14" s="739"/>
      <c r="SR14" s="739"/>
      <c r="SS14" s="739"/>
      <c r="ST14" s="739"/>
      <c r="SU14" s="739"/>
      <c r="SV14" s="739"/>
      <c r="SW14" s="739"/>
      <c r="TC14" s="2281">
        <v>1996</v>
      </c>
      <c r="TD14" s="1785">
        <v>0.96399999999999997</v>
      </c>
      <c r="TE14" s="1966"/>
      <c r="TF14" s="739"/>
      <c r="TG14" s="739"/>
      <c r="TH14" s="739"/>
      <c r="TI14" s="739"/>
      <c r="TJ14" s="739"/>
      <c r="TK14" s="739"/>
      <c r="TL14" s="739"/>
      <c r="TM14" s="739"/>
      <c r="TN14" s="739"/>
      <c r="TO14" s="739"/>
      <c r="TP14" s="739"/>
      <c r="TQ14" s="739"/>
      <c r="TX14" s="2748"/>
      <c r="TZ14" s="2281">
        <v>1996</v>
      </c>
      <c r="UA14" s="1785">
        <f t="shared" ref="UA14:UA36" si="5">UX14/UX13</f>
        <v>1.006</v>
      </c>
      <c r="UC14" s="1966"/>
      <c r="UD14" s="739"/>
      <c r="UE14" s="739"/>
      <c r="UF14" s="739"/>
      <c r="UG14" s="739"/>
      <c r="UH14" s="739"/>
      <c r="UI14" s="739"/>
      <c r="UJ14" s="739"/>
      <c r="UK14" s="739"/>
      <c r="UL14" s="739"/>
      <c r="UM14" s="739"/>
      <c r="UN14" s="739"/>
      <c r="UO14" s="739"/>
      <c r="UP14" s="739"/>
      <c r="UQ14" s="739"/>
      <c r="UW14" s="2281">
        <v>1996</v>
      </c>
      <c r="UX14" s="2029">
        <f>СЧЁТ!CK7</f>
        <v>1.006</v>
      </c>
      <c r="UY14" s="1966"/>
      <c r="UZ14" s="739"/>
      <c r="VA14" s="739"/>
      <c r="VB14" s="739"/>
      <c r="VC14" s="739"/>
      <c r="VD14" s="739"/>
      <c r="VE14" s="739"/>
      <c r="VF14" s="739"/>
      <c r="VG14" s="739"/>
      <c r="VH14" s="739"/>
      <c r="VI14" s="739"/>
      <c r="VJ14" s="739"/>
      <c r="VK14" s="739"/>
      <c r="VL14" s="739"/>
      <c r="VM14" s="739"/>
      <c r="VS14" s="2281">
        <v>1996</v>
      </c>
      <c r="VT14" s="1785">
        <v>0.96399999999999997</v>
      </c>
      <c r="VU14" s="1966"/>
      <c r="VV14" s="739"/>
      <c r="VW14" s="739"/>
      <c r="VX14" s="739"/>
      <c r="VY14" s="739"/>
      <c r="VZ14" s="739"/>
      <c r="WA14" s="739"/>
      <c r="WB14" s="739"/>
      <c r="WC14" s="739"/>
      <c r="WD14" s="739"/>
      <c r="WE14" s="739"/>
      <c r="WF14" s="739"/>
      <c r="WG14" s="739"/>
      <c r="WH14" s="739"/>
      <c r="WI14" s="739"/>
      <c r="WO14" s="2281">
        <v>1996</v>
      </c>
      <c r="WP14" s="2131">
        <v>2690.1271259999999</v>
      </c>
      <c r="WQ14" s="1786"/>
      <c r="WR14" s="1495">
        <v>2690.1271259999999</v>
      </c>
      <c r="WS14" s="739"/>
      <c r="WT14" s="739"/>
      <c r="WU14" s="739"/>
      <c r="WV14" s="739"/>
      <c r="WW14" s="739"/>
      <c r="WX14" s="739"/>
      <c r="WY14" s="739"/>
      <c r="WZ14" s="739"/>
      <c r="XA14" s="739"/>
      <c r="XB14" s="739"/>
      <c r="XC14" s="739"/>
      <c r="XD14" s="739"/>
      <c r="XE14" s="739"/>
      <c r="XF14" s="739"/>
      <c r="XK14" s="2492">
        <v>1996</v>
      </c>
      <c r="XL14" s="2490">
        <v>1</v>
      </c>
      <c r="XM14" s="1966"/>
      <c r="XN14" s="739"/>
      <c r="XO14" s="739"/>
      <c r="XP14" s="739"/>
      <c r="XQ14" s="739"/>
      <c r="XR14" s="739"/>
      <c r="XS14" s="739"/>
      <c r="XT14" s="739"/>
      <c r="XU14" s="739"/>
      <c r="XV14" s="739"/>
      <c r="XW14" s="739"/>
      <c r="XX14" s="739"/>
      <c r="XY14" s="739"/>
      <c r="XZ14" s="739"/>
      <c r="YA14" s="739"/>
      <c r="YG14" s="2281">
        <v>1996</v>
      </c>
      <c r="YH14" s="1785">
        <v>0.96399999999999997</v>
      </c>
      <c r="YI14" s="1966"/>
      <c r="YJ14" s="739"/>
      <c r="YK14" s="739"/>
      <c r="YL14" s="739"/>
      <c r="YM14" s="739"/>
      <c r="YN14" s="739"/>
      <c r="YO14" s="739"/>
      <c r="YP14" s="739"/>
      <c r="YQ14" s="739"/>
      <c r="YR14" s="739"/>
      <c r="YS14" s="739"/>
      <c r="YT14" s="739"/>
      <c r="ZE14" s="2587" t="s">
        <v>2155</v>
      </c>
      <c r="ZF14" s="765"/>
      <c r="ZG14" s="765"/>
      <c r="ZH14" s="765"/>
      <c r="ZI14" s="765"/>
      <c r="ZJ14" s="765"/>
      <c r="ZK14" s="765"/>
      <c r="ZL14" s="765"/>
      <c r="ZM14" s="765"/>
      <c r="ZN14" s="765"/>
      <c r="ZO14" s="765"/>
      <c r="ZP14" s="777"/>
    </row>
    <row r="15" spans="2:692" ht="20.399999999999999">
      <c r="G15" s="2281">
        <v>1997</v>
      </c>
      <c r="H15" s="2490">
        <v>1.014</v>
      </c>
      <c r="I15" s="2416"/>
      <c r="K15" s="739"/>
      <c r="L15" s="739"/>
      <c r="M15" s="739"/>
      <c r="N15" s="739"/>
      <c r="O15" s="739"/>
      <c r="P15" s="739"/>
      <c r="Q15" s="739"/>
      <c r="R15" s="739"/>
      <c r="S15" s="739"/>
      <c r="T15" s="739"/>
      <c r="U15" s="739"/>
      <c r="V15" s="739"/>
      <c r="W15" s="739"/>
      <c r="X15" s="739"/>
      <c r="AD15" s="2281">
        <v>1997</v>
      </c>
      <c r="AE15" s="1785">
        <f>AE14*H15</f>
        <v>0.97749600000000003</v>
      </c>
      <c r="AF15" s="765"/>
      <c r="AG15" s="1966"/>
      <c r="AH15" s="739"/>
      <c r="AI15" s="739"/>
      <c r="AJ15" s="739"/>
      <c r="AK15" s="739"/>
      <c r="AL15" s="739"/>
      <c r="AM15" s="739"/>
      <c r="AN15" s="739"/>
      <c r="AO15" s="739"/>
      <c r="AP15" s="739"/>
      <c r="AQ15" s="739"/>
      <c r="AR15" s="739"/>
      <c r="AS15" s="739"/>
      <c r="AT15" s="739"/>
      <c r="AU15" s="739"/>
      <c r="BA15" s="2281">
        <v>1997</v>
      </c>
      <c r="BB15" s="1285">
        <v>1.2513079717780982</v>
      </c>
      <c r="BC15" s="2416"/>
      <c r="BD15" s="739"/>
      <c r="BE15" s="739"/>
      <c r="BF15" s="739"/>
      <c r="BG15" s="739"/>
      <c r="BH15" s="739"/>
      <c r="BI15" s="739"/>
      <c r="BJ15" s="739"/>
      <c r="BK15" s="739"/>
      <c r="BL15" s="739"/>
      <c r="BM15" s="739"/>
      <c r="BN15" s="739"/>
      <c r="BO15" s="739"/>
      <c r="BP15" s="739"/>
      <c r="BQ15" s="739"/>
      <c r="BW15" s="2281">
        <v>1997</v>
      </c>
      <c r="BX15" s="1785">
        <f>ОТЧЁТ!EE415</f>
        <v>1.0637144494078237</v>
      </c>
      <c r="BY15" s="1785">
        <v>1.0318149999999999</v>
      </c>
      <c r="BZ15" s="1966"/>
      <c r="CA15" s="739"/>
      <c r="CB15" s="739"/>
      <c r="CC15" s="739"/>
      <c r="CD15" s="739"/>
      <c r="CE15" s="739"/>
      <c r="CF15" s="739"/>
      <c r="CG15" s="739"/>
      <c r="CH15" s="739"/>
      <c r="CI15" s="739"/>
      <c r="CJ15" s="739"/>
      <c r="CK15" s="739"/>
      <c r="CL15" s="739"/>
      <c r="CM15" s="739"/>
      <c r="CN15" s="739"/>
      <c r="CT15" s="2281">
        <v>1997</v>
      </c>
      <c r="CU15" s="2487">
        <v>168.29100626959249</v>
      </c>
      <c r="CV15" s="1966"/>
      <c r="CW15" s="739"/>
      <c r="CX15" s="739"/>
      <c r="CY15" s="739"/>
      <c r="CZ15" s="739"/>
      <c r="DA15" s="739"/>
      <c r="DB15" s="739"/>
      <c r="DC15" s="739"/>
      <c r="DD15" s="739"/>
      <c r="DE15" s="739"/>
      <c r="DF15" s="739"/>
      <c r="DG15" s="739"/>
      <c r="DH15" s="739"/>
      <c r="DI15" s="739"/>
      <c r="DJ15" s="739"/>
      <c r="DO15" s="2281">
        <v>1997</v>
      </c>
      <c r="DP15" s="2487">
        <f t="shared" si="0"/>
        <v>168.29100626959249</v>
      </c>
      <c r="DQ15" s="1247">
        <f>DP15/(0.7*DR15+0.2*DR14+0.1*DR13)</f>
        <v>0.77973464546216686</v>
      </c>
      <c r="DR15" s="2329">
        <v>207.71912069999999</v>
      </c>
      <c r="DS15" s="1767"/>
      <c r="DT15" s="1767"/>
      <c r="DU15" s="1767"/>
      <c r="DV15" s="1767"/>
      <c r="DW15" s="1767"/>
      <c r="DX15" s="1767"/>
      <c r="DY15" s="1767"/>
      <c r="DZ15" s="1767"/>
      <c r="EA15" s="1767"/>
      <c r="EB15" s="1767"/>
      <c r="EC15" s="1767"/>
      <c r="ED15" s="1767"/>
      <c r="EE15" s="2749"/>
      <c r="EG15" s="2281">
        <v>1997</v>
      </c>
      <c r="EH15" s="2416">
        <v>0.95</v>
      </c>
      <c r="EI15" s="2416"/>
      <c r="EJ15" s="739"/>
      <c r="EK15" s="739"/>
      <c r="EL15" s="739"/>
      <c r="EM15" s="739"/>
      <c r="EN15" s="739"/>
      <c r="EO15" s="739"/>
      <c r="EP15" s="739"/>
      <c r="EQ15" s="739"/>
      <c r="ER15" s="739"/>
      <c r="ES15" s="739"/>
      <c r="ET15" s="739"/>
      <c r="EU15" s="739"/>
      <c r="EV15" s="739"/>
      <c r="EW15" s="739"/>
      <c r="FC15" s="2281">
        <v>1997</v>
      </c>
      <c r="FD15" s="1785">
        <v>0.77804999999999991</v>
      </c>
      <c r="FE15" s="1966"/>
      <c r="FF15" s="739"/>
      <c r="FG15" s="739"/>
      <c r="FH15" s="739"/>
      <c r="FI15" s="739"/>
      <c r="FJ15" s="739"/>
      <c r="FK15" s="739"/>
      <c r="FL15" s="739"/>
      <c r="FM15" s="739"/>
      <c r="FN15" s="739"/>
      <c r="FO15" s="739"/>
      <c r="FP15" s="739"/>
      <c r="FQ15" s="739"/>
      <c r="FR15" s="739"/>
      <c r="FS15" s="739"/>
      <c r="FY15" s="2281">
        <v>1997</v>
      </c>
      <c r="FZ15" s="2490">
        <f t="shared" si="4"/>
        <v>1.004</v>
      </c>
      <c r="GA15" s="1966"/>
      <c r="GB15" s="739"/>
      <c r="GC15" s="739"/>
      <c r="GD15" s="739"/>
      <c r="GE15" s="739"/>
      <c r="GF15" s="739"/>
      <c r="GG15" s="739"/>
      <c r="GH15" s="739"/>
      <c r="GI15" s="739"/>
      <c r="GJ15" s="739"/>
      <c r="GK15" s="739"/>
      <c r="GL15" s="739"/>
      <c r="GM15" s="739"/>
      <c r="GN15" s="739"/>
      <c r="GO15" s="739"/>
      <c r="GU15" s="2281">
        <v>1997</v>
      </c>
      <c r="GV15" s="2509">
        <f>СЧЁТ!CN8</f>
        <v>1.0170519999999998</v>
      </c>
      <c r="GW15" s="2509">
        <f t="shared" si="1"/>
        <v>1.3791766659269069</v>
      </c>
      <c r="GX15" s="1966"/>
      <c r="GY15" s="739"/>
      <c r="GZ15" s="739"/>
      <c r="HA15" s="739"/>
      <c r="HB15" s="739"/>
      <c r="HC15" s="739"/>
      <c r="HD15" s="739"/>
      <c r="HE15" s="739"/>
      <c r="HF15" s="739"/>
      <c r="HG15" s="739"/>
      <c r="HH15" s="739"/>
      <c r="HI15" s="739"/>
      <c r="HJ15" s="739"/>
      <c r="HK15" s="739"/>
      <c r="HR15" s="2281">
        <v>1997</v>
      </c>
      <c r="HS15" s="2121">
        <v>0.1379176665926907</v>
      </c>
      <c r="HT15" s="1966"/>
      <c r="HU15" s="739"/>
      <c r="HV15" s="739"/>
      <c r="HW15" s="739"/>
      <c r="HX15" s="739"/>
      <c r="HY15" s="739"/>
      <c r="HZ15" s="739"/>
      <c r="IA15" s="739"/>
      <c r="IB15" s="739"/>
      <c r="IC15" s="739"/>
      <c r="ID15" s="739"/>
      <c r="IE15" s="739"/>
      <c r="IF15" s="739"/>
      <c r="IG15" s="739"/>
      <c r="IH15" s="739"/>
      <c r="IN15" s="2281">
        <v>1997</v>
      </c>
      <c r="IO15" s="1786">
        <v>406.47199999999998</v>
      </c>
      <c r="IP15" s="1786">
        <f t="shared" ref="IP15:IP36" si="6">0.7*IQ15+0.2*IQ14+0.1*IQ13</f>
        <v>388.04689999999999</v>
      </c>
      <c r="IQ15" s="1495">
        <v>408.79700000000003</v>
      </c>
      <c r="IR15" s="1767"/>
      <c r="IS15" s="1767"/>
      <c r="IT15" s="1767"/>
      <c r="IU15" s="1767"/>
      <c r="IV15" s="1767"/>
      <c r="IW15" s="1767"/>
      <c r="IX15" s="1767"/>
      <c r="IY15" s="1767"/>
      <c r="IZ15" s="1767"/>
      <c r="JA15" s="1767"/>
      <c r="JJ15" s="2748"/>
      <c r="JL15" s="2281">
        <v>1997</v>
      </c>
      <c r="JM15" s="1785">
        <v>1.05</v>
      </c>
      <c r="JN15" s="1966"/>
      <c r="JO15" s="739"/>
      <c r="JP15" s="739"/>
      <c r="JQ15" s="739"/>
      <c r="JR15" s="739"/>
      <c r="JS15" s="739"/>
      <c r="JT15" s="739"/>
      <c r="JU15" s="739"/>
      <c r="JV15" s="739"/>
      <c r="JW15" s="739"/>
      <c r="JX15" s="739"/>
      <c r="JY15" s="739"/>
      <c r="JZ15" s="739"/>
      <c r="KA15" s="739"/>
      <c r="KB15" s="739"/>
      <c r="KH15" s="2281">
        <v>1997</v>
      </c>
      <c r="KI15" s="1785">
        <v>0.99855000000000005</v>
      </c>
      <c r="KJ15" s="1871">
        <f>KI15</f>
        <v>0.99855000000000005</v>
      </c>
      <c r="KK15" s="1966"/>
      <c r="KL15" s="739"/>
      <c r="KM15" s="739"/>
      <c r="KN15" s="739"/>
      <c r="KO15" s="739"/>
      <c r="KP15" s="739"/>
      <c r="KQ15" s="739"/>
      <c r="KR15" s="739"/>
      <c r="KS15" s="739"/>
      <c r="KT15" s="739"/>
      <c r="KU15" s="739"/>
      <c r="KV15" s="739"/>
      <c r="KW15" s="739"/>
      <c r="KX15" s="739"/>
      <c r="KY15" s="739"/>
      <c r="LE15" s="2281">
        <v>1997</v>
      </c>
      <c r="LF15" s="1597">
        <v>60.021000000000001</v>
      </c>
      <c r="LG15" s="1966"/>
      <c r="LH15" s="1597">
        <v>8.0579999999999998</v>
      </c>
      <c r="LI15" s="1966"/>
      <c r="LJ15" s="739"/>
      <c r="LK15" s="739"/>
      <c r="LL15" s="739"/>
      <c r="LM15" s="739"/>
      <c r="LN15" s="739"/>
      <c r="LO15" s="739"/>
      <c r="LP15" s="739"/>
      <c r="LQ15" s="739"/>
      <c r="LR15" s="739"/>
      <c r="LS15" s="739"/>
      <c r="LT15" s="739"/>
      <c r="LU15" s="739"/>
      <c r="LV15" s="739"/>
      <c r="MB15" s="2281">
        <v>1997</v>
      </c>
      <c r="MC15" s="2131">
        <v>2727.788905764</v>
      </c>
      <c r="MD15" s="1966"/>
      <c r="ME15" s="739"/>
      <c r="MF15" s="739"/>
      <c r="MG15" s="739"/>
      <c r="MH15" s="739"/>
      <c r="MI15" s="739"/>
      <c r="MJ15" s="739"/>
      <c r="MK15" s="739"/>
      <c r="ML15" s="739"/>
      <c r="MM15" s="739"/>
      <c r="MN15" s="739"/>
      <c r="MO15" s="739"/>
      <c r="MP15" s="739"/>
      <c r="MQ15" s="739"/>
      <c r="MY15" s="2281">
        <v>1997</v>
      </c>
      <c r="MZ15" s="1597">
        <f t="shared" si="2"/>
        <v>45.447241894736841</v>
      </c>
      <c r="NA15" s="1966"/>
      <c r="NB15" s="739"/>
      <c r="NC15" s="739"/>
      <c r="ND15" s="739"/>
      <c r="NE15" s="739"/>
      <c r="NF15" s="739"/>
      <c r="NG15" s="739"/>
      <c r="NH15" s="739"/>
      <c r="NI15" s="739"/>
      <c r="NJ15" s="739"/>
      <c r="NK15" s="739"/>
      <c r="NL15" s="739"/>
      <c r="NM15" s="739"/>
      <c r="NN15" s="739"/>
      <c r="NO15" s="739"/>
      <c r="NV15" s="2281">
        <v>1997</v>
      </c>
      <c r="NW15" s="1785">
        <v>2.415292468742241</v>
      </c>
      <c r="NX15" s="1597">
        <v>1.3519800000000002</v>
      </c>
      <c r="NY15" s="1785">
        <v>2.5165818894824628</v>
      </c>
      <c r="NZ15" s="1966">
        <v>1.9680277801214476</v>
      </c>
      <c r="OA15" s="739"/>
      <c r="OB15" s="739"/>
      <c r="OC15" s="739"/>
      <c r="OD15" s="739"/>
      <c r="OE15" s="739"/>
      <c r="OF15" s="739"/>
      <c r="OG15" s="739"/>
      <c r="OH15" s="739"/>
      <c r="OI15" s="739"/>
      <c r="OJ15" s="739"/>
      <c r="OK15" s="739"/>
      <c r="OS15" s="2748"/>
      <c r="OU15" s="2281">
        <v>1997</v>
      </c>
      <c r="OV15" s="1785">
        <f t="shared" ref="OV15:OV36" si="7">PR15/PR14</f>
        <v>0.97599999999999987</v>
      </c>
      <c r="OW15" s="1966"/>
      <c r="OX15" s="739"/>
      <c r="OY15" s="739"/>
      <c r="OZ15" s="739"/>
      <c r="PA15" s="739"/>
      <c r="PB15" s="739"/>
      <c r="PC15" s="739"/>
      <c r="PD15" s="739"/>
      <c r="PE15" s="739"/>
      <c r="PF15" s="739"/>
      <c r="PG15" s="739"/>
      <c r="PH15" s="739"/>
      <c r="PI15" s="739"/>
      <c r="PJ15" s="739"/>
      <c r="PK15" s="739"/>
      <c r="PQ15" s="2281">
        <v>1997</v>
      </c>
      <c r="PR15" s="1785">
        <f>СЧЁТ!CI8</f>
        <v>1.0062559999999998</v>
      </c>
      <c r="PS15" s="1966"/>
      <c r="PT15" s="739"/>
      <c r="PU15" s="739"/>
      <c r="PV15" s="739"/>
      <c r="PW15" s="739"/>
      <c r="PX15" s="739"/>
      <c r="PY15" s="739"/>
      <c r="PZ15" s="739"/>
      <c r="QA15" s="739"/>
      <c r="QB15" s="739"/>
      <c r="QC15" s="739"/>
      <c r="QD15" s="739"/>
      <c r="QE15" s="739"/>
      <c r="QF15" s="739"/>
      <c r="QG15" s="739"/>
      <c r="QM15" s="2281">
        <v>1997</v>
      </c>
      <c r="QN15" s="1785">
        <v>1.014</v>
      </c>
      <c r="QO15" s="1966"/>
      <c r="QP15" s="739"/>
      <c r="QQ15" s="739"/>
      <c r="QR15" s="739"/>
      <c r="QS15" s="739"/>
      <c r="QT15" s="739"/>
      <c r="QU15" s="739"/>
      <c r="QV15" s="739"/>
      <c r="QW15" s="739"/>
      <c r="QX15" s="739"/>
      <c r="QY15" s="739"/>
      <c r="QZ15" s="739"/>
      <c r="RA15" s="739"/>
      <c r="RB15" s="739"/>
      <c r="RC15" s="739"/>
      <c r="RI15" s="943">
        <v>3</v>
      </c>
      <c r="RJ15" s="2281">
        <v>1997</v>
      </c>
      <c r="RK15" s="1786">
        <v>5279.4912240000003</v>
      </c>
      <c r="RL15" s="1786"/>
      <c r="RM15" s="1966"/>
      <c r="RN15" s="739"/>
      <c r="RO15" s="739"/>
      <c r="RP15" s="739"/>
      <c r="RQ15" s="739"/>
      <c r="RR15" s="739"/>
      <c r="RS15" s="739"/>
      <c r="RT15" s="739"/>
      <c r="RU15" s="739"/>
      <c r="RV15" s="739"/>
      <c r="RW15" s="739"/>
      <c r="RX15" s="739"/>
      <c r="RY15" s="739"/>
      <c r="RZ15" s="739"/>
      <c r="SA15" s="739"/>
      <c r="SG15" s="2281">
        <v>1997</v>
      </c>
      <c r="SH15" s="1785">
        <f t="shared" si="3"/>
        <v>0.51667647317297627</v>
      </c>
      <c r="SI15" s="1966"/>
      <c r="SJ15" s="739"/>
      <c r="SK15" s="739"/>
      <c r="SL15" s="739"/>
      <c r="SM15" s="739"/>
      <c r="SN15" s="739"/>
      <c r="SO15" s="739"/>
      <c r="SP15" s="739"/>
      <c r="SQ15" s="739"/>
      <c r="SR15" s="739"/>
      <c r="SS15" s="739"/>
      <c r="ST15" s="739"/>
      <c r="SU15" s="739"/>
      <c r="SV15" s="739"/>
      <c r="SW15" s="739"/>
      <c r="TC15" s="2281">
        <v>1997</v>
      </c>
      <c r="TD15" s="1785">
        <v>0.97749600000000003</v>
      </c>
      <c r="TE15" s="1966"/>
      <c r="TF15" s="739"/>
      <c r="TG15" s="739"/>
      <c r="TH15" s="739"/>
      <c r="TI15" s="739"/>
      <c r="TJ15" s="739"/>
      <c r="TK15" s="739"/>
      <c r="TL15" s="739"/>
      <c r="TM15" s="739"/>
      <c r="TN15" s="739"/>
      <c r="TO15" s="739"/>
      <c r="TP15" s="739"/>
      <c r="TQ15" s="739"/>
      <c r="TX15" s="2748"/>
      <c r="TZ15" s="2281">
        <v>1997</v>
      </c>
      <c r="UA15" s="1785">
        <f t="shared" si="5"/>
        <v>0.99199999999999999</v>
      </c>
      <c r="UC15" s="1966"/>
      <c r="UD15" s="739"/>
      <c r="UE15" s="739"/>
      <c r="UF15" s="739"/>
      <c r="UG15" s="739"/>
      <c r="UH15" s="739"/>
      <c r="UI15" s="739"/>
      <c r="UJ15" s="739"/>
      <c r="UK15" s="739"/>
      <c r="UL15" s="739"/>
      <c r="UM15" s="739"/>
      <c r="UN15" s="739"/>
      <c r="UO15" s="739"/>
      <c r="UP15" s="739"/>
      <c r="UQ15" s="739"/>
      <c r="UW15" s="2281">
        <v>1997</v>
      </c>
      <c r="UX15" s="2029">
        <f>СЧЁТ!CK8</f>
        <v>0.99795199999999995</v>
      </c>
      <c r="UY15" s="1966"/>
      <c r="UZ15" s="739"/>
      <c r="VA15" s="739"/>
      <c r="VB15" s="739"/>
      <c r="VC15" s="739"/>
      <c r="VD15" s="739"/>
      <c r="VE15" s="739"/>
      <c r="VF15" s="739"/>
      <c r="VG15" s="739"/>
      <c r="VH15" s="739"/>
      <c r="VI15" s="739"/>
      <c r="VJ15" s="739"/>
      <c r="VK15" s="739"/>
      <c r="VL15" s="739"/>
      <c r="VM15" s="739"/>
      <c r="VS15" s="2281">
        <v>1997</v>
      </c>
      <c r="VT15" s="1785">
        <v>1.014</v>
      </c>
      <c r="VU15" s="1966"/>
      <c r="VV15" s="739"/>
      <c r="VW15" s="739"/>
      <c r="VX15" s="739"/>
      <c r="VY15" s="739"/>
      <c r="VZ15" s="739"/>
      <c r="WA15" s="739"/>
      <c r="WB15" s="739"/>
      <c r="WC15" s="739"/>
      <c r="WD15" s="739"/>
      <c r="WE15" s="739"/>
      <c r="WF15" s="739"/>
      <c r="WG15" s="739"/>
      <c r="WH15" s="739"/>
      <c r="WI15" s="739"/>
      <c r="WO15" s="2281">
        <v>1997</v>
      </c>
      <c r="WP15" s="2131">
        <v>2727.788905764</v>
      </c>
      <c r="WQ15" s="1786"/>
      <c r="WR15" s="1495">
        <v>2727.788905764</v>
      </c>
      <c r="WS15" s="739"/>
      <c r="WT15" s="739"/>
      <c r="WU15" s="739"/>
      <c r="WV15" s="739"/>
      <c r="WW15" s="739"/>
      <c r="WX15" s="739"/>
      <c r="WY15" s="739"/>
      <c r="WZ15" s="739"/>
      <c r="XA15" s="739"/>
      <c r="XB15" s="739"/>
      <c r="XC15" s="739"/>
      <c r="XD15" s="739"/>
      <c r="XE15" s="739"/>
      <c r="XF15" s="739"/>
      <c r="XK15" s="2492">
        <v>1997</v>
      </c>
      <c r="XL15" s="2490">
        <v>1</v>
      </c>
      <c r="XM15" s="1966"/>
      <c r="XN15" s="739"/>
      <c r="XO15" s="739"/>
      <c r="XP15" s="739"/>
      <c r="XQ15" s="739"/>
      <c r="XR15" s="739"/>
      <c r="XS15" s="739"/>
      <c r="XT15" s="739"/>
      <c r="XU15" s="739"/>
      <c r="XV15" s="739"/>
      <c r="XW15" s="739"/>
      <c r="XX15" s="739"/>
      <c r="XY15" s="739"/>
      <c r="XZ15" s="739"/>
      <c r="YA15" s="739"/>
      <c r="YG15" s="2281">
        <v>1997</v>
      </c>
      <c r="YH15" s="1785">
        <v>0.97749600000000003</v>
      </c>
      <c r="YI15" s="1966"/>
      <c r="YJ15" s="739"/>
      <c r="YK15" s="739"/>
      <c r="YL15" s="739"/>
      <c r="YM15" s="739"/>
      <c r="YN15" s="739"/>
      <c r="YO15" s="739"/>
      <c r="YP15" s="739"/>
      <c r="YQ15" s="739"/>
      <c r="YR15" s="739"/>
      <c r="YS15" s="739"/>
      <c r="YT15" s="739"/>
      <c r="YU15" s="739"/>
      <c r="ZE15" s="2587" t="s">
        <v>2156</v>
      </c>
      <c r="ZF15" s="765"/>
      <c r="ZG15" s="765"/>
      <c r="ZH15" s="765"/>
      <c r="ZI15" s="765"/>
      <c r="ZJ15" s="765"/>
      <c r="ZK15" s="765"/>
      <c r="ZL15" s="765"/>
      <c r="ZM15" s="765"/>
      <c r="ZN15" s="765"/>
      <c r="ZO15" s="765"/>
      <c r="ZP15" s="777"/>
    </row>
    <row r="16" spans="2:692" ht="20.399999999999999">
      <c r="G16" s="2281">
        <v>1998</v>
      </c>
      <c r="H16" s="2490">
        <v>0.94699999999999995</v>
      </c>
      <c r="I16" s="2416"/>
      <c r="K16" s="739"/>
      <c r="L16" s="739"/>
      <c r="M16" s="739"/>
      <c r="N16" s="739"/>
      <c r="O16" s="739"/>
      <c r="P16" s="739"/>
      <c r="Q16" s="739"/>
      <c r="R16" s="739"/>
      <c r="S16" s="739"/>
      <c r="T16" s="739"/>
      <c r="U16" s="739"/>
      <c r="V16" s="739"/>
      <c r="W16" s="739"/>
      <c r="X16" s="739"/>
      <c r="AD16" s="2281">
        <v>1998</v>
      </c>
      <c r="AE16" s="1785">
        <f>AE15*H16</f>
        <v>0.92568871200000002</v>
      </c>
      <c r="AF16" s="765"/>
      <c r="AG16" s="1966"/>
      <c r="AH16" s="739"/>
      <c r="AI16" s="739"/>
      <c r="AJ16" s="739"/>
      <c r="AK16" s="739"/>
      <c r="AL16" s="739"/>
      <c r="AM16" s="739"/>
      <c r="AN16" s="739"/>
      <c r="AO16" s="739"/>
      <c r="AP16" s="739"/>
      <c r="AQ16" s="739"/>
      <c r="AR16" s="739"/>
      <c r="AS16" s="739"/>
      <c r="AT16" s="739"/>
      <c r="AU16" s="739"/>
      <c r="BA16" s="2281">
        <v>1998</v>
      </c>
      <c r="BB16" s="1285">
        <v>1.7757982734232494</v>
      </c>
      <c r="BC16" s="2416"/>
      <c r="BD16" s="739"/>
      <c r="BE16" s="739"/>
      <c r="BF16" s="739"/>
      <c r="BG16" s="739"/>
      <c r="BH16" s="739"/>
      <c r="BI16" s="739"/>
      <c r="BJ16" s="739"/>
      <c r="BK16" s="739"/>
      <c r="BL16" s="739"/>
      <c r="BM16" s="739"/>
      <c r="BN16" s="739"/>
      <c r="BO16" s="739"/>
      <c r="BP16" s="739"/>
      <c r="BQ16" s="739"/>
      <c r="BW16" s="2281">
        <v>1998</v>
      </c>
      <c r="BX16" s="1785">
        <f>ОТЧЁТ!EE416</f>
        <v>0.88314350986207779</v>
      </c>
      <c r="BY16" s="1785">
        <v>1.0514194849999998</v>
      </c>
      <c r="BZ16" s="1966"/>
      <c r="CA16" s="739"/>
      <c r="CB16" s="739"/>
      <c r="CC16" s="739"/>
      <c r="CD16" s="739"/>
      <c r="CE16" s="739"/>
      <c r="CF16" s="739"/>
      <c r="CG16" s="739"/>
      <c r="CH16" s="739"/>
      <c r="CI16" s="739"/>
      <c r="CJ16" s="739"/>
      <c r="CK16" s="739"/>
      <c r="CL16" s="739"/>
      <c r="CM16" s="739"/>
      <c r="CN16" s="739"/>
      <c r="CT16" s="2281">
        <v>1998</v>
      </c>
      <c r="CU16" s="2487">
        <v>160.34593730407522</v>
      </c>
      <c r="CV16" s="1966"/>
      <c r="CW16" s="739"/>
      <c r="CX16" s="739"/>
      <c r="CY16" s="739"/>
      <c r="CZ16" s="739"/>
      <c r="DA16" s="739"/>
      <c r="DB16" s="739"/>
      <c r="DC16" s="739"/>
      <c r="DD16" s="739"/>
      <c r="DE16" s="739"/>
      <c r="DF16" s="739"/>
      <c r="DG16" s="739"/>
      <c r="DH16" s="739"/>
      <c r="DI16" s="739"/>
      <c r="DJ16" s="739"/>
      <c r="DO16" s="2281">
        <v>1998</v>
      </c>
      <c r="DP16" s="2487">
        <f t="shared" si="0"/>
        <v>160.34593730407522</v>
      </c>
      <c r="DQ16" s="1247">
        <f t="shared" ref="DQ16:DQ36" si="8">DP16/(0.7*DR16+0.2*DR15+0.1*DR14)</f>
        <v>0.83791078704066091</v>
      </c>
      <c r="DR16" s="2329">
        <v>182.79282621599998</v>
      </c>
      <c r="DS16" s="1767"/>
      <c r="DT16" s="1767"/>
      <c r="DU16" s="1767"/>
      <c r="DV16" s="1767"/>
      <c r="DW16" s="1767"/>
      <c r="DX16" s="1767"/>
      <c r="DY16" s="1767"/>
      <c r="DZ16" s="1767"/>
      <c r="EA16" s="1767"/>
      <c r="EB16" s="1767"/>
      <c r="EC16" s="1767"/>
      <c r="ED16" s="1767"/>
      <c r="EE16" s="2749"/>
      <c r="EG16" s="2281">
        <v>1998</v>
      </c>
      <c r="EH16" s="2416">
        <v>0.88</v>
      </c>
      <c r="EI16" s="2416"/>
      <c r="EJ16" s="739"/>
      <c r="EK16" s="739"/>
      <c r="EL16" s="739"/>
      <c r="EM16" s="739"/>
      <c r="EN16" s="739"/>
      <c r="EO16" s="739"/>
      <c r="EP16" s="739"/>
      <c r="EQ16" s="739"/>
      <c r="ER16" s="739"/>
      <c r="ES16" s="739"/>
      <c r="ET16" s="739"/>
      <c r="EU16" s="739"/>
      <c r="EV16" s="739"/>
      <c r="EW16" s="739"/>
      <c r="FC16" s="2281">
        <v>1998</v>
      </c>
      <c r="FD16" s="1785">
        <v>0.68468399999999996</v>
      </c>
      <c r="FE16" s="1966"/>
      <c r="FF16" s="739"/>
      <c r="FG16" s="739"/>
      <c r="FH16" s="739"/>
      <c r="FI16" s="739"/>
      <c r="FJ16" s="739"/>
      <c r="FK16" s="739"/>
      <c r="FL16" s="739"/>
      <c r="FM16" s="739"/>
      <c r="FN16" s="739"/>
      <c r="FO16" s="739"/>
      <c r="FP16" s="739"/>
      <c r="FQ16" s="739"/>
      <c r="FR16" s="739"/>
      <c r="FS16" s="739"/>
      <c r="FY16" s="2281">
        <v>1998</v>
      </c>
      <c r="FZ16" s="2490">
        <f t="shared" si="4"/>
        <v>0.82600000000000007</v>
      </c>
      <c r="GA16" s="1966"/>
      <c r="GB16" s="739"/>
      <c r="GC16" s="739"/>
      <c r="GD16" s="739"/>
      <c r="GE16" s="739"/>
      <c r="GF16" s="739"/>
      <c r="GG16" s="739"/>
      <c r="GH16" s="739"/>
      <c r="GI16" s="739"/>
      <c r="GJ16" s="739"/>
      <c r="GK16" s="739"/>
      <c r="GL16" s="739"/>
      <c r="GM16" s="739"/>
      <c r="GN16" s="739"/>
      <c r="GO16" s="739"/>
      <c r="GU16" s="2281">
        <v>1998</v>
      </c>
      <c r="GV16" s="2509">
        <f>СЧЁТ!CN9</f>
        <v>0.84008495199999988</v>
      </c>
      <c r="GW16" s="2509">
        <f t="shared" si="1"/>
        <v>1.2004214183937039</v>
      </c>
      <c r="GX16" s="1966"/>
      <c r="GY16" s="739"/>
      <c r="GZ16" s="739"/>
      <c r="HA16" s="739"/>
      <c r="HB16" s="739"/>
      <c r="HC16" s="739"/>
      <c r="HD16" s="739"/>
      <c r="HE16" s="739"/>
      <c r="HF16" s="739"/>
      <c r="HG16" s="739"/>
      <c r="HH16" s="739"/>
      <c r="HI16" s="739"/>
      <c r="HJ16" s="739"/>
      <c r="HK16" s="739"/>
      <c r="HR16" s="2281">
        <v>1998</v>
      </c>
      <c r="HS16" s="2121">
        <v>0.12004214183937038</v>
      </c>
      <c r="HT16" s="1966"/>
      <c r="HU16" s="739"/>
      <c r="HV16" s="739"/>
      <c r="HW16" s="739"/>
      <c r="HX16" s="739"/>
      <c r="HY16" s="739"/>
      <c r="HZ16" s="739"/>
      <c r="IA16" s="739"/>
      <c r="IB16" s="739"/>
      <c r="IC16" s="739"/>
      <c r="ID16" s="739"/>
      <c r="IE16" s="739"/>
      <c r="IF16" s="739"/>
      <c r="IG16" s="739"/>
      <c r="IH16" s="739"/>
      <c r="IN16" s="2281">
        <v>1998</v>
      </c>
      <c r="IO16" s="1786">
        <v>428.56400000000002</v>
      </c>
      <c r="IP16" s="1786">
        <f t="shared" si="6"/>
        <v>404.31540000000001</v>
      </c>
      <c r="IQ16" s="1495">
        <v>407.08600000000001</v>
      </c>
      <c r="IR16" s="1767"/>
      <c r="IS16" s="1767"/>
      <c r="IT16" s="1767"/>
      <c r="IU16" s="1767"/>
      <c r="IV16" s="1767"/>
      <c r="IW16" s="1767"/>
      <c r="IX16" s="1767"/>
      <c r="IY16" s="1767"/>
      <c r="IZ16" s="1767"/>
      <c r="JA16" s="1767"/>
      <c r="JJ16" s="2748"/>
      <c r="JL16" s="2281">
        <v>1998</v>
      </c>
      <c r="JM16" s="1785">
        <v>0.96599999999999997</v>
      </c>
      <c r="JN16" s="1966"/>
      <c r="JO16" s="739"/>
      <c r="JP16" s="739"/>
      <c r="JQ16" s="739"/>
      <c r="JR16" s="739"/>
      <c r="JS16" s="739"/>
      <c r="JT16" s="739"/>
      <c r="JU16" s="739"/>
      <c r="JV16" s="739"/>
      <c r="JW16" s="739"/>
      <c r="JX16" s="739"/>
      <c r="JY16" s="739"/>
      <c r="JZ16" s="739"/>
      <c r="KA16" s="739"/>
      <c r="KB16" s="739"/>
      <c r="KH16" s="2281">
        <v>1998</v>
      </c>
      <c r="KI16" s="1785">
        <v>0.96459930000000005</v>
      </c>
      <c r="KJ16" s="1871">
        <f t="shared" ref="KJ16:KJ25" si="9">KI16</f>
        <v>0.96459930000000005</v>
      </c>
      <c r="KK16" s="1966"/>
      <c r="KL16" s="739"/>
      <c r="KM16" s="739"/>
      <c r="KN16" s="739"/>
      <c r="KO16" s="739"/>
      <c r="KP16" s="739"/>
      <c r="KQ16" s="739"/>
      <c r="KR16" s="739"/>
      <c r="KS16" s="739"/>
      <c r="KT16" s="739"/>
      <c r="KU16" s="739"/>
      <c r="KV16" s="739"/>
      <c r="KW16" s="739"/>
      <c r="KX16" s="739"/>
      <c r="KY16" s="739"/>
      <c r="LE16" s="2281">
        <v>1998</v>
      </c>
      <c r="LF16" s="1597">
        <v>58.436999999999998</v>
      </c>
      <c r="LG16" s="1966"/>
      <c r="LH16" s="1597">
        <v>8.9019999999999992</v>
      </c>
      <c r="LI16" s="1966"/>
      <c r="LJ16" s="739"/>
      <c r="LK16" s="739"/>
      <c r="LL16" s="739"/>
      <c r="LM16" s="739"/>
      <c r="LN16" s="739"/>
      <c r="LO16" s="739"/>
      <c r="LP16" s="739"/>
      <c r="LQ16" s="739"/>
      <c r="LR16" s="739"/>
      <c r="LS16" s="739"/>
      <c r="LT16" s="739"/>
      <c r="LU16" s="739"/>
      <c r="LV16" s="739"/>
      <c r="MB16" s="2281">
        <v>1998</v>
      </c>
      <c r="MC16" s="2131">
        <v>2588.6716715700359</v>
      </c>
      <c r="MD16" s="1966"/>
      <c r="ME16" s="739"/>
      <c r="MF16" s="739"/>
      <c r="MG16" s="739"/>
      <c r="MH16" s="739"/>
      <c r="MI16" s="739"/>
      <c r="MJ16" s="739"/>
      <c r="MK16" s="739"/>
      <c r="ML16" s="739"/>
      <c r="MM16" s="739"/>
      <c r="MN16" s="739"/>
      <c r="MO16" s="739"/>
      <c r="MP16" s="739"/>
      <c r="MQ16" s="739"/>
      <c r="MY16" s="2281">
        <v>1998</v>
      </c>
      <c r="MZ16" s="1597">
        <f t="shared" si="2"/>
        <v>44.298503885723704</v>
      </c>
      <c r="NA16" s="1966"/>
      <c r="NB16" s="739"/>
      <c r="NC16" s="739"/>
      <c r="ND16" s="739"/>
      <c r="NE16" s="739"/>
      <c r="NF16" s="739"/>
      <c r="NG16" s="739"/>
      <c r="NH16" s="739"/>
      <c r="NI16" s="739"/>
      <c r="NJ16" s="739"/>
      <c r="NK16" s="739"/>
      <c r="NL16" s="739"/>
      <c r="NM16" s="739"/>
      <c r="NN16" s="739"/>
      <c r="NO16" s="739"/>
      <c r="NV16" s="2281">
        <v>1998</v>
      </c>
      <c r="NW16" s="1785">
        <v>2.6727462335842294</v>
      </c>
      <c r="NX16" s="1597">
        <v>2.4930511200000005</v>
      </c>
      <c r="NY16" s="1785">
        <v>2.6836249787031963</v>
      </c>
      <c r="NZ16" s="1966">
        <v>2.2270348811115843</v>
      </c>
      <c r="OA16" s="739"/>
      <c r="OB16" s="739"/>
      <c r="OC16" s="739"/>
      <c r="OD16" s="739"/>
      <c r="OE16" s="739"/>
      <c r="OF16" s="739"/>
      <c r="OG16" s="739"/>
      <c r="OH16" s="739"/>
      <c r="OI16" s="739"/>
      <c r="OJ16" s="739"/>
      <c r="OK16" s="739"/>
      <c r="OS16" s="2748"/>
      <c r="OU16" s="2281">
        <v>1998</v>
      </c>
      <c r="OV16" s="1785">
        <f t="shared" si="7"/>
        <v>1.01</v>
      </c>
      <c r="OW16" s="1966"/>
      <c r="OX16" s="739"/>
      <c r="OY16" s="739"/>
      <c r="OZ16" s="739"/>
      <c r="PA16" s="739"/>
      <c r="PB16" s="739"/>
      <c r="PC16" s="739"/>
      <c r="PD16" s="739"/>
      <c r="PE16" s="739"/>
      <c r="PF16" s="739"/>
      <c r="PG16" s="739"/>
      <c r="PH16" s="739"/>
      <c r="PI16" s="739"/>
      <c r="PJ16" s="739"/>
      <c r="PK16" s="739"/>
      <c r="PQ16" s="2281">
        <v>1998</v>
      </c>
      <c r="PR16" s="1785">
        <f>СЧЁТ!CI9</f>
        <v>1.0163185599999998</v>
      </c>
      <c r="PS16" s="1966"/>
      <c r="PT16" s="739"/>
      <c r="PU16" s="739"/>
      <c r="PV16" s="739"/>
      <c r="PW16" s="739"/>
      <c r="PX16" s="739"/>
      <c r="PY16" s="739"/>
      <c r="PZ16" s="739"/>
      <c r="QA16" s="739"/>
      <c r="QB16" s="739"/>
      <c r="QC16" s="739"/>
      <c r="QD16" s="739"/>
      <c r="QE16" s="739"/>
      <c r="QF16" s="739"/>
      <c r="QG16" s="739"/>
      <c r="QM16" s="2281">
        <v>1998</v>
      </c>
      <c r="QN16" s="1785">
        <v>0.94699999999999995</v>
      </c>
      <c r="QO16" s="1966"/>
      <c r="QP16" s="739"/>
      <c r="QQ16" s="739"/>
      <c r="QR16" s="739"/>
      <c r="QS16" s="739"/>
      <c r="QT16" s="739"/>
      <c r="QU16" s="739"/>
      <c r="QV16" s="739"/>
      <c r="QW16" s="739"/>
      <c r="QX16" s="739"/>
      <c r="QY16" s="739"/>
      <c r="QZ16" s="739"/>
      <c r="RA16" s="739"/>
      <c r="RB16" s="739"/>
      <c r="RC16" s="739"/>
      <c r="RI16" s="943">
        <v>4</v>
      </c>
      <c r="RJ16" s="2281">
        <v>1998</v>
      </c>
      <c r="RK16" s="1786">
        <v>5263.6527503280004</v>
      </c>
      <c r="RL16" s="1786"/>
      <c r="RM16" s="1966"/>
      <c r="RN16" s="739"/>
      <c r="RO16" s="739"/>
      <c r="RP16" s="739"/>
      <c r="RQ16" s="739"/>
      <c r="RR16" s="739"/>
      <c r="RS16" s="739"/>
      <c r="RT16" s="739"/>
      <c r="RU16" s="739"/>
      <c r="RV16" s="739"/>
      <c r="RW16" s="739"/>
      <c r="RX16" s="739"/>
      <c r="RY16" s="739"/>
      <c r="RZ16" s="739"/>
      <c r="SA16" s="739"/>
      <c r="SG16" s="2281">
        <v>1998</v>
      </c>
      <c r="SH16" s="1785">
        <f t="shared" si="3"/>
        <v>0.49180137717267253</v>
      </c>
      <c r="SI16" s="1966"/>
      <c r="SJ16" s="739"/>
      <c r="SK16" s="739"/>
      <c r="SL16" s="739"/>
      <c r="SM16" s="739"/>
      <c r="SN16" s="739"/>
      <c r="SO16" s="739"/>
      <c r="SP16" s="739"/>
      <c r="SQ16" s="739"/>
      <c r="SR16" s="739"/>
      <c r="SS16" s="739"/>
      <c r="ST16" s="739"/>
      <c r="SU16" s="739"/>
      <c r="SV16" s="739"/>
      <c r="SW16" s="739"/>
      <c r="TC16" s="2281">
        <v>1998</v>
      </c>
      <c r="TD16" s="1785">
        <v>0.92568871200000002</v>
      </c>
      <c r="TE16" s="1966"/>
      <c r="TF16" s="739"/>
      <c r="TG16" s="739"/>
      <c r="TH16" s="739"/>
      <c r="TI16" s="739"/>
      <c r="TJ16" s="739"/>
      <c r="TK16" s="739"/>
      <c r="TL16" s="739"/>
      <c r="TM16" s="739"/>
      <c r="TN16" s="739"/>
      <c r="TO16" s="739"/>
      <c r="TP16" s="739"/>
      <c r="TQ16" s="739"/>
      <c r="TX16" s="2748"/>
      <c r="TZ16" s="2281">
        <v>1998</v>
      </c>
      <c r="UA16" s="1785">
        <f t="shared" si="5"/>
        <v>1.0049999999999999</v>
      </c>
      <c r="UC16" s="1966"/>
      <c r="UD16" s="739"/>
      <c r="UE16" s="739"/>
      <c r="UF16" s="739"/>
      <c r="UG16" s="739"/>
      <c r="UH16" s="739"/>
      <c r="UI16" s="739"/>
      <c r="UJ16" s="739"/>
      <c r="UK16" s="739"/>
      <c r="UL16" s="739"/>
      <c r="UM16" s="739"/>
      <c r="UN16" s="739"/>
      <c r="UO16" s="739"/>
      <c r="UP16" s="739"/>
      <c r="UQ16" s="739"/>
      <c r="UW16" s="2281">
        <v>1998</v>
      </c>
      <c r="UX16" s="2029">
        <f>СЧЁТ!CK9</f>
        <v>1.0029417599999999</v>
      </c>
      <c r="UY16" s="1966"/>
      <c r="UZ16" s="739"/>
      <c r="VA16" s="739"/>
      <c r="VB16" s="739"/>
      <c r="VC16" s="739"/>
      <c r="VD16" s="739"/>
      <c r="VE16" s="739"/>
      <c r="VF16" s="739"/>
      <c r="VG16" s="739"/>
      <c r="VH16" s="739"/>
      <c r="VI16" s="739"/>
      <c r="VJ16" s="739"/>
      <c r="VK16" s="739"/>
      <c r="VL16" s="739"/>
      <c r="VM16" s="739"/>
      <c r="VS16" s="2281">
        <v>1998</v>
      </c>
      <c r="VT16" s="1785">
        <v>0.94699999999999995</v>
      </c>
      <c r="VU16" s="1966"/>
      <c r="VV16" s="739"/>
      <c r="VW16" s="739"/>
      <c r="VX16" s="739"/>
      <c r="VY16" s="739"/>
      <c r="VZ16" s="739"/>
      <c r="WA16" s="739"/>
      <c r="WB16" s="739"/>
      <c r="WC16" s="739"/>
      <c r="WD16" s="739"/>
      <c r="WE16" s="739"/>
      <c r="WF16" s="739"/>
      <c r="WG16" s="739"/>
      <c r="WH16" s="739"/>
      <c r="WI16" s="739"/>
      <c r="WO16" s="2281">
        <v>1998</v>
      </c>
      <c r="WP16" s="2131">
        <v>2588.6716715700359</v>
      </c>
      <c r="WQ16" s="1786"/>
      <c r="WR16" s="1495">
        <v>2588.6716715700359</v>
      </c>
      <c r="WS16" s="739"/>
      <c r="WT16" s="739"/>
      <c r="WU16" s="739"/>
      <c r="WV16" s="739"/>
      <c r="WW16" s="739"/>
      <c r="WX16" s="739"/>
      <c r="WY16" s="739"/>
      <c r="WZ16" s="739"/>
      <c r="XA16" s="739"/>
      <c r="XB16" s="739"/>
      <c r="XC16" s="739"/>
      <c r="XD16" s="739"/>
      <c r="XE16" s="739"/>
      <c r="XF16" s="739"/>
      <c r="XK16" s="2492">
        <v>1998</v>
      </c>
      <c r="XL16" s="2490">
        <v>1</v>
      </c>
      <c r="XM16" s="1966"/>
      <c r="XN16" s="739"/>
      <c r="XO16" s="739"/>
      <c r="XP16" s="739"/>
      <c r="XQ16" s="739"/>
      <c r="XR16" s="739"/>
      <c r="XS16" s="739"/>
      <c r="XT16" s="739"/>
      <c r="XU16" s="739"/>
      <c r="XV16" s="739"/>
      <c r="XW16" s="739"/>
      <c r="XX16" s="739"/>
      <c r="XY16" s="739"/>
      <c r="XZ16" s="739"/>
      <c r="YA16" s="739"/>
      <c r="YG16" s="2281">
        <v>1998</v>
      </c>
      <c r="YH16" s="1785">
        <v>0.92568871200000002</v>
      </c>
      <c r="YI16" s="1966"/>
      <c r="YJ16" s="739"/>
      <c r="YK16" s="739"/>
      <c r="YL16" s="739"/>
      <c r="YM16" s="739"/>
      <c r="YN16" s="739"/>
      <c r="YO16" s="739"/>
      <c r="YP16" s="739"/>
      <c r="YQ16" s="739"/>
      <c r="YR16" s="739"/>
      <c r="YS16" s="739"/>
      <c r="YT16" s="739"/>
      <c r="YU16" s="739"/>
      <c r="ZE16" s="2587" t="s">
        <v>2157</v>
      </c>
      <c r="ZF16" s="765"/>
      <c r="ZG16" s="765"/>
      <c r="ZH16" s="765"/>
      <c r="ZI16" s="765"/>
      <c r="ZJ16" s="765"/>
      <c r="ZK16" s="765"/>
      <c r="ZL16" s="765"/>
      <c r="ZM16" s="765"/>
      <c r="ZN16" s="765"/>
      <c r="ZO16" s="765"/>
      <c r="ZP16" s="777"/>
    </row>
    <row r="17" spans="5:692" ht="20.399999999999999">
      <c r="G17" s="2281">
        <v>1999</v>
      </c>
      <c r="H17" s="2490">
        <v>1.0640000000000001</v>
      </c>
      <c r="I17" s="2416"/>
      <c r="K17" s="739"/>
      <c r="L17" s="739"/>
      <c r="M17" s="739"/>
      <c r="N17" s="739"/>
      <c r="O17" s="739"/>
      <c r="P17" s="739"/>
      <c r="Q17" s="739"/>
      <c r="R17" s="739"/>
      <c r="S17" s="739"/>
      <c r="T17" s="739"/>
      <c r="U17" s="739"/>
      <c r="V17" s="739"/>
      <c r="W17" s="739"/>
      <c r="X17" s="739"/>
      <c r="AD17" s="2281">
        <v>1999</v>
      </c>
      <c r="AE17" s="1785">
        <f>AE16*H17</f>
        <v>0.98493278956800012</v>
      </c>
      <c r="AF17" s="765"/>
      <c r="AG17" s="1966"/>
      <c r="AH17" s="739"/>
      <c r="AI17" s="739"/>
      <c r="AJ17" s="739"/>
      <c r="AK17" s="739"/>
      <c r="AL17" s="739"/>
      <c r="AM17" s="739"/>
      <c r="AN17" s="739"/>
      <c r="AO17" s="739"/>
      <c r="AP17" s="739"/>
      <c r="AQ17" s="739"/>
      <c r="AR17" s="739"/>
      <c r="AS17" s="739"/>
      <c r="AT17" s="739"/>
      <c r="AU17" s="739"/>
      <c r="BA17" s="2281">
        <v>1999</v>
      </c>
      <c r="BB17" s="1285">
        <v>4.3836468174313525</v>
      </c>
      <c r="BC17" s="2416"/>
      <c r="BD17" s="739"/>
      <c r="BE17" s="739"/>
      <c r="BF17" s="739"/>
      <c r="BG17" s="739"/>
      <c r="BH17" s="739"/>
      <c r="BI17" s="739"/>
      <c r="BJ17" s="739"/>
      <c r="BK17" s="739"/>
      <c r="BL17" s="739"/>
      <c r="BM17" s="739"/>
      <c r="BN17" s="739"/>
      <c r="BO17" s="739"/>
      <c r="BP17" s="739"/>
      <c r="BQ17" s="739"/>
      <c r="BW17" s="2281">
        <v>1999</v>
      </c>
      <c r="BX17" s="1785">
        <f>ОТЧЁТ!EE417</f>
        <v>0.94351698193098643</v>
      </c>
      <c r="BY17" s="1785">
        <v>1.1691784673199999</v>
      </c>
      <c r="BZ17" s="1966"/>
      <c r="CA17" s="739"/>
      <c r="CB17" s="739"/>
      <c r="CC17" s="739"/>
      <c r="CD17" s="739"/>
      <c r="CE17" s="739"/>
      <c r="CF17" s="739"/>
      <c r="CG17" s="739"/>
      <c r="CH17" s="739"/>
      <c r="CI17" s="739"/>
      <c r="CJ17" s="739"/>
      <c r="CK17" s="739"/>
      <c r="CL17" s="739"/>
      <c r="CM17" s="739"/>
      <c r="CN17" s="739"/>
      <c r="CT17" s="2281">
        <v>1999</v>
      </c>
      <c r="CU17" s="2487">
        <v>171.18012225705328</v>
      </c>
      <c r="CV17" s="1966"/>
      <c r="CW17" s="739"/>
      <c r="CX17" s="739"/>
      <c r="CY17" s="739"/>
      <c r="CZ17" s="739"/>
      <c r="DA17" s="739"/>
      <c r="DB17" s="739"/>
      <c r="DC17" s="739"/>
      <c r="DD17" s="739"/>
      <c r="DE17" s="739"/>
      <c r="DF17" s="739"/>
      <c r="DG17" s="739"/>
      <c r="DH17" s="739"/>
      <c r="DI17" s="739"/>
      <c r="DJ17" s="739"/>
      <c r="DO17" s="2281">
        <v>1999</v>
      </c>
      <c r="DP17" s="2487">
        <f t="shared" si="0"/>
        <v>171.18012225705328</v>
      </c>
      <c r="DQ17" s="1247">
        <f t="shared" si="8"/>
        <v>0.89303662587642096</v>
      </c>
      <c r="DR17" s="2329">
        <v>191.9324675268</v>
      </c>
      <c r="DS17" s="1767"/>
      <c r="DT17" s="1767"/>
      <c r="DU17" s="1767"/>
      <c r="DV17" s="1767"/>
      <c r="DW17" s="1767"/>
      <c r="DX17" s="1767"/>
      <c r="DY17" s="1767"/>
      <c r="DZ17" s="1767"/>
      <c r="EA17" s="1767"/>
      <c r="EB17" s="1767"/>
      <c r="EC17" s="1767"/>
      <c r="ED17" s="1767"/>
      <c r="EE17" s="2749"/>
      <c r="EG17" s="2281">
        <v>1999</v>
      </c>
      <c r="EH17" s="2416">
        <v>1.05</v>
      </c>
      <c r="EI17" s="2416"/>
      <c r="EJ17" s="739"/>
      <c r="EK17" s="739"/>
      <c r="EL17" s="739"/>
      <c r="EM17" s="739"/>
      <c r="EN17" s="739"/>
      <c r="EO17" s="739"/>
      <c r="EP17" s="739"/>
      <c r="EQ17" s="739"/>
      <c r="ER17" s="739"/>
      <c r="ES17" s="739"/>
      <c r="ET17" s="739"/>
      <c r="EU17" s="739"/>
      <c r="EV17" s="739"/>
      <c r="EW17" s="739"/>
      <c r="FC17" s="2281">
        <v>1999</v>
      </c>
      <c r="FD17" s="1785">
        <v>0.71891819999999995</v>
      </c>
      <c r="FE17" s="1966"/>
      <c r="FF17" s="739"/>
      <c r="FG17" s="739"/>
      <c r="FH17" s="739"/>
      <c r="FI17" s="739"/>
      <c r="FJ17" s="739"/>
      <c r="FK17" s="739"/>
      <c r="FL17" s="739"/>
      <c r="FM17" s="739"/>
      <c r="FN17" s="739"/>
      <c r="FO17" s="739"/>
      <c r="FP17" s="739"/>
      <c r="FQ17" s="739"/>
      <c r="FR17" s="739"/>
      <c r="FS17" s="739"/>
      <c r="FY17" s="2281">
        <v>1999</v>
      </c>
      <c r="FZ17" s="2490">
        <f t="shared" si="4"/>
        <v>0.83</v>
      </c>
      <c r="GA17" s="1966"/>
      <c r="GB17" s="739"/>
      <c r="GC17" s="739"/>
      <c r="GD17" s="739"/>
      <c r="GE17" s="739"/>
      <c r="GF17" s="739"/>
      <c r="GG17" s="739"/>
      <c r="GH17" s="739"/>
      <c r="GI17" s="739"/>
      <c r="GJ17" s="739"/>
      <c r="GK17" s="739"/>
      <c r="GL17" s="739"/>
      <c r="GM17" s="739"/>
      <c r="GN17" s="739"/>
      <c r="GO17" s="739"/>
      <c r="GU17" s="2281">
        <v>1999</v>
      </c>
      <c r="GV17" s="2509">
        <f>СЧЁТ!CN10</f>
        <v>0.69727051015999986</v>
      </c>
      <c r="GW17" s="2509">
        <f t="shared" si="1"/>
        <v>0.94172946811604352</v>
      </c>
      <c r="GX17" s="1966"/>
      <c r="GY17" s="739"/>
      <c r="GZ17" s="739"/>
      <c r="HA17" s="739"/>
      <c r="HB17" s="739"/>
      <c r="HC17" s="739"/>
      <c r="HD17" s="739"/>
      <c r="HE17" s="739"/>
      <c r="HF17" s="739"/>
      <c r="HG17" s="739"/>
      <c r="HH17" s="739"/>
      <c r="HI17" s="739"/>
      <c r="HJ17" s="739"/>
      <c r="HK17" s="739"/>
      <c r="HR17" s="2281">
        <v>1999</v>
      </c>
      <c r="HS17" s="2121">
        <v>9.4172946811604347E-2</v>
      </c>
      <c r="HT17" s="1966"/>
      <c r="HU17" s="739"/>
      <c r="HV17" s="739"/>
      <c r="HW17" s="739"/>
      <c r="HX17" s="739"/>
      <c r="HY17" s="739"/>
      <c r="HZ17" s="739"/>
      <c r="IA17" s="739"/>
      <c r="IB17" s="739"/>
      <c r="IC17" s="739"/>
      <c r="ID17" s="739"/>
      <c r="IE17" s="739"/>
      <c r="IF17" s="739"/>
      <c r="IG17" s="739"/>
      <c r="IH17" s="739"/>
      <c r="IN17" s="2281">
        <v>1999</v>
      </c>
      <c r="IO17" s="1786">
        <v>597.30600000000004</v>
      </c>
      <c r="IP17" s="1786">
        <f t="shared" si="6"/>
        <v>591.60419999999988</v>
      </c>
      <c r="IQ17" s="1495">
        <v>670.43899999999996</v>
      </c>
      <c r="IR17" s="1767"/>
      <c r="IS17" s="1767"/>
      <c r="IT17" s="1767"/>
      <c r="IU17" s="1767"/>
      <c r="IV17" s="1767"/>
      <c r="IW17" s="1767"/>
      <c r="IX17" s="1767"/>
      <c r="IY17" s="1767"/>
      <c r="IZ17" s="1767"/>
      <c r="JA17" s="1767"/>
      <c r="JJ17" s="2748"/>
      <c r="JL17" s="2281">
        <v>1999</v>
      </c>
      <c r="JM17" s="1785">
        <v>0.97599999999999998</v>
      </c>
      <c r="JN17" s="1966"/>
      <c r="JO17" s="739"/>
      <c r="JP17" s="739"/>
      <c r="JQ17" s="739"/>
      <c r="JR17" s="739"/>
      <c r="JS17" s="739"/>
      <c r="JT17" s="739"/>
      <c r="JU17" s="739"/>
      <c r="JV17" s="739"/>
      <c r="JW17" s="739"/>
      <c r="JX17" s="739"/>
      <c r="JY17" s="739"/>
      <c r="JZ17" s="739"/>
      <c r="KA17" s="739"/>
      <c r="KB17" s="739"/>
      <c r="KH17" s="2281">
        <v>1999</v>
      </c>
      <c r="KI17" s="1785">
        <v>0.94144891679999998</v>
      </c>
      <c r="KJ17" s="1871">
        <f t="shared" si="9"/>
        <v>0.94144891679999998</v>
      </c>
      <c r="KK17" s="1966"/>
      <c r="KL17" s="739"/>
      <c r="KM17" s="739"/>
      <c r="KN17" s="739"/>
      <c r="KO17" s="739"/>
      <c r="KP17" s="739"/>
      <c r="KQ17" s="739"/>
      <c r="KR17" s="739"/>
      <c r="KS17" s="739"/>
      <c r="KT17" s="739"/>
      <c r="KU17" s="739"/>
      <c r="KV17" s="739"/>
      <c r="KW17" s="739"/>
      <c r="KX17" s="739"/>
      <c r="KY17" s="739"/>
      <c r="LE17" s="2281">
        <v>1999</v>
      </c>
      <c r="LF17" s="1597">
        <v>63.082000000000001</v>
      </c>
      <c r="LG17" s="1966"/>
      <c r="LH17" s="1597">
        <v>9.0939999999999994</v>
      </c>
      <c r="LI17" s="1966"/>
      <c r="LJ17" s="739"/>
      <c r="LK17" s="739"/>
      <c r="LL17" s="739"/>
      <c r="LM17" s="739"/>
      <c r="LN17" s="739"/>
      <c r="LO17" s="739"/>
      <c r="LP17" s="739"/>
      <c r="LQ17" s="739"/>
      <c r="LR17" s="739"/>
      <c r="LS17" s="739"/>
      <c r="LT17" s="739"/>
      <c r="LU17" s="739"/>
      <c r="LV17" s="739"/>
      <c r="MB17" s="2281">
        <v>1999</v>
      </c>
      <c r="MC17" s="2131">
        <v>2738.8146285210983</v>
      </c>
      <c r="MD17" s="1966"/>
      <c r="ME17" s="739"/>
      <c r="MF17" s="739"/>
      <c r="MG17" s="739"/>
      <c r="MH17" s="739"/>
      <c r="MI17" s="739"/>
      <c r="MJ17" s="739"/>
      <c r="MK17" s="739"/>
      <c r="ML17" s="739"/>
      <c r="MM17" s="739"/>
      <c r="MN17" s="739"/>
      <c r="MO17" s="739"/>
      <c r="MP17" s="739"/>
      <c r="MQ17" s="739"/>
      <c r="MY17" s="2281">
        <v>1999</v>
      </c>
      <c r="MZ17" s="1597">
        <f t="shared" si="2"/>
        <v>43.416737397690277</v>
      </c>
      <c r="NA17" s="1966"/>
      <c r="NB17" s="739"/>
      <c r="NC17" s="739"/>
      <c r="ND17" s="739"/>
      <c r="NE17" s="739"/>
      <c r="NF17" s="739"/>
      <c r="NG17" s="739"/>
      <c r="NH17" s="739"/>
      <c r="NI17" s="739"/>
      <c r="NJ17" s="739"/>
      <c r="NK17" s="739"/>
      <c r="NL17" s="739"/>
      <c r="NM17" s="739"/>
      <c r="NN17" s="739"/>
      <c r="NO17" s="739"/>
      <c r="NV17" s="2281">
        <v>1999</v>
      </c>
      <c r="NW17" s="1785">
        <v>3.4893420575027583</v>
      </c>
      <c r="NX17" s="1597">
        <v>3.4030147788000007</v>
      </c>
      <c r="NY17" s="1785">
        <v>2.701164323022275</v>
      </c>
      <c r="NZ17" s="1966">
        <v>3.493098424873764</v>
      </c>
      <c r="OA17" s="739"/>
      <c r="OB17" s="739"/>
      <c r="OC17" s="739"/>
      <c r="OD17" s="739"/>
      <c r="OE17" s="739"/>
      <c r="OF17" s="739"/>
      <c r="OG17" s="739"/>
      <c r="OH17" s="739"/>
      <c r="OI17" s="739"/>
      <c r="OJ17" s="739"/>
      <c r="OK17" s="739"/>
      <c r="OS17" s="2748"/>
      <c r="OU17" s="2281">
        <v>1999</v>
      </c>
      <c r="OV17" s="1785">
        <f t="shared" si="7"/>
        <v>1.0309999999999999</v>
      </c>
      <c r="OW17" s="1966"/>
      <c r="OX17" s="739"/>
      <c r="OY17" s="739"/>
      <c r="OZ17" s="739"/>
      <c r="PA17" s="739"/>
      <c r="PB17" s="739"/>
      <c r="PC17" s="739"/>
      <c r="PD17" s="739"/>
      <c r="PE17" s="739"/>
      <c r="PF17" s="739"/>
      <c r="PG17" s="739"/>
      <c r="PH17" s="739"/>
      <c r="PI17" s="739"/>
      <c r="PJ17" s="739"/>
      <c r="PK17" s="739"/>
      <c r="PQ17" s="2281">
        <v>1999</v>
      </c>
      <c r="PR17" s="1785">
        <f>СЧЁТ!CI10</f>
        <v>1.0478244353599997</v>
      </c>
      <c r="PS17" s="1966"/>
      <c r="PT17" s="739"/>
      <c r="PU17" s="739"/>
      <c r="PV17" s="739"/>
      <c r="PW17" s="739"/>
      <c r="PX17" s="739"/>
      <c r="PY17" s="739"/>
      <c r="PZ17" s="739"/>
      <c r="QA17" s="739"/>
      <c r="QB17" s="739"/>
      <c r="QC17" s="739"/>
      <c r="QD17" s="739"/>
      <c r="QE17" s="739"/>
      <c r="QF17" s="739"/>
      <c r="QG17" s="739"/>
      <c r="QM17" s="2281">
        <v>1999</v>
      </c>
      <c r="QN17" s="1785">
        <v>1.0640000000000001</v>
      </c>
      <c r="QO17" s="1966"/>
      <c r="QP17" s="739"/>
      <c r="QQ17" s="739"/>
      <c r="QR17" s="739"/>
      <c r="QS17" s="739"/>
      <c r="QT17" s="739"/>
      <c r="QU17" s="739"/>
      <c r="QV17" s="739"/>
      <c r="QW17" s="739"/>
      <c r="QX17" s="739"/>
      <c r="QY17" s="739"/>
      <c r="QZ17" s="739"/>
      <c r="RA17" s="739"/>
      <c r="RB17" s="739"/>
      <c r="RC17" s="739"/>
      <c r="RI17" s="943">
        <v>5</v>
      </c>
      <c r="RJ17" s="2281">
        <v>1999</v>
      </c>
      <c r="RK17" s="1786">
        <v>5274.1800558286568</v>
      </c>
      <c r="RL17" s="1786"/>
      <c r="RM17" s="1966"/>
      <c r="RN17" s="739"/>
      <c r="RO17" s="739"/>
      <c r="RP17" s="739"/>
      <c r="RQ17" s="739"/>
      <c r="RR17" s="739"/>
      <c r="RS17" s="739"/>
      <c r="RT17" s="739"/>
      <c r="RU17" s="739"/>
      <c r="RV17" s="739"/>
      <c r="RW17" s="739"/>
      <c r="RX17" s="739"/>
      <c r="RY17" s="739"/>
      <c r="RZ17" s="739"/>
      <c r="SA17" s="739"/>
      <c r="SG17" s="2281">
        <v>1999</v>
      </c>
      <c r="SH17" s="1785">
        <f t="shared" si="3"/>
        <v>0.51928728248372014</v>
      </c>
      <c r="SI17" s="1966"/>
      <c r="SJ17" s="739"/>
      <c r="SK17" s="739"/>
      <c r="SL17" s="739"/>
      <c r="SM17" s="739"/>
      <c r="SN17" s="739"/>
      <c r="SO17" s="739"/>
      <c r="SP17" s="739"/>
      <c r="SQ17" s="739"/>
      <c r="SR17" s="739"/>
      <c r="SS17" s="739"/>
      <c r="ST17" s="739"/>
      <c r="SU17" s="739"/>
      <c r="SV17" s="739"/>
      <c r="SW17" s="739"/>
      <c r="TC17" s="2281">
        <v>1999</v>
      </c>
      <c r="TD17" s="1785">
        <v>0.98493278956800012</v>
      </c>
      <c r="TE17" s="1966"/>
      <c r="TF17" s="739"/>
      <c r="TG17" s="739"/>
      <c r="TH17" s="739"/>
      <c r="TI17" s="739"/>
      <c r="TJ17" s="739"/>
      <c r="TK17" s="739"/>
      <c r="TL17" s="739"/>
      <c r="TM17" s="739"/>
      <c r="TN17" s="739"/>
      <c r="TO17" s="739"/>
      <c r="TP17" s="739"/>
      <c r="TQ17" s="739"/>
      <c r="TX17" s="2748"/>
      <c r="TZ17" s="2281">
        <v>1999</v>
      </c>
      <c r="UA17" s="1785">
        <f t="shared" si="5"/>
        <v>0.98599999999999999</v>
      </c>
      <c r="UC17" s="1966"/>
      <c r="UD17" s="739"/>
      <c r="UE17" s="739"/>
      <c r="UF17" s="739"/>
      <c r="UG17" s="739"/>
      <c r="UH17" s="739"/>
      <c r="UI17" s="739"/>
      <c r="UJ17" s="739"/>
      <c r="UK17" s="739"/>
      <c r="UL17" s="739"/>
      <c r="UM17" s="739"/>
      <c r="UN17" s="739"/>
      <c r="UO17" s="739"/>
      <c r="UP17" s="739"/>
      <c r="UQ17" s="739"/>
      <c r="UW17" s="2281">
        <v>1999</v>
      </c>
      <c r="UX17" s="2029">
        <f>СЧЁТ!CK10</f>
        <v>0.98890057535999987</v>
      </c>
      <c r="UY17" s="1966"/>
      <c r="UZ17" s="739"/>
      <c r="VA17" s="739"/>
      <c r="VB17" s="739"/>
      <c r="VC17" s="739"/>
      <c r="VD17" s="739"/>
      <c r="VE17" s="739"/>
      <c r="VF17" s="739"/>
      <c r="VG17" s="739"/>
      <c r="VH17" s="739"/>
      <c r="VI17" s="739"/>
      <c r="VJ17" s="739"/>
      <c r="VK17" s="739"/>
      <c r="VL17" s="739"/>
      <c r="VM17" s="739"/>
      <c r="VS17" s="2281">
        <v>1999</v>
      </c>
      <c r="VT17" s="1785">
        <v>1.0640000000000001</v>
      </c>
      <c r="VU17" s="1966"/>
      <c r="VV17" s="739"/>
      <c r="VW17" s="739"/>
      <c r="VX17" s="739"/>
      <c r="VY17" s="739"/>
      <c r="VZ17" s="739"/>
      <c r="WA17" s="739"/>
      <c r="WB17" s="739"/>
      <c r="WC17" s="739"/>
      <c r="WD17" s="739"/>
      <c r="WE17" s="739"/>
      <c r="WF17" s="739"/>
      <c r="WG17" s="739"/>
      <c r="WH17" s="739"/>
      <c r="WI17" s="739"/>
      <c r="WO17" s="2281">
        <v>1999</v>
      </c>
      <c r="WP17" s="2131">
        <v>2738.8146285210983</v>
      </c>
      <c r="WQ17" s="1786"/>
      <c r="WR17" s="1495">
        <v>2738.8146285210983</v>
      </c>
      <c r="WS17" s="739"/>
      <c r="WT17" s="739"/>
      <c r="WU17" s="739"/>
      <c r="WV17" s="739"/>
      <c r="WW17" s="739"/>
      <c r="WX17" s="739"/>
      <c r="WY17" s="739"/>
      <c r="WZ17" s="739"/>
      <c r="XA17" s="739"/>
      <c r="XB17" s="739"/>
      <c r="XC17" s="739"/>
      <c r="XD17" s="739"/>
      <c r="XE17" s="739"/>
      <c r="XF17" s="739"/>
      <c r="XK17" s="2492">
        <v>1999</v>
      </c>
      <c r="XL17" s="2490">
        <v>1</v>
      </c>
      <c r="XM17" s="1966"/>
      <c r="XN17" s="739"/>
      <c r="XO17" s="739"/>
      <c r="XP17" s="739"/>
      <c r="XQ17" s="739"/>
      <c r="XR17" s="739"/>
      <c r="XS17" s="739"/>
      <c r="XT17" s="739"/>
      <c r="XU17" s="739"/>
      <c r="XV17" s="739"/>
      <c r="XW17" s="739"/>
      <c r="XX17" s="739"/>
      <c r="XY17" s="739"/>
      <c r="XZ17" s="739"/>
      <c r="YA17" s="739"/>
      <c r="YG17" s="2281">
        <v>1999</v>
      </c>
      <c r="YH17" s="1785">
        <v>0.98493278956800012</v>
      </c>
      <c r="YI17" s="1966"/>
      <c r="YJ17" s="739"/>
      <c r="YK17" s="739"/>
      <c r="YL17" s="739"/>
      <c r="YM17" s="739"/>
      <c r="YN17" s="739"/>
      <c r="YO17" s="739"/>
      <c r="YP17" s="739"/>
      <c r="YQ17" s="739"/>
      <c r="YR17" s="739"/>
      <c r="YS17" s="739"/>
      <c r="YT17" s="739"/>
      <c r="YU17" s="739"/>
      <c r="ZE17" s="2587" t="s">
        <v>2158</v>
      </c>
      <c r="ZF17" s="765"/>
      <c r="ZG17" s="765"/>
      <c r="ZH17" s="765"/>
      <c r="ZI17" s="765"/>
      <c r="ZJ17" s="765"/>
      <c r="ZK17" s="765"/>
      <c r="ZL17" s="765"/>
      <c r="ZM17" s="765"/>
      <c r="ZN17" s="765"/>
      <c r="ZO17" s="765"/>
      <c r="ZP17" s="777"/>
    </row>
    <row r="18" spans="5:692" ht="20.399999999999999">
      <c r="G18" s="2281">
        <v>2000</v>
      </c>
      <c r="H18" s="2490">
        <v>1.1000000000000001</v>
      </c>
      <c r="I18" s="2416"/>
      <c r="K18" s="739"/>
      <c r="L18" s="739"/>
      <c r="M18" s="739"/>
      <c r="N18" s="739"/>
      <c r="O18" s="739"/>
      <c r="P18" s="739"/>
      <c r="Q18" s="739"/>
      <c r="R18" s="739"/>
      <c r="S18" s="739"/>
      <c r="T18" s="739"/>
      <c r="U18" s="739"/>
      <c r="V18" s="739"/>
      <c r="W18" s="739"/>
      <c r="X18" s="739"/>
      <c r="AD18" s="2281">
        <v>2000</v>
      </c>
      <c r="AE18" s="1785">
        <f>AE17*H18</f>
        <v>1.0834260685248003</v>
      </c>
      <c r="AF18" s="1785">
        <f>AE18</f>
        <v>1.0834260685248003</v>
      </c>
      <c r="AG18" s="1966"/>
      <c r="AH18" s="739"/>
      <c r="AI18" s="739"/>
      <c r="AJ18" s="739"/>
      <c r="AK18" s="739"/>
      <c r="AL18" s="739"/>
      <c r="AM18" s="739"/>
      <c r="AN18" s="739"/>
      <c r="AO18" s="739"/>
      <c r="AP18" s="739"/>
      <c r="AQ18" s="739"/>
      <c r="AR18" s="739"/>
      <c r="AS18" s="739"/>
      <c r="AT18" s="739"/>
      <c r="AU18" s="739"/>
      <c r="BA18" s="2281">
        <v>2000</v>
      </c>
      <c r="BB18" s="1285">
        <v>5.422670804728047</v>
      </c>
      <c r="BC18" s="2416"/>
      <c r="BD18" s="739"/>
      <c r="BE18" s="739"/>
      <c r="BF18" s="739"/>
      <c r="BG18" s="739"/>
      <c r="BH18" s="739"/>
      <c r="BI18" s="739"/>
      <c r="BJ18" s="739"/>
      <c r="BK18" s="739"/>
      <c r="BL18" s="739"/>
      <c r="BM18" s="739"/>
      <c r="BN18" s="739"/>
      <c r="BO18" s="739"/>
      <c r="BP18" s="739"/>
      <c r="BQ18" s="739"/>
      <c r="BW18" s="2281">
        <v>2000</v>
      </c>
      <c r="BX18" s="1785">
        <f>ОТЧЁТ!EE418</f>
        <v>1.2247490822844354</v>
      </c>
      <c r="BY18" s="1785">
        <v>1.2802504217153998</v>
      </c>
      <c r="BZ18" s="1966"/>
      <c r="CA18" s="739"/>
      <c r="CB18" s="739"/>
      <c r="CC18" s="739"/>
      <c r="CD18" s="739"/>
      <c r="CE18" s="739"/>
      <c r="CF18" s="739"/>
      <c r="CG18" s="739"/>
      <c r="CH18" s="739"/>
      <c r="CI18" s="739"/>
      <c r="CJ18" s="739"/>
      <c r="CK18" s="739"/>
      <c r="CL18" s="739"/>
      <c r="CM18" s="739"/>
      <c r="CN18" s="739"/>
      <c r="CT18" s="2281">
        <v>2000</v>
      </c>
      <c r="CU18" s="2487">
        <v>213.79458307210035</v>
      </c>
      <c r="CV18" s="1966"/>
      <c r="CW18" s="739"/>
      <c r="CX18" s="739"/>
      <c r="CY18" s="739"/>
      <c r="CZ18" s="739"/>
      <c r="DA18" s="739"/>
      <c r="DB18" s="739"/>
      <c r="DC18" s="739"/>
      <c r="DD18" s="739"/>
      <c r="DE18" s="739"/>
      <c r="DF18" s="739"/>
      <c r="DG18" s="739"/>
      <c r="DH18" s="739"/>
      <c r="DI18" s="739"/>
      <c r="DJ18" s="739"/>
      <c r="DO18" s="2281">
        <v>2000</v>
      </c>
      <c r="DP18" s="2487">
        <f t="shared" si="0"/>
        <v>213.79458307210035</v>
      </c>
      <c r="DQ18" s="1247">
        <f t="shared" si="8"/>
        <v>0.99719539911793087</v>
      </c>
      <c r="DR18" s="2329">
        <v>225.32871687646318</v>
      </c>
      <c r="DS18" s="1767"/>
      <c r="DT18" s="1767"/>
      <c r="DU18" s="1767"/>
      <c r="DV18" s="1767"/>
      <c r="DW18" s="1767"/>
      <c r="DX18" s="1767"/>
      <c r="DY18" s="1767"/>
      <c r="DZ18" s="1767"/>
      <c r="EA18" s="1767"/>
      <c r="EB18" s="1767"/>
      <c r="EC18" s="1767"/>
      <c r="ED18" s="1767"/>
      <c r="EE18" s="2749"/>
      <c r="EG18" s="2281">
        <v>2000</v>
      </c>
      <c r="EH18" s="2416">
        <v>1.1739999999999999</v>
      </c>
      <c r="EI18" s="2416"/>
      <c r="EJ18" s="739"/>
      <c r="EK18" s="739"/>
      <c r="EL18" s="739"/>
      <c r="EM18" s="739"/>
      <c r="EN18" s="739"/>
      <c r="EO18" s="739"/>
      <c r="EP18" s="739"/>
      <c r="EQ18" s="739"/>
      <c r="ER18" s="739"/>
      <c r="ES18" s="739"/>
      <c r="ET18" s="739"/>
      <c r="EU18" s="739"/>
      <c r="EV18" s="739"/>
      <c r="EW18" s="739"/>
      <c r="FC18" s="2281">
        <v>2000</v>
      </c>
      <c r="FD18" s="1785">
        <v>0.84400996679999984</v>
      </c>
      <c r="FE18" s="1966"/>
      <c r="FF18" s="739"/>
      <c r="FG18" s="739"/>
      <c r="FH18" s="739"/>
      <c r="FI18" s="739"/>
      <c r="FJ18" s="739"/>
      <c r="FK18" s="739"/>
      <c r="FL18" s="739"/>
      <c r="FM18" s="739"/>
      <c r="FN18" s="739"/>
      <c r="FO18" s="739"/>
      <c r="FP18" s="739"/>
      <c r="FQ18" s="739"/>
      <c r="FR18" s="739"/>
      <c r="FS18" s="739"/>
      <c r="FY18" s="2281">
        <v>2000</v>
      </c>
      <c r="FZ18" s="2490">
        <f t="shared" si="4"/>
        <v>1.3240000000000001</v>
      </c>
      <c r="GA18" s="1966"/>
      <c r="GB18" s="739"/>
      <c r="GC18" s="739"/>
      <c r="GD18" s="739"/>
      <c r="GE18" s="739"/>
      <c r="GF18" s="739"/>
      <c r="GG18" s="739"/>
      <c r="GH18" s="739"/>
      <c r="GI18" s="739"/>
      <c r="GJ18" s="739"/>
      <c r="GK18" s="739"/>
      <c r="GL18" s="739"/>
      <c r="GM18" s="739"/>
      <c r="GN18" s="739"/>
      <c r="GO18" s="739"/>
      <c r="GU18" s="2281">
        <v>2000</v>
      </c>
      <c r="GV18" s="2509">
        <f>СЧЁТ!CN11</f>
        <v>0.9231861554518398</v>
      </c>
      <c r="GW18" s="2509">
        <f t="shared" si="1"/>
        <v>1.1397164678113725</v>
      </c>
      <c r="GX18" s="1966"/>
      <c r="GY18" s="739"/>
      <c r="GZ18" s="739"/>
      <c r="HA18" s="739"/>
      <c r="HB18" s="739"/>
      <c r="HC18" s="739"/>
      <c r="HD18" s="739"/>
      <c r="HE18" s="739"/>
      <c r="HF18" s="739"/>
      <c r="HG18" s="739"/>
      <c r="HH18" s="739"/>
      <c r="HI18" s="739"/>
      <c r="HJ18" s="739"/>
      <c r="HK18" s="739"/>
      <c r="HR18" s="2281">
        <v>2000</v>
      </c>
      <c r="HS18" s="2121">
        <v>0.11397164678113725</v>
      </c>
      <c r="HT18" s="1966"/>
      <c r="HU18" s="739"/>
      <c r="HV18" s="739"/>
      <c r="HW18" s="739"/>
      <c r="HX18" s="739"/>
      <c r="HY18" s="739"/>
      <c r="HZ18" s="739"/>
      <c r="IA18" s="739"/>
      <c r="IB18" s="739"/>
      <c r="IC18" s="739"/>
      <c r="ID18" s="739"/>
      <c r="IE18" s="739"/>
      <c r="IF18" s="739"/>
      <c r="IG18" s="739"/>
      <c r="IH18" s="739"/>
      <c r="IN18" s="2281">
        <v>2000</v>
      </c>
      <c r="IO18" s="1786">
        <v>843.37800000000004</v>
      </c>
      <c r="IP18" s="1786">
        <f t="shared" si="6"/>
        <v>990.46019999999999</v>
      </c>
      <c r="IQ18" s="1495">
        <v>1165.2339999999999</v>
      </c>
      <c r="IR18" s="1767"/>
      <c r="IS18" s="1767"/>
      <c r="IT18" s="1767"/>
      <c r="IU18" s="1767"/>
      <c r="IV18" s="1767"/>
      <c r="IW18" s="1767"/>
      <c r="IX18" s="1767"/>
      <c r="IY18" s="1767"/>
      <c r="IZ18" s="1767"/>
      <c r="JA18" s="1767"/>
      <c r="JJ18" s="2748"/>
      <c r="JL18" s="2281">
        <v>2000</v>
      </c>
      <c r="JM18" s="1785">
        <v>1.0589999999999999</v>
      </c>
      <c r="JN18" s="1966"/>
      <c r="JO18" s="739"/>
      <c r="JP18" s="739"/>
      <c r="JQ18" s="739"/>
      <c r="JR18" s="739"/>
      <c r="JS18" s="739"/>
      <c r="JT18" s="739"/>
      <c r="JU18" s="739"/>
      <c r="JV18" s="739"/>
      <c r="JW18" s="739"/>
      <c r="JX18" s="739"/>
      <c r="JY18" s="739"/>
      <c r="JZ18" s="739"/>
      <c r="KA18" s="739"/>
      <c r="KB18" s="739"/>
      <c r="KH18" s="2281">
        <v>2000</v>
      </c>
      <c r="KI18" s="1785">
        <v>0.99699440289119989</v>
      </c>
      <c r="KJ18" s="1871">
        <f t="shared" si="9"/>
        <v>0.99699440289119989</v>
      </c>
      <c r="KK18" s="1966"/>
      <c r="KL18" s="739"/>
      <c r="KM18" s="739"/>
      <c r="KN18" s="739"/>
      <c r="KO18" s="739"/>
      <c r="KP18" s="739"/>
      <c r="KQ18" s="739"/>
      <c r="KR18" s="739"/>
      <c r="KS18" s="739"/>
      <c r="KT18" s="739"/>
      <c r="KU18" s="739"/>
      <c r="KV18" s="739"/>
      <c r="KW18" s="739"/>
      <c r="KX18" s="739"/>
      <c r="KY18" s="739"/>
      <c r="LE18" s="2281">
        <v>2000</v>
      </c>
      <c r="LF18" s="1597">
        <v>65.069999999999993</v>
      </c>
      <c r="LG18" s="1966"/>
      <c r="LH18" s="1597">
        <v>7.7000000000000028</v>
      </c>
      <c r="LI18" s="1966"/>
      <c r="LJ18" s="739"/>
      <c r="LK18" s="739"/>
      <c r="LL18" s="739"/>
      <c r="LM18" s="739"/>
      <c r="LN18" s="739"/>
      <c r="LO18" s="739"/>
      <c r="LP18" s="739"/>
      <c r="LQ18" s="739"/>
      <c r="LR18" s="739"/>
      <c r="LS18" s="739"/>
      <c r="LT18" s="739"/>
      <c r="LU18" s="739"/>
      <c r="LV18" s="739"/>
      <c r="MB18" s="2281">
        <v>2000</v>
      </c>
      <c r="MC18" s="2131">
        <v>2996.2632036020818</v>
      </c>
      <c r="MD18" s="1966"/>
      <c r="ME18" s="739"/>
      <c r="MF18" s="739"/>
      <c r="MG18" s="739"/>
      <c r="MH18" s="739"/>
      <c r="MI18" s="739"/>
      <c r="MJ18" s="739"/>
      <c r="MK18" s="739"/>
      <c r="ML18" s="739"/>
      <c r="MM18" s="739"/>
      <c r="MN18" s="739"/>
      <c r="MO18" s="739"/>
      <c r="MP18" s="739"/>
      <c r="MQ18" s="739"/>
      <c r="MY18" s="2281">
        <v>2000</v>
      </c>
      <c r="MZ18" s="1597">
        <f t="shared" si="2"/>
        <v>46.046768151253758</v>
      </c>
      <c r="NA18" s="1966"/>
      <c r="NB18" s="739"/>
      <c r="NC18" s="739"/>
      <c r="ND18" s="739"/>
      <c r="NE18" s="739"/>
      <c r="NF18" s="739"/>
      <c r="NG18" s="739"/>
      <c r="NH18" s="739"/>
      <c r="NI18" s="739"/>
      <c r="NJ18" s="739"/>
      <c r="NK18" s="739"/>
      <c r="NL18" s="739"/>
      <c r="NM18" s="739"/>
      <c r="NN18" s="739"/>
      <c r="NO18" s="739"/>
      <c r="NV18" s="2281">
        <v>2000</v>
      </c>
      <c r="NW18" s="1785">
        <v>3.9448052793534916</v>
      </c>
      <c r="NX18" s="1597">
        <v>4.0904237641176007</v>
      </c>
      <c r="NY18" s="1785">
        <v>3.2947518370474893</v>
      </c>
      <c r="NZ18" s="1966">
        <v>5.1712627496070169</v>
      </c>
      <c r="OA18" s="739"/>
      <c r="OB18" s="739"/>
      <c r="OC18" s="739"/>
      <c r="OD18" s="739"/>
      <c r="OE18" s="739"/>
      <c r="OF18" s="739"/>
      <c r="OG18" s="739"/>
      <c r="OH18" s="739"/>
      <c r="OI18" s="739"/>
      <c r="OJ18" s="739"/>
      <c r="OK18" s="739"/>
      <c r="OS18" s="2748"/>
      <c r="OU18" s="2281">
        <v>2000</v>
      </c>
      <c r="OV18" s="1785">
        <f t="shared" si="7"/>
        <v>1.02</v>
      </c>
      <c r="OW18" s="1966"/>
      <c r="OX18" s="739"/>
      <c r="OY18" s="739"/>
      <c r="OZ18" s="739"/>
      <c r="PA18" s="739"/>
      <c r="PB18" s="739"/>
      <c r="PC18" s="739"/>
      <c r="PD18" s="739"/>
      <c r="PE18" s="739"/>
      <c r="PF18" s="739"/>
      <c r="PG18" s="739"/>
      <c r="PH18" s="739"/>
      <c r="PI18" s="739"/>
      <c r="PJ18" s="739"/>
      <c r="PK18" s="739"/>
      <c r="PQ18" s="2281">
        <v>2000</v>
      </c>
      <c r="PR18" s="1785">
        <f>СЧЁТ!CI11</f>
        <v>1.0687809240671997</v>
      </c>
      <c r="PS18" s="1966"/>
      <c r="PT18" s="739"/>
      <c r="PU18" s="739"/>
      <c r="PV18" s="739"/>
      <c r="PW18" s="739"/>
      <c r="PX18" s="739"/>
      <c r="PY18" s="739"/>
      <c r="PZ18" s="739"/>
      <c r="QA18" s="739"/>
      <c r="QB18" s="739"/>
      <c r="QC18" s="739"/>
      <c r="QD18" s="739"/>
      <c r="QE18" s="739"/>
      <c r="QF18" s="739"/>
      <c r="QG18" s="739"/>
      <c r="QM18" s="2281">
        <v>2000</v>
      </c>
      <c r="QN18" s="1785">
        <v>1.1000000000000001</v>
      </c>
      <c r="QO18" s="1966"/>
      <c r="QP18" s="739"/>
      <c r="QQ18" s="739"/>
      <c r="QR18" s="739"/>
      <c r="QS18" s="739"/>
      <c r="QT18" s="739"/>
      <c r="QU18" s="739"/>
      <c r="QV18" s="739"/>
      <c r="QW18" s="739"/>
      <c r="QX18" s="739"/>
      <c r="QY18" s="739"/>
      <c r="QZ18" s="739"/>
      <c r="RA18" s="739"/>
      <c r="RB18" s="739"/>
      <c r="RC18" s="739"/>
      <c r="RI18" s="943">
        <v>6</v>
      </c>
      <c r="RJ18" s="2281">
        <v>2000</v>
      </c>
      <c r="RK18" s="1786">
        <v>5300.5509561077997</v>
      </c>
      <c r="RL18" s="1786"/>
      <c r="RM18" s="1966"/>
      <c r="RN18" s="739"/>
      <c r="RO18" s="739"/>
      <c r="RP18" s="739"/>
      <c r="RQ18" s="739"/>
      <c r="RR18" s="739"/>
      <c r="RS18" s="739"/>
      <c r="RT18" s="739"/>
      <c r="RU18" s="739"/>
      <c r="RV18" s="739"/>
      <c r="RW18" s="739"/>
      <c r="RX18" s="739"/>
      <c r="RY18" s="739"/>
      <c r="RZ18" s="739"/>
      <c r="SA18" s="739"/>
      <c r="SG18" s="2281">
        <v>2000</v>
      </c>
      <c r="SH18" s="1785">
        <f t="shared" si="3"/>
        <v>0.56527391744994016</v>
      </c>
      <c r="SI18" s="1966"/>
      <c r="SJ18" s="739"/>
      <c r="SK18" s="739"/>
      <c r="SL18" s="739"/>
      <c r="SM18" s="739"/>
      <c r="SN18" s="739"/>
      <c r="SO18" s="739"/>
      <c r="SP18" s="739"/>
      <c r="SQ18" s="739"/>
      <c r="SR18" s="739"/>
      <c r="SS18" s="739"/>
      <c r="ST18" s="739"/>
      <c r="SU18" s="739"/>
      <c r="SV18" s="739"/>
      <c r="SW18" s="739"/>
      <c r="TC18" s="2281">
        <v>2000</v>
      </c>
      <c r="TD18" s="1785">
        <v>1.0834260685248003</v>
      </c>
      <c r="TE18" s="1966"/>
      <c r="TF18" s="739"/>
      <c r="TG18" s="739"/>
      <c r="TH18" s="739"/>
      <c r="TI18" s="739"/>
      <c r="TJ18" s="739"/>
      <c r="TK18" s="739"/>
      <c r="TL18" s="739"/>
      <c r="TM18" s="739"/>
      <c r="TN18" s="739"/>
      <c r="TO18" s="739"/>
      <c r="TP18" s="739"/>
      <c r="TQ18" s="739"/>
      <c r="TX18" s="2748"/>
      <c r="TZ18" s="2281">
        <v>2000</v>
      </c>
      <c r="UA18" s="1785">
        <f t="shared" si="5"/>
        <v>1.016</v>
      </c>
      <c r="UC18" s="1966"/>
      <c r="UD18" s="739"/>
      <c r="UE18" s="739"/>
      <c r="UF18" s="739"/>
      <c r="UG18" s="739"/>
      <c r="UH18" s="739"/>
      <c r="UI18" s="739"/>
      <c r="UJ18" s="739"/>
      <c r="UK18" s="739"/>
      <c r="UL18" s="739"/>
      <c r="UM18" s="739"/>
      <c r="UN18" s="739"/>
      <c r="UO18" s="739"/>
      <c r="UP18" s="739"/>
      <c r="UQ18" s="739"/>
      <c r="UW18" s="2281">
        <v>2000</v>
      </c>
      <c r="UX18" s="2029">
        <f>СЧЁТ!CK11</f>
        <v>1.0047229845657599</v>
      </c>
      <c r="UY18" s="1966"/>
      <c r="UZ18" s="739"/>
      <c r="VA18" s="739"/>
      <c r="VB18" s="739"/>
      <c r="VC18" s="739"/>
      <c r="VD18" s="739"/>
      <c r="VE18" s="739"/>
      <c r="VF18" s="739"/>
      <c r="VG18" s="739"/>
      <c r="VH18" s="739"/>
      <c r="VI18" s="739"/>
      <c r="VJ18" s="739"/>
      <c r="VK18" s="739"/>
      <c r="VL18" s="739"/>
      <c r="VM18" s="739"/>
      <c r="VS18" s="2281">
        <v>2000</v>
      </c>
      <c r="VT18" s="1785">
        <v>1.1000000000000001</v>
      </c>
      <c r="VU18" s="1966"/>
      <c r="VV18" s="739"/>
      <c r="VW18" s="739"/>
      <c r="VX18" s="739"/>
      <c r="VY18" s="739"/>
      <c r="VZ18" s="739"/>
      <c r="WA18" s="739"/>
      <c r="WB18" s="739"/>
      <c r="WC18" s="739"/>
      <c r="WD18" s="739"/>
      <c r="WE18" s="739"/>
      <c r="WF18" s="739"/>
      <c r="WG18" s="739"/>
      <c r="WH18" s="739"/>
      <c r="WI18" s="739"/>
      <c r="WO18" s="2281">
        <v>2000</v>
      </c>
      <c r="WP18" s="2131">
        <v>2996.2632036020818</v>
      </c>
      <c r="WQ18" s="1786"/>
      <c r="WR18" s="1495">
        <v>2996.2632036020818</v>
      </c>
      <c r="WS18" s="739"/>
      <c r="WT18" s="739"/>
      <c r="WU18" s="739"/>
      <c r="WV18" s="739"/>
      <c r="WW18" s="739"/>
      <c r="WX18" s="739"/>
      <c r="WY18" s="739"/>
      <c r="WZ18" s="739"/>
      <c r="XA18" s="739"/>
      <c r="XB18" s="739"/>
      <c r="XC18" s="739"/>
      <c r="XD18" s="739"/>
      <c r="XE18" s="739"/>
      <c r="XF18" s="739"/>
      <c r="XK18" s="2492">
        <v>2000</v>
      </c>
      <c r="XL18" s="2490">
        <v>1</v>
      </c>
      <c r="XM18" s="1966"/>
      <c r="XN18" s="739"/>
      <c r="XO18" s="739"/>
      <c r="XP18" s="739"/>
      <c r="XQ18" s="739"/>
      <c r="XR18" s="739"/>
      <c r="XS18" s="739"/>
      <c r="XT18" s="739"/>
      <c r="XU18" s="739"/>
      <c r="XV18" s="739"/>
      <c r="XW18" s="739"/>
      <c r="XX18" s="739"/>
      <c r="XY18" s="739"/>
      <c r="XZ18" s="739"/>
      <c r="YA18" s="739"/>
      <c r="YG18" s="2281">
        <v>2000</v>
      </c>
      <c r="YH18" s="1785">
        <v>1.0834260685248003</v>
      </c>
      <c r="YI18" s="1966"/>
      <c r="YJ18" s="739"/>
      <c r="YK18" s="739"/>
      <c r="YL18" s="739"/>
      <c r="YM18" s="739"/>
      <c r="YN18" s="739"/>
      <c r="YO18" s="739"/>
      <c r="YP18" s="739"/>
      <c r="YQ18" s="739"/>
      <c r="YR18" s="739"/>
      <c r="YS18" s="739"/>
      <c r="YT18" s="739"/>
      <c r="YU18" s="739"/>
      <c r="ZE18" s="2587" t="s">
        <v>2159</v>
      </c>
      <c r="ZF18" s="765"/>
      <c r="ZG18" s="765"/>
      <c r="ZH18" s="765"/>
      <c r="ZI18" s="765"/>
      <c r="ZJ18" s="765"/>
      <c r="ZK18" s="765"/>
      <c r="ZL18" s="765"/>
      <c r="ZM18" s="765"/>
      <c r="ZN18" s="765"/>
      <c r="ZO18" s="765"/>
      <c r="ZP18" s="777"/>
    </row>
    <row r="19" spans="5:692" ht="20.399999999999999">
      <c r="G19" s="2281">
        <v>2001</v>
      </c>
      <c r="H19" s="2490">
        <v>1.0509999999999999</v>
      </c>
      <c r="I19" s="2416"/>
      <c r="K19" s="739"/>
      <c r="L19" s="739"/>
      <c r="M19" s="739"/>
      <c r="N19" s="739"/>
      <c r="O19" s="739"/>
      <c r="P19" s="739"/>
      <c r="Q19" s="739"/>
      <c r="R19" s="739"/>
      <c r="S19" s="739"/>
      <c r="T19" s="739"/>
      <c r="U19" s="739"/>
      <c r="V19" s="739"/>
      <c r="W19" s="739"/>
      <c r="X19" s="739"/>
      <c r="AD19" s="2281">
        <v>2001</v>
      </c>
      <c r="AE19" s="1785">
        <f>AE18*H19</f>
        <v>1.138680798019565</v>
      </c>
      <c r="AF19" s="1785">
        <f>AE19</f>
        <v>1.138680798019565</v>
      </c>
      <c r="AG19" s="1966"/>
      <c r="AH19" s="739"/>
      <c r="AI19" s="739"/>
      <c r="AJ19" s="739"/>
      <c r="AK19" s="739"/>
      <c r="AL19" s="739"/>
      <c r="AM19" s="739"/>
      <c r="AN19" s="739"/>
      <c r="AO19" s="739"/>
      <c r="AP19" s="739"/>
      <c r="AQ19" s="739"/>
      <c r="AR19" s="739"/>
      <c r="AS19" s="739"/>
      <c r="AT19" s="739"/>
      <c r="AU19" s="739"/>
      <c r="BA19" s="2281">
        <v>2001</v>
      </c>
      <c r="BB19" s="1285">
        <v>5.4161394271000169</v>
      </c>
      <c r="BC19" s="2416"/>
      <c r="BD19" s="739"/>
      <c r="BE19" s="739"/>
      <c r="BF19" s="739"/>
      <c r="BG19" s="739"/>
      <c r="BH19" s="739"/>
      <c r="BI19" s="739"/>
      <c r="BJ19" s="739"/>
      <c r="BK19" s="739"/>
      <c r="BL19" s="739"/>
      <c r="BM19" s="739"/>
      <c r="BN19" s="739"/>
      <c r="BO19" s="739"/>
      <c r="BP19" s="739"/>
      <c r="BQ19" s="739"/>
      <c r="BW19" s="2281">
        <v>2001</v>
      </c>
      <c r="BX19" s="1785">
        <f>ОТЧЁТ!EE419</f>
        <v>1.3476545615734206</v>
      </c>
      <c r="BY19" s="1785">
        <v>1.3340209394274467</v>
      </c>
      <c r="BZ19" s="1966"/>
      <c r="CA19" s="739"/>
      <c r="CB19" s="739"/>
      <c r="CC19" s="739"/>
      <c r="CD19" s="739"/>
      <c r="CE19" s="739"/>
      <c r="CF19" s="739"/>
      <c r="CG19" s="739"/>
      <c r="CH19" s="739"/>
      <c r="CI19" s="739"/>
      <c r="CJ19" s="739"/>
      <c r="CK19" s="739"/>
      <c r="CL19" s="739"/>
      <c r="CM19" s="739"/>
      <c r="CN19" s="739"/>
      <c r="CT19" s="2281">
        <v>2001</v>
      </c>
      <c r="CU19" s="2487">
        <v>254.24220689655175</v>
      </c>
      <c r="CV19" s="1966"/>
      <c r="CW19" s="739"/>
      <c r="CX19" s="739"/>
      <c r="CY19" s="739"/>
      <c r="CZ19" s="739"/>
      <c r="DA19" s="739"/>
      <c r="DB19" s="739"/>
      <c r="DC19" s="739"/>
      <c r="DD19" s="739"/>
      <c r="DE19" s="739"/>
      <c r="DF19" s="739"/>
      <c r="DG19" s="739"/>
      <c r="DH19" s="739"/>
      <c r="DI19" s="739"/>
      <c r="DJ19" s="739"/>
      <c r="DO19" s="2281">
        <v>2001</v>
      </c>
      <c r="DP19" s="2487">
        <f t="shared" si="0"/>
        <v>254.24220689655175</v>
      </c>
      <c r="DQ19" s="1247">
        <f t="shared" si="8"/>
        <v>1.0693134213844868</v>
      </c>
      <c r="DR19" s="2329">
        <v>247.86158856410952</v>
      </c>
      <c r="DS19" s="1767"/>
      <c r="DT19" s="1767"/>
      <c r="DU19" s="1767"/>
      <c r="DV19" s="1767"/>
      <c r="DW19" s="1767"/>
      <c r="DX19" s="1767"/>
      <c r="DY19" s="1767"/>
      <c r="DZ19" s="1767"/>
      <c r="EA19" s="1767"/>
      <c r="EB19" s="1767"/>
      <c r="EC19" s="1767"/>
      <c r="ED19" s="1767"/>
      <c r="EE19" s="2749"/>
      <c r="EG19" s="2281">
        <v>2001</v>
      </c>
      <c r="EH19" s="2416">
        <v>1.1000000000000001</v>
      </c>
      <c r="EI19" s="2416"/>
      <c r="EJ19" s="739"/>
      <c r="EK19" s="739"/>
      <c r="EL19" s="739"/>
      <c r="EM19" s="739"/>
      <c r="EN19" s="739"/>
      <c r="EO19" s="739"/>
      <c r="EP19" s="739"/>
      <c r="EQ19" s="739"/>
      <c r="ER19" s="739"/>
      <c r="ES19" s="739"/>
      <c r="ET19" s="739"/>
      <c r="EU19" s="739"/>
      <c r="EV19" s="739"/>
      <c r="EW19" s="739"/>
      <c r="FC19" s="2281">
        <v>2001</v>
      </c>
      <c r="FD19" s="1785">
        <v>0.92841096347999985</v>
      </c>
      <c r="FE19" s="1966"/>
      <c r="FF19" s="739"/>
      <c r="FG19" s="739"/>
      <c r="FH19" s="739"/>
      <c r="FI19" s="739"/>
      <c r="FJ19" s="739"/>
      <c r="FK19" s="739"/>
      <c r="FL19" s="739"/>
      <c r="FM19" s="739"/>
      <c r="FN19" s="739"/>
      <c r="FO19" s="739"/>
      <c r="FP19" s="739"/>
      <c r="FQ19" s="739"/>
      <c r="FR19" s="739"/>
      <c r="FS19" s="739"/>
      <c r="FY19" s="2281">
        <v>2001</v>
      </c>
      <c r="FZ19" s="2490">
        <f t="shared" si="4"/>
        <v>1.1870000000000001</v>
      </c>
      <c r="GA19" s="1966"/>
      <c r="GB19" s="739"/>
      <c r="GC19" s="739"/>
      <c r="GD19" s="739"/>
      <c r="GE19" s="739"/>
      <c r="GF19" s="739"/>
      <c r="GG19" s="739"/>
      <c r="GH19" s="739"/>
      <c r="GI19" s="739"/>
      <c r="GJ19" s="739"/>
      <c r="GK19" s="739"/>
      <c r="GL19" s="739"/>
      <c r="GM19" s="739"/>
      <c r="GN19" s="739"/>
      <c r="GO19" s="739"/>
      <c r="GU19" s="2281">
        <v>2001</v>
      </c>
      <c r="GV19" s="2509">
        <f>СЧЁТ!CN12</f>
        <v>1.0958219665213338</v>
      </c>
      <c r="GW19" s="2509">
        <f t="shared" si="1"/>
        <v>1.2896505693918963</v>
      </c>
      <c r="GX19" s="1966"/>
      <c r="GY19" s="739"/>
      <c r="GZ19" s="739"/>
      <c r="HA19" s="739"/>
      <c r="HB19" s="739"/>
      <c r="HC19" s="739"/>
      <c r="HD19" s="739"/>
      <c r="HE19" s="739"/>
      <c r="HF19" s="739"/>
      <c r="HG19" s="739"/>
      <c r="HH19" s="739"/>
      <c r="HI19" s="739"/>
      <c r="HJ19" s="739"/>
      <c r="HK19" s="739"/>
      <c r="HR19" s="2281">
        <v>2001</v>
      </c>
      <c r="HS19" s="2121">
        <v>0.12896505693918964</v>
      </c>
      <c r="HT19" s="1966"/>
      <c r="HU19" s="739"/>
      <c r="HV19" s="739"/>
      <c r="HW19" s="739"/>
      <c r="HX19" s="739"/>
      <c r="HY19" s="739"/>
      <c r="HZ19" s="739"/>
      <c r="IA19" s="739"/>
      <c r="IB19" s="739"/>
      <c r="IC19" s="739"/>
      <c r="ID19" s="739"/>
      <c r="IE19" s="739"/>
      <c r="IF19" s="739"/>
      <c r="IG19" s="739"/>
      <c r="IH19" s="739"/>
      <c r="IN19" s="2281">
        <v>2001</v>
      </c>
      <c r="IO19" s="1786">
        <v>1117.655</v>
      </c>
      <c r="IP19" s="1786">
        <f t="shared" si="6"/>
        <v>1353.3806999999999</v>
      </c>
      <c r="IQ19" s="1495">
        <v>1504.7</v>
      </c>
      <c r="IR19" s="1767"/>
      <c r="IS19" s="1767"/>
      <c r="IT19" s="1767"/>
      <c r="IU19" s="1767"/>
      <c r="IV19" s="1767"/>
      <c r="IW19" s="1767"/>
      <c r="IX19" s="1767"/>
      <c r="IY19" s="1767"/>
      <c r="IZ19" s="1767"/>
      <c r="JA19" s="1767"/>
      <c r="JJ19" s="2748"/>
      <c r="JL19" s="2281">
        <v>2001</v>
      </c>
      <c r="JM19" s="1785">
        <v>1.0820000000000001</v>
      </c>
      <c r="JN19" s="1966"/>
      <c r="JO19" s="739"/>
      <c r="JP19" s="739"/>
      <c r="JQ19" s="739"/>
      <c r="JR19" s="739"/>
      <c r="JS19" s="739"/>
      <c r="JT19" s="739"/>
      <c r="JU19" s="739"/>
      <c r="JV19" s="739"/>
      <c r="JW19" s="739"/>
      <c r="JX19" s="739"/>
      <c r="JY19" s="739"/>
      <c r="JZ19" s="739"/>
      <c r="KA19" s="739"/>
      <c r="KB19" s="739"/>
      <c r="KH19" s="2281">
        <v>2001</v>
      </c>
      <c r="KI19" s="1785">
        <v>1.0787479439282783</v>
      </c>
      <c r="KJ19" s="1871">
        <f t="shared" si="9"/>
        <v>1.0787479439282783</v>
      </c>
      <c r="KK19" s="1966"/>
      <c r="KL19" s="739"/>
      <c r="KM19" s="739"/>
      <c r="KN19" s="739"/>
      <c r="KO19" s="739"/>
      <c r="KP19" s="739"/>
      <c r="KQ19" s="739"/>
      <c r="KR19" s="739"/>
      <c r="KS19" s="739"/>
      <c r="KT19" s="739"/>
      <c r="KU19" s="739"/>
      <c r="KV19" s="739"/>
      <c r="KW19" s="739"/>
      <c r="KX19" s="739"/>
      <c r="KY19" s="739"/>
      <c r="LE19" s="2281">
        <v>2001</v>
      </c>
      <c r="LF19" s="1597">
        <v>65.123000000000005</v>
      </c>
      <c r="LG19" s="1966"/>
      <c r="LH19" s="1597">
        <v>6.421999999999997</v>
      </c>
      <c r="LI19" s="1966"/>
      <c r="LJ19" s="739"/>
      <c r="LK19" s="739"/>
      <c r="LL19" s="739"/>
      <c r="LM19" s="739"/>
      <c r="LN19" s="739"/>
      <c r="LO19" s="739"/>
      <c r="LP19" s="739"/>
      <c r="LQ19" s="739"/>
      <c r="LR19" s="739"/>
      <c r="LS19" s="739"/>
      <c r="LT19" s="739"/>
      <c r="LU19" s="739"/>
      <c r="LV19" s="739"/>
      <c r="MB19" s="2281">
        <v>2001</v>
      </c>
      <c r="MC19" s="2131">
        <v>3143.0801005785834</v>
      </c>
      <c r="MD19" s="1966"/>
      <c r="ME19" s="739"/>
      <c r="MF19" s="739"/>
      <c r="MG19" s="739"/>
      <c r="MH19" s="739"/>
      <c r="MI19" s="739"/>
      <c r="MJ19" s="739"/>
      <c r="MK19" s="739"/>
      <c r="ML19" s="739"/>
      <c r="MM19" s="739"/>
      <c r="MN19" s="739"/>
      <c r="MO19" s="739"/>
      <c r="MP19" s="739"/>
      <c r="MQ19" s="739"/>
      <c r="MY19" s="2281">
        <v>2001</v>
      </c>
      <c r="MZ19" s="1597">
        <f t="shared" si="2"/>
        <v>48.263748607689806</v>
      </c>
      <c r="NA19" s="1966"/>
      <c r="NB19" s="739"/>
      <c r="NC19" s="739"/>
      <c r="ND19" s="739"/>
      <c r="NE19" s="739"/>
      <c r="NF19" s="739"/>
      <c r="NG19" s="739"/>
      <c r="NH19" s="739"/>
      <c r="NI19" s="739"/>
      <c r="NJ19" s="739"/>
      <c r="NK19" s="739"/>
      <c r="NL19" s="739"/>
      <c r="NM19" s="739"/>
      <c r="NN19" s="739"/>
      <c r="NO19" s="739"/>
      <c r="NV19" s="2281">
        <v>2001</v>
      </c>
      <c r="NW19" s="1785">
        <v>4.3960246162225971</v>
      </c>
      <c r="NX19" s="1597">
        <v>4.8512425842434741</v>
      </c>
      <c r="NY19" s="1785">
        <v>3.7846782806927575</v>
      </c>
      <c r="NZ19" s="1966">
        <v>6.0707268468539191</v>
      </c>
      <c r="OA19" s="739"/>
      <c r="OB19" s="739"/>
      <c r="OC19" s="739"/>
      <c r="OD19" s="739"/>
      <c r="OE19" s="739"/>
      <c r="OF19" s="739"/>
      <c r="OG19" s="739"/>
      <c r="OH19" s="739"/>
      <c r="OI19" s="739"/>
      <c r="OJ19" s="739"/>
      <c r="OK19" s="739"/>
      <c r="OS19" s="2748"/>
      <c r="OU19" s="2281">
        <v>2001</v>
      </c>
      <c r="OV19" s="1785">
        <f t="shared" si="7"/>
        <v>0.99199999999999999</v>
      </c>
      <c r="OW19" s="1966"/>
      <c r="OX19" s="739"/>
      <c r="OY19" s="739"/>
      <c r="OZ19" s="739"/>
      <c r="PA19" s="739"/>
      <c r="PB19" s="739"/>
      <c r="PC19" s="739"/>
      <c r="PD19" s="739"/>
      <c r="PE19" s="739"/>
      <c r="PF19" s="739"/>
      <c r="PG19" s="739"/>
      <c r="PH19" s="739"/>
      <c r="PI19" s="739"/>
      <c r="PJ19" s="739"/>
      <c r="PK19" s="739"/>
      <c r="PQ19" s="2281">
        <v>2001</v>
      </c>
      <c r="PR19" s="1785">
        <f>СЧЁТ!CI12</f>
        <v>1.0602306766746621</v>
      </c>
      <c r="PS19" s="1966"/>
      <c r="PT19" s="739"/>
      <c r="PU19" s="739"/>
      <c r="PV19" s="739"/>
      <c r="PW19" s="739"/>
      <c r="PX19" s="739"/>
      <c r="PY19" s="739"/>
      <c r="PZ19" s="739"/>
      <c r="QA19" s="739"/>
      <c r="QB19" s="739"/>
      <c r="QC19" s="739"/>
      <c r="QD19" s="739"/>
      <c r="QE19" s="739"/>
      <c r="QF19" s="739"/>
      <c r="QG19" s="739"/>
      <c r="QM19" s="2281">
        <v>2001</v>
      </c>
      <c r="QN19" s="1785">
        <v>1.0509999999999999</v>
      </c>
      <c r="QO19" s="1966"/>
      <c r="QP19" s="739"/>
      <c r="QQ19" s="739"/>
      <c r="QR19" s="739"/>
      <c r="QS19" s="739"/>
      <c r="QT19" s="739"/>
      <c r="QU19" s="739"/>
      <c r="QV19" s="739"/>
      <c r="QW19" s="739"/>
      <c r="QX19" s="739"/>
      <c r="QY19" s="739"/>
      <c r="QZ19" s="739"/>
      <c r="RA19" s="739"/>
      <c r="RB19" s="739"/>
      <c r="RC19" s="739"/>
      <c r="RI19" s="943">
        <v>7</v>
      </c>
      <c r="RJ19" s="2281">
        <v>2001</v>
      </c>
      <c r="RK19" s="1786">
        <v>5348.2559147127704</v>
      </c>
      <c r="RL19" s="1786"/>
      <c r="RM19" s="1966"/>
      <c r="RN19" s="739"/>
      <c r="RO19" s="739"/>
      <c r="RP19" s="739"/>
      <c r="RQ19" s="739"/>
      <c r="RR19" s="739"/>
      <c r="RS19" s="739"/>
      <c r="RT19" s="739"/>
      <c r="RU19" s="739"/>
      <c r="RV19" s="739"/>
      <c r="RW19" s="739"/>
      <c r="RX19" s="739"/>
      <c r="RY19" s="739"/>
      <c r="RZ19" s="739"/>
      <c r="SA19" s="739"/>
      <c r="SG19" s="2281">
        <v>2001</v>
      </c>
      <c r="SH19" s="1785">
        <f t="shared" si="3"/>
        <v>0.58768319068878805</v>
      </c>
      <c r="SI19" s="1966"/>
      <c r="SJ19" s="739"/>
      <c r="SK19" s="739"/>
      <c r="SL19" s="739"/>
      <c r="SM19" s="739"/>
      <c r="SN19" s="739"/>
      <c r="SO19" s="739"/>
      <c r="SP19" s="739"/>
      <c r="SQ19" s="739"/>
      <c r="SR19" s="739"/>
      <c r="SS19" s="739"/>
      <c r="ST19" s="739"/>
      <c r="SU19" s="739"/>
      <c r="SV19" s="739"/>
      <c r="SW19" s="739"/>
      <c r="TC19" s="2281">
        <v>2001</v>
      </c>
      <c r="TD19" s="1785">
        <v>1.138680798019565</v>
      </c>
      <c r="TE19" s="1966"/>
      <c r="TF19" s="739"/>
      <c r="TG19" s="739"/>
      <c r="TH19" s="739"/>
      <c r="TI19" s="739"/>
      <c r="TJ19" s="739"/>
      <c r="TK19" s="739"/>
      <c r="TL19" s="739"/>
      <c r="TM19" s="739"/>
      <c r="TN19" s="739"/>
      <c r="TO19" s="739"/>
      <c r="TP19" s="739"/>
      <c r="TQ19" s="739"/>
      <c r="TX19" s="2748"/>
      <c r="TZ19" s="2281">
        <v>2001</v>
      </c>
      <c r="UA19" s="1785">
        <f t="shared" si="5"/>
        <v>1.0189999999999999</v>
      </c>
      <c r="UC19" s="1966"/>
      <c r="UD19" s="739"/>
      <c r="UE19" s="739"/>
      <c r="UF19" s="739"/>
      <c r="UG19" s="739"/>
      <c r="UH19" s="739"/>
      <c r="UI19" s="739"/>
      <c r="UJ19" s="739"/>
      <c r="UK19" s="739"/>
      <c r="UL19" s="739"/>
      <c r="UM19" s="739"/>
      <c r="UN19" s="739"/>
      <c r="UO19" s="739"/>
      <c r="UP19" s="739"/>
      <c r="UQ19" s="739"/>
      <c r="UW19" s="2281">
        <v>2001</v>
      </c>
      <c r="UX19" s="2029">
        <f>СЧЁТ!CK12</f>
        <v>1.0238127212725092</v>
      </c>
      <c r="UY19" s="1966"/>
      <c r="UZ19" s="739"/>
      <c r="VA19" s="739"/>
      <c r="VB19" s="739"/>
      <c r="VC19" s="739"/>
      <c r="VD19" s="739"/>
      <c r="VE19" s="739"/>
      <c r="VF19" s="739"/>
      <c r="VG19" s="739"/>
      <c r="VH19" s="739"/>
      <c r="VI19" s="739"/>
      <c r="VJ19" s="739"/>
      <c r="VK19" s="739"/>
      <c r="VL19" s="739"/>
      <c r="VM19" s="739"/>
      <c r="VS19" s="2281">
        <v>2001</v>
      </c>
      <c r="VT19" s="1785">
        <v>1.0509999999999999</v>
      </c>
      <c r="VU19" s="1966"/>
      <c r="VV19" s="739"/>
      <c r="VW19" s="739"/>
      <c r="VX19" s="739"/>
      <c r="VY19" s="739"/>
      <c r="VZ19" s="739"/>
      <c r="WA19" s="739"/>
      <c r="WB19" s="739"/>
      <c r="WC19" s="739"/>
      <c r="WD19" s="739"/>
      <c r="WE19" s="739"/>
      <c r="WF19" s="739"/>
      <c r="WG19" s="739"/>
      <c r="WH19" s="739"/>
      <c r="WI19" s="739"/>
      <c r="WO19" s="2281">
        <v>2001</v>
      </c>
      <c r="WP19" s="2131">
        <v>3143.0801005785834</v>
      </c>
      <c r="WQ19" s="1786"/>
      <c r="WR19" s="1495">
        <v>3143.0801005785834</v>
      </c>
      <c r="WS19" s="739"/>
      <c r="WT19" s="739"/>
      <c r="WU19" s="739"/>
      <c r="WV19" s="739"/>
      <c r="WW19" s="739"/>
      <c r="WX19" s="739"/>
      <c r="WY19" s="739"/>
      <c r="WZ19" s="739"/>
      <c r="XA19" s="739"/>
      <c r="XB19" s="739"/>
      <c r="XC19" s="739"/>
      <c r="XD19" s="739"/>
      <c r="XE19" s="739"/>
      <c r="XF19" s="739"/>
      <c r="XK19" s="2492">
        <v>2001</v>
      </c>
      <c r="XL19" s="2490">
        <v>1</v>
      </c>
      <c r="XM19" s="1966"/>
      <c r="XN19" s="739"/>
      <c r="XO19" s="739"/>
      <c r="XP19" s="739"/>
      <c r="XQ19" s="739"/>
      <c r="XR19" s="739"/>
      <c r="XS19" s="739"/>
      <c r="XT19" s="739"/>
      <c r="XU19" s="739"/>
      <c r="XV19" s="739"/>
      <c r="XW19" s="739"/>
      <c r="XX19" s="739"/>
      <c r="XY19" s="739"/>
      <c r="XZ19" s="739"/>
      <c r="YA19" s="739"/>
      <c r="YG19" s="2281">
        <v>2001</v>
      </c>
      <c r="YH19" s="1785">
        <v>1.138680798019565</v>
      </c>
      <c r="YI19" s="1966"/>
      <c r="YJ19" s="739"/>
      <c r="YK19" s="739"/>
      <c r="YL19" s="739"/>
      <c r="YM19" s="739"/>
      <c r="YN19" s="739"/>
      <c r="YO19" s="739"/>
      <c r="YP19" s="739"/>
      <c r="YQ19" s="739"/>
      <c r="YR19" s="739"/>
      <c r="YS19" s="739"/>
      <c r="YT19" s="739"/>
      <c r="YU19" s="739"/>
      <c r="ZE19" s="2587" t="s">
        <v>2160</v>
      </c>
      <c r="ZF19" s="765"/>
      <c r="ZG19" s="765"/>
      <c r="ZH19" s="765"/>
      <c r="ZI19" s="765"/>
      <c r="ZJ19" s="765"/>
      <c r="ZK19" s="765"/>
      <c r="ZL19" s="765"/>
      <c r="ZM19" s="765"/>
      <c r="ZN19" s="765"/>
      <c r="ZO19" s="765"/>
      <c r="ZP19" s="777"/>
    </row>
    <row r="20" spans="5:692" ht="20.399999999999999">
      <c r="G20" s="2281">
        <v>2002</v>
      </c>
      <c r="H20" s="2490">
        <v>1.0469999999999999</v>
      </c>
      <c r="I20" s="2416"/>
      <c r="K20" s="739"/>
      <c r="L20" s="739"/>
      <c r="M20" s="739"/>
      <c r="N20" s="739"/>
      <c r="O20" s="739"/>
      <c r="P20" s="739"/>
      <c r="Q20" s="739"/>
      <c r="R20" s="739"/>
      <c r="S20" s="739"/>
      <c r="T20" s="739"/>
      <c r="U20" s="739"/>
      <c r="V20" s="739"/>
      <c r="W20" s="739"/>
      <c r="X20" s="739"/>
      <c r="AD20" s="2281">
        <v>2002</v>
      </c>
      <c r="AE20" s="1785">
        <f>AE19*H20</f>
        <v>1.1921987955264846</v>
      </c>
      <c r="AF20" s="1785">
        <f>AE20</f>
        <v>1.1921987955264846</v>
      </c>
      <c r="AG20" s="1966"/>
      <c r="AH20" s="739"/>
      <c r="AI20" s="739"/>
      <c r="AJ20" s="739"/>
      <c r="AK20" s="739"/>
      <c r="AL20" s="739"/>
      <c r="AM20" s="739"/>
      <c r="AN20" s="739"/>
      <c r="AO20" s="739"/>
      <c r="AP20" s="739"/>
      <c r="AQ20" s="739"/>
      <c r="AR20" s="739"/>
      <c r="AS20" s="739"/>
      <c r="AT20" s="739"/>
      <c r="AU20" s="739"/>
      <c r="BA20" s="2281">
        <v>2002</v>
      </c>
      <c r="BB20" s="1285">
        <v>5.5899915734957792</v>
      </c>
      <c r="BC20" s="2416"/>
      <c r="BD20" s="739"/>
      <c r="BE20" s="739"/>
      <c r="BF20" s="739"/>
      <c r="BG20" s="739"/>
      <c r="BH20" s="739"/>
      <c r="BI20" s="739"/>
      <c r="BJ20" s="739"/>
      <c r="BK20" s="739"/>
      <c r="BL20" s="739"/>
      <c r="BM20" s="739"/>
      <c r="BN20" s="739"/>
      <c r="BO20" s="739"/>
      <c r="BP20" s="739"/>
      <c r="BQ20" s="739"/>
      <c r="BW20" s="2281">
        <v>2002</v>
      </c>
      <c r="BX20" s="1785">
        <f>ОТЧЁТ!EE420</f>
        <v>1.4665088426814834</v>
      </c>
      <c r="BY20" s="1785">
        <v>1.4714250961884736</v>
      </c>
      <c r="BZ20" s="1966"/>
      <c r="CA20" s="739"/>
      <c r="CB20" s="739"/>
      <c r="CC20" s="739"/>
      <c r="CD20" s="739"/>
      <c r="CE20" s="739"/>
      <c r="CF20" s="739"/>
      <c r="CG20" s="739"/>
      <c r="CH20" s="739"/>
      <c r="CI20" s="739"/>
      <c r="CJ20" s="739"/>
      <c r="CK20" s="739"/>
      <c r="CL20" s="739"/>
      <c r="CM20" s="739"/>
      <c r="CN20" s="739"/>
      <c r="CT20" s="2281">
        <v>2002</v>
      </c>
      <c r="CU20" s="2487">
        <v>274.46601880877739</v>
      </c>
      <c r="CV20" s="1966"/>
      <c r="CW20" s="739"/>
      <c r="CX20" s="739"/>
      <c r="CY20" s="739"/>
      <c r="CZ20" s="739"/>
      <c r="DA20" s="739"/>
      <c r="DB20" s="739"/>
      <c r="DC20" s="739"/>
      <c r="DD20" s="739"/>
      <c r="DE20" s="739"/>
      <c r="DF20" s="739"/>
      <c r="DG20" s="739"/>
      <c r="DH20" s="739"/>
      <c r="DI20" s="739"/>
      <c r="DJ20" s="739"/>
      <c r="DO20" s="2281">
        <v>2002</v>
      </c>
      <c r="DP20" s="2487">
        <f t="shared" si="0"/>
        <v>274.46601880877739</v>
      </c>
      <c r="DQ20" s="1247">
        <f t="shared" si="8"/>
        <v>1.0958197641540484</v>
      </c>
      <c r="DR20" s="2329">
        <v>254.80171304390458</v>
      </c>
      <c r="DS20" s="1767"/>
      <c r="DT20" s="1767"/>
      <c r="DU20" s="1767"/>
      <c r="DV20" s="1767"/>
      <c r="DW20" s="1767"/>
      <c r="DX20" s="1767"/>
      <c r="DY20" s="1767"/>
      <c r="DZ20" s="1767"/>
      <c r="EA20" s="1767"/>
      <c r="EB20" s="1767"/>
      <c r="EC20" s="1767"/>
      <c r="ED20" s="1767"/>
      <c r="EE20" s="2749"/>
      <c r="EG20" s="2281">
        <v>2002</v>
      </c>
      <c r="EH20" s="2416">
        <v>1.028</v>
      </c>
      <c r="EI20" s="2416"/>
      <c r="EJ20" s="739"/>
      <c r="EK20" s="739"/>
      <c r="EL20" s="739"/>
      <c r="EM20" s="739"/>
      <c r="EN20" s="739"/>
      <c r="EO20" s="739"/>
      <c r="EP20" s="739"/>
      <c r="EQ20" s="739"/>
      <c r="ER20" s="739"/>
      <c r="ES20" s="739"/>
      <c r="ET20" s="739"/>
      <c r="EU20" s="739"/>
      <c r="EV20" s="739"/>
      <c r="EW20" s="739"/>
      <c r="FC20" s="2281">
        <v>2002</v>
      </c>
      <c r="FD20" s="1785">
        <v>0.95440647045743987</v>
      </c>
      <c r="FE20" s="1966"/>
      <c r="FF20" s="739"/>
      <c r="FG20" s="739"/>
      <c r="FH20" s="739"/>
      <c r="FI20" s="739"/>
      <c r="FJ20" s="739"/>
      <c r="FK20" s="739"/>
      <c r="FL20" s="739"/>
      <c r="FM20" s="739"/>
      <c r="FN20" s="739"/>
      <c r="FO20" s="739"/>
      <c r="FP20" s="739"/>
      <c r="FQ20" s="739"/>
      <c r="FR20" s="739"/>
      <c r="FS20" s="739"/>
      <c r="FY20" s="2281">
        <v>2002</v>
      </c>
      <c r="FZ20" s="2490">
        <f t="shared" si="4"/>
        <v>1.1459999999999999</v>
      </c>
      <c r="GA20" s="1966"/>
      <c r="GB20" s="739"/>
      <c r="GC20" s="739"/>
      <c r="GD20" s="739"/>
      <c r="GE20" s="739"/>
      <c r="GF20" s="739"/>
      <c r="GG20" s="739"/>
      <c r="GH20" s="739"/>
      <c r="GI20" s="739"/>
      <c r="GJ20" s="739"/>
      <c r="GK20" s="739"/>
      <c r="GL20" s="739"/>
      <c r="GM20" s="739"/>
      <c r="GN20" s="739"/>
      <c r="GO20" s="739"/>
      <c r="GU20" s="2281">
        <v>2002</v>
      </c>
      <c r="GV20" s="2509">
        <f>СЧЁТ!CN13</f>
        <v>1.2558119736334485</v>
      </c>
      <c r="GW20" s="2509">
        <f t="shared" si="1"/>
        <v>1.4156509123784609</v>
      </c>
      <c r="GX20" s="1966"/>
      <c r="GY20" s="739"/>
      <c r="GZ20" s="739"/>
      <c r="HA20" s="739"/>
      <c r="HB20" s="739"/>
      <c r="HC20" s="739"/>
      <c r="HD20" s="739"/>
      <c r="HE20" s="739"/>
      <c r="HF20" s="739"/>
      <c r="HG20" s="739"/>
      <c r="HH20" s="739"/>
      <c r="HI20" s="739"/>
      <c r="HJ20" s="739"/>
      <c r="HK20" s="739"/>
      <c r="HR20" s="2281">
        <v>2002</v>
      </c>
      <c r="HS20" s="2121">
        <v>0.14156509123784608</v>
      </c>
      <c r="HT20" s="1966"/>
      <c r="HU20" s="739"/>
      <c r="HV20" s="739"/>
      <c r="HW20" s="739"/>
      <c r="HX20" s="739"/>
      <c r="HY20" s="739"/>
      <c r="HZ20" s="739"/>
      <c r="IA20" s="739"/>
      <c r="IB20" s="739"/>
      <c r="IC20" s="739"/>
      <c r="ID20" s="739"/>
      <c r="IE20" s="739"/>
      <c r="IF20" s="739"/>
      <c r="IG20" s="739"/>
      <c r="IH20" s="739"/>
      <c r="IN20" s="2281">
        <v>2002</v>
      </c>
      <c r="IO20" s="1786">
        <v>1615.0630000000001</v>
      </c>
      <c r="IP20" s="1786">
        <f t="shared" si="6"/>
        <v>1651.1434000000002</v>
      </c>
      <c r="IQ20" s="1495">
        <v>1762.4</v>
      </c>
      <c r="IR20" s="1767"/>
      <c r="IS20" s="1767"/>
      <c r="IT20" s="1767"/>
      <c r="IU20" s="1767"/>
      <c r="IV20" s="1767"/>
      <c r="IW20" s="1767"/>
      <c r="IX20" s="1767"/>
      <c r="IY20" s="1767"/>
      <c r="IZ20" s="1767"/>
      <c r="JA20" s="1767"/>
      <c r="JJ20" s="2748"/>
      <c r="JL20" s="2281">
        <v>2002</v>
      </c>
      <c r="JM20" s="1785">
        <v>1.077</v>
      </c>
      <c r="JN20" s="1966"/>
      <c r="JO20" s="739"/>
      <c r="JP20" s="739"/>
      <c r="JQ20" s="739"/>
      <c r="JR20" s="739"/>
      <c r="JS20" s="739"/>
      <c r="JT20" s="739"/>
      <c r="JU20" s="739"/>
      <c r="JV20" s="739"/>
      <c r="JW20" s="739"/>
      <c r="JX20" s="739"/>
      <c r="JY20" s="739"/>
      <c r="JZ20" s="739"/>
      <c r="KA20" s="739"/>
      <c r="KB20" s="739"/>
      <c r="KH20" s="2281">
        <v>2002</v>
      </c>
      <c r="KI20" s="1785">
        <v>1.1618115356107557</v>
      </c>
      <c r="KJ20" s="1871">
        <f t="shared" si="9"/>
        <v>1.1618115356107557</v>
      </c>
      <c r="KK20" s="1966"/>
      <c r="KL20" s="739"/>
      <c r="KM20" s="739"/>
      <c r="KN20" s="739"/>
      <c r="KO20" s="739"/>
      <c r="KP20" s="739"/>
      <c r="KQ20" s="739"/>
      <c r="KR20" s="739"/>
      <c r="KS20" s="739"/>
      <c r="KT20" s="739"/>
      <c r="KU20" s="739"/>
      <c r="KV20" s="739"/>
      <c r="KW20" s="739"/>
      <c r="KX20" s="739"/>
      <c r="KY20" s="739"/>
      <c r="LE20" s="2281">
        <v>2002</v>
      </c>
      <c r="LF20" s="1597">
        <v>66.659000000000006</v>
      </c>
      <c r="LG20" s="1966"/>
      <c r="LH20" s="1597">
        <v>5.6979999999999933</v>
      </c>
      <c r="LI20" s="1966"/>
      <c r="LJ20" s="739"/>
      <c r="LK20" s="739"/>
      <c r="LL20" s="739"/>
      <c r="LM20" s="739"/>
      <c r="LN20" s="739"/>
      <c r="LO20" s="739"/>
      <c r="LP20" s="739"/>
      <c r="LQ20" s="739"/>
      <c r="LR20" s="739"/>
      <c r="LS20" s="739"/>
      <c r="LT20" s="739"/>
      <c r="LU20" s="739"/>
      <c r="LV20" s="739"/>
      <c r="MB20" s="2281">
        <v>2002</v>
      </c>
      <c r="MC20" s="2131">
        <v>3281.3756250040415</v>
      </c>
      <c r="MD20" s="1966"/>
      <c r="ME20" s="739"/>
      <c r="MF20" s="739"/>
      <c r="MG20" s="739"/>
      <c r="MH20" s="739"/>
      <c r="MI20" s="739"/>
      <c r="MJ20" s="739"/>
      <c r="MK20" s="739"/>
      <c r="ML20" s="739"/>
      <c r="MM20" s="739"/>
      <c r="MN20" s="739"/>
      <c r="MO20" s="739"/>
      <c r="MP20" s="739"/>
      <c r="MQ20" s="739"/>
      <c r="MY20" s="2281">
        <v>2002</v>
      </c>
      <c r="MZ20" s="1597">
        <f t="shared" si="2"/>
        <v>49.226295399031507</v>
      </c>
      <c r="NA20" s="1966"/>
      <c r="NB20" s="739"/>
      <c r="NC20" s="739"/>
      <c r="ND20" s="739"/>
      <c r="NE20" s="739"/>
      <c r="NF20" s="739"/>
      <c r="NG20" s="739"/>
      <c r="NH20" s="739"/>
      <c r="NI20" s="739"/>
      <c r="NJ20" s="739"/>
      <c r="NK20" s="739"/>
      <c r="NL20" s="739"/>
      <c r="NM20" s="739"/>
      <c r="NN20" s="739"/>
      <c r="NO20" s="739"/>
      <c r="NV20" s="2281">
        <v>2002</v>
      </c>
      <c r="NW20" s="1785">
        <v>5.8843823618297426</v>
      </c>
      <c r="NX20" s="1597">
        <v>5.5837802144642392</v>
      </c>
      <c r="NY20" s="1785">
        <v>4.5228031897927927</v>
      </c>
      <c r="NZ20" s="1966">
        <v>6.9167509862711283</v>
      </c>
      <c r="OA20" s="739"/>
      <c r="OB20" s="739"/>
      <c r="OC20" s="739"/>
      <c r="OD20" s="739"/>
      <c r="OE20" s="739"/>
      <c r="OF20" s="739"/>
      <c r="OG20" s="739"/>
      <c r="OH20" s="739"/>
      <c r="OI20" s="739"/>
      <c r="OJ20" s="739"/>
      <c r="OK20" s="739"/>
      <c r="OS20" s="2748"/>
      <c r="OU20" s="2281">
        <v>2002</v>
      </c>
      <c r="OV20" s="1785">
        <f t="shared" si="7"/>
        <v>1.026</v>
      </c>
      <c r="OW20" s="1966"/>
      <c r="OX20" s="739"/>
      <c r="OY20" s="739"/>
      <c r="OZ20" s="739"/>
      <c r="PA20" s="739"/>
      <c r="PB20" s="739"/>
      <c r="PC20" s="739"/>
      <c r="PD20" s="739"/>
      <c r="PE20" s="739"/>
      <c r="PF20" s="739"/>
      <c r="PG20" s="739"/>
      <c r="PH20" s="739"/>
      <c r="PI20" s="739"/>
      <c r="PJ20" s="739"/>
      <c r="PK20" s="739"/>
      <c r="PQ20" s="2281">
        <v>2002</v>
      </c>
      <c r="PR20" s="1785">
        <f>СЧЁТ!CI13</f>
        <v>1.0877966742682033</v>
      </c>
      <c r="PS20" s="1966"/>
      <c r="PT20" s="739"/>
      <c r="PU20" s="739"/>
      <c r="PV20" s="739"/>
      <c r="PW20" s="739"/>
      <c r="PX20" s="739"/>
      <c r="PY20" s="739"/>
      <c r="PZ20" s="739"/>
      <c r="QA20" s="739"/>
      <c r="QB20" s="739"/>
      <c r="QC20" s="739"/>
      <c r="QD20" s="739"/>
      <c r="QE20" s="739"/>
      <c r="QF20" s="739"/>
      <c r="QG20" s="739"/>
      <c r="QM20" s="2281">
        <v>2002</v>
      </c>
      <c r="QN20" s="1785">
        <v>1.0469999999999999</v>
      </c>
      <c r="QO20" s="1966"/>
      <c r="QP20" s="739"/>
      <c r="QQ20" s="739"/>
      <c r="QR20" s="739"/>
      <c r="QS20" s="739"/>
      <c r="QT20" s="739"/>
      <c r="QU20" s="739"/>
      <c r="QV20" s="739"/>
      <c r="QW20" s="739"/>
      <c r="QX20" s="739"/>
      <c r="QY20" s="739"/>
      <c r="QZ20" s="739"/>
      <c r="RA20" s="739"/>
      <c r="RB20" s="739"/>
      <c r="RC20" s="739"/>
      <c r="RI20" s="943">
        <v>8</v>
      </c>
      <c r="RJ20" s="2281">
        <v>2002</v>
      </c>
      <c r="RK20" s="1786">
        <v>5401.7384738598985</v>
      </c>
      <c r="RL20" s="1786"/>
      <c r="RM20" s="1966"/>
      <c r="RN20" s="739"/>
      <c r="RO20" s="739"/>
      <c r="RP20" s="739"/>
      <c r="RQ20" s="739"/>
      <c r="RR20" s="739"/>
      <c r="RS20" s="739"/>
      <c r="RT20" s="739"/>
      <c r="RU20" s="739"/>
      <c r="RV20" s="739"/>
      <c r="RW20" s="739"/>
      <c r="RX20" s="739"/>
      <c r="RY20" s="739"/>
      <c r="RZ20" s="739"/>
      <c r="SA20" s="739"/>
      <c r="SG20" s="2281">
        <v>2002</v>
      </c>
      <c r="SH20" s="1785">
        <f t="shared" si="3"/>
        <v>0.60746658522682651</v>
      </c>
      <c r="SI20" s="1966"/>
      <c r="SJ20" s="739"/>
      <c r="SK20" s="739"/>
      <c r="SL20" s="739"/>
      <c r="SM20" s="739"/>
      <c r="SN20" s="739"/>
      <c r="SO20" s="739"/>
      <c r="SP20" s="739"/>
      <c r="SQ20" s="739"/>
      <c r="SR20" s="739"/>
      <c r="SS20" s="739"/>
      <c r="ST20" s="739"/>
      <c r="SU20" s="739"/>
      <c r="SV20" s="739"/>
      <c r="SW20" s="739"/>
      <c r="TC20" s="2281">
        <v>2002</v>
      </c>
      <c r="TD20" s="1785">
        <v>1.1921987955264846</v>
      </c>
      <c r="TE20" s="1966"/>
      <c r="TF20" s="739"/>
      <c r="TG20" s="739"/>
      <c r="TH20" s="739"/>
      <c r="TI20" s="739"/>
      <c r="TJ20" s="739"/>
      <c r="TK20" s="739"/>
      <c r="TL20" s="739"/>
      <c r="TM20" s="739"/>
      <c r="TN20" s="739"/>
      <c r="TO20" s="739"/>
      <c r="TP20" s="739"/>
      <c r="TQ20" s="739"/>
      <c r="TX20" s="2748"/>
      <c r="TZ20" s="2281">
        <v>2002</v>
      </c>
      <c r="UA20" s="1785">
        <f t="shared" si="5"/>
        <v>1.008</v>
      </c>
      <c r="UC20" s="1966"/>
      <c r="UD20" s="739"/>
      <c r="UE20" s="739"/>
      <c r="UF20" s="739"/>
      <c r="UG20" s="739"/>
      <c r="UH20" s="739"/>
      <c r="UI20" s="739"/>
      <c r="UJ20" s="739"/>
      <c r="UK20" s="739"/>
      <c r="UL20" s="739"/>
      <c r="UM20" s="739"/>
      <c r="UN20" s="739"/>
      <c r="UO20" s="739"/>
      <c r="UP20" s="739"/>
      <c r="UQ20" s="739"/>
      <c r="UW20" s="2281">
        <v>2002</v>
      </c>
      <c r="UX20" s="2029">
        <f>СЧЁТ!CK13</f>
        <v>1.0320032230426892</v>
      </c>
      <c r="UY20" s="1966"/>
      <c r="UZ20" s="739"/>
      <c r="VA20" s="739"/>
      <c r="VB20" s="739"/>
      <c r="VC20" s="739"/>
      <c r="VD20" s="739"/>
      <c r="VE20" s="739"/>
      <c r="VF20" s="739"/>
      <c r="VG20" s="739"/>
      <c r="VH20" s="739"/>
      <c r="VI20" s="739"/>
      <c r="VJ20" s="739"/>
      <c r="VK20" s="739"/>
      <c r="VL20" s="739"/>
      <c r="VM20" s="739"/>
      <c r="VS20" s="2281">
        <v>2002</v>
      </c>
      <c r="VT20" s="1785">
        <v>1.0469999999999999</v>
      </c>
      <c r="VU20" s="1966"/>
      <c r="VV20" s="739"/>
      <c r="VW20" s="739"/>
      <c r="VX20" s="739"/>
      <c r="VY20" s="739"/>
      <c r="VZ20" s="739"/>
      <c r="WA20" s="739"/>
      <c r="WB20" s="739"/>
      <c r="WC20" s="739"/>
      <c r="WD20" s="739"/>
      <c r="WE20" s="739"/>
      <c r="WF20" s="739"/>
      <c r="WG20" s="739"/>
      <c r="WH20" s="739"/>
      <c r="WI20" s="739"/>
      <c r="WO20" s="2281">
        <v>2002</v>
      </c>
      <c r="WP20" s="2131">
        <v>3281.3756250040415</v>
      </c>
      <c r="WQ20" s="1786"/>
      <c r="WR20" s="1495">
        <v>3281.3756250040415</v>
      </c>
      <c r="WS20" s="739"/>
      <c r="WT20" s="739"/>
      <c r="WU20" s="739"/>
      <c r="WV20" s="739"/>
      <c r="WW20" s="739"/>
      <c r="WX20" s="739"/>
      <c r="WY20" s="739"/>
      <c r="WZ20" s="739"/>
      <c r="XA20" s="739"/>
      <c r="XB20" s="739"/>
      <c r="XC20" s="739"/>
      <c r="XD20" s="739"/>
      <c r="XE20" s="739"/>
      <c r="XF20" s="739"/>
      <c r="XK20" s="2492">
        <v>2002</v>
      </c>
      <c r="XL20" s="2490">
        <v>1</v>
      </c>
      <c r="XM20" s="1966"/>
      <c r="XN20" s="739"/>
      <c r="XO20" s="739"/>
      <c r="XP20" s="739"/>
      <c r="XQ20" s="739"/>
      <c r="XR20" s="739"/>
      <c r="XS20" s="739"/>
      <c r="XT20" s="739"/>
      <c r="XU20" s="739"/>
      <c r="XV20" s="739"/>
      <c r="XW20" s="739"/>
      <c r="XX20" s="739"/>
      <c r="XY20" s="739"/>
      <c r="XZ20" s="739"/>
      <c r="YA20" s="739"/>
      <c r="YG20" s="2281">
        <v>2002</v>
      </c>
      <c r="YH20" s="1785">
        <v>1.1921987955264846</v>
      </c>
      <c r="YI20" s="1966"/>
      <c r="YJ20" s="739"/>
      <c r="YK20" s="739"/>
      <c r="YL20" s="739"/>
      <c r="YM20" s="739"/>
      <c r="YN20" s="739"/>
      <c r="YO20" s="739"/>
      <c r="YP20" s="739"/>
      <c r="YQ20" s="739"/>
      <c r="YR20" s="739"/>
      <c r="YS20" s="739"/>
      <c r="YT20" s="739"/>
      <c r="YU20" s="739"/>
      <c r="ZE20" s="2587" t="s">
        <v>2161</v>
      </c>
      <c r="ZF20" s="765"/>
      <c r="ZG20" s="765"/>
      <c r="ZH20" s="765"/>
      <c r="ZI20" s="765"/>
      <c r="ZJ20" s="765"/>
      <c r="ZK20" s="765"/>
      <c r="ZL20" s="765"/>
      <c r="ZM20" s="765"/>
      <c r="ZN20" s="765"/>
      <c r="ZO20" s="765"/>
      <c r="ZP20" s="777"/>
    </row>
    <row r="21" spans="5:692" ht="20.399999999999999">
      <c r="G21" s="2281">
        <v>2003</v>
      </c>
      <c r="H21" s="2490">
        <v>1.073</v>
      </c>
      <c r="I21" s="2416"/>
      <c r="K21" s="739"/>
      <c r="L21" s="739"/>
      <c r="M21" s="739"/>
      <c r="N21" s="739"/>
      <c r="O21" s="739"/>
      <c r="P21" s="739"/>
      <c r="Q21" s="739"/>
      <c r="R21" s="739"/>
      <c r="S21" s="739"/>
      <c r="T21" s="739"/>
      <c r="U21" s="739"/>
      <c r="V21" s="739"/>
      <c r="W21" s="739"/>
      <c r="X21" s="739"/>
      <c r="AD21" s="2281">
        <v>2003</v>
      </c>
      <c r="AE21" s="1785">
        <f>AE20*H21</f>
        <v>1.2792293075999179</v>
      </c>
      <c r="AF21" s="1785">
        <f>AE21</f>
        <v>1.2792293075999179</v>
      </c>
      <c r="AG21" s="1966"/>
      <c r="AH21" s="739"/>
      <c r="AI21" s="739"/>
      <c r="AJ21" s="739"/>
      <c r="AK21" s="739"/>
      <c r="AL21" s="739"/>
      <c r="AM21" s="739"/>
      <c r="AN21" s="739"/>
      <c r="AO21" s="739"/>
      <c r="AP21" s="739"/>
      <c r="AQ21" s="739"/>
      <c r="AR21" s="739"/>
      <c r="AS21" s="739"/>
      <c r="AT21" s="739"/>
      <c r="AU21" s="739"/>
      <c r="BA21" s="2281">
        <v>2003</v>
      </c>
      <c r="BB21" s="1285">
        <v>6.1009492646947514</v>
      </c>
      <c r="BC21" s="2416"/>
      <c r="BD21" s="739"/>
      <c r="BE21" s="739"/>
      <c r="BF21" s="739"/>
      <c r="BG21" s="739"/>
      <c r="BH21" s="739"/>
      <c r="BI21" s="739"/>
      <c r="BJ21" s="739"/>
      <c r="BK21" s="739"/>
      <c r="BL21" s="739"/>
      <c r="BM21" s="739"/>
      <c r="BN21" s="739"/>
      <c r="BO21" s="739"/>
      <c r="BP21" s="739"/>
      <c r="BQ21" s="739"/>
      <c r="BW21" s="2281">
        <v>2003</v>
      </c>
      <c r="BX21" s="1785">
        <f>ОТЧЁТ!EE421</f>
        <v>1.6632756085335001</v>
      </c>
      <c r="BY21" s="1785">
        <v>1.6568246583082211</v>
      </c>
      <c r="BZ21" s="1966"/>
      <c r="CA21" s="739"/>
      <c r="CB21" s="739"/>
      <c r="CC21" s="739"/>
      <c r="CD21" s="739"/>
      <c r="CE21" s="739"/>
      <c r="CF21" s="739"/>
      <c r="CG21" s="739"/>
      <c r="CH21" s="739"/>
      <c r="CI21" s="739"/>
      <c r="CJ21" s="739"/>
      <c r="CK21" s="739"/>
      <c r="CL21" s="739"/>
      <c r="CM21" s="739"/>
      <c r="CN21" s="739"/>
      <c r="CT21" s="2281">
        <v>2003</v>
      </c>
      <c r="CU21" s="2487">
        <v>307.69085266457677</v>
      </c>
      <c r="CV21" s="1966"/>
      <c r="CW21" s="739"/>
      <c r="CX21" s="739"/>
      <c r="CY21" s="739"/>
      <c r="CZ21" s="739"/>
      <c r="DA21" s="739"/>
      <c r="DB21" s="739"/>
      <c r="DC21" s="739"/>
      <c r="DD21" s="739"/>
      <c r="DE21" s="739"/>
      <c r="DF21" s="739"/>
      <c r="DG21" s="739"/>
      <c r="DH21" s="739"/>
      <c r="DI21" s="739"/>
      <c r="DJ21" s="739"/>
      <c r="DO21" s="2281">
        <v>2003</v>
      </c>
      <c r="DP21" s="2487">
        <f t="shared" si="0"/>
        <v>307.69085266457677</v>
      </c>
      <c r="DQ21" s="1247">
        <f t="shared" si="8"/>
        <v>1.1131971038726729</v>
      </c>
      <c r="DR21" s="2329">
        <v>286.65192717439265</v>
      </c>
      <c r="DS21" s="1767"/>
      <c r="DT21" s="1767"/>
      <c r="DU21" s="1767"/>
      <c r="DV21" s="1767"/>
      <c r="DW21" s="1767"/>
      <c r="DX21" s="1767"/>
      <c r="DY21" s="1767"/>
      <c r="DZ21" s="1767"/>
      <c r="EA21" s="1767"/>
      <c r="EB21" s="1767"/>
      <c r="EC21" s="1767"/>
      <c r="ED21" s="1767"/>
      <c r="EE21" s="2749"/>
      <c r="EG21" s="2281">
        <v>2003</v>
      </c>
      <c r="EH21" s="2416">
        <v>1.125</v>
      </c>
      <c r="EI21" s="2416"/>
      <c r="EJ21" s="739"/>
      <c r="EK21" s="739"/>
      <c r="EL21" s="739"/>
      <c r="EM21" s="739"/>
      <c r="EN21" s="739"/>
      <c r="EO21" s="739"/>
      <c r="EP21" s="739"/>
      <c r="EQ21" s="739"/>
      <c r="ER21" s="739"/>
      <c r="ES21" s="739"/>
      <c r="ET21" s="739"/>
      <c r="EU21" s="739"/>
      <c r="EV21" s="739"/>
      <c r="EW21" s="739"/>
      <c r="FC21" s="2281">
        <v>2003</v>
      </c>
      <c r="FD21" s="1785">
        <v>1.0737072792646198</v>
      </c>
      <c r="FE21" s="1966"/>
      <c r="FF21" s="739"/>
      <c r="FG21" s="739"/>
      <c r="FH21" s="739"/>
      <c r="FI21" s="739"/>
      <c r="FJ21" s="739"/>
      <c r="FK21" s="739"/>
      <c r="FL21" s="739"/>
      <c r="FM21" s="739"/>
      <c r="FN21" s="739"/>
      <c r="FO21" s="739"/>
      <c r="FP21" s="739"/>
      <c r="FQ21" s="739"/>
      <c r="FR21" s="739"/>
      <c r="FS21" s="739"/>
      <c r="FY21" s="2281">
        <v>2003</v>
      </c>
      <c r="FZ21" s="2490">
        <f t="shared" si="4"/>
        <v>1.173</v>
      </c>
      <c r="GA21" s="1966"/>
      <c r="GB21" s="739"/>
      <c r="GC21" s="739"/>
      <c r="GD21" s="739"/>
      <c r="GE21" s="739"/>
      <c r="GF21" s="739"/>
      <c r="GG21" s="739"/>
      <c r="GH21" s="739"/>
      <c r="GI21" s="739"/>
      <c r="GJ21" s="739"/>
      <c r="GK21" s="739"/>
      <c r="GL21" s="739"/>
      <c r="GM21" s="739"/>
      <c r="GN21" s="739"/>
      <c r="GO21" s="739"/>
      <c r="GU21" s="2281">
        <v>2003</v>
      </c>
      <c r="GV21" s="2509">
        <f>СЧЁТ!CN14</f>
        <v>1.4730674450720351</v>
      </c>
      <c r="GW21" s="2509">
        <f t="shared" si="1"/>
        <v>1.5432700002044</v>
      </c>
      <c r="GX21" s="1966"/>
      <c r="GY21" s="739"/>
      <c r="GZ21" s="739"/>
      <c r="HA21" s="739"/>
      <c r="HB21" s="739"/>
      <c r="HC21" s="739"/>
      <c r="HD21" s="739"/>
      <c r="HE21" s="739"/>
      <c r="HF21" s="739"/>
      <c r="HG21" s="739"/>
      <c r="HH21" s="739"/>
      <c r="HI21" s="739"/>
      <c r="HJ21" s="739"/>
      <c r="HK21" s="739"/>
      <c r="HR21" s="2281">
        <v>2003</v>
      </c>
      <c r="HS21" s="2121">
        <v>0.15432700002044</v>
      </c>
      <c r="HT21" s="1966"/>
      <c r="HU21" s="739"/>
      <c r="HV21" s="739"/>
      <c r="HW21" s="739"/>
      <c r="HX21" s="739"/>
      <c r="HY21" s="739"/>
      <c r="HZ21" s="739"/>
      <c r="IA21" s="739"/>
      <c r="IB21" s="739"/>
      <c r="IC21" s="739"/>
      <c r="ID21" s="739"/>
      <c r="IE21" s="739"/>
      <c r="IF21" s="739"/>
      <c r="IG21" s="739"/>
      <c r="IH21" s="739"/>
      <c r="IN21" s="2281">
        <v>2003</v>
      </c>
      <c r="IO21" s="1786">
        <v>1815.6579999999999</v>
      </c>
      <c r="IP21" s="1786">
        <f t="shared" si="6"/>
        <v>2033.43</v>
      </c>
      <c r="IQ21" s="1495">
        <v>2186.4</v>
      </c>
      <c r="IR21" s="1767"/>
      <c r="IS21" s="1767"/>
      <c r="IT21" s="1767"/>
      <c r="IU21" s="1767"/>
      <c r="IV21" s="1767"/>
      <c r="IW21" s="1767"/>
      <c r="IX21" s="1767"/>
      <c r="IY21" s="1767"/>
      <c r="IZ21" s="1767"/>
      <c r="JA21" s="1767"/>
      <c r="JJ21" s="2748"/>
      <c r="JL21" s="2281">
        <v>2003</v>
      </c>
      <c r="JM21" s="1785">
        <v>1.077</v>
      </c>
      <c r="JN21" s="1966"/>
      <c r="JO21" s="739"/>
      <c r="JP21" s="739"/>
      <c r="JQ21" s="739"/>
      <c r="JR21" s="739"/>
      <c r="JS21" s="739"/>
      <c r="JT21" s="739"/>
      <c r="JU21" s="739"/>
      <c r="JV21" s="739"/>
      <c r="JW21" s="739"/>
      <c r="JX21" s="739"/>
      <c r="JY21" s="739"/>
      <c r="JZ21" s="739"/>
      <c r="KA21" s="739"/>
      <c r="KB21" s="739"/>
      <c r="KH21" s="2281">
        <v>2003</v>
      </c>
      <c r="KI21" s="1785">
        <v>1.2512710238527838</v>
      </c>
      <c r="KJ21" s="1871">
        <f t="shared" si="9"/>
        <v>1.2512710238527838</v>
      </c>
      <c r="KK21" s="1966"/>
      <c r="KL21" s="739"/>
      <c r="KM21" s="739"/>
      <c r="KN21" s="739"/>
      <c r="KO21" s="739"/>
      <c r="KP21" s="739"/>
      <c r="KQ21" s="739"/>
      <c r="KR21" s="739"/>
      <c r="KS21" s="739"/>
      <c r="KT21" s="739"/>
      <c r="KU21" s="739"/>
      <c r="KV21" s="739"/>
      <c r="KW21" s="739"/>
      <c r="KX21" s="739"/>
      <c r="KY21" s="739"/>
      <c r="LE21" s="2281">
        <v>2003</v>
      </c>
      <c r="LF21" s="1597">
        <v>66.338999999999999</v>
      </c>
      <c r="LG21" s="1966"/>
      <c r="LH21" s="1597">
        <v>5.9339999999999975</v>
      </c>
      <c r="LI21" s="1966"/>
      <c r="LJ21" s="739"/>
      <c r="LK21" s="739"/>
      <c r="LL21" s="739"/>
      <c r="LM21" s="739"/>
      <c r="LN21" s="739"/>
      <c r="LO21" s="739"/>
      <c r="LP21" s="739"/>
      <c r="LQ21" s="739"/>
      <c r="LR21" s="739"/>
      <c r="LS21" s="739"/>
      <c r="LT21" s="739"/>
      <c r="LU21" s="739"/>
      <c r="LV21" s="739"/>
      <c r="MB21" s="2281">
        <v>2003</v>
      </c>
      <c r="MC21" s="2131">
        <v>3530.7601725043487</v>
      </c>
      <c r="MD21" s="1966"/>
      <c r="ME21" s="739"/>
      <c r="MF21" s="739"/>
      <c r="MG21" s="739"/>
      <c r="MH21" s="739"/>
      <c r="MI21" s="739"/>
      <c r="MJ21" s="739"/>
      <c r="MK21" s="739"/>
      <c r="ML21" s="739"/>
      <c r="MM21" s="739"/>
      <c r="MN21" s="739"/>
      <c r="MO21" s="739"/>
      <c r="MP21" s="739"/>
      <c r="MQ21" s="739"/>
      <c r="MY21" s="2281">
        <v>2003</v>
      </c>
      <c r="MZ21" s="1597">
        <f t="shared" si="2"/>
        <v>53.222993601114709</v>
      </c>
      <c r="NA21" s="1966"/>
      <c r="NB21" s="739"/>
      <c r="NC21" s="739"/>
      <c r="ND21" s="739"/>
      <c r="NE21" s="739"/>
      <c r="NF21" s="739"/>
      <c r="NG21" s="739"/>
      <c r="NH21" s="739"/>
      <c r="NI21" s="739"/>
      <c r="NJ21" s="739"/>
      <c r="NK21" s="739"/>
      <c r="NL21" s="739"/>
      <c r="NM21" s="739"/>
      <c r="NN21" s="739"/>
      <c r="NO21" s="739"/>
      <c r="NV21" s="2281">
        <v>2003</v>
      </c>
      <c r="NW21" s="1785">
        <v>5.9009164044902702</v>
      </c>
      <c r="NX21" s="1597">
        <v>6.2538338401999489</v>
      </c>
      <c r="NY21" s="1785">
        <v>5.542638112686384</v>
      </c>
      <c r="NZ21" s="1966">
        <v>7.6273689193439225</v>
      </c>
      <c r="OA21" s="739"/>
      <c r="OB21" s="739"/>
      <c r="OC21" s="739"/>
      <c r="OD21" s="739"/>
      <c r="OE21" s="739"/>
      <c r="OF21" s="739"/>
      <c r="OG21" s="739"/>
      <c r="OH21" s="739"/>
      <c r="OI21" s="739"/>
      <c r="OJ21" s="739"/>
      <c r="OK21" s="739"/>
      <c r="OS21" s="2748"/>
      <c r="OU21" s="2281">
        <v>2003</v>
      </c>
      <c r="OV21" s="1785">
        <f t="shared" si="7"/>
        <v>1.024</v>
      </c>
      <c r="OW21" s="1966"/>
      <c r="OX21" s="739"/>
      <c r="OY21" s="739"/>
      <c r="OZ21" s="739"/>
      <c r="PA21" s="739"/>
      <c r="PB21" s="739"/>
      <c r="PC21" s="739"/>
      <c r="PD21" s="739"/>
      <c r="PE21" s="739"/>
      <c r="PF21" s="739"/>
      <c r="PG21" s="739"/>
      <c r="PH21" s="739"/>
      <c r="PI21" s="739"/>
      <c r="PJ21" s="739"/>
      <c r="PK21" s="739"/>
      <c r="PQ21" s="2281">
        <v>2003</v>
      </c>
      <c r="PR21" s="1785">
        <f>СЧЁТ!CI14</f>
        <v>1.1139037944506402</v>
      </c>
      <c r="PS21" s="1966"/>
      <c r="PT21" s="739"/>
      <c r="PU21" s="739"/>
      <c r="PV21" s="739"/>
      <c r="PW21" s="739"/>
      <c r="PX21" s="739"/>
      <c r="PY21" s="739"/>
      <c r="PZ21" s="739"/>
      <c r="QA21" s="739"/>
      <c r="QB21" s="739"/>
      <c r="QC21" s="739"/>
      <c r="QD21" s="739"/>
      <c r="QE21" s="739"/>
      <c r="QF21" s="739"/>
      <c r="QG21" s="739"/>
      <c r="QM21" s="2281">
        <v>2003</v>
      </c>
      <c r="QN21" s="1785">
        <v>1.073</v>
      </c>
      <c r="QO21" s="1966"/>
      <c r="QP21" s="739"/>
      <c r="QQ21" s="739"/>
      <c r="QR21" s="739"/>
      <c r="QS21" s="739"/>
      <c r="QT21" s="739"/>
      <c r="QU21" s="739"/>
      <c r="QV21" s="739"/>
      <c r="QW21" s="739"/>
      <c r="QX21" s="739"/>
      <c r="QY21" s="739"/>
      <c r="QZ21" s="739"/>
      <c r="RA21" s="739"/>
      <c r="RB21" s="739"/>
      <c r="RC21" s="739"/>
      <c r="RI21" s="943">
        <v>9</v>
      </c>
      <c r="RJ21" s="2281">
        <v>2003</v>
      </c>
      <c r="RK21" s="1786">
        <v>5471.9610740200769</v>
      </c>
      <c r="RL21" s="1786"/>
      <c r="RM21" s="1966"/>
      <c r="RN21" s="739"/>
      <c r="RO21" s="739"/>
      <c r="RP21" s="739"/>
      <c r="RQ21" s="739"/>
      <c r="RR21" s="739"/>
      <c r="RS21" s="739"/>
      <c r="RT21" s="739"/>
      <c r="RU21" s="739"/>
      <c r="RV21" s="739"/>
      <c r="RW21" s="739"/>
      <c r="RX21" s="739"/>
      <c r="RY21" s="739"/>
      <c r="RZ21" s="739"/>
      <c r="SA21" s="739"/>
      <c r="SG21" s="2281">
        <v>2003</v>
      </c>
      <c r="SH21" s="1785">
        <f t="shared" si="3"/>
        <v>0.64524584965850473</v>
      </c>
      <c r="SI21" s="1966"/>
      <c r="SJ21" s="739"/>
      <c r="SK21" s="739"/>
      <c r="SL21" s="739"/>
      <c r="SM21" s="739"/>
      <c r="SN21" s="739"/>
      <c r="SO21" s="739"/>
      <c r="SP21" s="739"/>
      <c r="SQ21" s="739"/>
      <c r="SR21" s="739"/>
      <c r="SS21" s="739"/>
      <c r="ST21" s="739"/>
      <c r="SU21" s="739"/>
      <c r="SV21" s="739"/>
      <c r="SW21" s="739"/>
      <c r="TC21" s="2281">
        <v>2003</v>
      </c>
      <c r="TD21" s="1785">
        <v>1.2792293075999179</v>
      </c>
      <c r="TE21" s="1966"/>
      <c r="TF21" s="739"/>
      <c r="TG21" s="739"/>
      <c r="TH21" s="739"/>
      <c r="TI21" s="739"/>
      <c r="TJ21" s="739"/>
      <c r="TK21" s="739"/>
      <c r="TL21" s="739"/>
      <c r="TM21" s="739"/>
      <c r="TN21" s="739"/>
      <c r="TO21" s="739"/>
      <c r="TP21" s="739"/>
      <c r="TQ21" s="739"/>
      <c r="TX21" s="2748"/>
      <c r="TZ21" s="2281">
        <v>2003</v>
      </c>
      <c r="UA21" s="1785">
        <f t="shared" si="5"/>
        <v>1.0009999999999999</v>
      </c>
      <c r="UC21" s="1966"/>
      <c r="UD21" s="739"/>
      <c r="UE21" s="739"/>
      <c r="UF21" s="739"/>
      <c r="UG21" s="739"/>
      <c r="UH21" s="739"/>
      <c r="UI21" s="739"/>
      <c r="UJ21" s="739"/>
      <c r="UK21" s="739"/>
      <c r="UL21" s="739"/>
      <c r="UM21" s="739"/>
      <c r="UN21" s="739"/>
      <c r="UO21" s="739"/>
      <c r="UP21" s="739"/>
      <c r="UQ21" s="739"/>
      <c r="UW21" s="2281">
        <v>2003</v>
      </c>
      <c r="UX21" s="2029">
        <f>СЧЁТ!CK14</f>
        <v>1.0330352262657319</v>
      </c>
      <c r="UY21" s="1966"/>
      <c r="UZ21" s="739"/>
      <c r="VA21" s="739"/>
      <c r="VB21" s="739"/>
      <c r="VC21" s="739"/>
      <c r="VD21" s="739"/>
      <c r="VE21" s="739"/>
      <c r="VF21" s="739"/>
      <c r="VG21" s="739"/>
      <c r="VH21" s="739"/>
      <c r="VI21" s="739"/>
      <c r="VJ21" s="739"/>
      <c r="VK21" s="739"/>
      <c r="VL21" s="739"/>
      <c r="VM21" s="739"/>
      <c r="VS21" s="2281">
        <v>2003</v>
      </c>
      <c r="VT21" s="1785">
        <v>1.073</v>
      </c>
      <c r="VU21" s="1966"/>
      <c r="VV21" s="739"/>
      <c r="VW21" s="739"/>
      <c r="VX21" s="739"/>
      <c r="VY21" s="739"/>
      <c r="VZ21" s="739"/>
      <c r="WA21" s="739"/>
      <c r="WB21" s="739"/>
      <c r="WC21" s="739"/>
      <c r="WD21" s="739"/>
      <c r="WE21" s="739"/>
      <c r="WF21" s="739"/>
      <c r="WG21" s="739"/>
      <c r="WH21" s="739"/>
      <c r="WI21" s="739"/>
      <c r="WO21" s="2281">
        <v>2003</v>
      </c>
      <c r="WP21" s="2131">
        <v>3530.7601725043487</v>
      </c>
      <c r="WQ21" s="1786"/>
      <c r="WR21" s="1495">
        <v>3530.7601725043487</v>
      </c>
      <c r="WS21" s="739"/>
      <c r="WT21" s="739"/>
      <c r="WU21" s="739"/>
      <c r="WV21" s="739"/>
      <c r="WW21" s="739"/>
      <c r="WX21" s="739"/>
      <c r="WY21" s="739"/>
      <c r="WZ21" s="739"/>
      <c r="XA21" s="739"/>
      <c r="XB21" s="739"/>
      <c r="XC21" s="739"/>
      <c r="XD21" s="739"/>
      <c r="XE21" s="739"/>
      <c r="XF21" s="739"/>
      <c r="XK21" s="2492">
        <v>2003</v>
      </c>
      <c r="XL21" s="2490">
        <v>1</v>
      </c>
      <c r="XM21" s="1966"/>
      <c r="XN21" s="739"/>
      <c r="XO21" s="739"/>
      <c r="XP21" s="739"/>
      <c r="XQ21" s="739"/>
      <c r="XR21" s="739"/>
      <c r="XS21" s="739"/>
      <c r="XT21" s="739"/>
      <c r="XU21" s="739"/>
      <c r="XV21" s="739"/>
      <c r="XW21" s="739"/>
      <c r="XX21" s="739"/>
      <c r="XY21" s="739"/>
      <c r="XZ21" s="739"/>
      <c r="YA21" s="739"/>
      <c r="YG21" s="2281">
        <v>2003</v>
      </c>
      <c r="YH21" s="1785">
        <v>1.2792293075999179</v>
      </c>
      <c r="YI21" s="1966"/>
      <c r="YJ21" s="739"/>
      <c r="YK21" s="739"/>
      <c r="YL21" s="739"/>
      <c r="YM21" s="739"/>
      <c r="YN21" s="739"/>
      <c r="YO21" s="739"/>
      <c r="YP21" s="739"/>
      <c r="YQ21" s="739"/>
      <c r="YR21" s="739"/>
      <c r="YS21" s="739"/>
      <c r="YT21" s="739"/>
      <c r="YU21" s="739"/>
      <c r="ZE21" s="2587" t="s">
        <v>2162</v>
      </c>
      <c r="ZF21" s="765"/>
      <c r="ZG21" s="765"/>
      <c r="ZH21" s="765"/>
      <c r="ZI21" s="765"/>
      <c r="ZJ21" s="765"/>
      <c r="ZK21" s="765"/>
      <c r="ZL21" s="765"/>
      <c r="ZM21" s="765"/>
      <c r="ZN21" s="765"/>
      <c r="ZO21" s="765"/>
      <c r="ZP21" s="777"/>
    </row>
    <row r="22" spans="5:692" ht="20.399999999999999">
      <c r="E22" s="555"/>
      <c r="G22" s="2281">
        <v>2004</v>
      </c>
      <c r="H22" s="2490">
        <v>1.0720000000000001</v>
      </c>
      <c r="I22" s="2416"/>
      <c r="K22" s="739"/>
      <c r="L22" s="739"/>
      <c r="M22" s="739"/>
      <c r="N22" s="739"/>
      <c r="O22" s="739"/>
      <c r="P22" s="739"/>
      <c r="Q22" s="739"/>
      <c r="R22" s="739"/>
      <c r="S22" s="739"/>
      <c r="T22" s="739"/>
      <c r="U22" s="739"/>
      <c r="V22" s="739"/>
      <c r="W22" s="739"/>
      <c r="X22" s="739"/>
      <c r="AD22" s="2281">
        <v>2004</v>
      </c>
      <c r="AE22" s="1785">
        <f>AE21*H22</f>
        <v>1.3713338177471122</v>
      </c>
      <c r="AF22" s="1785">
        <f>AE22</f>
        <v>1.3713338177471122</v>
      </c>
      <c r="AG22" s="1966"/>
      <c r="AH22" s="739"/>
      <c r="AI22" s="739"/>
      <c r="AJ22" s="739"/>
      <c r="AK22" s="739"/>
      <c r="AL22" s="739"/>
      <c r="AM22" s="739"/>
      <c r="AN22" s="739"/>
      <c r="AO22" s="739"/>
      <c r="AP22" s="739"/>
      <c r="AQ22" s="739"/>
      <c r="AR22" s="739"/>
      <c r="AS22" s="739"/>
      <c r="AT22" s="739"/>
      <c r="AU22" s="739"/>
      <c r="BA22" s="2281">
        <v>2004</v>
      </c>
      <c r="BB22" s="1285">
        <v>6.8314599646456458</v>
      </c>
      <c r="BC22" s="2416"/>
      <c r="BD22" s="739"/>
      <c r="BE22" s="739"/>
      <c r="BF22" s="739"/>
      <c r="BG22" s="739"/>
      <c r="BH22" s="739"/>
      <c r="BI22" s="739"/>
      <c r="BJ22" s="739"/>
      <c r="BK22" s="739"/>
      <c r="BL22" s="739"/>
      <c r="BM22" s="739"/>
      <c r="BN22" s="739"/>
      <c r="BO22" s="739"/>
      <c r="BP22" s="739"/>
      <c r="BQ22" s="739"/>
      <c r="BW22" s="2281">
        <v>2004</v>
      </c>
      <c r="BX22" s="1785">
        <f>ОТЧЁТ!EE422</f>
        <v>1.8635096058631688</v>
      </c>
      <c r="BY22" s="1785">
        <v>1.8523299679885914</v>
      </c>
      <c r="BZ22" s="1966"/>
      <c r="CA22" s="739"/>
      <c r="CB22" s="739"/>
      <c r="CC22" s="739"/>
      <c r="CD22" s="739"/>
      <c r="CE22" s="739"/>
      <c r="CF22" s="739"/>
      <c r="CG22" s="739"/>
      <c r="CH22" s="739"/>
      <c r="CI22" s="739"/>
      <c r="CJ22" s="739"/>
      <c r="CK22" s="739"/>
      <c r="CL22" s="739"/>
      <c r="CM22" s="739"/>
      <c r="CN22" s="739"/>
      <c r="CT22" s="2281">
        <v>2004</v>
      </c>
      <c r="CU22" s="2487">
        <v>343.804802507837</v>
      </c>
      <c r="CV22" s="1966"/>
      <c r="CW22" s="739"/>
      <c r="CX22" s="739"/>
      <c r="CY22" s="739"/>
      <c r="CZ22" s="739"/>
      <c r="DA22" s="739"/>
      <c r="DB22" s="739"/>
      <c r="DC22" s="739"/>
      <c r="DD22" s="739"/>
      <c r="DE22" s="739"/>
      <c r="DF22" s="739"/>
      <c r="DG22" s="739"/>
      <c r="DH22" s="739"/>
      <c r="DI22" s="739"/>
      <c r="DJ22" s="739"/>
      <c r="DO22" s="2281">
        <v>2004</v>
      </c>
      <c r="DP22" s="2487">
        <f t="shared" si="0"/>
        <v>343.804802507837</v>
      </c>
      <c r="DQ22" s="1247">
        <f t="shared" si="8"/>
        <v>1.1056351693502098</v>
      </c>
      <c r="DR22" s="2329">
        <v>325.92324119728443</v>
      </c>
      <c r="DS22" s="1767"/>
      <c r="DT22" s="1767"/>
      <c r="DU22" s="1767"/>
      <c r="DV22" s="1767"/>
      <c r="DW22" s="1767"/>
      <c r="DX22" s="1767"/>
      <c r="DY22" s="1767"/>
      <c r="DZ22" s="1767"/>
      <c r="EA22" s="1767"/>
      <c r="EB22" s="1767"/>
      <c r="EC22" s="1767"/>
      <c r="ED22" s="1767"/>
      <c r="EE22" s="2749"/>
      <c r="EG22" s="2281">
        <v>2004</v>
      </c>
      <c r="EH22" s="2416">
        <v>1.137</v>
      </c>
      <c r="EI22" s="2416"/>
      <c r="EJ22" s="739"/>
      <c r="EK22" s="739"/>
      <c r="EL22" s="739"/>
      <c r="EM22" s="739"/>
      <c r="EN22" s="739"/>
      <c r="EO22" s="739"/>
      <c r="EP22" s="739"/>
      <c r="EQ22" s="739"/>
      <c r="ER22" s="739"/>
      <c r="ES22" s="739"/>
      <c r="ET22" s="739"/>
      <c r="EU22" s="739"/>
      <c r="EV22" s="739"/>
      <c r="EW22" s="739"/>
      <c r="FC22" s="2281">
        <v>2004</v>
      </c>
      <c r="FD22" s="1785">
        <v>1.2208051765238728</v>
      </c>
      <c r="FE22" s="1966"/>
      <c r="FF22" s="739"/>
      <c r="FG22" s="739"/>
      <c r="FH22" s="739"/>
      <c r="FI22" s="739"/>
      <c r="FJ22" s="739"/>
      <c r="FK22" s="739"/>
      <c r="FL22" s="739"/>
      <c r="FM22" s="739"/>
      <c r="FN22" s="739"/>
      <c r="FO22" s="739"/>
      <c r="FP22" s="739"/>
      <c r="FQ22" s="739"/>
      <c r="FR22" s="739"/>
      <c r="FS22" s="739"/>
      <c r="FY22" s="2281">
        <v>2004</v>
      </c>
      <c r="FZ22" s="2490">
        <f t="shared" si="4"/>
        <v>1.2330000000000001</v>
      </c>
      <c r="GA22" s="1966"/>
      <c r="GB22" s="739"/>
      <c r="GC22" s="739"/>
      <c r="GD22" s="739"/>
      <c r="GE22" s="739"/>
      <c r="GF22" s="739"/>
      <c r="GG22" s="739"/>
      <c r="GH22" s="739"/>
      <c r="GI22" s="739"/>
      <c r="GJ22" s="739"/>
      <c r="GK22" s="739"/>
      <c r="GL22" s="739"/>
      <c r="GM22" s="739"/>
      <c r="GN22" s="739"/>
      <c r="GO22" s="739"/>
      <c r="GU22" s="2281">
        <v>2004</v>
      </c>
      <c r="GV22" s="2509">
        <f>СЧЁТ!CN15</f>
        <v>1.8162921597738195</v>
      </c>
      <c r="GW22" s="2509">
        <f t="shared" si="1"/>
        <v>1.7618999169000236</v>
      </c>
      <c r="GX22" s="1966"/>
      <c r="GY22" s="739"/>
      <c r="GZ22" s="739"/>
      <c r="HA22" s="739"/>
      <c r="HB22" s="739"/>
      <c r="HC22" s="739"/>
      <c r="HD22" s="739"/>
      <c r="HE22" s="739"/>
      <c r="HF22" s="739"/>
      <c r="HG22" s="739"/>
      <c r="HH22" s="739"/>
      <c r="HI22" s="739"/>
      <c r="HJ22" s="739"/>
      <c r="HK22" s="739"/>
      <c r="HR22" s="2281">
        <v>2004</v>
      </c>
      <c r="HS22" s="2121">
        <v>0.17618999169000235</v>
      </c>
      <c r="HT22" s="1966"/>
      <c r="HU22" s="739"/>
      <c r="HV22" s="739"/>
      <c r="HW22" s="739"/>
      <c r="HX22" s="739"/>
      <c r="HY22" s="739"/>
      <c r="HZ22" s="739"/>
      <c r="IA22" s="739"/>
      <c r="IB22" s="739"/>
      <c r="IC22" s="739"/>
      <c r="ID22" s="739"/>
      <c r="IE22" s="739"/>
      <c r="IF22" s="739"/>
      <c r="IG22" s="739"/>
      <c r="IH22" s="739"/>
      <c r="IN22" s="2281">
        <v>2004</v>
      </c>
      <c r="IO22" s="1786">
        <v>1972.1120000000001</v>
      </c>
      <c r="IP22" s="1786">
        <f t="shared" si="6"/>
        <v>2619.0199999999995</v>
      </c>
      <c r="IQ22" s="1495">
        <v>2865</v>
      </c>
      <c r="IR22" s="1767"/>
      <c r="IS22" s="1767"/>
      <c r="IT22" s="1767"/>
      <c r="IU22" s="1767"/>
      <c r="IV22" s="1767"/>
      <c r="IW22" s="1767"/>
      <c r="IX22" s="1767"/>
      <c r="IY22" s="1767"/>
      <c r="IZ22" s="1767"/>
      <c r="JA22" s="1767"/>
      <c r="JJ22" s="2748"/>
      <c r="JL22" s="2281">
        <v>2004</v>
      </c>
      <c r="JM22" s="1785">
        <v>1.125</v>
      </c>
      <c r="JN22" s="1966"/>
      <c r="JO22" s="739"/>
      <c r="JP22" s="739"/>
      <c r="JQ22" s="739"/>
      <c r="JR22" s="739"/>
      <c r="JS22" s="739"/>
      <c r="JT22" s="739"/>
      <c r="JU22" s="739"/>
      <c r="JV22" s="739"/>
      <c r="JW22" s="739"/>
      <c r="JX22" s="739"/>
      <c r="JY22" s="739"/>
      <c r="JZ22" s="739"/>
      <c r="KA22" s="739"/>
      <c r="KB22" s="739"/>
      <c r="KH22" s="2281">
        <v>2004</v>
      </c>
      <c r="KI22" s="1785">
        <v>1.4076799018343817</v>
      </c>
      <c r="KJ22" s="1871">
        <f t="shared" si="9"/>
        <v>1.4076799018343817</v>
      </c>
      <c r="KK22" s="1966"/>
      <c r="KL22" s="739"/>
      <c r="KM22" s="739"/>
      <c r="KN22" s="739"/>
      <c r="KO22" s="739"/>
      <c r="KP22" s="739"/>
      <c r="KQ22" s="739"/>
      <c r="KR22" s="739"/>
      <c r="KS22" s="739"/>
      <c r="KT22" s="739"/>
      <c r="KU22" s="739"/>
      <c r="KV22" s="739"/>
      <c r="KW22" s="739"/>
      <c r="KX22" s="739"/>
      <c r="KY22" s="739"/>
      <c r="LE22" s="2281">
        <v>2004</v>
      </c>
      <c r="LF22" s="1597">
        <v>67.319000000000003</v>
      </c>
      <c r="LG22" s="1966"/>
      <c r="LH22" s="1597">
        <v>5.6659999999999968</v>
      </c>
      <c r="LI22" s="1966"/>
      <c r="LJ22" s="739"/>
      <c r="LK22" s="739"/>
      <c r="LL22" s="739"/>
      <c r="LM22" s="739"/>
      <c r="LN22" s="739"/>
      <c r="LO22" s="739"/>
      <c r="LP22" s="739"/>
      <c r="LQ22" s="739"/>
      <c r="LR22" s="739"/>
      <c r="LS22" s="739"/>
      <c r="LT22" s="739"/>
      <c r="LU22" s="739"/>
      <c r="LV22" s="739"/>
      <c r="MB22" s="2281">
        <v>2004</v>
      </c>
      <c r="MC22" s="2131">
        <v>3813.2209863046965</v>
      </c>
      <c r="MD22" s="1966"/>
      <c r="ME22" s="739"/>
      <c r="MF22" s="739"/>
      <c r="MG22" s="739"/>
      <c r="MH22" s="739"/>
      <c r="MI22" s="739"/>
      <c r="MJ22" s="739"/>
      <c r="MK22" s="739"/>
      <c r="ML22" s="739"/>
      <c r="MM22" s="739"/>
      <c r="MN22" s="739"/>
      <c r="MO22" s="739"/>
      <c r="MP22" s="739"/>
      <c r="MQ22" s="739"/>
      <c r="MY22" s="2281">
        <v>2004</v>
      </c>
      <c r="MZ22" s="1597">
        <f t="shared" si="2"/>
        <v>56.644052738523989</v>
      </c>
      <c r="NA22" s="1966"/>
      <c r="NB22" s="739"/>
      <c r="NC22" s="739"/>
      <c r="ND22" s="739"/>
      <c r="NE22" s="739"/>
      <c r="NF22" s="739"/>
      <c r="NG22" s="739"/>
      <c r="NH22" s="739"/>
      <c r="NI22" s="739"/>
      <c r="NJ22" s="739"/>
      <c r="NK22" s="739"/>
      <c r="NL22" s="739"/>
      <c r="NM22" s="739"/>
      <c r="NN22" s="739"/>
      <c r="NO22" s="739"/>
      <c r="NV22" s="2281">
        <v>2004</v>
      </c>
      <c r="NW22" s="1785">
        <v>5.7361386042739939</v>
      </c>
      <c r="NX22" s="1597">
        <v>6.9855323995033425</v>
      </c>
      <c r="NY22" s="1785">
        <v>6.2728522161048463</v>
      </c>
      <c r="NZ22" s="1966">
        <v>8.7904133177964692</v>
      </c>
      <c r="OA22" s="739"/>
      <c r="OB22" s="739"/>
      <c r="OC22" s="739"/>
      <c r="OD22" s="739"/>
      <c r="OE22" s="739"/>
      <c r="OF22" s="739"/>
      <c r="OG22" s="739"/>
      <c r="OH22" s="739"/>
      <c r="OI22" s="739"/>
      <c r="OJ22" s="739"/>
      <c r="OK22" s="739"/>
      <c r="OS22" s="2748"/>
      <c r="OU22" s="2281">
        <v>2004</v>
      </c>
      <c r="OV22" s="1785">
        <f t="shared" si="7"/>
        <v>1.0209999999999999</v>
      </c>
      <c r="OW22" s="1966"/>
      <c r="OX22" s="739"/>
      <c r="OY22" s="739"/>
      <c r="OZ22" s="739"/>
      <c r="PA22" s="739"/>
      <c r="PB22" s="739"/>
      <c r="PC22" s="739"/>
      <c r="PD22" s="739"/>
      <c r="PE22" s="739"/>
      <c r="PF22" s="739"/>
      <c r="PG22" s="739"/>
      <c r="PH22" s="739"/>
      <c r="PI22" s="739"/>
      <c r="PJ22" s="739"/>
      <c r="PK22" s="739"/>
      <c r="PQ22" s="2281">
        <v>2004</v>
      </c>
      <c r="PR22" s="1785">
        <f>СЧЁТ!CI15</f>
        <v>1.1372957741341037</v>
      </c>
      <c r="PS22" s="1966"/>
      <c r="PT22" s="739"/>
      <c r="PU22" s="739"/>
      <c r="PV22" s="739"/>
      <c r="PW22" s="739"/>
      <c r="PX22" s="739"/>
      <c r="PY22" s="739"/>
      <c r="PZ22" s="739"/>
      <c r="QA22" s="739"/>
      <c r="QB22" s="739"/>
      <c r="QC22" s="739"/>
      <c r="QD22" s="739"/>
      <c r="QE22" s="739"/>
      <c r="QF22" s="739"/>
      <c r="QG22" s="739"/>
      <c r="QM22" s="2281">
        <v>2004</v>
      </c>
      <c r="QN22" s="1785">
        <v>1.0720000000000001</v>
      </c>
      <c r="QO22" s="1966"/>
      <c r="QP22" s="739"/>
      <c r="QQ22" s="739"/>
      <c r="QR22" s="739"/>
      <c r="QS22" s="739"/>
      <c r="QT22" s="739"/>
      <c r="QU22" s="739"/>
      <c r="QV22" s="739"/>
      <c r="QW22" s="739"/>
      <c r="QX22" s="739"/>
      <c r="QY22" s="739"/>
      <c r="QZ22" s="739"/>
      <c r="RA22" s="739"/>
      <c r="RB22" s="739"/>
      <c r="RC22" s="739"/>
      <c r="RI22" s="943">
        <v>10</v>
      </c>
      <c r="RJ22" s="2281">
        <v>2004</v>
      </c>
      <c r="RK22" s="1786">
        <v>5559.5124512043985</v>
      </c>
      <c r="RL22" s="1786"/>
      <c r="RM22" s="1966"/>
      <c r="RN22" s="739"/>
      <c r="RO22" s="739"/>
      <c r="RP22" s="739"/>
      <c r="RQ22" s="739"/>
      <c r="RR22" s="739"/>
      <c r="RS22" s="739"/>
      <c r="RT22" s="739"/>
      <c r="RU22" s="739"/>
      <c r="RV22" s="739"/>
      <c r="RW22" s="739"/>
      <c r="RX22" s="739"/>
      <c r="RY22" s="739"/>
      <c r="RZ22" s="739"/>
      <c r="SA22" s="739"/>
      <c r="SG22" s="2281">
        <v>2004</v>
      </c>
      <c r="SH22" s="1785">
        <f t="shared" si="3"/>
        <v>0.68589125751100888</v>
      </c>
      <c r="SI22" s="1966"/>
      <c r="SJ22" s="739"/>
      <c r="SK22" s="739"/>
      <c r="SL22" s="739"/>
      <c r="SM22" s="739"/>
      <c r="SN22" s="739"/>
      <c r="SO22" s="739"/>
      <c r="SP22" s="739"/>
      <c r="SQ22" s="739"/>
      <c r="SR22" s="739"/>
      <c r="SS22" s="739"/>
      <c r="ST22" s="739"/>
      <c r="SU22" s="739"/>
      <c r="SV22" s="739"/>
      <c r="SW22" s="739"/>
      <c r="TC22" s="2281">
        <v>2004</v>
      </c>
      <c r="TD22" s="1785">
        <v>1.3713338177471122</v>
      </c>
      <c r="TE22" s="1966"/>
      <c r="TF22" s="739"/>
      <c r="TG22" s="739"/>
      <c r="TH22" s="739"/>
      <c r="TI22" s="739"/>
      <c r="TJ22" s="739"/>
      <c r="TK22" s="739"/>
      <c r="TL22" s="739"/>
      <c r="TM22" s="739"/>
      <c r="TN22" s="739"/>
      <c r="TO22" s="739"/>
      <c r="TP22" s="739"/>
      <c r="TQ22" s="739"/>
      <c r="TX22" s="2748"/>
      <c r="TZ22" s="2281">
        <v>2004</v>
      </c>
      <c r="UA22" s="1785">
        <f t="shared" si="5"/>
        <v>0.88900000000000001</v>
      </c>
      <c r="UC22" s="1966"/>
      <c r="UD22" s="739"/>
      <c r="UE22" s="739"/>
      <c r="UF22" s="739"/>
      <c r="UG22" s="739"/>
      <c r="UH22" s="739"/>
      <c r="UI22" s="739"/>
      <c r="UJ22" s="739"/>
      <c r="UK22" s="739"/>
      <c r="UL22" s="739"/>
      <c r="UM22" s="739"/>
      <c r="UN22" s="739"/>
      <c r="UO22" s="739"/>
      <c r="UP22" s="739"/>
      <c r="UQ22" s="739"/>
      <c r="UW22" s="2281">
        <v>2004</v>
      </c>
      <c r="UX22" s="2029">
        <f>СЧЁТ!CK15</f>
        <v>0.91836831615023562</v>
      </c>
      <c r="UY22" s="1966"/>
      <c r="UZ22" s="739"/>
      <c r="VA22" s="739"/>
      <c r="VB22" s="739"/>
      <c r="VC22" s="739"/>
      <c r="VD22" s="739"/>
      <c r="VE22" s="739"/>
      <c r="VF22" s="739"/>
      <c r="VG22" s="739"/>
      <c r="VH22" s="739"/>
      <c r="VI22" s="739"/>
      <c r="VJ22" s="739"/>
      <c r="VK22" s="739"/>
      <c r="VL22" s="739"/>
      <c r="VM22" s="739"/>
      <c r="VS22" s="2281">
        <v>2004</v>
      </c>
      <c r="VT22" s="1785">
        <v>1.0720000000000001</v>
      </c>
      <c r="VU22" s="1966"/>
      <c r="VV22" s="739"/>
      <c r="VW22" s="739"/>
      <c r="VX22" s="739"/>
      <c r="VY22" s="739"/>
      <c r="VZ22" s="739"/>
      <c r="WA22" s="739"/>
      <c r="WB22" s="739"/>
      <c r="WC22" s="739"/>
      <c r="WD22" s="739"/>
      <c r="WE22" s="739"/>
      <c r="WF22" s="739"/>
      <c r="WG22" s="739"/>
      <c r="WH22" s="739"/>
      <c r="WI22" s="739"/>
      <c r="WO22" s="2281">
        <v>2004</v>
      </c>
      <c r="WP22" s="2131">
        <v>3813.2209863046965</v>
      </c>
      <c r="WQ22" s="1786"/>
      <c r="WR22" s="1495">
        <v>3813.2209863046965</v>
      </c>
      <c r="WS22" s="739"/>
      <c r="WT22" s="739"/>
      <c r="WU22" s="739"/>
      <c r="WV22" s="739"/>
      <c r="WW22" s="739"/>
      <c r="WX22" s="739"/>
      <c r="WY22" s="739"/>
      <c r="WZ22" s="739"/>
      <c r="XA22" s="739"/>
      <c r="XB22" s="739"/>
      <c r="XC22" s="739"/>
      <c r="XD22" s="739"/>
      <c r="XE22" s="739"/>
      <c r="XF22" s="739"/>
      <c r="XK22" s="2492">
        <v>2004</v>
      </c>
      <c r="XL22" s="2490">
        <v>1</v>
      </c>
      <c r="XM22" s="1966"/>
      <c r="XN22" s="739"/>
      <c r="XO22" s="739"/>
      <c r="XP22" s="739"/>
      <c r="XQ22" s="739"/>
      <c r="XR22" s="739"/>
      <c r="XS22" s="739"/>
      <c r="XT22" s="739"/>
      <c r="XU22" s="739"/>
      <c r="XV22" s="739"/>
      <c r="XW22" s="739"/>
      <c r="XX22" s="739"/>
      <c r="XY22" s="739"/>
      <c r="XZ22" s="739"/>
      <c r="YA22" s="739"/>
      <c r="YG22" s="2281">
        <v>2004</v>
      </c>
      <c r="YH22" s="1785">
        <v>1.3713338177471122</v>
      </c>
      <c r="YI22" s="1966"/>
      <c r="YJ22" s="739"/>
      <c r="YK22" s="739"/>
      <c r="YL22" s="739"/>
      <c r="YM22" s="739"/>
      <c r="YN22" s="739"/>
      <c r="YO22" s="739"/>
      <c r="YP22" s="739"/>
      <c r="YQ22" s="739"/>
      <c r="YR22" s="739"/>
      <c r="YS22" s="739"/>
      <c r="YT22" s="739"/>
      <c r="YU22" s="739"/>
      <c r="ZE22" s="2587" t="s">
        <v>2163</v>
      </c>
      <c r="ZF22" s="765"/>
      <c r="ZG22" s="765"/>
      <c r="ZH22" s="765"/>
      <c r="ZI22" s="765"/>
      <c r="ZJ22" s="765"/>
      <c r="ZK22" s="765"/>
      <c r="ZL22" s="765"/>
      <c r="ZM22" s="765"/>
      <c r="ZN22" s="765"/>
      <c r="ZO22" s="765"/>
      <c r="ZP22" s="777"/>
    </row>
    <row r="23" spans="5:692" ht="20.399999999999999">
      <c r="G23" s="2281">
        <v>2005</v>
      </c>
      <c r="H23" s="2490">
        <v>1.0640000000000001</v>
      </c>
      <c r="I23" s="2416"/>
      <c r="K23" s="739"/>
      <c r="L23" s="739"/>
      <c r="M23" s="739"/>
      <c r="N23" s="739"/>
      <c r="O23" s="739"/>
      <c r="P23" s="739"/>
      <c r="Q23" s="739"/>
      <c r="R23" s="739"/>
      <c r="S23" s="739"/>
      <c r="T23" s="739"/>
      <c r="U23" s="739"/>
      <c r="V23" s="739"/>
      <c r="W23" s="739"/>
      <c r="X23" s="739"/>
      <c r="AD23" s="2281">
        <v>2005</v>
      </c>
      <c r="AE23" s="1785">
        <f>AE22*H23</f>
        <v>1.4590991820829273</v>
      </c>
      <c r="AF23" s="1785">
        <f>AE23</f>
        <v>1.4590991820829273</v>
      </c>
      <c r="AG23" s="1966"/>
      <c r="AH23" s="739"/>
      <c r="AI23" s="739"/>
      <c r="AJ23" s="739"/>
      <c r="AK23" s="739"/>
      <c r="AL23" s="739"/>
      <c r="AM23" s="739"/>
      <c r="AN23" s="739"/>
      <c r="AO23" s="739"/>
      <c r="AP23" s="739"/>
      <c r="AQ23" s="739"/>
      <c r="AR23" s="739"/>
      <c r="AS23" s="739"/>
      <c r="AT23" s="739"/>
      <c r="AU23" s="739"/>
      <c r="BA23" s="2281">
        <v>2005</v>
      </c>
      <c r="BB23" s="1285">
        <v>8.0203116455157293</v>
      </c>
      <c r="BC23" s="2416"/>
      <c r="BD23" s="739"/>
      <c r="BE23" s="739"/>
      <c r="BF23" s="739"/>
      <c r="BG23" s="739"/>
      <c r="BH23" s="739"/>
      <c r="BI23" s="739"/>
      <c r="BJ23" s="739"/>
      <c r="BK23" s="739"/>
      <c r="BL23" s="739"/>
      <c r="BM23" s="739"/>
      <c r="BN23" s="739"/>
      <c r="BO23" s="739"/>
      <c r="BP23" s="739"/>
      <c r="BQ23" s="739"/>
      <c r="BW23" s="2281">
        <v>2005</v>
      </c>
      <c r="BX23" s="1785">
        <f>ОТЧЁТ!EE423</f>
        <v>2.0184806102920132</v>
      </c>
      <c r="BY23" s="1785">
        <v>1.9727314159078497</v>
      </c>
      <c r="BZ23" s="1966"/>
      <c r="CA23" s="739"/>
      <c r="CB23" s="739"/>
      <c r="CC23" s="739"/>
      <c r="CD23" s="739"/>
      <c r="CE23" s="739"/>
      <c r="CF23" s="739"/>
      <c r="CG23" s="739"/>
      <c r="CH23" s="739"/>
      <c r="CI23" s="739"/>
      <c r="CJ23" s="739"/>
      <c r="CK23" s="739"/>
      <c r="CL23" s="739"/>
      <c r="CM23" s="739"/>
      <c r="CN23" s="739"/>
      <c r="CT23" s="2281">
        <v>2005</v>
      </c>
      <c r="CU23" s="2487">
        <v>381.3633103448276</v>
      </c>
      <c r="CV23" s="1966"/>
      <c r="CW23" s="739"/>
      <c r="CX23" s="739"/>
      <c r="CY23" s="739"/>
      <c r="CZ23" s="739"/>
      <c r="DA23" s="739"/>
      <c r="DB23" s="739"/>
      <c r="DC23" s="739"/>
      <c r="DD23" s="739"/>
      <c r="DE23" s="739"/>
      <c r="DF23" s="739"/>
      <c r="DG23" s="739"/>
      <c r="DH23" s="739"/>
      <c r="DI23" s="739"/>
      <c r="DJ23" s="739"/>
      <c r="DO23" s="2281">
        <v>2005</v>
      </c>
      <c r="DP23" s="2487">
        <f t="shared" si="0"/>
        <v>381.3633103448276</v>
      </c>
      <c r="DQ23" s="1247">
        <f t="shared" si="8"/>
        <v>1.1045459834675206</v>
      </c>
      <c r="DR23" s="2329">
        <v>359.16741179940749</v>
      </c>
      <c r="DS23" s="1767"/>
      <c r="DT23" s="1767"/>
      <c r="DU23" s="1767"/>
      <c r="DV23" s="1767"/>
      <c r="DW23" s="1767"/>
      <c r="DX23" s="1767"/>
      <c r="DY23" s="1767"/>
      <c r="DZ23" s="1767"/>
      <c r="EA23" s="1767"/>
      <c r="EB23" s="1767"/>
      <c r="EC23" s="1767"/>
      <c r="ED23" s="1767"/>
      <c r="EE23" s="2749"/>
      <c r="EG23" s="2281">
        <v>2005</v>
      </c>
      <c r="EH23" s="2416">
        <v>1.1020000000000001</v>
      </c>
      <c r="EI23" s="2416"/>
      <c r="EJ23" s="739"/>
      <c r="EK23" s="739"/>
      <c r="EL23" s="739"/>
      <c r="EM23" s="739"/>
      <c r="EN23" s="739"/>
      <c r="EO23" s="739"/>
      <c r="EP23" s="739"/>
      <c r="EQ23" s="739"/>
      <c r="ER23" s="739"/>
      <c r="ES23" s="739"/>
      <c r="ET23" s="739"/>
      <c r="EU23" s="739"/>
      <c r="EV23" s="739"/>
      <c r="EW23" s="739"/>
      <c r="FC23" s="2281">
        <v>2005</v>
      </c>
      <c r="FD23" s="1785">
        <v>1.3453273045293079</v>
      </c>
      <c r="FE23" s="1966"/>
      <c r="FF23" s="739"/>
      <c r="FG23" s="739"/>
      <c r="FH23" s="739"/>
      <c r="FI23" s="739"/>
      <c r="FJ23" s="739"/>
      <c r="FK23" s="739"/>
      <c r="FL23" s="739"/>
      <c r="FM23" s="739"/>
      <c r="FN23" s="739"/>
      <c r="FO23" s="739"/>
      <c r="FP23" s="739"/>
      <c r="FQ23" s="739"/>
      <c r="FR23" s="739"/>
      <c r="FS23" s="739"/>
      <c r="FY23" s="2281">
        <v>2005</v>
      </c>
      <c r="FZ23" s="2490">
        <f t="shared" si="4"/>
        <v>1.1660000000000001</v>
      </c>
      <c r="GA23" s="1966"/>
      <c r="GB23" s="739"/>
      <c r="GC23" s="739"/>
      <c r="GD23" s="739"/>
      <c r="GE23" s="739"/>
      <c r="GF23" s="739"/>
      <c r="GG23" s="739"/>
      <c r="GH23" s="739"/>
      <c r="GI23" s="739"/>
      <c r="GJ23" s="739"/>
      <c r="GK23" s="739"/>
      <c r="GL23" s="739"/>
      <c r="GM23" s="739"/>
      <c r="GN23" s="739"/>
      <c r="GO23" s="739"/>
      <c r="GU23" s="2281">
        <v>2005</v>
      </c>
      <c r="GV23" s="2509">
        <f>СЧЁТ!CN16</f>
        <v>2.1177966582962737</v>
      </c>
      <c r="GW23" s="2509">
        <f t="shared" si="1"/>
        <v>1.9435906368074052</v>
      </c>
      <c r="GX23" s="1966"/>
      <c r="GY23" s="739"/>
      <c r="GZ23" s="739"/>
      <c r="HA23" s="739"/>
      <c r="HB23" s="739"/>
      <c r="HC23" s="739"/>
      <c r="HD23" s="739"/>
      <c r="HE23" s="739"/>
      <c r="HF23" s="739"/>
      <c r="HG23" s="739"/>
      <c r="HH23" s="739"/>
      <c r="HI23" s="739"/>
      <c r="HJ23" s="739"/>
      <c r="HK23" s="739"/>
      <c r="HR23" s="2281">
        <v>2005</v>
      </c>
      <c r="HS23" s="2121">
        <v>0.19435906368074052</v>
      </c>
      <c r="HT23" s="1966"/>
      <c r="HU23" s="739"/>
      <c r="HV23" s="739"/>
      <c r="HW23" s="739"/>
      <c r="HX23" s="739"/>
      <c r="HY23" s="739"/>
      <c r="HZ23" s="739"/>
      <c r="IA23" s="739"/>
      <c r="IB23" s="739"/>
      <c r="IC23" s="739"/>
      <c r="ID23" s="739"/>
      <c r="IE23" s="739"/>
      <c r="IF23" s="739"/>
      <c r="IG23" s="739"/>
      <c r="IH23" s="739"/>
      <c r="IN23" s="2281">
        <v>2005</v>
      </c>
      <c r="IO23" s="1786">
        <v>2943.6860000000001</v>
      </c>
      <c r="IP23" s="1786">
        <f t="shared" si="6"/>
        <v>3319.41</v>
      </c>
      <c r="IQ23" s="1495">
        <v>3611.1</v>
      </c>
      <c r="IR23" s="1767"/>
      <c r="IS23" s="1767"/>
      <c r="IT23" s="1767"/>
      <c r="IU23" s="1767"/>
      <c r="IV23" s="1767"/>
      <c r="IW23" s="1767"/>
      <c r="IX23" s="1767"/>
      <c r="IY23" s="1767"/>
      <c r="IZ23" s="1767"/>
      <c r="JA23" s="1767"/>
      <c r="JJ23" s="2748"/>
      <c r="JL23" s="2281">
        <v>2005</v>
      </c>
      <c r="JM23" s="1785">
        <v>1.1220000000000001</v>
      </c>
      <c r="JN23" s="1966"/>
      <c r="JO23" s="739"/>
      <c r="JP23" s="739"/>
      <c r="JQ23" s="739"/>
      <c r="JR23" s="739"/>
      <c r="JS23" s="739"/>
      <c r="JT23" s="739"/>
      <c r="JU23" s="739"/>
      <c r="JV23" s="739"/>
      <c r="JW23" s="739"/>
      <c r="JX23" s="739"/>
      <c r="JY23" s="739"/>
      <c r="JZ23" s="739"/>
      <c r="KA23" s="739"/>
      <c r="KB23" s="739"/>
      <c r="KH23" s="2281">
        <v>2005</v>
      </c>
      <c r="KI23" s="1785">
        <v>1.5794168498581764</v>
      </c>
      <c r="KJ23" s="1871">
        <f t="shared" si="9"/>
        <v>1.5794168498581764</v>
      </c>
      <c r="KK23" s="1966"/>
      <c r="KL23" s="739"/>
      <c r="KM23" s="739"/>
      <c r="KN23" s="739"/>
      <c r="KO23" s="739"/>
      <c r="KP23" s="739"/>
      <c r="KQ23" s="739"/>
      <c r="KR23" s="739"/>
      <c r="KS23" s="739"/>
      <c r="KT23" s="739"/>
      <c r="KU23" s="739"/>
      <c r="KV23" s="739"/>
      <c r="KW23" s="739"/>
      <c r="KX23" s="739"/>
      <c r="KY23" s="739"/>
      <c r="LE23" s="2281">
        <v>2005</v>
      </c>
      <c r="LF23" s="1597">
        <v>68.338999999999999</v>
      </c>
      <c r="LG23" s="1966"/>
      <c r="LH23" s="1597">
        <v>5.2420000000000044</v>
      </c>
      <c r="LI23" s="1966"/>
      <c r="LJ23" s="739"/>
      <c r="LK23" s="739"/>
      <c r="LL23" s="739"/>
      <c r="LM23" s="739"/>
      <c r="LN23" s="739"/>
      <c r="LO23" s="739"/>
      <c r="LP23" s="739"/>
      <c r="LQ23" s="739"/>
      <c r="LR23" s="739"/>
      <c r="LS23" s="739"/>
      <c r="LT23" s="739"/>
      <c r="LU23" s="739"/>
      <c r="LV23" s="739"/>
      <c r="MB23" s="2281">
        <v>2005</v>
      </c>
      <c r="MC23" s="2131">
        <v>4030.5745825240638</v>
      </c>
      <c r="MD23" s="1966"/>
      <c r="ME23" s="739"/>
      <c r="MF23" s="739"/>
      <c r="MG23" s="739"/>
      <c r="MH23" s="739"/>
      <c r="MI23" s="739"/>
      <c r="MJ23" s="739"/>
      <c r="MK23" s="739"/>
      <c r="ML23" s="739"/>
      <c r="MM23" s="739"/>
      <c r="MN23" s="739"/>
      <c r="MO23" s="739"/>
      <c r="MP23" s="739"/>
      <c r="MQ23" s="739"/>
      <c r="MY23" s="2281">
        <v>2005</v>
      </c>
      <c r="MZ23" s="1597">
        <f t="shared" si="2"/>
        <v>58.979127328817569</v>
      </c>
      <c r="NA23" s="1966"/>
      <c r="NB23" s="739"/>
      <c r="NC23" s="739"/>
      <c r="ND23" s="739"/>
      <c r="NE23" s="739"/>
      <c r="NF23" s="739"/>
      <c r="NG23" s="739"/>
      <c r="NH23" s="739"/>
      <c r="NI23" s="739"/>
      <c r="NJ23" s="739"/>
      <c r="NK23" s="739"/>
      <c r="NL23" s="739"/>
      <c r="NM23" s="739"/>
      <c r="NN23" s="739"/>
      <c r="NO23" s="739"/>
      <c r="NV23" s="2281">
        <v>2005</v>
      </c>
      <c r="NW23" s="1785">
        <v>7.7188495068870884</v>
      </c>
      <c r="NX23" s="1597">
        <v>7.7469554310492068</v>
      </c>
      <c r="NY23" s="1785">
        <v>7.3244397581202456</v>
      </c>
      <c r="NZ23" s="1966">
        <v>10.054085870175701</v>
      </c>
      <c r="OA23" s="739"/>
      <c r="OB23" s="739"/>
      <c r="OC23" s="739"/>
      <c r="OD23" s="739"/>
      <c r="OE23" s="739"/>
      <c r="OF23" s="739"/>
      <c r="OG23" s="739"/>
      <c r="OH23" s="739"/>
      <c r="OI23" s="739"/>
      <c r="OJ23" s="739"/>
      <c r="OK23" s="739"/>
      <c r="OS23" s="2748"/>
      <c r="OU23" s="2281">
        <v>2005</v>
      </c>
      <c r="OV23" s="1785">
        <f t="shared" si="7"/>
        <v>1.014</v>
      </c>
      <c r="OW23" s="1966"/>
      <c r="OX23" s="739"/>
      <c r="OY23" s="739"/>
      <c r="OZ23" s="739"/>
      <c r="PA23" s="739"/>
      <c r="PB23" s="739"/>
      <c r="PC23" s="739"/>
      <c r="PD23" s="739"/>
      <c r="PE23" s="739"/>
      <c r="PF23" s="739"/>
      <c r="PG23" s="739"/>
      <c r="PH23" s="739"/>
      <c r="PI23" s="739"/>
      <c r="PJ23" s="739"/>
      <c r="PK23" s="739"/>
      <c r="PQ23" s="2281">
        <v>2005</v>
      </c>
      <c r="PR23" s="1785">
        <f>СЧЁТ!CI16</f>
        <v>1.1532179149719812</v>
      </c>
      <c r="PS23" s="1966"/>
      <c r="PT23" s="739"/>
      <c r="PU23" s="739"/>
      <c r="PV23" s="739"/>
      <c r="PW23" s="739"/>
      <c r="PX23" s="739"/>
      <c r="PY23" s="739"/>
      <c r="PZ23" s="739"/>
      <c r="QA23" s="739"/>
      <c r="QB23" s="739"/>
      <c r="QC23" s="739"/>
      <c r="QD23" s="739"/>
      <c r="QE23" s="739"/>
      <c r="QF23" s="739"/>
      <c r="QG23" s="739"/>
      <c r="QM23" s="2281">
        <v>2005</v>
      </c>
      <c r="QN23" s="1785">
        <v>1.0640000000000001</v>
      </c>
      <c r="QO23" s="1966"/>
      <c r="QP23" s="739"/>
      <c r="QQ23" s="739"/>
      <c r="QR23" s="739"/>
      <c r="QS23" s="739"/>
      <c r="QT23" s="739"/>
      <c r="QU23" s="739"/>
      <c r="QV23" s="739"/>
      <c r="QW23" s="739"/>
      <c r="QX23" s="739"/>
      <c r="QY23" s="739"/>
      <c r="QZ23" s="739"/>
      <c r="RA23" s="739"/>
      <c r="RB23" s="739"/>
      <c r="RC23" s="739"/>
      <c r="RI23" s="943">
        <v>11</v>
      </c>
      <c r="RJ23" s="2281">
        <v>2005</v>
      </c>
      <c r="RK23" s="1786">
        <v>5665.1431877772829</v>
      </c>
      <c r="RL23" s="1786"/>
      <c r="RM23" s="1966"/>
      <c r="RN23" s="739"/>
      <c r="RO23" s="739"/>
      <c r="RP23" s="739"/>
      <c r="RQ23" s="739"/>
      <c r="RR23" s="739"/>
      <c r="RS23" s="739"/>
      <c r="RT23" s="739"/>
      <c r="RU23" s="739"/>
      <c r="RV23" s="739"/>
      <c r="RW23" s="739"/>
      <c r="RX23" s="739"/>
      <c r="RY23" s="739"/>
      <c r="RZ23" s="739"/>
      <c r="SA23" s="739"/>
      <c r="SG23" s="2281">
        <v>2005</v>
      </c>
      <c r="SH23" s="1785">
        <f t="shared" si="3"/>
        <v>0.71146914542604145</v>
      </c>
      <c r="SI23" s="1966"/>
      <c r="SJ23" s="739"/>
      <c r="SK23" s="739"/>
      <c r="SL23" s="739"/>
      <c r="SM23" s="739"/>
      <c r="SN23" s="739"/>
      <c r="SO23" s="739"/>
      <c r="SP23" s="739"/>
      <c r="SQ23" s="739"/>
      <c r="SR23" s="739"/>
      <c r="SS23" s="739"/>
      <c r="ST23" s="739"/>
      <c r="SU23" s="739"/>
      <c r="SV23" s="739"/>
      <c r="SW23" s="739"/>
      <c r="TC23" s="2281">
        <v>2005</v>
      </c>
      <c r="TD23" s="1785">
        <v>1.4590991820829273</v>
      </c>
      <c r="TE23" s="1966"/>
      <c r="TF23" s="739"/>
      <c r="TG23" s="739"/>
      <c r="TH23" s="739"/>
      <c r="TI23" s="739"/>
      <c r="TJ23" s="739"/>
      <c r="TK23" s="739"/>
      <c r="TL23" s="739"/>
      <c r="TM23" s="739"/>
      <c r="TN23" s="739"/>
      <c r="TO23" s="739"/>
      <c r="TP23" s="739"/>
      <c r="TQ23" s="739"/>
      <c r="TX23" s="2748"/>
      <c r="TZ23" s="2281">
        <v>2005</v>
      </c>
      <c r="UA23" s="1785">
        <f t="shared" si="5"/>
        <v>0.81699999999999995</v>
      </c>
      <c r="UB23" s="2029">
        <f>UA23</f>
        <v>0.81699999999999995</v>
      </c>
      <c r="UC23" s="1966"/>
      <c r="UD23" s="739"/>
      <c r="UE23" s="739"/>
      <c r="UF23" s="739"/>
      <c r="UG23" s="739"/>
      <c r="UH23" s="739"/>
      <c r="UI23" s="739"/>
      <c r="UJ23" s="739"/>
      <c r="UK23" s="739"/>
      <c r="UL23" s="739"/>
      <c r="UM23" s="739"/>
      <c r="UN23" s="739"/>
      <c r="UO23" s="739"/>
      <c r="UP23" s="739"/>
      <c r="UQ23" s="739"/>
      <c r="UW23" s="2281">
        <v>2005</v>
      </c>
      <c r="UX23" s="2029">
        <f>СЧЁТ!CK16</f>
        <v>0.7503069142947425</v>
      </c>
      <c r="UY23" s="1966"/>
      <c r="UZ23" s="739"/>
      <c r="VA23" s="739"/>
      <c r="VB23" s="739"/>
      <c r="VC23" s="739"/>
      <c r="VD23" s="739"/>
      <c r="VE23" s="739"/>
      <c r="VF23" s="739"/>
      <c r="VG23" s="739"/>
      <c r="VH23" s="739"/>
      <c r="VI23" s="739"/>
      <c r="VJ23" s="739"/>
      <c r="VK23" s="739"/>
      <c r="VL23" s="739"/>
      <c r="VM23" s="739"/>
      <c r="VS23" s="2281">
        <v>2005</v>
      </c>
      <c r="VT23" s="1785">
        <v>1.0640000000000001</v>
      </c>
      <c r="VU23" s="1966"/>
      <c r="VV23" s="739"/>
      <c r="VW23" s="739"/>
      <c r="VX23" s="739"/>
      <c r="VY23" s="739"/>
      <c r="VZ23" s="739"/>
      <c r="WA23" s="739"/>
      <c r="WB23" s="739"/>
      <c r="WC23" s="739"/>
      <c r="WD23" s="739"/>
      <c r="WE23" s="739"/>
      <c r="WF23" s="739"/>
      <c r="WG23" s="739"/>
      <c r="WH23" s="739"/>
      <c r="WI23" s="739"/>
      <c r="WO23" s="2281">
        <v>2005</v>
      </c>
      <c r="WP23" s="2131">
        <v>4030.5745825240638</v>
      </c>
      <c r="WQ23" s="1786"/>
      <c r="WR23" s="1495">
        <v>4030.5745825240638</v>
      </c>
      <c r="WS23" s="739"/>
      <c r="WT23" s="739"/>
      <c r="WU23" s="739"/>
      <c r="WV23" s="739"/>
      <c r="WW23" s="739"/>
      <c r="WX23" s="739"/>
      <c r="WY23" s="739"/>
      <c r="WZ23" s="739"/>
      <c r="XA23" s="739"/>
      <c r="XB23" s="739"/>
      <c r="XC23" s="739"/>
      <c r="XD23" s="739"/>
      <c r="XE23" s="739"/>
      <c r="XF23" s="739"/>
      <c r="XK23" s="2492">
        <v>2005</v>
      </c>
      <c r="XL23" s="2490">
        <v>1</v>
      </c>
      <c r="XM23" s="1966"/>
      <c r="XN23" s="739"/>
      <c r="XO23" s="739"/>
      <c r="XP23" s="739"/>
      <c r="XQ23" s="739"/>
      <c r="XR23" s="739"/>
      <c r="XS23" s="739"/>
      <c r="XT23" s="739"/>
      <c r="XU23" s="739"/>
      <c r="XV23" s="739"/>
      <c r="XW23" s="739"/>
      <c r="XX23" s="739"/>
      <c r="XY23" s="739"/>
      <c r="XZ23" s="739"/>
      <c r="YA23" s="739"/>
      <c r="YG23" s="2281">
        <v>2005</v>
      </c>
      <c r="YH23" s="1785">
        <v>1.4590991820829273</v>
      </c>
      <c r="YI23" s="1966"/>
      <c r="YJ23" s="739"/>
      <c r="YK23" s="739"/>
      <c r="YL23" s="739"/>
      <c r="YM23" s="739"/>
      <c r="YN23" s="739"/>
      <c r="YO23" s="739"/>
      <c r="YP23" s="739"/>
      <c r="YQ23" s="739"/>
      <c r="YR23" s="739"/>
      <c r="YS23" s="739"/>
      <c r="YT23" s="739"/>
      <c r="YU23" s="739"/>
      <c r="ZE23" s="2587" t="s">
        <v>2164</v>
      </c>
      <c r="ZF23" s="765"/>
      <c r="ZG23" s="765"/>
      <c r="ZH23" s="765"/>
      <c r="ZI23" s="765"/>
      <c r="ZJ23" s="765"/>
      <c r="ZK23" s="765"/>
      <c r="ZL23" s="765"/>
      <c r="ZM23" s="765"/>
      <c r="ZN23" s="765"/>
      <c r="ZO23" s="765"/>
      <c r="ZP23" s="777"/>
    </row>
    <row r="24" spans="5:692" ht="20.399999999999999">
      <c r="G24" s="2281">
        <v>2006</v>
      </c>
      <c r="H24" s="2490">
        <v>1.0820000000000001</v>
      </c>
      <c r="I24" s="2416"/>
      <c r="K24" s="739"/>
      <c r="L24" s="739"/>
      <c r="M24" s="739"/>
      <c r="N24" s="739"/>
      <c r="O24" s="739"/>
      <c r="P24" s="739"/>
      <c r="Q24" s="739"/>
      <c r="R24" s="739"/>
      <c r="S24" s="739"/>
      <c r="T24" s="739"/>
      <c r="U24" s="739"/>
      <c r="V24" s="739"/>
      <c r="W24" s="739"/>
      <c r="X24" s="739"/>
      <c r="AD24" s="2281">
        <v>2006</v>
      </c>
      <c r="AE24" s="1785">
        <f>AE23*H24</f>
        <v>1.5787453150137274</v>
      </c>
      <c r="AF24" s="1785">
        <f>AE24</f>
        <v>1.5787453150137274</v>
      </c>
      <c r="AG24" s="1966"/>
      <c r="AH24" s="739"/>
      <c r="AI24" s="739"/>
      <c r="AJ24" s="739"/>
      <c r="AK24" s="739"/>
      <c r="AL24" s="739"/>
      <c r="AM24" s="739"/>
      <c r="AN24" s="739"/>
      <c r="AO24" s="739"/>
      <c r="AP24" s="739"/>
      <c r="AQ24" s="739"/>
      <c r="AR24" s="739"/>
      <c r="AS24" s="739"/>
      <c r="AT24" s="739"/>
      <c r="AU24" s="739"/>
      <c r="BA24" s="2281">
        <v>2006</v>
      </c>
      <c r="BB24" s="1285">
        <v>8.5777715926432858</v>
      </c>
      <c r="BC24" s="2416"/>
      <c r="BD24" s="739"/>
      <c r="BE24" s="739"/>
      <c r="BF24" s="739"/>
      <c r="BG24" s="739"/>
      <c r="BH24" s="739"/>
      <c r="BI24" s="739"/>
      <c r="BJ24" s="739"/>
      <c r="BK24" s="739"/>
      <c r="BL24" s="739"/>
      <c r="BM24" s="739"/>
      <c r="BN24" s="739"/>
      <c r="BO24" s="739"/>
      <c r="BP24" s="739"/>
      <c r="BQ24" s="739"/>
      <c r="BW24" s="2281">
        <v>2006</v>
      </c>
      <c r="BX24" s="1785">
        <f>ОТЧЁТ!EE424</f>
        <v>2.2752161070197054</v>
      </c>
      <c r="BY24" s="1785">
        <v>2.1167408092691224</v>
      </c>
      <c r="BZ24" s="1966"/>
      <c r="CA24" s="739"/>
      <c r="CB24" s="739"/>
      <c r="CC24" s="739"/>
      <c r="CD24" s="739"/>
      <c r="CE24" s="739"/>
      <c r="CF24" s="739"/>
      <c r="CG24" s="739"/>
      <c r="CH24" s="739"/>
      <c r="CI24" s="739"/>
      <c r="CJ24" s="739"/>
      <c r="CK24" s="739"/>
      <c r="CL24" s="739"/>
      <c r="CM24" s="739"/>
      <c r="CN24" s="739"/>
      <c r="CT24" s="2281">
        <v>2006</v>
      </c>
      <c r="CU24" s="2487">
        <v>443.47930407523512</v>
      </c>
      <c r="CV24" s="1966"/>
      <c r="CW24" s="739"/>
      <c r="CX24" s="739"/>
      <c r="CY24" s="739"/>
      <c r="CZ24" s="739"/>
      <c r="DA24" s="739"/>
      <c r="DB24" s="739"/>
      <c r="DC24" s="739"/>
      <c r="DD24" s="739"/>
      <c r="DE24" s="739"/>
      <c r="DF24" s="739"/>
      <c r="DG24" s="739"/>
      <c r="DH24" s="739"/>
      <c r="DI24" s="739"/>
      <c r="DJ24" s="739"/>
      <c r="DO24" s="2281">
        <v>2006</v>
      </c>
      <c r="DP24" s="2487">
        <f t="shared" si="0"/>
        <v>443.47930407523512</v>
      </c>
      <c r="DQ24" s="1247">
        <f t="shared" si="8"/>
        <v>1.1147466941063877</v>
      </c>
      <c r="DR24" s="2329">
        <v>419.14836956990854</v>
      </c>
      <c r="DS24" s="1767"/>
      <c r="DT24" s="1767"/>
      <c r="DU24" s="1767"/>
      <c r="DV24" s="1767"/>
      <c r="DW24" s="1767"/>
      <c r="DX24" s="1767"/>
      <c r="DY24" s="1767"/>
      <c r="DZ24" s="1767"/>
      <c r="EA24" s="1767"/>
      <c r="EB24" s="1767"/>
      <c r="EC24" s="1767"/>
      <c r="ED24" s="1767"/>
      <c r="EE24" s="2749"/>
      <c r="EG24" s="2281">
        <v>2006</v>
      </c>
      <c r="EH24" s="2416">
        <v>1.167</v>
      </c>
      <c r="EI24" s="2416"/>
      <c r="EJ24" s="739"/>
      <c r="EK24" s="739"/>
      <c r="EL24" s="739"/>
      <c r="EM24" s="739"/>
      <c r="EN24" s="739"/>
      <c r="EO24" s="739"/>
      <c r="EP24" s="739"/>
      <c r="EQ24" s="739"/>
      <c r="ER24" s="739"/>
      <c r="ES24" s="739"/>
      <c r="ET24" s="739"/>
      <c r="EU24" s="739"/>
      <c r="EV24" s="739"/>
      <c r="EW24" s="739"/>
      <c r="FC24" s="2281">
        <v>2006</v>
      </c>
      <c r="FD24" s="1785">
        <v>1.5699969643857024</v>
      </c>
      <c r="FE24" s="1966"/>
      <c r="FF24" s="739"/>
      <c r="FG24" s="739"/>
      <c r="FH24" s="739"/>
      <c r="FI24" s="739"/>
      <c r="FJ24" s="739"/>
      <c r="FK24" s="739"/>
      <c r="FL24" s="739"/>
      <c r="FM24" s="739"/>
      <c r="FN24" s="739"/>
      <c r="FO24" s="739"/>
      <c r="FP24" s="739"/>
      <c r="FQ24" s="739"/>
      <c r="FR24" s="739"/>
      <c r="FS24" s="739"/>
      <c r="FY24" s="2281">
        <v>2006</v>
      </c>
      <c r="FZ24" s="2490">
        <f t="shared" si="4"/>
        <v>1.2129999999999999</v>
      </c>
      <c r="GA24" s="1966"/>
      <c r="GB24" s="739"/>
      <c r="GC24" s="739"/>
      <c r="GD24" s="739"/>
      <c r="GE24" s="739"/>
      <c r="GF24" s="739"/>
      <c r="GG24" s="739"/>
      <c r="GH24" s="739"/>
      <c r="GI24" s="739"/>
      <c r="GJ24" s="739"/>
      <c r="GK24" s="739"/>
      <c r="GL24" s="739"/>
      <c r="GM24" s="739"/>
      <c r="GN24" s="739"/>
      <c r="GO24" s="739"/>
      <c r="GU24" s="2281">
        <v>2006</v>
      </c>
      <c r="GV24" s="2509">
        <f>СЧЁТ!CN17</f>
        <v>2.5688873465133799</v>
      </c>
      <c r="GW24" s="2509">
        <f t="shared" si="1"/>
        <v>2.1648993961867609</v>
      </c>
      <c r="GX24" s="1966"/>
      <c r="GY24" s="739"/>
      <c r="GZ24" s="739"/>
      <c r="HA24" s="739"/>
      <c r="HB24" s="739"/>
      <c r="HC24" s="739"/>
      <c r="HD24" s="739"/>
      <c r="HE24" s="739"/>
      <c r="HF24" s="739"/>
      <c r="HG24" s="739"/>
      <c r="HH24" s="739"/>
      <c r="HI24" s="739"/>
      <c r="HJ24" s="739"/>
      <c r="HK24" s="739"/>
      <c r="HR24" s="2281">
        <v>2006</v>
      </c>
      <c r="HS24" s="2121">
        <v>0.2164899396186761</v>
      </c>
      <c r="HT24" s="1966"/>
      <c r="HU24" s="739"/>
      <c r="HV24" s="739"/>
      <c r="HW24" s="739"/>
      <c r="HX24" s="739"/>
      <c r="HY24" s="739"/>
      <c r="HZ24" s="739"/>
      <c r="IA24" s="739"/>
      <c r="IB24" s="739"/>
      <c r="IC24" s="739"/>
      <c r="ID24" s="739"/>
      <c r="IE24" s="739"/>
      <c r="IF24" s="739"/>
      <c r="IG24" s="739"/>
      <c r="IH24" s="739"/>
      <c r="IN24" s="2281">
        <v>2006</v>
      </c>
      <c r="IO24" s="1786">
        <v>3252.4360000000001</v>
      </c>
      <c r="IP24" s="1786">
        <f t="shared" si="6"/>
        <v>4319.72</v>
      </c>
      <c r="IQ24" s="1495">
        <v>4730</v>
      </c>
      <c r="IR24" s="1767"/>
      <c r="IS24" s="1767"/>
      <c r="IT24" s="1767"/>
      <c r="IU24" s="1767"/>
      <c r="IV24" s="1767"/>
      <c r="IW24" s="1767"/>
      <c r="IX24" s="1767"/>
      <c r="IY24" s="1767"/>
      <c r="IZ24" s="1767"/>
      <c r="JA24" s="1767"/>
      <c r="JJ24" s="2748"/>
      <c r="JL24" s="2281">
        <v>2006</v>
      </c>
      <c r="JM24" s="1785">
        <v>1.1220000000000001</v>
      </c>
      <c r="JN24" s="1966"/>
      <c r="JO24" s="739"/>
      <c r="JP24" s="739"/>
      <c r="JQ24" s="739"/>
      <c r="JR24" s="739"/>
      <c r="JS24" s="739"/>
      <c r="JT24" s="739"/>
      <c r="JU24" s="739"/>
      <c r="JV24" s="739"/>
      <c r="JW24" s="739"/>
      <c r="JX24" s="739"/>
      <c r="JY24" s="739"/>
      <c r="JZ24" s="739"/>
      <c r="KA24" s="739"/>
      <c r="KB24" s="739"/>
      <c r="KH24" s="2281">
        <v>2006</v>
      </c>
      <c r="KI24" s="1785">
        <v>1.7721057055408742</v>
      </c>
      <c r="KJ24" s="1871">
        <f t="shared" si="9"/>
        <v>1.7721057055408742</v>
      </c>
      <c r="KK24" s="1966"/>
      <c r="KL24" s="739"/>
      <c r="KM24" s="739"/>
      <c r="KN24" s="739"/>
      <c r="KO24" s="739"/>
      <c r="KP24" s="739"/>
      <c r="KQ24" s="739"/>
      <c r="KR24" s="739"/>
      <c r="KS24" s="739"/>
      <c r="KT24" s="739"/>
      <c r="KU24" s="739"/>
      <c r="KV24" s="739"/>
      <c r="KW24" s="739"/>
      <c r="KX24" s="739"/>
      <c r="KY24" s="739"/>
      <c r="LE24" s="2281">
        <v>2006</v>
      </c>
      <c r="LF24" s="1597">
        <v>69.168999999999997</v>
      </c>
      <c r="LG24" s="1966"/>
      <c r="LH24" s="1597">
        <v>5.25</v>
      </c>
      <c r="LI24" s="1966"/>
      <c r="LJ24" s="739"/>
      <c r="LK24" s="739"/>
      <c r="LL24" s="739"/>
      <c r="LM24" s="739"/>
      <c r="LN24" s="739"/>
      <c r="LO24" s="739"/>
      <c r="LP24" s="739"/>
      <c r="LQ24" s="739"/>
      <c r="LR24" s="739"/>
      <c r="LS24" s="739"/>
      <c r="LT24" s="739"/>
      <c r="LU24" s="739"/>
      <c r="LV24" s="739"/>
      <c r="MB24" s="2281">
        <v>2006</v>
      </c>
      <c r="MC24" s="2131">
        <v>4389.2957203687056</v>
      </c>
      <c r="MD24" s="1966"/>
      <c r="ME24" s="739"/>
      <c r="MF24" s="739"/>
      <c r="MG24" s="739"/>
      <c r="MH24" s="739"/>
      <c r="MI24" s="739"/>
      <c r="MJ24" s="739"/>
      <c r="MK24" s="739"/>
      <c r="ML24" s="739"/>
      <c r="MM24" s="739"/>
      <c r="MN24" s="739"/>
      <c r="MO24" s="739"/>
      <c r="MP24" s="739"/>
      <c r="MQ24" s="739"/>
      <c r="MY24" s="2281">
        <v>2006</v>
      </c>
      <c r="MZ24" s="1597">
        <f t="shared" si="2"/>
        <v>63.457556425113935</v>
      </c>
      <c r="NA24" s="1966"/>
      <c r="NB24" s="739"/>
      <c r="NC24" s="739"/>
      <c r="ND24" s="739"/>
      <c r="NE24" s="739"/>
      <c r="NF24" s="739"/>
      <c r="NG24" s="739"/>
      <c r="NH24" s="739"/>
      <c r="NI24" s="739"/>
      <c r="NJ24" s="739"/>
      <c r="NK24" s="739"/>
      <c r="NL24" s="739"/>
      <c r="NM24" s="739"/>
      <c r="NN24" s="739"/>
      <c r="NO24" s="739"/>
      <c r="NV24" s="2281">
        <v>2006</v>
      </c>
      <c r="NW24" s="1785">
        <v>7.333907061981483</v>
      </c>
      <c r="NX24" s="1597">
        <v>8.4441814198436358</v>
      </c>
      <c r="NY24" s="1785">
        <v>8.1861967165379976</v>
      </c>
      <c r="NZ24" s="1966">
        <v>11.28478682823815</v>
      </c>
      <c r="OA24" s="739"/>
      <c r="OB24" s="739"/>
      <c r="OC24" s="739"/>
      <c r="OD24" s="739"/>
      <c r="OE24" s="739"/>
      <c r="OF24" s="739"/>
      <c r="OG24" s="739"/>
      <c r="OH24" s="739"/>
      <c r="OI24" s="739"/>
      <c r="OJ24" s="739"/>
      <c r="OK24" s="739"/>
      <c r="OS24" s="2748"/>
      <c r="OU24" s="2281">
        <v>2006</v>
      </c>
      <c r="OV24" s="1785">
        <f t="shared" si="7"/>
        <v>1.0229999999999999</v>
      </c>
      <c r="OW24" s="1966"/>
      <c r="OX24" s="739"/>
      <c r="OY24" s="739"/>
      <c r="OZ24" s="739"/>
      <c r="PA24" s="739"/>
      <c r="PB24" s="739"/>
      <c r="PC24" s="739"/>
      <c r="PD24" s="739"/>
      <c r="PE24" s="739"/>
      <c r="PF24" s="739"/>
      <c r="PG24" s="739"/>
      <c r="PH24" s="739"/>
      <c r="PI24" s="739"/>
      <c r="PJ24" s="739"/>
      <c r="PK24" s="739"/>
      <c r="PQ24" s="2281">
        <v>2006</v>
      </c>
      <c r="PR24" s="1785">
        <f>СЧЁТ!CI17</f>
        <v>1.1797419270163367</v>
      </c>
      <c r="PS24" s="1966"/>
      <c r="PT24" s="739"/>
      <c r="PU24" s="739"/>
      <c r="PV24" s="739"/>
      <c r="PW24" s="739"/>
      <c r="PX24" s="739"/>
      <c r="PY24" s="739"/>
      <c r="PZ24" s="739"/>
      <c r="QA24" s="739"/>
      <c r="QB24" s="739"/>
      <c r="QC24" s="739"/>
      <c r="QD24" s="739"/>
      <c r="QE24" s="739"/>
      <c r="QF24" s="739"/>
      <c r="QG24" s="739"/>
      <c r="QM24" s="2281">
        <v>2006</v>
      </c>
      <c r="QN24" s="1785">
        <v>1.0820000000000001</v>
      </c>
      <c r="QO24" s="1966"/>
      <c r="QP24" s="739"/>
      <c r="QQ24" s="739"/>
      <c r="QR24" s="739"/>
      <c r="QS24" s="739"/>
      <c r="QT24" s="739"/>
      <c r="QU24" s="739"/>
      <c r="QV24" s="739"/>
      <c r="QW24" s="739"/>
      <c r="QX24" s="739"/>
      <c r="QY24" s="739"/>
      <c r="QZ24" s="739"/>
      <c r="RA24" s="739"/>
      <c r="RB24" s="739"/>
      <c r="RC24" s="739"/>
      <c r="RI24" s="943">
        <v>12</v>
      </c>
      <c r="RJ24" s="2281">
        <v>2006</v>
      </c>
      <c r="RK24" s="1786">
        <v>5801.1066242839379</v>
      </c>
      <c r="RL24" s="1786"/>
      <c r="RM24" s="1966"/>
      <c r="RN24" s="739"/>
      <c r="RO24" s="739"/>
      <c r="RP24" s="739"/>
      <c r="RQ24" s="739"/>
      <c r="RR24" s="739"/>
      <c r="RS24" s="739"/>
      <c r="RT24" s="739"/>
      <c r="RU24" s="739"/>
      <c r="RV24" s="739"/>
      <c r="RW24" s="739"/>
      <c r="RX24" s="739"/>
      <c r="RY24" s="739"/>
      <c r="RZ24" s="739"/>
      <c r="SA24" s="739"/>
      <c r="SG24" s="2281">
        <v>2006</v>
      </c>
      <c r="SH24" s="1785">
        <f t="shared" si="3"/>
        <v>0.75663076110249916</v>
      </c>
      <c r="SI24" s="1966"/>
      <c r="SJ24" s="739"/>
      <c r="SK24" s="739"/>
      <c r="SL24" s="739"/>
      <c r="SM24" s="739"/>
      <c r="SN24" s="739"/>
      <c r="SO24" s="739"/>
      <c r="SP24" s="739"/>
      <c r="SQ24" s="739"/>
      <c r="SR24" s="739"/>
      <c r="SS24" s="739"/>
      <c r="ST24" s="739"/>
      <c r="SU24" s="739"/>
      <c r="SV24" s="739"/>
      <c r="SW24" s="739"/>
      <c r="TC24" s="2281">
        <v>2006</v>
      </c>
      <c r="TD24" s="1785">
        <v>1.5787453150137274</v>
      </c>
      <c r="TE24" s="1966"/>
      <c r="TF24" s="739"/>
      <c r="TG24" s="739"/>
      <c r="TH24" s="739"/>
      <c r="TI24" s="739"/>
      <c r="TJ24" s="739"/>
      <c r="TK24" s="739"/>
      <c r="TL24" s="739"/>
      <c r="TM24" s="739"/>
      <c r="TN24" s="739"/>
      <c r="TO24" s="739"/>
      <c r="TP24" s="739"/>
      <c r="TQ24" s="739"/>
      <c r="TX24" s="2748"/>
      <c r="TZ24" s="2281">
        <v>2006</v>
      </c>
      <c r="UA24" s="1785">
        <f t="shared" si="5"/>
        <v>0.98299999999999987</v>
      </c>
      <c r="UB24" s="2029">
        <f t="shared" ref="UB24:UB36" si="10">UA24</f>
        <v>0.98299999999999987</v>
      </c>
      <c r="UC24" s="1966"/>
      <c r="UD24" s="739"/>
      <c r="UE24" s="739"/>
      <c r="UF24" s="739"/>
      <c r="UG24" s="739"/>
      <c r="UH24" s="739"/>
      <c r="UI24" s="739"/>
      <c r="UJ24" s="739"/>
      <c r="UK24" s="739"/>
      <c r="UL24" s="739"/>
      <c r="UM24" s="739"/>
      <c r="UN24" s="739"/>
      <c r="UO24" s="739"/>
      <c r="UP24" s="739"/>
      <c r="UQ24" s="739"/>
      <c r="UW24" s="2281">
        <v>2006</v>
      </c>
      <c r="UX24" s="2029">
        <f>СЧЁТ!CK17</f>
        <v>0.73755169675173182</v>
      </c>
      <c r="UY24" s="1966"/>
      <c r="UZ24" s="739"/>
      <c r="VA24" s="739"/>
      <c r="VB24" s="739"/>
      <c r="VC24" s="739"/>
      <c r="VD24" s="739"/>
      <c r="VE24" s="739"/>
      <c r="VF24" s="739"/>
      <c r="VG24" s="739"/>
      <c r="VH24" s="739"/>
      <c r="VI24" s="739"/>
      <c r="VJ24" s="739"/>
      <c r="VK24" s="739"/>
      <c r="VL24" s="739"/>
      <c r="VM24" s="739"/>
      <c r="VS24" s="2281">
        <v>2006</v>
      </c>
      <c r="VT24" s="1785">
        <v>1.0820000000000001</v>
      </c>
      <c r="VU24" s="1966"/>
      <c r="VV24" s="739"/>
      <c r="VW24" s="739"/>
      <c r="VX24" s="739"/>
      <c r="VY24" s="739"/>
      <c r="VZ24" s="739"/>
      <c r="WA24" s="739"/>
      <c r="WB24" s="739"/>
      <c r="WC24" s="739"/>
      <c r="WD24" s="739"/>
      <c r="WE24" s="739"/>
      <c r="WF24" s="739"/>
      <c r="WG24" s="739"/>
      <c r="WH24" s="739"/>
      <c r="WI24" s="739"/>
      <c r="WO24" s="2281">
        <v>2006</v>
      </c>
      <c r="WP24" s="2131">
        <v>4389.2957203687056</v>
      </c>
      <c r="WQ24" s="1786"/>
      <c r="WR24" s="1495">
        <v>4389.2957203687056</v>
      </c>
      <c r="WS24" s="739"/>
      <c r="WT24" s="739"/>
      <c r="WU24" s="739"/>
      <c r="WV24" s="739"/>
      <c r="WW24" s="739"/>
      <c r="WX24" s="739"/>
      <c r="WY24" s="739"/>
      <c r="WZ24" s="739"/>
      <c r="XA24" s="739"/>
      <c r="XB24" s="739"/>
      <c r="XC24" s="739"/>
      <c r="XD24" s="739"/>
      <c r="XE24" s="739"/>
      <c r="XF24" s="739"/>
      <c r="XK24" s="2492">
        <v>2006</v>
      </c>
      <c r="XL24" s="2490">
        <v>1</v>
      </c>
      <c r="XM24" s="1966"/>
      <c r="XN24" s="739"/>
      <c r="XO24" s="739"/>
      <c r="XP24" s="739"/>
      <c r="XQ24" s="739"/>
      <c r="XR24" s="739"/>
      <c r="XS24" s="739"/>
      <c r="XT24" s="739"/>
      <c r="XU24" s="739"/>
      <c r="XV24" s="739"/>
      <c r="XW24" s="739"/>
      <c r="XX24" s="739"/>
      <c r="XY24" s="739"/>
      <c r="XZ24" s="739"/>
      <c r="YA24" s="739"/>
      <c r="YG24" s="2281">
        <v>2006</v>
      </c>
      <c r="YH24" s="1785">
        <v>1.5787453150137274</v>
      </c>
      <c r="YI24" s="1966"/>
      <c r="YJ24" s="739"/>
      <c r="YK24" s="739"/>
      <c r="YL24" s="739"/>
      <c r="YM24" s="739"/>
      <c r="YN24" s="739"/>
      <c r="YO24" s="739"/>
      <c r="YP24" s="739"/>
      <c r="YQ24" s="739"/>
      <c r="YR24" s="739"/>
      <c r="YS24" s="739"/>
      <c r="YT24" s="739"/>
      <c r="YU24" s="739"/>
      <c r="ZE24" s="2587" t="s">
        <v>2165</v>
      </c>
      <c r="ZF24" s="765"/>
      <c r="ZG24" s="765"/>
      <c r="ZH24" s="765"/>
      <c r="ZI24" s="765"/>
      <c r="ZJ24" s="765"/>
      <c r="ZK24" s="765"/>
      <c r="ZL24" s="765"/>
      <c r="ZM24" s="765"/>
      <c r="ZN24" s="765"/>
      <c r="ZO24" s="765"/>
      <c r="ZP24" s="777"/>
    </row>
    <row r="25" spans="5:692" ht="20.399999999999999">
      <c r="G25" s="2281">
        <v>2007</v>
      </c>
      <c r="H25" s="2490">
        <v>1.085</v>
      </c>
      <c r="I25" s="2416"/>
      <c r="K25" s="739"/>
      <c r="L25" s="739"/>
      <c r="M25" s="739"/>
      <c r="N25" s="739"/>
      <c r="O25" s="739"/>
      <c r="P25" s="739"/>
      <c r="Q25" s="739"/>
      <c r="R25" s="739"/>
      <c r="S25" s="739"/>
      <c r="T25" s="739"/>
      <c r="U25" s="739"/>
      <c r="V25" s="739"/>
      <c r="W25" s="739"/>
      <c r="X25" s="739"/>
      <c r="AD25" s="2281">
        <v>2007</v>
      </c>
      <c r="AE25" s="1785">
        <f>AE24*H25</f>
        <v>1.7129386667898943</v>
      </c>
      <c r="AF25" s="1785">
        <f>AE25</f>
        <v>1.7129386667898943</v>
      </c>
      <c r="AG25" s="1966"/>
      <c r="AH25" s="739"/>
      <c r="AI25" s="739"/>
      <c r="AJ25" s="739"/>
      <c r="AK25" s="739"/>
      <c r="AL25" s="739"/>
      <c r="AM25" s="739"/>
      <c r="AN25" s="739"/>
      <c r="AO25" s="739"/>
      <c r="AP25" s="739"/>
      <c r="AQ25" s="739"/>
      <c r="AR25" s="739"/>
      <c r="AS25" s="739"/>
      <c r="AT25" s="739"/>
      <c r="AU25" s="739"/>
      <c r="BA25" s="2281">
        <v>2007</v>
      </c>
      <c r="BB25" s="1285">
        <v>8.5612179305936174</v>
      </c>
      <c r="BC25" s="2416"/>
      <c r="BD25" s="739"/>
      <c r="BE25" s="739"/>
      <c r="BF25" s="739"/>
      <c r="BG25" s="739"/>
      <c r="BH25" s="739"/>
      <c r="BI25" s="739"/>
      <c r="BJ25" s="739"/>
      <c r="BK25" s="739"/>
      <c r="BL25" s="739"/>
      <c r="BM25" s="739"/>
      <c r="BN25" s="739"/>
      <c r="BO25" s="739"/>
      <c r="BP25" s="739"/>
      <c r="BQ25" s="739"/>
      <c r="BW25" s="2281">
        <v>2007</v>
      </c>
      <c r="BX25" s="1785">
        <f>ОТЧЁТ!EE425</f>
        <v>2.574224804669774</v>
      </c>
      <c r="BY25" s="1785">
        <v>2.2500954802530773</v>
      </c>
      <c r="BZ25" s="1966"/>
      <c r="CA25" s="739"/>
      <c r="CB25" s="739"/>
      <c r="CC25" s="739"/>
      <c r="CD25" s="739"/>
      <c r="CE25" s="739"/>
      <c r="CF25" s="739"/>
      <c r="CG25" s="739"/>
      <c r="CH25" s="739"/>
      <c r="CI25" s="739"/>
      <c r="CJ25" s="739"/>
      <c r="CK25" s="739"/>
      <c r="CL25" s="739"/>
      <c r="CM25" s="739"/>
      <c r="CN25" s="739"/>
      <c r="CT25" s="2281">
        <v>2007</v>
      </c>
      <c r="CU25" s="2487">
        <v>540.98696865203772</v>
      </c>
      <c r="CV25" s="1966"/>
      <c r="CW25" s="739"/>
      <c r="CX25" s="739"/>
      <c r="CY25" s="739"/>
      <c r="CZ25" s="739"/>
      <c r="DA25" s="739"/>
      <c r="DB25" s="739"/>
      <c r="DC25" s="739"/>
      <c r="DD25" s="739"/>
      <c r="DE25" s="739"/>
      <c r="DF25" s="739"/>
      <c r="DG25" s="739"/>
      <c r="DH25" s="739"/>
      <c r="DI25" s="739"/>
      <c r="DJ25" s="739"/>
      <c r="DO25" s="2281">
        <v>2007</v>
      </c>
      <c r="DP25" s="2487">
        <f t="shared" si="0"/>
        <v>540.98696865203772</v>
      </c>
      <c r="DQ25" s="1247">
        <f t="shared" si="8"/>
        <v>1.1276365658003269</v>
      </c>
      <c r="DR25" s="2329">
        <v>514.2950494622778</v>
      </c>
      <c r="DS25" s="1767"/>
      <c r="DT25" s="1767"/>
      <c r="DU25" s="1767"/>
      <c r="DV25" s="1767"/>
      <c r="DW25" s="1767"/>
      <c r="DX25" s="1767"/>
      <c r="DY25" s="1767"/>
      <c r="DZ25" s="1767"/>
      <c r="EA25" s="1767"/>
      <c r="EB25" s="1767"/>
      <c r="EC25" s="1767"/>
      <c r="ED25" s="1767"/>
      <c r="EE25" s="2749"/>
      <c r="EG25" s="2281">
        <v>2007</v>
      </c>
      <c r="EH25" s="2416">
        <v>1.2270000000000001</v>
      </c>
      <c r="EI25" s="2416"/>
      <c r="EJ25" s="739"/>
      <c r="EK25" s="739"/>
      <c r="EL25" s="739"/>
      <c r="EM25" s="739"/>
      <c r="EN25" s="739"/>
      <c r="EO25" s="739"/>
      <c r="EP25" s="739"/>
      <c r="EQ25" s="739"/>
      <c r="ER25" s="739"/>
      <c r="ES25" s="739"/>
      <c r="ET25" s="739"/>
      <c r="EU25" s="739"/>
      <c r="EV25" s="739"/>
      <c r="EW25" s="739"/>
      <c r="FC25" s="2281">
        <v>2007</v>
      </c>
      <c r="FD25" s="1785">
        <v>1.9263862753012568</v>
      </c>
      <c r="FE25" s="1966"/>
      <c r="FF25" s="739"/>
      <c r="FG25" s="739"/>
      <c r="FH25" s="739"/>
      <c r="FI25" s="739"/>
      <c r="FJ25" s="739"/>
      <c r="FK25" s="739"/>
      <c r="FL25" s="739"/>
      <c r="FM25" s="739"/>
      <c r="FN25" s="739"/>
      <c r="FO25" s="739"/>
      <c r="FP25" s="739"/>
      <c r="FQ25" s="739"/>
      <c r="FR25" s="739"/>
      <c r="FS25" s="739"/>
      <c r="FY25" s="2281">
        <v>2007</v>
      </c>
      <c r="FZ25" s="2490">
        <f t="shared" si="4"/>
        <v>1.262</v>
      </c>
      <c r="GA25" s="1966"/>
      <c r="GB25" s="739"/>
      <c r="GC25" s="739"/>
      <c r="GD25" s="739"/>
      <c r="GE25" s="739"/>
      <c r="GF25" s="739"/>
      <c r="GG25" s="739"/>
      <c r="GH25" s="739"/>
      <c r="GI25" s="739"/>
      <c r="GJ25" s="739"/>
      <c r="GK25" s="739"/>
      <c r="GL25" s="739"/>
      <c r="GM25" s="739"/>
      <c r="GN25" s="739"/>
      <c r="GO25" s="739"/>
      <c r="GU25" s="2281">
        <v>2007</v>
      </c>
      <c r="GV25" s="2509">
        <f>СЧЁТ!CN18</f>
        <v>3.2419358312998856</v>
      </c>
      <c r="GW25" s="2509">
        <f t="shared" si="1"/>
        <v>2.5111241157975113</v>
      </c>
      <c r="GX25" s="1966"/>
      <c r="GY25" s="739"/>
      <c r="GZ25" s="739"/>
      <c r="HA25" s="739"/>
      <c r="HB25" s="739"/>
      <c r="HC25" s="739"/>
      <c r="HD25" s="739"/>
      <c r="HE25" s="739"/>
      <c r="HF25" s="739"/>
      <c r="HG25" s="739"/>
      <c r="HH25" s="739"/>
      <c r="HI25" s="739"/>
      <c r="HJ25" s="739"/>
      <c r="HK25" s="739"/>
      <c r="HR25" s="2281">
        <v>2007</v>
      </c>
      <c r="HS25" s="2121">
        <v>0.25111241157975112</v>
      </c>
      <c r="HT25" s="1966"/>
      <c r="HU25" s="739"/>
      <c r="HV25" s="739"/>
      <c r="HW25" s="739"/>
      <c r="HX25" s="739"/>
      <c r="HY25" s="739"/>
      <c r="HZ25" s="739"/>
      <c r="IA25" s="739"/>
      <c r="IB25" s="739"/>
      <c r="IC25" s="739"/>
      <c r="ID25" s="739"/>
      <c r="IE25" s="739"/>
      <c r="IF25" s="739"/>
      <c r="IG25" s="739"/>
      <c r="IH25" s="739"/>
      <c r="IN25" s="2281">
        <v>2007</v>
      </c>
      <c r="IO25" s="1786">
        <v>4296.4110000000001</v>
      </c>
      <c r="IP25" s="1786">
        <f t="shared" si="6"/>
        <v>6008.4653999999991</v>
      </c>
      <c r="IQ25" s="1495">
        <v>6716.2219999999998</v>
      </c>
      <c r="IR25" s="1767"/>
      <c r="IS25" s="1767"/>
      <c r="IT25" s="1767"/>
      <c r="IU25" s="1767"/>
      <c r="IV25" s="1767"/>
      <c r="IW25" s="1767"/>
      <c r="IX25" s="1767"/>
      <c r="IY25" s="1767"/>
      <c r="IZ25" s="1767"/>
      <c r="JA25" s="1767"/>
      <c r="JJ25" s="2748"/>
      <c r="JL25" s="2281">
        <v>2007</v>
      </c>
      <c r="JM25" s="1785">
        <v>1.143</v>
      </c>
      <c r="JN25" s="1966"/>
      <c r="JO25" s="739"/>
      <c r="JP25" s="739"/>
      <c r="JQ25" s="739"/>
      <c r="JR25" s="739"/>
      <c r="JS25" s="739"/>
      <c r="JT25" s="739"/>
      <c r="JU25" s="739"/>
      <c r="JV25" s="739"/>
      <c r="JW25" s="739"/>
      <c r="JX25" s="739"/>
      <c r="JY25" s="739"/>
      <c r="JZ25" s="739"/>
      <c r="KA25" s="739"/>
      <c r="KB25" s="739"/>
      <c r="KH25" s="2281">
        <v>2007</v>
      </c>
      <c r="KI25" s="1785">
        <v>2.0255168214332193</v>
      </c>
      <c r="KJ25" s="1871">
        <f t="shared" si="9"/>
        <v>2.0255168214332193</v>
      </c>
      <c r="KK25" s="1966"/>
      <c r="KL25" s="739"/>
      <c r="KM25" s="739"/>
      <c r="KN25" s="739"/>
      <c r="KO25" s="739"/>
      <c r="KP25" s="739"/>
      <c r="KQ25" s="739"/>
      <c r="KR25" s="739"/>
      <c r="KS25" s="739"/>
      <c r="KT25" s="739"/>
      <c r="KU25" s="739"/>
      <c r="KV25" s="739"/>
      <c r="KW25" s="739"/>
      <c r="KX25" s="739"/>
      <c r="KY25" s="739"/>
      <c r="LE25" s="2281">
        <v>2007</v>
      </c>
      <c r="LF25" s="1597">
        <v>70.77</v>
      </c>
      <c r="LG25" s="1966"/>
      <c r="LH25" s="1597">
        <v>4.5190000000000055</v>
      </c>
      <c r="LI25" s="1966"/>
      <c r="LJ25" s="739"/>
      <c r="LK25" s="739"/>
      <c r="LL25" s="739"/>
      <c r="LM25" s="739"/>
      <c r="LN25" s="739"/>
      <c r="LO25" s="739"/>
      <c r="LP25" s="739"/>
      <c r="LQ25" s="739"/>
      <c r="LR25" s="739"/>
      <c r="LS25" s="739"/>
      <c r="LT25" s="739"/>
      <c r="LU25" s="739"/>
      <c r="LV25" s="739"/>
      <c r="MB25" s="2281">
        <v>2007</v>
      </c>
      <c r="MC25" s="2131">
        <v>4775.553743761152</v>
      </c>
      <c r="MD25" s="1966"/>
      <c r="ME25" s="739"/>
      <c r="MF25" s="739"/>
      <c r="MG25" s="739"/>
      <c r="MH25" s="739"/>
      <c r="MI25" s="739"/>
      <c r="MJ25" s="739"/>
      <c r="MK25" s="739"/>
      <c r="ML25" s="739"/>
      <c r="MM25" s="739"/>
      <c r="MN25" s="739"/>
      <c r="MO25" s="739"/>
      <c r="MP25" s="739"/>
      <c r="MQ25" s="739"/>
      <c r="MY25" s="2281">
        <v>2007</v>
      </c>
      <c r="MZ25" s="1597">
        <f t="shared" si="2"/>
        <v>67.479917249698346</v>
      </c>
      <c r="NA25" s="1966"/>
      <c r="NB25" s="739"/>
      <c r="NC25" s="739"/>
      <c r="ND25" s="739"/>
      <c r="NE25" s="739"/>
      <c r="NF25" s="739"/>
      <c r="NG25" s="739"/>
      <c r="NH25" s="739"/>
      <c r="NI25" s="739"/>
      <c r="NJ25" s="739"/>
      <c r="NK25" s="739"/>
      <c r="NL25" s="739"/>
      <c r="NM25" s="739"/>
      <c r="NN25" s="739"/>
      <c r="NO25" s="739"/>
      <c r="NV25" s="2281">
        <v>2007</v>
      </c>
      <c r="NW25" s="1785">
        <v>7.9418012798076241</v>
      </c>
      <c r="NX25" s="1597">
        <v>9.4465057543790749</v>
      </c>
      <c r="NY25" s="1785">
        <v>10.097240670067599</v>
      </c>
      <c r="NZ25" s="1966">
        <v>13.059083510568804</v>
      </c>
      <c r="OA25" s="739"/>
      <c r="OB25" s="739"/>
      <c r="OC25" s="739"/>
      <c r="OD25" s="739"/>
      <c r="OE25" s="739"/>
      <c r="OF25" s="739"/>
      <c r="OG25" s="739"/>
      <c r="OH25" s="739"/>
      <c r="OI25" s="739"/>
      <c r="OJ25" s="739"/>
      <c r="OK25" s="739"/>
      <c r="OS25" s="2748"/>
      <c r="OU25" s="2281">
        <v>2007</v>
      </c>
      <c r="OV25" s="1785">
        <f t="shared" si="7"/>
        <v>1.0269999999999999</v>
      </c>
      <c r="OW25" s="1966"/>
      <c r="OX25" s="739"/>
      <c r="OY25" s="739"/>
      <c r="OZ25" s="739"/>
      <c r="PA25" s="739"/>
      <c r="PB25" s="739"/>
      <c r="PC25" s="739"/>
      <c r="PD25" s="739"/>
      <c r="PE25" s="739"/>
      <c r="PF25" s="739"/>
      <c r="PG25" s="739"/>
      <c r="PH25" s="739"/>
      <c r="PI25" s="739"/>
      <c r="PJ25" s="739"/>
      <c r="PK25" s="739"/>
      <c r="PQ25" s="2281">
        <v>2007</v>
      </c>
      <c r="PR25" s="1785">
        <f>СЧЁТ!CI18</f>
        <v>1.2115949590457777</v>
      </c>
      <c r="PS25" s="1966"/>
      <c r="PT25" s="739"/>
      <c r="PU25" s="739"/>
      <c r="PV25" s="739"/>
      <c r="PW25" s="739"/>
      <c r="PX25" s="739"/>
      <c r="PY25" s="739"/>
      <c r="PZ25" s="739"/>
      <c r="QA25" s="739"/>
      <c r="QB25" s="739"/>
      <c r="QC25" s="739"/>
      <c r="QD25" s="739"/>
      <c r="QE25" s="739"/>
      <c r="QF25" s="739"/>
      <c r="QG25" s="739"/>
      <c r="QM25" s="2281">
        <v>2007</v>
      </c>
      <c r="QN25" s="1785">
        <v>1.085</v>
      </c>
      <c r="QO25" s="1966"/>
      <c r="QP25" s="739"/>
      <c r="QQ25" s="739"/>
      <c r="QR25" s="739"/>
      <c r="QS25" s="739"/>
      <c r="QT25" s="739"/>
      <c r="QU25" s="739"/>
      <c r="QV25" s="739"/>
      <c r="QW25" s="739"/>
      <c r="QX25" s="739"/>
      <c r="QY25" s="739"/>
      <c r="QZ25" s="739"/>
      <c r="RA25" s="739"/>
      <c r="RB25" s="739"/>
      <c r="RC25" s="739"/>
      <c r="RI25" s="943">
        <v>13</v>
      </c>
      <c r="RJ25" s="2281">
        <v>2007</v>
      </c>
      <c r="RK25" s="1786">
        <v>5980.9409296367394</v>
      </c>
      <c r="RL25" s="1786"/>
      <c r="RM25" s="1966"/>
      <c r="RN25" s="739"/>
      <c r="RO25" s="739"/>
      <c r="RP25" s="739"/>
      <c r="RQ25" s="739"/>
      <c r="RR25" s="739"/>
      <c r="RS25" s="739"/>
      <c r="RT25" s="739"/>
      <c r="RU25" s="739"/>
      <c r="RV25" s="739"/>
      <c r="RW25" s="739"/>
      <c r="RX25" s="739"/>
      <c r="RY25" s="739"/>
      <c r="RZ25" s="739"/>
      <c r="SA25" s="739"/>
      <c r="SG25" s="2281">
        <v>2007</v>
      </c>
      <c r="SH25" s="1785">
        <f t="shared" si="3"/>
        <v>0.79846194770079459</v>
      </c>
      <c r="SI25" s="1966"/>
      <c r="SJ25" s="739"/>
      <c r="SK25" s="739"/>
      <c r="SL25" s="739"/>
      <c r="SM25" s="739"/>
      <c r="SN25" s="739"/>
      <c r="SO25" s="739"/>
      <c r="SP25" s="739"/>
      <c r="SQ25" s="739"/>
      <c r="SR25" s="739"/>
      <c r="SS25" s="739"/>
      <c r="ST25" s="739"/>
      <c r="SU25" s="739"/>
      <c r="SV25" s="739"/>
      <c r="SW25" s="739"/>
      <c r="TC25" s="2281">
        <v>2007</v>
      </c>
      <c r="TD25" s="1785">
        <v>1.7129386667898943</v>
      </c>
      <c r="TE25" s="1966"/>
      <c r="TF25" s="739"/>
      <c r="TG25" s="739"/>
      <c r="TH25" s="739"/>
      <c r="TI25" s="739"/>
      <c r="TJ25" s="739"/>
      <c r="TK25" s="739"/>
      <c r="TL25" s="739"/>
      <c r="TM25" s="739"/>
      <c r="TN25" s="739"/>
      <c r="TO25" s="739"/>
      <c r="TP25" s="739"/>
      <c r="TQ25" s="739"/>
      <c r="TX25" s="2748"/>
      <c r="TZ25" s="2281">
        <v>2007</v>
      </c>
      <c r="UA25" s="1785">
        <f t="shared" si="5"/>
        <v>1.0269999999999999</v>
      </c>
      <c r="UB25" s="2029">
        <f t="shared" si="10"/>
        <v>1.0269999999999999</v>
      </c>
      <c r="UC25" s="1966"/>
      <c r="UD25" s="739"/>
      <c r="UE25" s="739"/>
      <c r="UF25" s="739"/>
      <c r="UG25" s="739"/>
      <c r="UH25" s="739"/>
      <c r="UI25" s="739"/>
      <c r="UJ25" s="739"/>
      <c r="UK25" s="739"/>
      <c r="UL25" s="739"/>
      <c r="UM25" s="739"/>
      <c r="UN25" s="739"/>
      <c r="UO25" s="739"/>
      <c r="UP25" s="739"/>
      <c r="UQ25" s="739"/>
      <c r="UW25" s="2281">
        <v>2007</v>
      </c>
      <c r="UX25" s="2029">
        <f>СЧЁТ!CK18</f>
        <v>0.75746559256402857</v>
      </c>
      <c r="UY25" s="1966"/>
      <c r="UZ25" s="739"/>
      <c r="VA25" s="739"/>
      <c r="VB25" s="739"/>
      <c r="VC25" s="739"/>
      <c r="VD25" s="739"/>
      <c r="VE25" s="739"/>
      <c r="VF25" s="739"/>
      <c r="VG25" s="739"/>
      <c r="VH25" s="739"/>
      <c r="VI25" s="739"/>
      <c r="VJ25" s="739"/>
      <c r="VK25" s="739"/>
      <c r="VL25" s="739"/>
      <c r="VM25" s="739"/>
      <c r="VS25" s="2281">
        <v>2007</v>
      </c>
      <c r="VT25" s="1785">
        <v>1.085</v>
      </c>
      <c r="VU25" s="1966"/>
      <c r="VV25" s="739"/>
      <c r="VW25" s="739"/>
      <c r="VX25" s="739"/>
      <c r="VY25" s="739"/>
      <c r="VZ25" s="739"/>
      <c r="WA25" s="739"/>
      <c r="WB25" s="739"/>
      <c r="WC25" s="739"/>
      <c r="WD25" s="739"/>
      <c r="WE25" s="739"/>
      <c r="WF25" s="739"/>
      <c r="WG25" s="739"/>
      <c r="WH25" s="739"/>
      <c r="WI25" s="739"/>
      <c r="WO25" s="2281">
        <v>2007</v>
      </c>
      <c r="WP25" s="2131">
        <v>4775.553743761152</v>
      </c>
      <c r="WQ25" s="1786"/>
      <c r="WR25" s="1495">
        <v>4775.553743761152</v>
      </c>
      <c r="WS25" s="739"/>
      <c r="WT25" s="739"/>
      <c r="WU25" s="739"/>
      <c r="WV25" s="739"/>
      <c r="WW25" s="739"/>
      <c r="WX25" s="739"/>
      <c r="WY25" s="739"/>
      <c r="WZ25" s="739"/>
      <c r="XA25" s="739"/>
      <c r="XB25" s="739"/>
      <c r="XC25" s="739"/>
      <c r="XD25" s="739"/>
      <c r="XE25" s="739"/>
      <c r="XF25" s="739"/>
      <c r="XK25" s="2492">
        <v>2007</v>
      </c>
      <c r="XL25" s="2490">
        <v>1</v>
      </c>
      <c r="XM25" s="1966"/>
      <c r="XN25" s="739"/>
      <c r="XO25" s="739"/>
      <c r="XP25" s="739"/>
      <c r="XQ25" s="739"/>
      <c r="XR25" s="739"/>
      <c r="XS25" s="739"/>
      <c r="XT25" s="739"/>
      <c r="XU25" s="739"/>
      <c r="XV25" s="739"/>
      <c r="XW25" s="739"/>
      <c r="XX25" s="739"/>
      <c r="XY25" s="739"/>
      <c r="XZ25" s="739"/>
      <c r="YA25" s="739"/>
      <c r="YG25" s="2281">
        <v>2007</v>
      </c>
      <c r="YH25" s="1785">
        <v>1.7129386667898943</v>
      </c>
      <c r="YI25" s="1966"/>
      <c r="YJ25" s="739"/>
      <c r="YK25" s="739"/>
      <c r="YL25" s="739"/>
      <c r="YM25" s="739"/>
      <c r="YN25" s="739"/>
      <c r="YO25" s="739"/>
      <c r="YP25" s="739"/>
      <c r="YQ25" s="739"/>
      <c r="YR25" s="739"/>
      <c r="YS25" s="739"/>
      <c r="YT25" s="739"/>
      <c r="YU25" s="739"/>
      <c r="ZE25" s="2587" t="s">
        <v>2166</v>
      </c>
      <c r="ZF25" s="765"/>
      <c r="ZG25" s="765"/>
      <c r="ZH25" s="765"/>
      <c r="ZI25" s="765"/>
      <c r="ZJ25" s="765"/>
      <c r="ZK25" s="765"/>
      <c r="ZL25" s="765"/>
      <c r="ZM25" s="765"/>
      <c r="ZN25" s="765"/>
      <c r="ZO25" s="765"/>
      <c r="ZP25" s="777"/>
    </row>
    <row r="26" spans="5:692" ht="20.399999999999999">
      <c r="G26" s="2281">
        <v>2008</v>
      </c>
      <c r="H26" s="2490">
        <v>1.052</v>
      </c>
      <c r="I26" s="2416"/>
      <c r="K26" s="739"/>
      <c r="L26" s="739"/>
      <c r="M26" s="739"/>
      <c r="N26" s="739"/>
      <c r="O26" s="739"/>
      <c r="P26" s="739"/>
      <c r="Q26" s="739"/>
      <c r="R26" s="739"/>
      <c r="S26" s="739"/>
      <c r="T26" s="739"/>
      <c r="U26" s="739"/>
      <c r="V26" s="739"/>
      <c r="W26" s="739"/>
      <c r="X26" s="739"/>
      <c r="AD26" s="2281">
        <v>2008</v>
      </c>
      <c r="AE26" s="1785">
        <f>AE25*H26</f>
        <v>1.8020114774629687</v>
      </c>
      <c r="AF26" s="1785">
        <f>AE26</f>
        <v>1.8020114774629687</v>
      </c>
      <c r="AG26" s="1966"/>
      <c r="AH26" s="739"/>
      <c r="AI26" s="739"/>
      <c r="AJ26" s="739"/>
      <c r="AK26" s="739"/>
      <c r="AL26" s="739"/>
      <c r="AM26" s="739"/>
      <c r="AN26" s="739"/>
      <c r="AO26" s="739"/>
      <c r="AP26" s="739"/>
      <c r="AQ26" s="739"/>
      <c r="AR26" s="739"/>
      <c r="AS26" s="739"/>
      <c r="AT26" s="739"/>
      <c r="AU26" s="739"/>
      <c r="BA26" s="2281">
        <v>2008</v>
      </c>
      <c r="BB26" s="1285">
        <v>10.360928463828223</v>
      </c>
      <c r="BC26" s="2416"/>
      <c r="BD26" s="739"/>
      <c r="BE26" s="739"/>
      <c r="BF26" s="739"/>
      <c r="BG26" s="739"/>
      <c r="BH26" s="739"/>
      <c r="BI26" s="739"/>
      <c r="BJ26" s="739"/>
      <c r="BK26" s="739"/>
      <c r="BL26" s="739"/>
      <c r="BM26" s="739"/>
      <c r="BN26" s="739"/>
      <c r="BO26" s="739"/>
      <c r="BP26" s="739"/>
      <c r="BQ26" s="739"/>
      <c r="BW26" s="2281">
        <v>2008</v>
      </c>
      <c r="BX26" s="1785">
        <f>ОТЧЁТ!EE426</f>
        <v>2.7497210051148255</v>
      </c>
      <c r="BY26" s="1785">
        <v>2.2635960531345956</v>
      </c>
      <c r="BZ26" s="1966"/>
      <c r="CA26" s="739"/>
      <c r="CB26" s="739"/>
      <c r="CC26" s="739"/>
      <c r="CD26" s="739"/>
      <c r="CE26" s="739"/>
      <c r="CF26" s="739"/>
      <c r="CG26" s="739"/>
      <c r="CH26" s="739"/>
      <c r="CI26" s="739"/>
      <c r="CJ26" s="739"/>
      <c r="CK26" s="739"/>
      <c r="CL26" s="739"/>
      <c r="CM26" s="739"/>
      <c r="CN26" s="739"/>
      <c r="CT26" s="2281">
        <v>2008</v>
      </c>
      <c r="CU26" s="2487">
        <v>616.82626332288407</v>
      </c>
      <c r="CV26" s="1966"/>
      <c r="CW26" s="739"/>
      <c r="CX26" s="739"/>
      <c r="CY26" s="739"/>
      <c r="CZ26" s="739"/>
      <c r="DA26" s="739"/>
      <c r="DB26" s="739"/>
      <c r="DC26" s="739"/>
      <c r="DD26" s="739"/>
      <c r="DE26" s="739"/>
      <c r="DF26" s="739"/>
      <c r="DG26" s="739"/>
      <c r="DH26" s="739"/>
      <c r="DI26" s="739"/>
      <c r="DJ26" s="739"/>
      <c r="DO26" s="2281">
        <v>2008</v>
      </c>
      <c r="DP26" s="2487">
        <f t="shared" si="0"/>
        <v>616.82626332288407</v>
      </c>
      <c r="DQ26" s="1247">
        <f t="shared" si="8"/>
        <v>1.1444304358295734</v>
      </c>
      <c r="DR26" s="2329">
        <v>563.15307916119423</v>
      </c>
      <c r="DS26" s="1767"/>
      <c r="DT26" s="1767"/>
      <c r="DU26" s="1767"/>
      <c r="DV26" s="1767"/>
      <c r="DW26" s="1767"/>
      <c r="DX26" s="1767"/>
      <c r="DY26" s="1767"/>
      <c r="DZ26" s="1767"/>
      <c r="EA26" s="1767"/>
      <c r="EB26" s="1767"/>
      <c r="EC26" s="1767"/>
      <c r="ED26" s="1767"/>
      <c r="EE26" s="2749"/>
      <c r="EG26" s="2281">
        <v>2008</v>
      </c>
      <c r="EH26" s="2416">
        <v>1.095</v>
      </c>
      <c r="EI26" s="2416"/>
      <c r="EJ26" s="739"/>
      <c r="EK26" s="739"/>
      <c r="EL26" s="739"/>
      <c r="EM26" s="739"/>
      <c r="EN26" s="739"/>
      <c r="EO26" s="739"/>
      <c r="EP26" s="739"/>
      <c r="EQ26" s="739"/>
      <c r="ER26" s="739"/>
      <c r="ES26" s="739"/>
      <c r="ET26" s="739"/>
      <c r="EU26" s="739"/>
      <c r="EV26" s="739"/>
      <c r="EW26" s="739"/>
      <c r="FC26" s="2281">
        <v>2008</v>
      </c>
      <c r="FD26" s="1785">
        <v>2.1093929714548763</v>
      </c>
      <c r="FE26" s="1966"/>
      <c r="FF26" s="739"/>
      <c r="FG26" s="739"/>
      <c r="FH26" s="739"/>
      <c r="FI26" s="739"/>
      <c r="FJ26" s="739"/>
      <c r="FK26" s="739"/>
      <c r="FL26" s="739"/>
      <c r="FM26" s="739"/>
      <c r="FN26" s="739"/>
      <c r="FO26" s="739"/>
      <c r="FP26" s="739"/>
      <c r="FQ26" s="739"/>
      <c r="FR26" s="739"/>
      <c r="FS26" s="739"/>
      <c r="FY26" s="2281">
        <v>2008</v>
      </c>
      <c r="FZ26" s="2490">
        <f t="shared" si="4"/>
        <v>1.1479999999999999</v>
      </c>
      <c r="GA26" s="1966"/>
      <c r="GB26" s="739"/>
      <c r="GC26" s="739"/>
      <c r="GD26" s="739"/>
      <c r="GE26" s="739"/>
      <c r="GF26" s="739"/>
      <c r="GG26" s="739"/>
      <c r="GH26" s="739"/>
      <c r="GI26" s="739"/>
      <c r="GJ26" s="739"/>
      <c r="GK26" s="739"/>
      <c r="GL26" s="739"/>
      <c r="GM26" s="739"/>
      <c r="GN26" s="739"/>
      <c r="GO26" s="739"/>
      <c r="GU26" s="2281">
        <v>2008</v>
      </c>
      <c r="GV26" s="2509">
        <f>СЧЁТ!CN19</f>
        <v>3.7217423343322684</v>
      </c>
      <c r="GW26" s="2509">
        <f t="shared" si="1"/>
        <v>2.7454956999386115</v>
      </c>
      <c r="GX26" s="1966"/>
      <c r="GY26" s="739"/>
      <c r="GZ26" s="739"/>
      <c r="HA26" s="739"/>
      <c r="HB26" s="739"/>
      <c r="HC26" s="739"/>
      <c r="HD26" s="739"/>
      <c r="HE26" s="739"/>
      <c r="HF26" s="739"/>
      <c r="HG26" s="739"/>
      <c r="HH26" s="739"/>
      <c r="HI26" s="739"/>
      <c r="HJ26" s="739"/>
      <c r="HK26" s="739"/>
      <c r="HR26" s="2281">
        <v>2008</v>
      </c>
      <c r="HS26" s="2121">
        <v>0.27454956999386115</v>
      </c>
      <c r="HT26" s="1966"/>
      <c r="HU26" s="739"/>
      <c r="HV26" s="739"/>
      <c r="HW26" s="739"/>
      <c r="HX26" s="739"/>
      <c r="HY26" s="739"/>
      <c r="HZ26" s="739"/>
      <c r="IA26" s="739"/>
      <c r="IB26" s="739"/>
      <c r="IC26" s="739"/>
      <c r="ID26" s="739"/>
      <c r="IE26" s="739"/>
      <c r="IF26" s="739"/>
      <c r="IG26" s="739"/>
      <c r="IH26" s="739"/>
      <c r="IN26" s="2281">
        <v>2008</v>
      </c>
      <c r="IO26" s="1786">
        <v>5744.8469999999998</v>
      </c>
      <c r="IP26" s="1786">
        <f t="shared" si="6"/>
        <v>7963.3755999999994</v>
      </c>
      <c r="IQ26" s="1495">
        <v>8781.616</v>
      </c>
      <c r="IR26" s="1767"/>
      <c r="IS26" s="1767"/>
      <c r="IT26" s="1767"/>
      <c r="IU26" s="1767"/>
      <c r="IV26" s="1767"/>
      <c r="IW26" s="1767"/>
      <c r="IX26" s="1767"/>
      <c r="IY26" s="1767"/>
      <c r="IZ26" s="1767"/>
      <c r="JA26" s="1767"/>
      <c r="JJ26" s="2748"/>
      <c r="JL26" s="2281">
        <v>2008</v>
      </c>
      <c r="JM26" s="1785">
        <v>1.1060000000000001</v>
      </c>
      <c r="JN26" s="1966"/>
      <c r="JO26" s="739"/>
      <c r="JP26" s="739"/>
      <c r="JQ26" s="739"/>
      <c r="JR26" s="739"/>
      <c r="JS26" s="739"/>
      <c r="JT26" s="739"/>
      <c r="JU26" s="739"/>
      <c r="JV26" s="739"/>
      <c r="JW26" s="739"/>
      <c r="JX26" s="739"/>
      <c r="JY26" s="739"/>
      <c r="JZ26" s="739"/>
      <c r="KA26" s="739"/>
      <c r="KB26" s="739"/>
      <c r="KH26" s="2281">
        <v>2008</v>
      </c>
      <c r="KI26" s="1785">
        <v>2.2402216045051406</v>
      </c>
      <c r="KJ26" s="765"/>
      <c r="KK26" s="1966"/>
      <c r="KL26" s="739"/>
      <c r="KM26" s="739"/>
      <c r="KN26" s="739"/>
      <c r="KO26" s="739"/>
      <c r="KP26" s="739"/>
      <c r="KQ26" s="739"/>
      <c r="KR26" s="739"/>
      <c r="KS26" s="739"/>
      <c r="KT26" s="739"/>
      <c r="KU26" s="739"/>
      <c r="KV26" s="739"/>
      <c r="KW26" s="739"/>
      <c r="KX26" s="739"/>
      <c r="KY26" s="739"/>
      <c r="LE26" s="2281">
        <v>2008</v>
      </c>
      <c r="LF26" s="1597">
        <v>71.003</v>
      </c>
      <c r="LG26" s="1966"/>
      <c r="LH26" s="1597">
        <v>4.6970000000000027</v>
      </c>
      <c r="LI26" s="1966"/>
      <c r="LJ26" s="739"/>
      <c r="LK26" s="739"/>
      <c r="LL26" s="739"/>
      <c r="LM26" s="739"/>
      <c r="LN26" s="739"/>
      <c r="LO26" s="739"/>
      <c r="LP26" s="739"/>
      <c r="LQ26" s="739"/>
      <c r="LR26" s="739"/>
      <c r="LS26" s="739"/>
      <c r="LT26" s="739"/>
      <c r="LU26" s="739"/>
      <c r="LV26" s="739"/>
      <c r="MB26" s="2281">
        <v>2008</v>
      </c>
      <c r="MC26" s="2131">
        <v>5014.3314309492098</v>
      </c>
      <c r="MD26" s="1966"/>
      <c r="ME26" s="739"/>
      <c r="MF26" s="739"/>
      <c r="MG26" s="739"/>
      <c r="MH26" s="739"/>
      <c r="MI26" s="739"/>
      <c r="MJ26" s="739"/>
      <c r="MK26" s="739"/>
      <c r="ML26" s="739"/>
      <c r="MM26" s="739"/>
      <c r="MN26" s="739"/>
      <c r="MO26" s="739"/>
      <c r="MP26" s="739"/>
      <c r="MQ26" s="739"/>
      <c r="MY26" s="2281">
        <v>2008</v>
      </c>
      <c r="MZ26" s="1597">
        <f t="shared" si="2"/>
        <v>70.621402348481183</v>
      </c>
      <c r="NA26" s="1966"/>
      <c r="NB26" s="739"/>
      <c r="NC26" s="739"/>
      <c r="ND26" s="739"/>
      <c r="NE26" s="739"/>
      <c r="NF26" s="739"/>
      <c r="NG26" s="739"/>
      <c r="NH26" s="739"/>
      <c r="NI26" s="739"/>
      <c r="NJ26" s="739"/>
      <c r="NK26" s="739"/>
      <c r="NL26" s="739"/>
      <c r="NM26" s="739"/>
      <c r="NN26" s="739"/>
      <c r="NO26" s="739"/>
      <c r="NV26" s="2281">
        <v>2008</v>
      </c>
      <c r="NW26" s="1785">
        <v>9.313557709187231</v>
      </c>
      <c r="NX26" s="1597">
        <v>10.701001718560617</v>
      </c>
      <c r="NY26" s="1785">
        <v>12.014838376677151</v>
      </c>
      <c r="NZ26" s="1966">
        <v>15.593657080025292</v>
      </c>
      <c r="OA26" s="739"/>
      <c r="OB26" s="739"/>
      <c r="OC26" s="739"/>
      <c r="OD26" s="739"/>
      <c r="OE26" s="739"/>
      <c r="OF26" s="739"/>
      <c r="OG26" s="739"/>
      <c r="OH26" s="739"/>
      <c r="OI26" s="739"/>
      <c r="OJ26" s="739"/>
      <c r="OK26" s="739"/>
      <c r="OS26" s="2748"/>
      <c r="OU26" s="2281">
        <v>2008</v>
      </c>
      <c r="OV26" s="1785">
        <f t="shared" si="7"/>
        <v>1.034</v>
      </c>
      <c r="OW26" s="1966"/>
      <c r="OX26" s="739"/>
      <c r="OY26" s="739"/>
      <c r="OZ26" s="739"/>
      <c r="PA26" s="739"/>
      <c r="PB26" s="739"/>
      <c r="PC26" s="739"/>
      <c r="PD26" s="739"/>
      <c r="PE26" s="739"/>
      <c r="PF26" s="739"/>
      <c r="PG26" s="739"/>
      <c r="PH26" s="739"/>
      <c r="PI26" s="739"/>
      <c r="PJ26" s="739"/>
      <c r="PK26" s="739"/>
      <c r="PQ26" s="2281">
        <v>2008</v>
      </c>
      <c r="PR26" s="1785">
        <f>СЧЁТ!CI19</f>
        <v>1.2527891876533341</v>
      </c>
      <c r="PS26" s="1966"/>
      <c r="PT26" s="739"/>
      <c r="PU26" s="739"/>
      <c r="PV26" s="739"/>
      <c r="PW26" s="739"/>
      <c r="PX26" s="739"/>
      <c r="PY26" s="739"/>
      <c r="PZ26" s="739"/>
      <c r="QA26" s="739"/>
      <c r="QB26" s="739"/>
      <c r="QC26" s="739"/>
      <c r="QD26" s="739"/>
      <c r="QE26" s="739"/>
      <c r="QF26" s="739"/>
      <c r="QG26" s="739"/>
      <c r="QM26" s="2281">
        <v>2008</v>
      </c>
      <c r="QN26" s="1785">
        <v>1.052</v>
      </c>
      <c r="QO26" s="1966"/>
      <c r="QP26" s="739"/>
      <c r="QQ26" s="739"/>
      <c r="QR26" s="739"/>
      <c r="QS26" s="739"/>
      <c r="QT26" s="739"/>
      <c r="QU26" s="739"/>
      <c r="QV26" s="739"/>
      <c r="QW26" s="739"/>
      <c r="QX26" s="739"/>
      <c r="QY26" s="739"/>
      <c r="QZ26" s="739"/>
      <c r="RA26" s="739"/>
      <c r="RB26" s="739"/>
      <c r="RC26" s="739"/>
      <c r="RI26" s="943">
        <v>14</v>
      </c>
      <c r="RJ26" s="2281">
        <v>2008</v>
      </c>
      <c r="RK26" s="1786">
        <v>6196.2548031036622</v>
      </c>
      <c r="RL26" s="1786"/>
      <c r="RM26" s="1495">
        <f>RK26</f>
        <v>6196.2548031036622</v>
      </c>
      <c r="RN26" s="739"/>
      <c r="RO26" s="739"/>
      <c r="RP26" s="739"/>
      <c r="RQ26" s="739"/>
      <c r="RR26" s="739"/>
      <c r="RS26" s="739"/>
      <c r="RT26" s="739"/>
      <c r="RU26" s="739"/>
      <c r="RV26" s="739"/>
      <c r="RW26" s="739"/>
      <c r="RX26" s="739"/>
      <c r="RY26" s="739"/>
      <c r="RZ26" s="739"/>
      <c r="SA26" s="739"/>
      <c r="SG26" s="2281">
        <v>2008</v>
      </c>
      <c r="SH26" s="1785">
        <f t="shared" si="3"/>
        <v>0.80925197402107563</v>
      </c>
      <c r="SI26" s="1966"/>
      <c r="SJ26" s="739"/>
      <c r="SK26" s="739"/>
      <c r="SL26" s="739"/>
      <c r="SM26" s="739"/>
      <c r="SN26" s="739"/>
      <c r="SO26" s="739"/>
      <c r="SP26" s="739"/>
      <c r="SQ26" s="739"/>
      <c r="SR26" s="739"/>
      <c r="SS26" s="739"/>
      <c r="ST26" s="739"/>
      <c r="SU26" s="739"/>
      <c r="SV26" s="739"/>
      <c r="SW26" s="739"/>
      <c r="TC26" s="2281">
        <v>2008</v>
      </c>
      <c r="TD26" s="1785">
        <v>1.8020114774629687</v>
      </c>
      <c r="TE26" s="1966"/>
      <c r="TF26" s="739"/>
      <c r="TG26" s="739"/>
      <c r="TH26" s="739"/>
      <c r="TI26" s="739"/>
      <c r="TJ26" s="739"/>
      <c r="TK26" s="739"/>
      <c r="TL26" s="739"/>
      <c r="TM26" s="739"/>
      <c r="TN26" s="739"/>
      <c r="TO26" s="739"/>
      <c r="TP26" s="739"/>
      <c r="TQ26" s="739"/>
      <c r="TX26" s="2748"/>
      <c r="TZ26" s="2281">
        <v>2008</v>
      </c>
      <c r="UA26" s="1785">
        <f t="shared" si="5"/>
        <v>0.98599999999999999</v>
      </c>
      <c r="UB26" s="2029">
        <f t="shared" si="10"/>
        <v>0.98599999999999999</v>
      </c>
      <c r="UC26" s="1966"/>
      <c r="UD26" s="739"/>
      <c r="UE26" s="739"/>
      <c r="UF26" s="739"/>
      <c r="UG26" s="739"/>
      <c r="UH26" s="739"/>
      <c r="UI26" s="739"/>
      <c r="UJ26" s="739"/>
      <c r="UK26" s="739"/>
      <c r="UL26" s="739"/>
      <c r="UM26" s="739"/>
      <c r="UN26" s="739"/>
      <c r="UO26" s="739"/>
      <c r="UP26" s="739"/>
      <c r="UQ26" s="739"/>
      <c r="UW26" s="2281">
        <v>2008</v>
      </c>
      <c r="UX26" s="2029">
        <f>СЧЁТ!CK19</f>
        <v>0.7468610742681322</v>
      </c>
      <c r="UY26" s="1966"/>
      <c r="UZ26" s="739"/>
      <c r="VA26" s="739"/>
      <c r="VB26" s="739"/>
      <c r="VC26" s="739"/>
      <c r="VD26" s="739"/>
      <c r="VE26" s="739"/>
      <c r="VF26" s="739"/>
      <c r="VG26" s="739"/>
      <c r="VH26" s="739"/>
      <c r="VI26" s="739"/>
      <c r="VJ26" s="739"/>
      <c r="VK26" s="739"/>
      <c r="VL26" s="739"/>
      <c r="VM26" s="739"/>
      <c r="VS26" s="2281">
        <v>2008</v>
      </c>
      <c r="VT26" s="1785">
        <v>1.052</v>
      </c>
      <c r="VU26" s="1966"/>
      <c r="VV26" s="739"/>
      <c r="VW26" s="739"/>
      <c r="VX26" s="739"/>
      <c r="VY26" s="739"/>
      <c r="VZ26" s="739"/>
      <c r="WA26" s="739"/>
      <c r="WB26" s="739"/>
      <c r="WC26" s="739"/>
      <c r="WD26" s="739"/>
      <c r="WE26" s="739"/>
      <c r="WF26" s="739"/>
      <c r="WG26" s="739"/>
      <c r="WH26" s="739"/>
      <c r="WI26" s="739"/>
      <c r="WO26" s="2281">
        <v>2008</v>
      </c>
      <c r="WP26" s="2131">
        <v>5014.3314309492098</v>
      </c>
      <c r="WQ26" s="1786">
        <f t="shared" ref="WQ26:WQ53" si="11">0.809*RM26</f>
        <v>5012.7701357108626</v>
      </c>
      <c r="WR26" s="1495">
        <v>5014.3314309492098</v>
      </c>
      <c r="WS26" s="739"/>
      <c r="WT26" s="739"/>
      <c r="WU26" s="739"/>
      <c r="WV26" s="739"/>
      <c r="WW26" s="739"/>
      <c r="WX26" s="739"/>
      <c r="WY26" s="739"/>
      <c r="WZ26" s="739"/>
      <c r="XA26" s="739"/>
      <c r="XB26" s="739"/>
      <c r="XC26" s="739"/>
      <c r="XD26" s="739"/>
      <c r="XE26" s="739"/>
      <c r="XF26" s="739"/>
      <c r="XK26" s="2492">
        <v>2008</v>
      </c>
      <c r="XL26" s="2490">
        <v>1</v>
      </c>
      <c r="XM26" s="1966"/>
      <c r="XN26" s="739"/>
      <c r="XO26" s="739"/>
      <c r="XP26" s="739"/>
      <c r="XQ26" s="739"/>
      <c r="XR26" s="739"/>
      <c r="XS26" s="739"/>
      <c r="XT26" s="739"/>
      <c r="XU26" s="739"/>
      <c r="XV26" s="739"/>
      <c r="XW26" s="739"/>
      <c r="XX26" s="739"/>
      <c r="XY26" s="739"/>
      <c r="XZ26" s="739"/>
      <c r="YA26" s="739"/>
      <c r="YG26" s="2281">
        <v>2008</v>
      </c>
      <c r="YH26" s="1785">
        <v>1.8020114774629687</v>
      </c>
      <c r="YI26" s="1966"/>
      <c r="YJ26" s="739"/>
      <c r="YK26" s="739"/>
      <c r="YL26" s="739"/>
      <c r="YM26" s="739"/>
      <c r="YN26" s="739"/>
      <c r="YO26" s="739"/>
      <c r="YP26" s="739"/>
      <c r="YQ26" s="739"/>
      <c r="YR26" s="739"/>
      <c r="YS26" s="739"/>
      <c r="YT26" s="739"/>
      <c r="YU26" s="739"/>
      <c r="ZE26" s="2587" t="s">
        <v>2167</v>
      </c>
      <c r="ZF26" s="765"/>
      <c r="ZG26" s="765"/>
      <c r="ZH26" s="765"/>
      <c r="ZI26" s="765"/>
      <c r="ZJ26" s="765"/>
      <c r="ZK26" s="765"/>
      <c r="ZL26" s="765"/>
      <c r="ZM26" s="765"/>
      <c r="ZN26" s="765"/>
      <c r="ZO26" s="765"/>
      <c r="ZP26" s="777"/>
    </row>
    <row r="27" spans="5:692" ht="20.399999999999999">
      <c r="G27" s="2281">
        <v>2009</v>
      </c>
      <c r="H27" s="2490">
        <v>0.92100000000000004</v>
      </c>
      <c r="I27" s="2416"/>
      <c r="K27" s="739"/>
      <c r="L27" s="739"/>
      <c r="M27" s="739"/>
      <c r="N27" s="739"/>
      <c r="O27" s="739"/>
      <c r="P27" s="739"/>
      <c r="Q27" s="739"/>
      <c r="R27" s="739"/>
      <c r="S27" s="739"/>
      <c r="T27" s="739"/>
      <c r="U27" s="739"/>
      <c r="V27" s="739"/>
      <c r="W27" s="739"/>
      <c r="X27" s="739"/>
      <c r="AD27" s="2281">
        <v>2009</v>
      </c>
      <c r="AE27" s="1785">
        <f>AE26*H27</f>
        <v>1.6596525707433942</v>
      </c>
      <c r="AF27" s="765"/>
      <c r="AG27" s="1966"/>
      <c r="AH27" s="739"/>
      <c r="AI27" s="739"/>
      <c r="AJ27" s="739"/>
      <c r="AK27" s="739"/>
      <c r="AL27" s="739"/>
      <c r="AM27" s="739"/>
      <c r="AN27" s="739"/>
      <c r="AO27" s="739"/>
      <c r="AP27" s="739"/>
      <c r="AQ27" s="739"/>
      <c r="AR27" s="739"/>
      <c r="AS27" s="739"/>
      <c r="AT27" s="739"/>
      <c r="AU27" s="739"/>
      <c r="BA27" s="2281">
        <v>2009</v>
      </c>
      <c r="BB27" s="1285">
        <v>10.685163024983835</v>
      </c>
      <c r="BC27" s="2416"/>
      <c r="BD27" s="739"/>
      <c r="BE27" s="739"/>
      <c r="BF27" s="739"/>
      <c r="BG27" s="739"/>
      <c r="BH27" s="739"/>
      <c r="BI27" s="739"/>
      <c r="BJ27" s="739"/>
      <c r="BK27" s="739"/>
      <c r="BL27" s="739"/>
      <c r="BM27" s="739"/>
      <c r="BN27" s="739"/>
      <c r="BO27" s="739"/>
      <c r="BP27" s="739"/>
      <c r="BQ27" s="739"/>
      <c r="BW27" s="2281">
        <v>2009</v>
      </c>
      <c r="BX27" s="1785">
        <f>ОТЧЁТ!EE427</f>
        <v>1.8560505362598563</v>
      </c>
      <c r="BY27" s="1785">
        <v>2.1572070386372695</v>
      </c>
      <c r="BZ27" s="1966"/>
      <c r="CA27" s="739"/>
      <c r="CB27" s="739"/>
      <c r="CC27" s="739"/>
      <c r="CD27" s="739"/>
      <c r="CE27" s="739"/>
      <c r="CF27" s="739"/>
      <c r="CG27" s="739"/>
      <c r="CH27" s="739"/>
      <c r="CI27" s="739"/>
      <c r="CJ27" s="739"/>
      <c r="CK27" s="739"/>
      <c r="CL27" s="739"/>
      <c r="CM27" s="739"/>
      <c r="CN27" s="739"/>
      <c r="CT27" s="2281">
        <v>2009</v>
      </c>
      <c r="CU27" s="2487">
        <v>595.88017241379305</v>
      </c>
      <c r="CV27" s="1966"/>
      <c r="CW27" s="739"/>
      <c r="CX27" s="739"/>
      <c r="CY27" s="739"/>
      <c r="CZ27" s="739"/>
      <c r="DA27" s="739"/>
      <c r="DB27" s="739"/>
      <c r="DC27" s="739"/>
      <c r="DD27" s="739"/>
      <c r="DE27" s="739"/>
      <c r="DF27" s="739"/>
      <c r="DG27" s="739"/>
      <c r="DH27" s="739"/>
      <c r="DI27" s="739"/>
      <c r="DJ27" s="739"/>
      <c r="DO27" s="2281">
        <v>2009</v>
      </c>
      <c r="DP27" s="2487">
        <f t="shared" si="0"/>
        <v>595.88017241379305</v>
      </c>
      <c r="DQ27" s="1247">
        <f t="shared" si="8"/>
        <v>1.1798455326378989</v>
      </c>
      <c r="DR27" s="2329">
        <v>487.12741347443301</v>
      </c>
      <c r="DS27" s="1767"/>
      <c r="DT27" s="1767"/>
      <c r="DU27" s="1767"/>
      <c r="DV27" s="1767"/>
      <c r="DW27" s="1767"/>
      <c r="DX27" s="1767"/>
      <c r="DY27" s="1767"/>
      <c r="DZ27" s="1767"/>
      <c r="EA27" s="1767"/>
      <c r="EB27" s="1767"/>
      <c r="EC27" s="1767"/>
      <c r="ED27" s="1767"/>
      <c r="EE27" s="2749"/>
      <c r="EG27" s="2281">
        <v>2009</v>
      </c>
      <c r="EH27" s="2416">
        <v>0.86499999999999999</v>
      </c>
      <c r="EI27" s="2416"/>
      <c r="EJ27" s="739"/>
      <c r="EK27" s="739"/>
      <c r="EL27" s="739"/>
      <c r="EM27" s="739"/>
      <c r="EN27" s="739"/>
      <c r="EO27" s="739"/>
      <c r="EP27" s="739"/>
      <c r="EQ27" s="739"/>
      <c r="ER27" s="739"/>
      <c r="ES27" s="739"/>
      <c r="ET27" s="739"/>
      <c r="EU27" s="739"/>
      <c r="EV27" s="739"/>
      <c r="EW27" s="739"/>
      <c r="FC27" s="2281">
        <v>2009</v>
      </c>
      <c r="FD27" s="1785">
        <v>1.8246249203084679</v>
      </c>
      <c r="FE27" s="1966"/>
      <c r="FF27" s="739"/>
      <c r="FG27" s="739"/>
      <c r="FH27" s="739"/>
      <c r="FI27" s="739"/>
      <c r="FJ27" s="739"/>
      <c r="FK27" s="739"/>
      <c r="FL27" s="739"/>
      <c r="FM27" s="739"/>
      <c r="FN27" s="739"/>
      <c r="FO27" s="739"/>
      <c r="FP27" s="739"/>
      <c r="FQ27" s="739"/>
      <c r="FR27" s="739"/>
      <c r="FS27" s="739"/>
      <c r="FY27" s="2281">
        <v>2009</v>
      </c>
      <c r="FZ27" s="2490">
        <f t="shared" si="4"/>
        <v>0.69600000000000006</v>
      </c>
      <c r="GA27" s="1966"/>
      <c r="GB27" s="739"/>
      <c r="GC27" s="739"/>
      <c r="GD27" s="739"/>
      <c r="GE27" s="739"/>
      <c r="GF27" s="739"/>
      <c r="GG27" s="739"/>
      <c r="GH27" s="739"/>
      <c r="GI27" s="739"/>
      <c r="GJ27" s="739"/>
      <c r="GK27" s="739"/>
      <c r="GL27" s="739"/>
      <c r="GM27" s="739"/>
      <c r="GN27" s="739"/>
      <c r="GO27" s="739"/>
      <c r="GU27" s="2281">
        <v>2009</v>
      </c>
      <c r="GV27" s="2509">
        <f>СЧЁТ!CN20</f>
        <v>2.5903326646952589</v>
      </c>
      <c r="GW27" s="2509">
        <f t="shared" si="1"/>
        <v>2.0635691222000796</v>
      </c>
      <c r="GX27" s="1966"/>
      <c r="GY27" s="739"/>
      <c r="GZ27" s="739"/>
      <c r="HA27" s="739"/>
      <c r="HB27" s="739"/>
      <c r="HC27" s="739"/>
      <c r="HD27" s="739"/>
      <c r="HE27" s="739"/>
      <c r="HF27" s="739"/>
      <c r="HG27" s="739"/>
      <c r="HH27" s="739"/>
      <c r="HI27" s="739"/>
      <c r="HJ27" s="739"/>
      <c r="HK27" s="739"/>
      <c r="HR27" s="2281">
        <v>2009</v>
      </c>
      <c r="HS27" s="2121">
        <v>0.20635691222000796</v>
      </c>
      <c r="HT27" s="1966"/>
      <c r="HU27" s="739"/>
      <c r="HV27" s="739"/>
      <c r="HW27" s="739"/>
      <c r="HX27" s="739"/>
      <c r="HY27" s="739"/>
      <c r="HZ27" s="739"/>
      <c r="IA27" s="739"/>
      <c r="IB27" s="739"/>
      <c r="IC27" s="739"/>
      <c r="ID27" s="739"/>
      <c r="IE27" s="739"/>
      <c r="IF27" s="739"/>
      <c r="IG27" s="739"/>
      <c r="IH27" s="739"/>
      <c r="IN27" s="2281">
        <v>2009</v>
      </c>
      <c r="IO27" s="1786">
        <v>6356.223</v>
      </c>
      <c r="IP27" s="1786">
        <f t="shared" si="6"/>
        <v>8011.1544999999996</v>
      </c>
      <c r="IQ27" s="1495">
        <v>7976.0129999999999</v>
      </c>
      <c r="IR27" s="1767"/>
      <c r="IS27" s="1767"/>
      <c r="IT27" s="1767"/>
      <c r="IU27" s="1767"/>
      <c r="IV27" s="1767"/>
      <c r="IW27" s="1767"/>
      <c r="IX27" s="1767"/>
      <c r="IY27" s="1767"/>
      <c r="IZ27" s="1767"/>
      <c r="JA27" s="1767"/>
      <c r="JJ27" s="2748"/>
      <c r="JL27" s="2281">
        <v>2009</v>
      </c>
      <c r="JM27" s="1785">
        <v>0.94899999999999995</v>
      </c>
      <c r="JN27" s="1966"/>
      <c r="JO27" s="739"/>
      <c r="JP27" s="739"/>
      <c r="JQ27" s="739"/>
      <c r="JR27" s="739"/>
      <c r="JS27" s="739"/>
      <c r="JT27" s="739"/>
      <c r="JU27" s="739"/>
      <c r="JV27" s="739"/>
      <c r="JW27" s="739"/>
      <c r="JX27" s="739"/>
      <c r="JY27" s="739"/>
      <c r="JZ27" s="739"/>
      <c r="KA27" s="739"/>
      <c r="KB27" s="739"/>
      <c r="KH27" s="2281">
        <v>2009</v>
      </c>
      <c r="KI27" s="1785">
        <v>2.1259703026753782</v>
      </c>
      <c r="KJ27" s="765"/>
      <c r="KK27" s="1966"/>
      <c r="KL27" s="739"/>
      <c r="KM27" s="739"/>
      <c r="KN27" s="739"/>
      <c r="KO27" s="739"/>
      <c r="KP27" s="739"/>
      <c r="KQ27" s="739"/>
      <c r="KR27" s="739"/>
      <c r="KS27" s="739"/>
      <c r="KT27" s="739"/>
      <c r="KU27" s="739"/>
      <c r="KV27" s="739"/>
      <c r="KW27" s="739"/>
      <c r="KX27" s="739"/>
      <c r="KY27" s="739"/>
      <c r="LE27" s="2281">
        <v>2009</v>
      </c>
      <c r="LF27" s="1597">
        <v>69.41</v>
      </c>
      <c r="LG27" s="1966"/>
      <c r="LH27" s="1597">
        <v>6.284000000000006</v>
      </c>
      <c r="LI27" s="1966"/>
      <c r="LJ27" s="739"/>
      <c r="LK27" s="739"/>
      <c r="LL27" s="739"/>
      <c r="LM27" s="739"/>
      <c r="LN27" s="739"/>
      <c r="LO27" s="739"/>
      <c r="LP27" s="739"/>
      <c r="LQ27" s="739"/>
      <c r="LR27" s="739"/>
      <c r="LS27" s="739"/>
      <c r="LT27" s="739"/>
      <c r="LU27" s="739"/>
      <c r="LV27" s="739"/>
      <c r="MB27" s="2281">
        <v>2009</v>
      </c>
      <c r="MC27" s="2131">
        <v>4643.2709050589683</v>
      </c>
      <c r="MD27" s="1966"/>
      <c r="ME27" s="739"/>
      <c r="MF27" s="739"/>
      <c r="MG27" s="739"/>
      <c r="MH27" s="739"/>
      <c r="MI27" s="739"/>
      <c r="MJ27" s="739"/>
      <c r="MK27" s="739"/>
      <c r="ML27" s="739"/>
      <c r="MM27" s="739"/>
      <c r="MN27" s="739"/>
      <c r="MO27" s="739"/>
      <c r="MP27" s="739"/>
      <c r="MQ27" s="739"/>
      <c r="MY27" s="2281">
        <v>2009</v>
      </c>
      <c r="MZ27" s="1597">
        <f t="shared" si="2"/>
        <v>66.896281588517056</v>
      </c>
      <c r="NA27" s="1966"/>
      <c r="NB27" s="739"/>
      <c r="NC27" s="739"/>
      <c r="ND27" s="739"/>
      <c r="NE27" s="739"/>
      <c r="NF27" s="739"/>
      <c r="NG27" s="739"/>
      <c r="NH27" s="739"/>
      <c r="NI27" s="739"/>
      <c r="NJ27" s="739"/>
      <c r="NK27" s="739"/>
      <c r="NL27" s="739"/>
      <c r="NM27" s="739"/>
      <c r="NN27" s="739"/>
      <c r="NO27" s="739"/>
      <c r="NV27" s="2281">
        <v>2009</v>
      </c>
      <c r="NW27" s="1785">
        <v>10.66694831320229</v>
      </c>
      <c r="NX27" s="1597">
        <v>11.642689869793951</v>
      </c>
      <c r="NY27" s="1785">
        <v>12.870829474853368</v>
      </c>
      <c r="NZ27" s="1966">
        <v>16.373566297801105</v>
      </c>
      <c r="OA27" s="739"/>
      <c r="OB27" s="739"/>
      <c r="OC27" s="739"/>
      <c r="OD27" s="739"/>
      <c r="OE27" s="739"/>
      <c r="OF27" s="739"/>
      <c r="OG27" s="739"/>
      <c r="OH27" s="739"/>
      <c r="OI27" s="739"/>
      <c r="OJ27" s="739"/>
      <c r="OK27" s="739"/>
      <c r="OS27" s="2748"/>
      <c r="OU27" s="2281">
        <v>2009</v>
      </c>
      <c r="OV27" s="1785">
        <f t="shared" si="7"/>
        <v>0.99399999999999999</v>
      </c>
      <c r="OW27" s="1966"/>
      <c r="OX27" s="739"/>
      <c r="OY27" s="739"/>
      <c r="OZ27" s="739"/>
      <c r="PA27" s="739"/>
      <c r="PB27" s="739"/>
      <c r="PC27" s="739"/>
      <c r="PD27" s="739"/>
      <c r="PE27" s="739"/>
      <c r="PF27" s="739"/>
      <c r="PG27" s="739"/>
      <c r="PH27" s="739"/>
      <c r="PI27" s="739"/>
      <c r="PJ27" s="739"/>
      <c r="PK27" s="739"/>
      <c r="PQ27" s="2281">
        <v>2009</v>
      </c>
      <c r="PR27" s="1785">
        <f>СЧЁТ!CI20</f>
        <v>1.2452724525274141</v>
      </c>
      <c r="PS27" s="1966"/>
      <c r="PT27" s="739"/>
      <c r="PU27" s="739"/>
      <c r="PV27" s="739"/>
      <c r="PW27" s="739"/>
      <c r="PX27" s="739"/>
      <c r="PY27" s="739"/>
      <c r="PZ27" s="739"/>
      <c r="QA27" s="739"/>
      <c r="QB27" s="739"/>
      <c r="QC27" s="739"/>
      <c r="QD27" s="739"/>
      <c r="QE27" s="739"/>
      <c r="QF27" s="739"/>
      <c r="QG27" s="739"/>
      <c r="QM27" s="2281">
        <v>2009</v>
      </c>
      <c r="QN27" s="1785">
        <v>0.92100000000000004</v>
      </c>
      <c r="QO27" s="1966"/>
      <c r="QP27" s="739"/>
      <c r="QQ27" s="739"/>
      <c r="QR27" s="739"/>
      <c r="QS27" s="739"/>
      <c r="QT27" s="739"/>
      <c r="QU27" s="739"/>
      <c r="QV27" s="739"/>
      <c r="QW27" s="739"/>
      <c r="QX27" s="739"/>
      <c r="QY27" s="739"/>
      <c r="QZ27" s="739"/>
      <c r="RA27" s="739"/>
      <c r="RB27" s="739"/>
      <c r="RC27" s="739"/>
      <c r="RI27" s="943">
        <v>15</v>
      </c>
      <c r="RJ27" s="2281">
        <v>2009</v>
      </c>
      <c r="RK27" s="1786">
        <v>6394.5349568029797</v>
      </c>
      <c r="RL27" s="1786"/>
      <c r="RM27" s="1495">
        <f t="shared" ref="RM27:RM36" si="12">RK27</f>
        <v>6394.5349568029797</v>
      </c>
      <c r="RN27" s="739"/>
      <c r="RO27" s="739"/>
      <c r="RP27" s="739"/>
      <c r="RQ27" s="739"/>
      <c r="RR27" s="739"/>
      <c r="RS27" s="739"/>
      <c r="RT27" s="739"/>
      <c r="RU27" s="739"/>
      <c r="RV27" s="739"/>
      <c r="RW27" s="739"/>
      <c r="RX27" s="739"/>
      <c r="RY27" s="739"/>
      <c r="RZ27" s="739"/>
      <c r="SA27" s="739"/>
      <c r="SG27" s="2281">
        <v>2009</v>
      </c>
      <c r="SH27" s="1785">
        <f t="shared" si="3"/>
        <v>0.7261311317282132</v>
      </c>
      <c r="SI27" s="1966"/>
      <c r="SJ27" s="739"/>
      <c r="SK27" s="739"/>
      <c r="SL27" s="739"/>
      <c r="SM27" s="739"/>
      <c r="SN27" s="739"/>
      <c r="SO27" s="739"/>
      <c r="SP27" s="739"/>
      <c r="SQ27" s="739"/>
      <c r="SR27" s="739"/>
      <c r="SS27" s="739"/>
      <c r="ST27" s="739"/>
      <c r="SU27" s="739"/>
      <c r="SV27" s="739"/>
      <c r="SW27" s="739"/>
      <c r="TC27" s="2281">
        <v>2009</v>
      </c>
      <c r="TD27" s="1785">
        <v>1.6596525707433942</v>
      </c>
      <c r="TE27" s="1966"/>
      <c r="TF27" s="739"/>
      <c r="TG27" s="739"/>
      <c r="TH27" s="739"/>
      <c r="TI27" s="739"/>
      <c r="TJ27" s="739"/>
      <c r="TK27" s="739"/>
      <c r="TL27" s="739"/>
      <c r="TM27" s="739"/>
      <c r="TN27" s="739"/>
      <c r="TO27" s="739"/>
      <c r="TP27" s="739"/>
      <c r="TQ27" s="739"/>
      <c r="TX27" s="2748"/>
      <c r="TZ27" s="2281">
        <v>2009</v>
      </c>
      <c r="UA27" s="1785">
        <f t="shared" si="5"/>
        <v>0.92</v>
      </c>
      <c r="UB27" s="2029">
        <f t="shared" si="10"/>
        <v>0.92</v>
      </c>
      <c r="UC27" s="1966"/>
      <c r="UD27" s="739"/>
      <c r="UE27" s="739"/>
      <c r="UF27" s="739"/>
      <c r="UG27" s="739"/>
      <c r="UH27" s="739"/>
      <c r="UI27" s="739"/>
      <c r="UJ27" s="739"/>
      <c r="UK27" s="739"/>
      <c r="UL27" s="739"/>
      <c r="UM27" s="739"/>
      <c r="UN27" s="739"/>
      <c r="UO27" s="739"/>
      <c r="UP27" s="739"/>
      <c r="UQ27" s="739"/>
      <c r="UW27" s="2281">
        <v>2009</v>
      </c>
      <c r="UX27" s="2029">
        <f>СЧЁТ!CK20</f>
        <v>0.68711218832668164</v>
      </c>
      <c r="UY27" s="1966"/>
      <c r="UZ27" s="739"/>
      <c r="VA27" s="739"/>
      <c r="VB27" s="739"/>
      <c r="VC27" s="739"/>
      <c r="VD27" s="739"/>
      <c r="VE27" s="739"/>
      <c r="VF27" s="739"/>
      <c r="VG27" s="739"/>
      <c r="VH27" s="739"/>
      <c r="VI27" s="739"/>
      <c r="VJ27" s="739"/>
      <c r="VK27" s="739"/>
      <c r="VL27" s="739"/>
      <c r="VM27" s="739"/>
      <c r="VS27" s="2281">
        <v>2009</v>
      </c>
      <c r="VT27" s="1785">
        <v>0.92100000000000004</v>
      </c>
      <c r="VU27" s="1966"/>
      <c r="VV27" s="739"/>
      <c r="VW27" s="739"/>
      <c r="VX27" s="739"/>
      <c r="VY27" s="739"/>
      <c r="VZ27" s="739"/>
      <c r="WA27" s="739"/>
      <c r="WB27" s="739"/>
      <c r="WC27" s="739"/>
      <c r="WD27" s="739"/>
      <c r="WE27" s="739"/>
      <c r="WF27" s="739"/>
      <c r="WG27" s="739"/>
      <c r="WH27" s="739"/>
      <c r="WI27" s="739"/>
      <c r="WO27" s="2281">
        <v>2009</v>
      </c>
      <c r="WP27" s="2131">
        <v>4643.2709050589683</v>
      </c>
      <c r="WQ27" s="1786">
        <f t="shared" si="11"/>
        <v>5173.1787800536113</v>
      </c>
      <c r="WR27" s="1495">
        <v>4643.2709050589683</v>
      </c>
      <c r="WS27" s="739"/>
      <c r="WT27" s="739"/>
      <c r="WU27" s="739"/>
      <c r="WV27" s="739"/>
      <c r="WW27" s="739"/>
      <c r="WX27" s="739"/>
      <c r="WY27" s="739"/>
      <c r="WZ27" s="739"/>
      <c r="XA27" s="739"/>
      <c r="XB27" s="739"/>
      <c r="XC27" s="739"/>
      <c r="XD27" s="739"/>
      <c r="XE27" s="739"/>
      <c r="XF27" s="739"/>
      <c r="XK27" s="2492">
        <v>2009</v>
      </c>
      <c r="XL27" s="2490">
        <f xml:space="preserve"> 1 -(WQ27-WP27)/WQ27</f>
        <v>0.89756629385440423</v>
      </c>
      <c r="XM27" s="1966"/>
      <c r="XN27" s="739"/>
      <c r="XO27" s="739"/>
      <c r="XP27" s="739"/>
      <c r="XQ27" s="739"/>
      <c r="XR27" s="739"/>
      <c r="XS27" s="739"/>
      <c r="XT27" s="739"/>
      <c r="XU27" s="739"/>
      <c r="XV27" s="739"/>
      <c r="XW27" s="739"/>
      <c r="XX27" s="739"/>
      <c r="XY27" s="739"/>
      <c r="XZ27" s="739"/>
      <c r="YA27" s="739"/>
      <c r="YG27" s="2281">
        <v>2009</v>
      </c>
      <c r="YH27" s="1785">
        <v>1.6596525707433942</v>
      </c>
      <c r="YI27" s="1966"/>
      <c r="YJ27" s="739"/>
      <c r="YK27" s="739"/>
      <c r="YL27" s="739"/>
      <c r="YM27" s="739"/>
      <c r="YN27" s="739"/>
      <c r="YO27" s="739"/>
      <c r="YP27" s="739"/>
      <c r="YQ27" s="739"/>
      <c r="YR27" s="739"/>
      <c r="YS27" s="739"/>
      <c r="YT27" s="739"/>
      <c r="YU27" s="739"/>
      <c r="ZE27" s="2587" t="s">
        <v>2168</v>
      </c>
      <c r="ZF27" s="765"/>
      <c r="ZG27" s="765"/>
      <c r="ZH27" s="765"/>
      <c r="ZI27" s="765"/>
      <c r="ZJ27" s="765"/>
      <c r="ZK27" s="765"/>
      <c r="ZL27" s="765"/>
      <c r="ZM27" s="765"/>
      <c r="ZN27" s="765"/>
      <c r="ZO27" s="765"/>
      <c r="ZP27" s="777"/>
    </row>
    <row r="28" spans="5:692" ht="20.399999999999999">
      <c r="G28" s="2281">
        <v>2010</v>
      </c>
      <c r="H28" s="2490">
        <v>1.0449999999999999</v>
      </c>
      <c r="I28" s="2416"/>
      <c r="K28" s="739"/>
      <c r="L28" s="739"/>
      <c r="M28" s="739"/>
      <c r="N28" s="739"/>
      <c r="O28" s="739"/>
      <c r="P28" s="739"/>
      <c r="Q28" s="739"/>
      <c r="R28" s="739"/>
      <c r="S28" s="739"/>
      <c r="T28" s="739"/>
      <c r="U28" s="739"/>
      <c r="V28" s="739"/>
      <c r="W28" s="739"/>
      <c r="X28" s="739"/>
      <c r="AD28" s="2281">
        <v>2010</v>
      </c>
      <c r="AE28" s="1785">
        <f>AE27*H28</f>
        <v>1.7343369364268468</v>
      </c>
      <c r="AF28" s="765"/>
      <c r="AG28" s="1966"/>
      <c r="AH28" s="739"/>
      <c r="AI28" s="739"/>
      <c r="AJ28" s="739"/>
      <c r="AK28" s="739"/>
      <c r="AL28" s="739"/>
      <c r="AM28" s="739"/>
      <c r="AN28" s="739"/>
      <c r="AO28" s="739"/>
      <c r="AP28" s="739"/>
      <c r="AQ28" s="739"/>
      <c r="AR28" s="739"/>
      <c r="AS28" s="739"/>
      <c r="AT28" s="739"/>
      <c r="AU28" s="739"/>
      <c r="BA28" s="2281">
        <v>2010</v>
      </c>
      <c r="BB28" s="1285">
        <v>12.376778209553063</v>
      </c>
      <c r="BC28" s="2416"/>
      <c r="BD28" s="739"/>
      <c r="BE28" s="739"/>
      <c r="BF28" s="739"/>
      <c r="BG28" s="739"/>
      <c r="BH28" s="739"/>
      <c r="BI28" s="739"/>
      <c r="BJ28" s="739"/>
      <c r="BK28" s="739"/>
      <c r="BL28" s="739"/>
      <c r="BM28" s="739"/>
      <c r="BN28" s="739"/>
      <c r="BO28" s="739"/>
      <c r="BP28" s="739"/>
      <c r="BQ28" s="739"/>
      <c r="BW28" s="2281">
        <v>2010</v>
      </c>
      <c r="BX28" s="1785">
        <f>ОТЧЁТ!EE428</f>
        <v>2.3303907302212532</v>
      </c>
      <c r="BY28" s="1785">
        <v>2.3082115313418785</v>
      </c>
      <c r="BZ28" s="1966"/>
      <c r="CA28" s="739"/>
      <c r="CB28" s="739"/>
      <c r="CC28" s="739"/>
      <c r="CD28" s="739"/>
      <c r="CE28" s="739"/>
      <c r="CF28" s="739"/>
      <c r="CG28" s="739"/>
      <c r="CH28" s="739"/>
      <c r="CI28" s="739"/>
      <c r="CJ28" s="739"/>
      <c r="CK28" s="739"/>
      <c r="CL28" s="739"/>
      <c r="CM28" s="739"/>
      <c r="CN28" s="739"/>
      <c r="CT28" s="2281">
        <v>2010</v>
      </c>
      <c r="CU28" s="2487">
        <v>556.55208103448274</v>
      </c>
      <c r="CV28" s="1966"/>
      <c r="CW28" s="739"/>
      <c r="CX28" s="739"/>
      <c r="CY28" s="739"/>
      <c r="CZ28" s="739"/>
      <c r="DA28" s="739"/>
      <c r="DB28" s="739"/>
      <c r="DC28" s="739"/>
      <c r="DD28" s="739"/>
      <c r="DE28" s="739"/>
      <c r="DF28" s="739"/>
      <c r="DG28" s="739"/>
      <c r="DH28" s="739"/>
      <c r="DI28" s="739"/>
      <c r="DJ28" s="739"/>
      <c r="DO28" s="2281">
        <v>2010</v>
      </c>
      <c r="DP28" s="2487">
        <f t="shared" si="0"/>
        <v>556.55208103448274</v>
      </c>
      <c r="DQ28" s="1247">
        <f t="shared" si="8"/>
        <v>1.0781457205437925</v>
      </c>
      <c r="DR28" s="2329">
        <v>517.81644052332229</v>
      </c>
      <c r="DS28" s="1767"/>
      <c r="DT28" s="1767"/>
      <c r="DU28" s="1767"/>
      <c r="DV28" s="1767"/>
      <c r="DW28" s="1767"/>
      <c r="DX28" s="1767"/>
      <c r="DY28" s="1767"/>
      <c r="DZ28" s="1767"/>
      <c r="EA28" s="1767"/>
      <c r="EB28" s="1767"/>
      <c r="EC28" s="1767"/>
      <c r="ED28" s="1767"/>
      <c r="EE28" s="2749"/>
      <c r="EG28" s="2281">
        <v>2010</v>
      </c>
      <c r="EH28" s="2416">
        <v>1.0629999999999999</v>
      </c>
      <c r="EI28" s="2416"/>
      <c r="EJ28" s="739"/>
      <c r="EK28" s="739"/>
      <c r="EL28" s="739"/>
      <c r="EM28" s="739"/>
      <c r="EN28" s="739"/>
      <c r="EO28" s="739"/>
      <c r="EP28" s="739"/>
      <c r="EQ28" s="739"/>
      <c r="ER28" s="739"/>
      <c r="ES28" s="739"/>
      <c r="ET28" s="739"/>
      <c r="EU28" s="739"/>
      <c r="EV28" s="739"/>
      <c r="EW28" s="739"/>
      <c r="FC28" s="2281">
        <v>2010</v>
      </c>
      <c r="FD28" s="1785">
        <v>1.9395762902879012</v>
      </c>
      <c r="FE28" s="1966"/>
      <c r="FF28" s="739"/>
      <c r="FG28" s="739"/>
      <c r="FH28" s="739"/>
      <c r="FI28" s="739"/>
      <c r="FJ28" s="739"/>
      <c r="FK28" s="739"/>
      <c r="FL28" s="739"/>
      <c r="FM28" s="739"/>
      <c r="FN28" s="739"/>
      <c r="FO28" s="739"/>
      <c r="FP28" s="739"/>
      <c r="FQ28" s="739"/>
      <c r="FR28" s="739"/>
      <c r="FS28" s="739"/>
      <c r="FY28" s="2281">
        <v>2010</v>
      </c>
      <c r="FZ28" s="2490">
        <f t="shared" si="4"/>
        <v>1.2579999999999998</v>
      </c>
      <c r="GA28" s="1966"/>
      <c r="GB28" s="739"/>
      <c r="GC28" s="739"/>
      <c r="GD28" s="739"/>
      <c r="GE28" s="739"/>
      <c r="GF28" s="739"/>
      <c r="GG28" s="739"/>
      <c r="GH28" s="739"/>
      <c r="GI28" s="739"/>
      <c r="GJ28" s="739"/>
      <c r="GK28" s="739"/>
      <c r="GL28" s="739"/>
      <c r="GM28" s="739"/>
      <c r="GN28" s="739"/>
      <c r="GO28" s="739"/>
      <c r="GU28" s="2281">
        <v>2010</v>
      </c>
      <c r="GV28" s="2509">
        <f>СЧЁТ!CN21</f>
        <v>3.2586384921866354</v>
      </c>
      <c r="GW28" s="2509">
        <f t="shared" si="1"/>
        <v>2.4723523387882858</v>
      </c>
      <c r="GX28" s="1966"/>
      <c r="GY28" s="739"/>
      <c r="GZ28" s="739"/>
      <c r="HA28" s="739"/>
      <c r="HB28" s="739"/>
      <c r="HC28" s="739"/>
      <c r="HD28" s="739"/>
      <c r="HE28" s="739"/>
      <c r="HF28" s="739"/>
      <c r="HG28" s="739"/>
      <c r="HH28" s="739"/>
      <c r="HI28" s="739"/>
      <c r="HJ28" s="739"/>
      <c r="HK28" s="739"/>
      <c r="HR28" s="2281">
        <v>2010</v>
      </c>
      <c r="HS28" s="2121">
        <v>0.24723523387882859</v>
      </c>
      <c r="HT28" s="1966"/>
      <c r="HU28" s="739"/>
      <c r="HV28" s="739"/>
      <c r="HW28" s="739"/>
      <c r="HX28" s="739"/>
      <c r="HY28" s="739"/>
      <c r="HZ28" s="739"/>
      <c r="IA28" s="739"/>
      <c r="IB28" s="739"/>
      <c r="IC28" s="739"/>
      <c r="ID28" s="739"/>
      <c r="IE28" s="739"/>
      <c r="IF28" s="739"/>
      <c r="IG28" s="739"/>
      <c r="IH28" s="739"/>
      <c r="IN28" s="2281">
        <v>2010</v>
      </c>
      <c r="IO28" s="1786">
        <v>6275.9309999999996</v>
      </c>
      <c r="IP28" s="1786">
        <f t="shared" si="6"/>
        <v>8879.8341999999993</v>
      </c>
      <c r="IQ28" s="1495">
        <v>9152.1</v>
      </c>
      <c r="IR28" s="1767"/>
      <c r="IS28" s="1767"/>
      <c r="IT28" s="1767"/>
      <c r="IU28" s="1767"/>
      <c r="IV28" s="1767"/>
      <c r="IW28" s="1767"/>
      <c r="IX28" s="1767"/>
      <c r="IY28" s="1767"/>
      <c r="IZ28" s="1767"/>
      <c r="JA28" s="1767"/>
      <c r="JJ28" s="2748"/>
      <c r="JL28" s="2281">
        <v>2010</v>
      </c>
      <c r="JM28" s="1785">
        <v>1.0549999999999999</v>
      </c>
      <c r="JN28" s="1966"/>
      <c r="JO28" s="739"/>
      <c r="JP28" s="739"/>
      <c r="JQ28" s="739"/>
      <c r="JR28" s="739"/>
      <c r="JS28" s="739"/>
      <c r="JT28" s="739"/>
      <c r="JU28" s="739"/>
      <c r="JV28" s="739"/>
      <c r="JW28" s="739"/>
      <c r="JX28" s="739"/>
      <c r="JY28" s="739"/>
      <c r="JZ28" s="739"/>
      <c r="KA28" s="739"/>
      <c r="KB28" s="739"/>
      <c r="KH28" s="2281">
        <v>2010</v>
      </c>
      <c r="KI28" s="1785">
        <v>2.2428986693225239</v>
      </c>
      <c r="KJ28" s="765"/>
      <c r="KK28" s="1966"/>
      <c r="KL28" s="739"/>
      <c r="KM28" s="739"/>
      <c r="KN28" s="739"/>
      <c r="KO28" s="739"/>
      <c r="KP28" s="739"/>
      <c r="KQ28" s="739"/>
      <c r="KR28" s="739"/>
      <c r="KS28" s="739"/>
      <c r="KT28" s="739"/>
      <c r="KU28" s="739"/>
      <c r="KV28" s="739"/>
      <c r="KW28" s="739"/>
      <c r="KX28" s="739"/>
      <c r="KY28" s="739"/>
      <c r="LE28" s="2281">
        <v>2010</v>
      </c>
      <c r="LF28" s="1597">
        <v>69.933708461473046</v>
      </c>
      <c r="LG28" s="1966"/>
      <c r="LH28" s="1597">
        <v>5.5441655838158379</v>
      </c>
      <c r="LI28" s="1966"/>
      <c r="LJ28" s="739"/>
      <c r="LK28" s="739"/>
      <c r="LL28" s="739"/>
      <c r="LM28" s="739"/>
      <c r="LN28" s="739"/>
      <c r="LO28" s="739"/>
      <c r="LP28" s="739"/>
      <c r="LQ28" s="739"/>
      <c r="LR28" s="739"/>
      <c r="LS28" s="739"/>
      <c r="LT28" s="739"/>
      <c r="LU28" s="739"/>
      <c r="LV28" s="739"/>
      <c r="MB28" s="2281">
        <v>2010</v>
      </c>
      <c r="MC28" s="2131">
        <v>4875.4344503119164</v>
      </c>
      <c r="MD28" s="1966"/>
      <c r="ME28" s="739"/>
      <c r="MF28" s="739"/>
      <c r="MG28" s="739"/>
      <c r="MH28" s="739"/>
      <c r="MI28" s="739"/>
      <c r="MJ28" s="739"/>
      <c r="MK28" s="739"/>
      <c r="ML28" s="739"/>
      <c r="MM28" s="739"/>
      <c r="MN28" s="739"/>
      <c r="MO28" s="739"/>
      <c r="MP28" s="739"/>
      <c r="MQ28" s="739"/>
      <c r="MY28" s="2281">
        <v>2010</v>
      </c>
      <c r="MZ28" s="1597">
        <f t="shared" si="2"/>
        <v>69.715085293922698</v>
      </c>
      <c r="NA28" s="1966"/>
      <c r="NB28" s="739"/>
      <c r="NC28" s="739"/>
      <c r="ND28" s="739"/>
      <c r="NE28" s="739"/>
      <c r="NF28" s="739"/>
      <c r="NG28" s="739"/>
      <c r="NH28" s="739"/>
      <c r="NI28" s="739"/>
      <c r="NJ28" s="739"/>
      <c r="NK28" s="739"/>
      <c r="NL28" s="739"/>
      <c r="NM28" s="739"/>
      <c r="NN28" s="739"/>
      <c r="NO28" s="739"/>
      <c r="NV28" s="2281">
        <v>2010</v>
      </c>
      <c r="NW28" s="1785">
        <v>11.27644871677545</v>
      </c>
      <c r="NX28" s="1597">
        <v>12.664918040361862</v>
      </c>
      <c r="NY28" s="1785">
        <v>14.148307151553455</v>
      </c>
      <c r="NZ28" s="1966">
        <v>17.674409856030426</v>
      </c>
      <c r="OA28" s="739"/>
      <c r="OB28" s="739"/>
      <c r="OC28" s="739"/>
      <c r="OD28" s="739"/>
      <c r="OE28" s="739"/>
      <c r="OF28" s="739"/>
      <c r="OG28" s="739"/>
      <c r="OH28" s="739"/>
      <c r="OI28" s="739"/>
      <c r="OJ28" s="739"/>
      <c r="OK28" s="739"/>
      <c r="OS28" s="2748"/>
      <c r="OU28" s="2281">
        <v>2010</v>
      </c>
      <c r="OV28" s="1785">
        <f t="shared" si="7"/>
        <v>0.98499999999999999</v>
      </c>
      <c r="OW28" s="1966"/>
      <c r="OX28" s="739"/>
      <c r="OY28" s="739"/>
      <c r="OZ28" s="739"/>
      <c r="PA28" s="739"/>
      <c r="PB28" s="739"/>
      <c r="PC28" s="739"/>
      <c r="PD28" s="739"/>
      <c r="PE28" s="739"/>
      <c r="PF28" s="739"/>
      <c r="PG28" s="739"/>
      <c r="PH28" s="739"/>
      <c r="PI28" s="739"/>
      <c r="PJ28" s="739"/>
      <c r="PK28" s="739"/>
      <c r="PQ28" s="2281">
        <v>2010</v>
      </c>
      <c r="PR28" s="1785">
        <f>СЧЁТ!CI21</f>
        <v>1.2265933657395029</v>
      </c>
      <c r="PS28" s="1966"/>
      <c r="PT28" s="739"/>
      <c r="PU28" s="739"/>
      <c r="PV28" s="739"/>
      <c r="PW28" s="739"/>
      <c r="PX28" s="739"/>
      <c r="PY28" s="739"/>
      <c r="PZ28" s="739"/>
      <c r="QA28" s="739"/>
      <c r="QB28" s="739"/>
      <c r="QC28" s="739"/>
      <c r="QD28" s="739"/>
      <c r="QE28" s="739"/>
      <c r="QF28" s="739"/>
      <c r="QG28" s="739"/>
      <c r="QM28" s="2281">
        <v>2010</v>
      </c>
      <c r="QN28" s="1785">
        <v>1.0449999999999999</v>
      </c>
      <c r="QO28" s="1966"/>
      <c r="QP28" s="739"/>
      <c r="QQ28" s="739"/>
      <c r="QR28" s="739"/>
      <c r="QS28" s="739"/>
      <c r="QT28" s="739"/>
      <c r="QU28" s="739"/>
      <c r="QV28" s="739"/>
      <c r="QW28" s="739"/>
      <c r="QX28" s="739"/>
      <c r="QY28" s="739"/>
      <c r="QZ28" s="739"/>
      <c r="RA28" s="739"/>
      <c r="RB28" s="739"/>
      <c r="RC28" s="739"/>
      <c r="RI28" s="943">
        <v>16</v>
      </c>
      <c r="RJ28" s="2281">
        <v>2010</v>
      </c>
      <c r="RK28" s="1786">
        <v>6586.3710055070696</v>
      </c>
      <c r="RL28" s="1786"/>
      <c r="RM28" s="1495">
        <f t="shared" si="12"/>
        <v>6586.3710055070696</v>
      </c>
      <c r="RN28" s="739"/>
      <c r="RO28" s="739"/>
      <c r="RP28" s="739"/>
      <c r="RQ28" s="739"/>
      <c r="RR28" s="739"/>
      <c r="RS28" s="739"/>
      <c r="RT28" s="739"/>
      <c r="RU28" s="739"/>
      <c r="RV28" s="739"/>
      <c r="RW28" s="739"/>
      <c r="RX28" s="739"/>
      <c r="RY28" s="739"/>
      <c r="RZ28" s="739"/>
      <c r="SA28" s="739"/>
      <c r="SG28" s="2281">
        <v>2010</v>
      </c>
      <c r="SH28" s="1785">
        <f t="shared" si="3"/>
        <v>0.74023076535400356</v>
      </c>
      <c r="SI28" s="1966"/>
      <c r="SJ28" s="739"/>
      <c r="SK28" s="739"/>
      <c r="SL28" s="739"/>
      <c r="SM28" s="739"/>
      <c r="SN28" s="739"/>
      <c r="SO28" s="739"/>
      <c r="SP28" s="739"/>
      <c r="SQ28" s="739"/>
      <c r="SR28" s="739"/>
      <c r="SS28" s="739"/>
      <c r="ST28" s="739"/>
      <c r="SU28" s="739"/>
      <c r="SV28" s="739"/>
      <c r="SW28" s="739"/>
      <c r="TC28" s="2281">
        <v>2010</v>
      </c>
      <c r="TD28" s="1785">
        <v>1.7343369364268468</v>
      </c>
      <c r="TE28" s="1966"/>
      <c r="TF28" s="739"/>
      <c r="TG28" s="739"/>
      <c r="TH28" s="739"/>
      <c r="TI28" s="739"/>
      <c r="TJ28" s="739"/>
      <c r="TK28" s="739"/>
      <c r="TL28" s="739"/>
      <c r="TM28" s="739"/>
      <c r="TN28" s="739"/>
      <c r="TO28" s="739"/>
      <c r="TP28" s="739"/>
      <c r="TQ28" s="739"/>
      <c r="TX28" s="2748"/>
      <c r="TZ28" s="2281">
        <v>2010</v>
      </c>
      <c r="UA28" s="1785">
        <f t="shared" si="5"/>
        <v>0.995</v>
      </c>
      <c r="UB28" s="2029">
        <f t="shared" si="10"/>
        <v>0.995</v>
      </c>
      <c r="UC28" s="1966"/>
      <c r="UD28" s="739"/>
      <c r="UE28" s="739"/>
      <c r="UF28" s="739"/>
      <c r="UG28" s="739"/>
      <c r="UH28" s="739"/>
      <c r="UI28" s="739"/>
      <c r="UJ28" s="739"/>
      <c r="UK28" s="739"/>
      <c r="UL28" s="739"/>
      <c r="UM28" s="739"/>
      <c r="UN28" s="739"/>
      <c r="UO28" s="739"/>
      <c r="UP28" s="739"/>
      <c r="UQ28" s="739"/>
      <c r="UW28" s="2281">
        <v>2010</v>
      </c>
      <c r="UX28" s="2029">
        <f>СЧЁТ!CK21</f>
        <v>0.6836766273850482</v>
      </c>
      <c r="UY28" s="1966"/>
      <c r="UZ28" s="739"/>
      <c r="VA28" s="739"/>
      <c r="VB28" s="739"/>
      <c r="VC28" s="739"/>
      <c r="VD28" s="739"/>
      <c r="VE28" s="739"/>
      <c r="VF28" s="739"/>
      <c r="VG28" s="739"/>
      <c r="VH28" s="739"/>
      <c r="VI28" s="739"/>
      <c r="VJ28" s="739"/>
      <c r="VK28" s="739"/>
      <c r="VL28" s="739"/>
      <c r="VM28" s="739"/>
      <c r="VS28" s="2281">
        <v>2010</v>
      </c>
      <c r="VT28" s="1785">
        <v>1.0449999999999999</v>
      </c>
      <c r="VU28" s="1966"/>
      <c r="VV28" s="739"/>
      <c r="VW28" s="739"/>
      <c r="VX28" s="739"/>
      <c r="VY28" s="739"/>
      <c r="VZ28" s="739"/>
      <c r="WA28" s="739"/>
      <c r="WB28" s="739"/>
      <c r="WC28" s="739"/>
      <c r="WD28" s="739"/>
      <c r="WE28" s="739"/>
      <c r="WF28" s="739"/>
      <c r="WG28" s="739"/>
      <c r="WH28" s="739"/>
      <c r="WI28" s="739"/>
      <c r="WO28" s="2281">
        <v>2010</v>
      </c>
      <c r="WP28" s="2131">
        <v>4875.4344503119164</v>
      </c>
      <c r="WQ28" s="1786">
        <f t="shared" si="11"/>
        <v>5328.3741434552194</v>
      </c>
      <c r="WR28" s="1495">
        <v>4875.4344503119164</v>
      </c>
      <c r="WS28" s="739"/>
      <c r="WT28" s="739"/>
      <c r="WU28" s="739"/>
      <c r="WV28" s="739"/>
      <c r="WW28" s="739"/>
      <c r="WX28" s="739"/>
      <c r="WY28" s="739"/>
      <c r="WZ28" s="739"/>
      <c r="XA28" s="739"/>
      <c r="XB28" s="739"/>
      <c r="XC28" s="739"/>
      <c r="XD28" s="739"/>
      <c r="XE28" s="739"/>
      <c r="XF28" s="739"/>
      <c r="XK28" s="2492">
        <v>2010</v>
      </c>
      <c r="XL28" s="2490">
        <f t="shared" ref="XL28:XL36" si="13" xml:space="preserve"> 1 -(WQ28-WP28)/WQ28</f>
        <v>0.91499476557973247</v>
      </c>
      <c r="XM28" s="1966"/>
      <c r="XN28" s="739"/>
      <c r="XO28" s="739"/>
      <c r="XP28" s="739"/>
      <c r="XQ28" s="739"/>
      <c r="XR28" s="739"/>
      <c r="XS28" s="739"/>
      <c r="XT28" s="739"/>
      <c r="XU28" s="739"/>
      <c r="XV28" s="739"/>
      <c r="XW28" s="739"/>
      <c r="XX28" s="739"/>
      <c r="XY28" s="739"/>
      <c r="XZ28" s="739"/>
      <c r="YA28" s="739"/>
      <c r="YG28" s="2281">
        <v>2010</v>
      </c>
      <c r="YH28" s="1785">
        <v>1.7343369364268468</v>
      </c>
      <c r="YI28" s="1966"/>
      <c r="YJ28" s="739"/>
      <c r="YK28" s="739"/>
      <c r="YL28" s="739"/>
      <c r="YM28" s="739"/>
      <c r="YN28" s="739"/>
      <c r="YO28" s="739"/>
      <c r="YP28" s="739"/>
      <c r="YQ28" s="739"/>
      <c r="YR28" s="739"/>
      <c r="YS28" s="739"/>
      <c r="YT28" s="739"/>
      <c r="YU28" s="739"/>
      <c r="ZE28" s="2587" t="s">
        <v>2169</v>
      </c>
      <c r="ZF28" s="765"/>
      <c r="ZG28" s="765"/>
      <c r="ZH28" s="765"/>
      <c r="ZI28" s="765"/>
      <c r="ZJ28" s="765"/>
      <c r="ZK28" s="765"/>
      <c r="ZL28" s="765"/>
      <c r="ZM28" s="765"/>
      <c r="ZN28" s="765"/>
      <c r="ZO28" s="765"/>
      <c r="ZP28" s="777"/>
    </row>
    <row r="29" spans="5:692" ht="20.399999999999999">
      <c r="G29" s="2281">
        <v>2011</v>
      </c>
      <c r="H29" s="2490">
        <v>1.0429999999999999</v>
      </c>
      <c r="I29" s="2416"/>
      <c r="K29" s="739"/>
      <c r="L29" s="739"/>
      <c r="M29" s="739"/>
      <c r="N29" s="739"/>
      <c r="O29" s="739"/>
      <c r="P29" s="739"/>
      <c r="Q29" s="739"/>
      <c r="R29" s="739"/>
      <c r="S29" s="739"/>
      <c r="T29" s="739"/>
      <c r="U29" s="739"/>
      <c r="V29" s="739"/>
      <c r="W29" s="739"/>
      <c r="X29" s="739"/>
      <c r="AD29" s="2281">
        <v>2011</v>
      </c>
      <c r="AE29" s="1785">
        <f>AE28*H29</f>
        <v>1.808913424693201</v>
      </c>
      <c r="AF29" s="765"/>
      <c r="AG29" s="1966"/>
      <c r="AH29" s="739"/>
      <c r="AI29" s="739"/>
      <c r="AJ29" s="739"/>
      <c r="AK29" s="739"/>
      <c r="AL29" s="739"/>
      <c r="AM29" s="739"/>
      <c r="AN29" s="739"/>
      <c r="AO29" s="739"/>
      <c r="AP29" s="739"/>
      <c r="AQ29" s="739"/>
      <c r="AR29" s="739"/>
      <c r="AS29" s="739"/>
      <c r="AT29" s="739"/>
      <c r="AU29" s="739"/>
      <c r="BA29" s="2281">
        <v>2011</v>
      </c>
      <c r="BB29" s="1285">
        <v>14.886630426588821</v>
      </c>
      <c r="BC29" s="2416"/>
      <c r="BD29" s="739"/>
      <c r="BE29" s="739"/>
      <c r="BF29" s="739"/>
      <c r="BG29" s="739"/>
      <c r="BH29" s="739"/>
      <c r="BI29" s="739"/>
      <c r="BJ29" s="739"/>
      <c r="BK29" s="739"/>
      <c r="BL29" s="739"/>
      <c r="BM29" s="739"/>
      <c r="BN29" s="739"/>
      <c r="BO29" s="739"/>
      <c r="BP29" s="739"/>
      <c r="BQ29" s="739"/>
      <c r="BW29" s="2281">
        <v>2011</v>
      </c>
      <c r="BX29" s="1785">
        <f>ОТЧЁТ!EE429</f>
        <v>2.683219177751119</v>
      </c>
      <c r="BY29" s="1785">
        <v>2.315136165935904</v>
      </c>
      <c r="BZ29" s="1966"/>
      <c r="CA29" s="739"/>
      <c r="CB29" s="739"/>
      <c r="CC29" s="739"/>
      <c r="CD29" s="739"/>
      <c r="CE29" s="739"/>
      <c r="CF29" s="739"/>
      <c r="CG29" s="739"/>
      <c r="CH29" s="739"/>
      <c r="CI29" s="739"/>
      <c r="CJ29" s="739"/>
      <c r="CK29" s="739"/>
      <c r="CL29" s="739"/>
      <c r="CM29" s="739"/>
      <c r="CN29" s="739"/>
      <c r="CT29" s="2281">
        <v>2011</v>
      </c>
      <c r="CU29" s="2487">
        <v>717.5262886488664</v>
      </c>
      <c r="CV29" s="1966"/>
      <c r="CW29" s="739"/>
      <c r="CX29" s="739"/>
      <c r="CY29" s="739"/>
      <c r="CZ29" s="739"/>
      <c r="DA29" s="739"/>
      <c r="DB29" s="739"/>
      <c r="DC29" s="739"/>
      <c r="DD29" s="739"/>
      <c r="DE29" s="739"/>
      <c r="DF29" s="739"/>
      <c r="DG29" s="739"/>
      <c r="DH29" s="739"/>
      <c r="DI29" s="739"/>
      <c r="DJ29" s="739"/>
      <c r="DO29" s="2281">
        <v>2011</v>
      </c>
      <c r="DP29" s="2487">
        <f t="shared" si="0"/>
        <v>717.5262886488664</v>
      </c>
      <c r="DQ29" s="1247">
        <f t="shared" si="8"/>
        <v>1.2954205891742936</v>
      </c>
      <c r="DR29" s="2329">
        <v>573.74061609984119</v>
      </c>
      <c r="DS29" s="1767"/>
      <c r="DT29" s="1767"/>
      <c r="DU29" s="1767"/>
      <c r="DV29" s="1767"/>
      <c r="DW29" s="1767"/>
      <c r="DX29" s="1767"/>
      <c r="DY29" s="1767"/>
      <c r="DZ29" s="1767"/>
      <c r="EA29" s="1767"/>
      <c r="EB29" s="1767"/>
      <c r="EC29" s="1767"/>
      <c r="ED29" s="1767"/>
      <c r="EE29" s="2749"/>
      <c r="EG29" s="2281">
        <v>2011</v>
      </c>
      <c r="EH29" s="2416">
        <v>1.1080000000000001</v>
      </c>
      <c r="EI29" s="2416"/>
      <c r="EJ29" s="739"/>
      <c r="EK29" s="739"/>
      <c r="EL29" s="739"/>
      <c r="EM29" s="739"/>
      <c r="EN29" s="739"/>
      <c r="EO29" s="739"/>
      <c r="EP29" s="739"/>
      <c r="EQ29" s="739"/>
      <c r="ER29" s="739"/>
      <c r="ES29" s="739"/>
      <c r="ET29" s="739"/>
      <c r="EU29" s="739"/>
      <c r="EV29" s="739"/>
      <c r="EW29" s="739"/>
      <c r="FC29" s="2281">
        <v>2011</v>
      </c>
      <c r="FD29" s="1785">
        <v>2.1490505296389948</v>
      </c>
      <c r="FE29" s="1966"/>
      <c r="FF29" s="739"/>
      <c r="FG29" s="739"/>
      <c r="FH29" s="739"/>
      <c r="FI29" s="739"/>
      <c r="FJ29" s="739"/>
      <c r="FK29" s="739"/>
      <c r="FL29" s="739"/>
      <c r="FM29" s="739"/>
      <c r="FN29" s="739"/>
      <c r="FO29" s="739"/>
      <c r="FP29" s="739"/>
      <c r="FQ29" s="739"/>
      <c r="FR29" s="739"/>
      <c r="FS29" s="739"/>
      <c r="FY29" s="2281">
        <v>2011</v>
      </c>
      <c r="FZ29" s="2490">
        <f t="shared" si="4"/>
        <v>1.2029999999999998</v>
      </c>
      <c r="GA29" s="1966"/>
      <c r="GB29" s="739"/>
      <c r="GC29" s="739"/>
      <c r="GD29" s="739"/>
      <c r="GE29" s="739"/>
      <c r="GF29" s="739"/>
      <c r="GG29" s="739"/>
      <c r="GH29" s="739"/>
      <c r="GI29" s="739"/>
      <c r="GJ29" s="739"/>
      <c r="GK29" s="739"/>
      <c r="GL29" s="739"/>
      <c r="GM29" s="739"/>
      <c r="GN29" s="739"/>
      <c r="GO29" s="739"/>
      <c r="GU29" s="2281">
        <v>2011</v>
      </c>
      <c r="GV29" s="2509">
        <f>СЧЁТ!CN22</f>
        <v>3.9201421061005219</v>
      </c>
      <c r="GW29" s="2509">
        <f t="shared" si="1"/>
        <v>2.851620195169998</v>
      </c>
      <c r="GX29" s="1966"/>
      <c r="GY29" s="739"/>
      <c r="GZ29" s="739"/>
      <c r="HA29" s="739"/>
      <c r="HB29" s="739"/>
      <c r="HC29" s="739"/>
      <c r="HD29" s="739"/>
      <c r="HE29" s="739"/>
      <c r="HF29" s="739"/>
      <c r="HG29" s="739"/>
      <c r="HH29" s="739"/>
      <c r="HI29" s="739"/>
      <c r="HJ29" s="739"/>
      <c r="HK29" s="739"/>
      <c r="HR29" s="2281">
        <v>2011</v>
      </c>
      <c r="HS29" s="2121">
        <v>0.28516201951699982</v>
      </c>
      <c r="HT29" s="1966"/>
      <c r="HU29" s="739"/>
      <c r="HV29" s="739"/>
      <c r="HW29" s="739"/>
      <c r="HX29" s="739"/>
      <c r="HY29" s="739"/>
      <c r="HZ29" s="739"/>
      <c r="IA29" s="739"/>
      <c r="IB29" s="739"/>
      <c r="IC29" s="739"/>
      <c r="ID29" s="739"/>
      <c r="IE29" s="739"/>
      <c r="IF29" s="739"/>
      <c r="IG29" s="739"/>
      <c r="IH29" s="739"/>
      <c r="IN29" s="2281">
        <v>2011</v>
      </c>
      <c r="IO29" s="1786">
        <v>8813.3140000000003</v>
      </c>
      <c r="IP29" s="1786">
        <f t="shared" si="6"/>
        <v>10352.977699999999</v>
      </c>
      <c r="IQ29" s="1495">
        <v>11035.652</v>
      </c>
      <c r="IR29" s="1767"/>
      <c r="IS29" s="1767"/>
      <c r="IT29" s="1767"/>
      <c r="IU29" s="1767"/>
      <c r="IV29" s="1767"/>
      <c r="IW29" s="1767"/>
      <c r="IX29" s="1767"/>
      <c r="IY29" s="1767"/>
      <c r="IZ29" s="1767"/>
      <c r="JA29" s="1767"/>
      <c r="JJ29" s="2748"/>
      <c r="JL29" s="2281">
        <v>2011</v>
      </c>
      <c r="JM29" s="1785">
        <v>1.0680000000000001</v>
      </c>
      <c r="JN29" s="1966"/>
      <c r="JO29" s="739"/>
      <c r="JP29" s="739"/>
      <c r="JQ29" s="739"/>
      <c r="JR29" s="739"/>
      <c r="JS29" s="739"/>
      <c r="JT29" s="739"/>
      <c r="JU29" s="739"/>
      <c r="JV29" s="739"/>
      <c r="JW29" s="739"/>
      <c r="JX29" s="739"/>
      <c r="JY29" s="739"/>
      <c r="JZ29" s="739"/>
      <c r="KA29" s="739"/>
      <c r="KB29" s="739"/>
      <c r="KH29" s="2281">
        <v>2011</v>
      </c>
      <c r="KI29" s="1785">
        <v>2.3954157788364556</v>
      </c>
      <c r="KJ29" s="765"/>
      <c r="KK29" s="1966"/>
      <c r="KL29" s="739"/>
      <c r="KM29" s="739"/>
      <c r="KN29" s="739"/>
      <c r="KO29" s="739"/>
      <c r="KP29" s="739"/>
      <c r="KQ29" s="739"/>
      <c r="KR29" s="739"/>
      <c r="KS29" s="739"/>
      <c r="KT29" s="739"/>
      <c r="KU29" s="739"/>
      <c r="KV29" s="739"/>
      <c r="KW29" s="739"/>
      <c r="KX29" s="739"/>
      <c r="KY29" s="739"/>
      <c r="LE29" s="2281">
        <v>2011</v>
      </c>
      <c r="LF29" s="1597">
        <v>70.85661311334043</v>
      </c>
      <c r="LG29" s="1966"/>
      <c r="LH29" s="1597">
        <v>4.9223997554548067</v>
      </c>
      <c r="LI29" s="1966"/>
      <c r="LJ29" s="739"/>
      <c r="LK29" s="739"/>
      <c r="LL29" s="739"/>
      <c r="LM29" s="739"/>
      <c r="LN29" s="739"/>
      <c r="LO29" s="739"/>
      <c r="LP29" s="739"/>
      <c r="LQ29" s="739"/>
      <c r="LR29" s="739"/>
      <c r="LS29" s="739"/>
      <c r="LT29" s="739"/>
      <c r="LU29" s="739"/>
      <c r="LV29" s="739"/>
      <c r="MB29" s="2281">
        <v>2011</v>
      </c>
      <c r="MC29" s="2131">
        <v>5085.0781316753291</v>
      </c>
      <c r="MD29" s="1966"/>
      <c r="ME29" s="739"/>
      <c r="MF29" s="739"/>
      <c r="MG29" s="739"/>
      <c r="MH29" s="739"/>
      <c r="MI29" s="739"/>
      <c r="MJ29" s="739"/>
      <c r="MK29" s="739"/>
      <c r="ML29" s="739"/>
      <c r="MM29" s="739"/>
      <c r="MN29" s="739"/>
      <c r="MO29" s="739"/>
      <c r="MP29" s="739"/>
      <c r="MQ29" s="739"/>
      <c r="MY29" s="2281">
        <v>2011</v>
      </c>
      <c r="MZ29" s="1597">
        <f t="shared" si="2"/>
        <v>71.765752104766392</v>
      </c>
      <c r="NA29" s="1966"/>
      <c r="NB29" s="739"/>
      <c r="NC29" s="739"/>
      <c r="ND29" s="739"/>
      <c r="NE29" s="739"/>
      <c r="NF29" s="739"/>
      <c r="NG29" s="739"/>
      <c r="NH29" s="739"/>
      <c r="NI29" s="739"/>
      <c r="NJ29" s="739"/>
      <c r="NK29" s="739"/>
      <c r="NL29" s="739"/>
      <c r="NM29" s="739"/>
      <c r="NN29" s="739"/>
      <c r="NO29" s="739"/>
      <c r="NV29" s="2281">
        <v>2011</v>
      </c>
      <c r="NW29" s="1785">
        <v>12.282914423380722</v>
      </c>
      <c r="NX29" s="1597">
        <v>13.437478040823935</v>
      </c>
      <c r="NY29" s="1785">
        <v>15.766970202222982</v>
      </c>
      <c r="NZ29" s="1966">
        <v>19.234566440524752</v>
      </c>
      <c r="OA29" s="739"/>
      <c r="OB29" s="739"/>
      <c r="OC29" s="739"/>
      <c r="OD29" s="739"/>
      <c r="OE29" s="739"/>
      <c r="OF29" s="739"/>
      <c r="OG29" s="739"/>
      <c r="OH29" s="739"/>
      <c r="OI29" s="739"/>
      <c r="OJ29" s="739"/>
      <c r="OK29" s="739"/>
      <c r="OS29" s="2748"/>
      <c r="OU29" s="2281">
        <v>2011</v>
      </c>
      <c r="OV29" s="1785">
        <f t="shared" si="7"/>
        <v>1.014</v>
      </c>
      <c r="OW29" s="1966"/>
      <c r="OX29" s="739"/>
      <c r="OY29" s="739"/>
      <c r="OZ29" s="739"/>
      <c r="PA29" s="739"/>
      <c r="PB29" s="739"/>
      <c r="PC29" s="739"/>
      <c r="PD29" s="739"/>
      <c r="PE29" s="739"/>
      <c r="PF29" s="739"/>
      <c r="PG29" s="739"/>
      <c r="PH29" s="739"/>
      <c r="PI29" s="739"/>
      <c r="PJ29" s="739"/>
      <c r="PK29" s="739"/>
      <c r="PQ29" s="2281">
        <v>2011</v>
      </c>
      <c r="PR29" s="1785">
        <f>СЧЁТ!CI22</f>
        <v>1.2437656728598561</v>
      </c>
      <c r="PS29" s="1966"/>
      <c r="PT29" s="739"/>
      <c r="PU29" s="739"/>
      <c r="PV29" s="739"/>
      <c r="PW29" s="739"/>
      <c r="PX29" s="739"/>
      <c r="PY29" s="739"/>
      <c r="PZ29" s="739"/>
      <c r="QA29" s="739"/>
      <c r="QB29" s="739"/>
      <c r="QC29" s="739"/>
      <c r="QD29" s="739"/>
      <c r="QE29" s="739"/>
      <c r="QF29" s="739"/>
      <c r="QG29" s="739"/>
      <c r="QM29" s="2281">
        <v>2011</v>
      </c>
      <c r="QN29" s="1785">
        <v>1.0429999999999999</v>
      </c>
      <c r="QO29" s="1966"/>
      <c r="QP29" s="739"/>
      <c r="QQ29" s="739"/>
      <c r="QR29" s="739"/>
      <c r="QS29" s="739"/>
      <c r="QT29" s="739"/>
      <c r="QU29" s="739"/>
      <c r="QV29" s="739"/>
      <c r="QW29" s="739"/>
      <c r="QX29" s="739"/>
      <c r="QY29" s="739"/>
      <c r="QZ29" s="739"/>
      <c r="RA29" s="739"/>
      <c r="RB29" s="739"/>
      <c r="RC29" s="739"/>
      <c r="RI29" s="943">
        <v>17</v>
      </c>
      <c r="RJ29" s="2281">
        <v>2011</v>
      </c>
      <c r="RK29" s="1786">
        <v>6849.8258457273523</v>
      </c>
      <c r="RL29" s="1786"/>
      <c r="RM29" s="1495">
        <f t="shared" si="12"/>
        <v>6849.8258457273523</v>
      </c>
      <c r="RN29" s="739"/>
      <c r="RO29" s="739"/>
      <c r="RP29" s="739"/>
      <c r="RQ29" s="739"/>
      <c r="RR29" s="739"/>
      <c r="RS29" s="739"/>
      <c r="RT29" s="739"/>
      <c r="RU29" s="739"/>
      <c r="RV29" s="739"/>
      <c r="RW29" s="739"/>
      <c r="RX29" s="739"/>
      <c r="RY29" s="739"/>
      <c r="RZ29" s="739"/>
      <c r="SA29" s="739"/>
      <c r="SG29" s="2281">
        <v>2011</v>
      </c>
      <c r="SH29" s="1785">
        <f t="shared" si="3"/>
        <v>0.74236604640790949</v>
      </c>
      <c r="SI29" s="1966"/>
      <c r="SJ29" s="739"/>
      <c r="SK29" s="739"/>
      <c r="SL29" s="739"/>
      <c r="SM29" s="739"/>
      <c r="SN29" s="739"/>
      <c r="SO29" s="739"/>
      <c r="SP29" s="739"/>
      <c r="SQ29" s="739"/>
      <c r="SR29" s="739"/>
      <c r="SS29" s="739"/>
      <c r="ST29" s="739"/>
      <c r="SU29" s="739"/>
      <c r="SV29" s="739"/>
      <c r="SW29" s="739"/>
      <c r="TC29" s="2281">
        <v>2011</v>
      </c>
      <c r="TD29" s="1785">
        <v>1.808913424693201</v>
      </c>
      <c r="TE29" s="1966"/>
      <c r="TF29" s="739"/>
      <c r="TG29" s="739"/>
      <c r="TH29" s="739"/>
      <c r="TI29" s="739"/>
      <c r="TJ29" s="739"/>
      <c r="TK29" s="739"/>
      <c r="TL29" s="739"/>
      <c r="TM29" s="739"/>
      <c r="TN29" s="739"/>
      <c r="TO29" s="739"/>
      <c r="TP29" s="739"/>
      <c r="TQ29" s="739"/>
      <c r="TX29" s="2748"/>
      <c r="TZ29" s="2281">
        <v>2011</v>
      </c>
      <c r="UA29" s="1785">
        <f t="shared" si="5"/>
        <v>0.95099999999999996</v>
      </c>
      <c r="UB29" s="2029">
        <f t="shared" si="10"/>
        <v>0.95099999999999996</v>
      </c>
      <c r="UC29" s="1966"/>
      <c r="UD29" s="739"/>
      <c r="UE29" s="739"/>
      <c r="UF29" s="739"/>
      <c r="UG29" s="739"/>
      <c r="UH29" s="739"/>
      <c r="UI29" s="739"/>
      <c r="UJ29" s="739"/>
      <c r="UK29" s="739"/>
      <c r="UL29" s="739"/>
      <c r="UM29" s="739"/>
      <c r="UN29" s="739"/>
      <c r="UO29" s="739"/>
      <c r="UP29" s="739"/>
      <c r="UQ29" s="739"/>
      <c r="UW29" s="2281">
        <v>2011</v>
      </c>
      <c r="UX29" s="2029">
        <f>СЧЁТ!CK22</f>
        <v>0.65017647264318079</v>
      </c>
      <c r="UY29" s="1966"/>
      <c r="UZ29" s="739"/>
      <c r="VA29" s="739"/>
      <c r="VB29" s="739"/>
      <c r="VC29" s="739"/>
      <c r="VD29" s="739"/>
      <c r="VE29" s="739"/>
      <c r="VF29" s="739"/>
      <c r="VG29" s="739"/>
      <c r="VH29" s="739"/>
      <c r="VI29" s="739"/>
      <c r="VJ29" s="739"/>
      <c r="VK29" s="739"/>
      <c r="VL29" s="739"/>
      <c r="VM29" s="739"/>
      <c r="VS29" s="2281">
        <v>2011</v>
      </c>
      <c r="VT29" s="1785">
        <v>1.0429999999999999</v>
      </c>
      <c r="VU29" s="1966"/>
      <c r="VV29" s="739"/>
      <c r="VW29" s="739"/>
      <c r="VX29" s="739"/>
      <c r="VY29" s="739"/>
      <c r="VZ29" s="739"/>
      <c r="WA29" s="739"/>
      <c r="WB29" s="739"/>
      <c r="WC29" s="739"/>
      <c r="WD29" s="739"/>
      <c r="WE29" s="739"/>
      <c r="WF29" s="739"/>
      <c r="WG29" s="739"/>
      <c r="WH29" s="739"/>
      <c r="WI29" s="739"/>
      <c r="WO29" s="2281">
        <v>2011</v>
      </c>
      <c r="WP29" s="2131">
        <v>5085.0781316753291</v>
      </c>
      <c r="WQ29" s="1786">
        <f t="shared" si="11"/>
        <v>5541.5091091934282</v>
      </c>
      <c r="WR29" s="1495">
        <v>5085.0781316753291</v>
      </c>
      <c r="WS29" s="739"/>
      <c r="WT29" s="739"/>
      <c r="WU29" s="739"/>
      <c r="WV29" s="739"/>
      <c r="WW29" s="739"/>
      <c r="WX29" s="739"/>
      <c r="WY29" s="739"/>
      <c r="WZ29" s="739"/>
      <c r="XA29" s="739"/>
      <c r="XB29" s="739"/>
      <c r="XC29" s="739"/>
      <c r="XD29" s="739"/>
      <c r="XE29" s="739"/>
      <c r="XF29" s="739"/>
      <c r="XK29" s="2492">
        <v>2011</v>
      </c>
      <c r="XL29" s="2490">
        <f t="shared" si="13"/>
        <v>0.91763417355736643</v>
      </c>
      <c r="XM29" s="1966"/>
      <c r="XN29" s="739"/>
      <c r="XO29" s="739"/>
      <c r="XP29" s="739"/>
      <c r="XQ29" s="739"/>
      <c r="XR29" s="739"/>
      <c r="XS29" s="739"/>
      <c r="XT29" s="739"/>
      <c r="XU29" s="739"/>
      <c r="XV29" s="739"/>
      <c r="XW29" s="739"/>
      <c r="XX29" s="739"/>
      <c r="XY29" s="739"/>
      <c r="XZ29" s="739"/>
      <c r="YA29" s="739"/>
      <c r="YG29" s="2281">
        <v>2011</v>
      </c>
      <c r="YH29" s="1785">
        <v>1.808913424693201</v>
      </c>
      <c r="YI29" s="1966"/>
      <c r="YJ29" s="739"/>
      <c r="YK29" s="739"/>
      <c r="YL29" s="739"/>
      <c r="YM29" s="739"/>
      <c r="YN29" s="739"/>
      <c r="YO29" s="739"/>
      <c r="YP29" s="739"/>
      <c r="YQ29" s="739"/>
      <c r="YR29" s="739"/>
      <c r="YS29" s="739"/>
      <c r="YT29" s="739"/>
      <c r="YU29" s="739"/>
      <c r="ZE29" s="2587" t="s">
        <v>2170</v>
      </c>
      <c r="ZF29" s="765"/>
      <c r="ZG29" s="765"/>
      <c r="ZH29" s="765"/>
      <c r="ZI29" s="765"/>
      <c r="ZJ29" s="765"/>
      <c r="ZK29" s="765"/>
      <c r="ZL29" s="765"/>
      <c r="ZM29" s="765"/>
      <c r="ZN29" s="765"/>
      <c r="ZO29" s="765"/>
      <c r="ZP29" s="777"/>
    </row>
    <row r="30" spans="5:692" ht="20.399999999999999">
      <c r="G30" s="2281">
        <v>2012</v>
      </c>
      <c r="H30" s="2490">
        <v>1.0365590157306384</v>
      </c>
      <c r="I30" s="2416"/>
      <c r="K30" s="739"/>
      <c r="L30" s="739"/>
      <c r="M30" s="739"/>
      <c r="N30" s="739"/>
      <c r="O30" s="739"/>
      <c r="P30" s="739"/>
      <c r="Q30" s="739"/>
      <c r="R30" s="739"/>
      <c r="S30" s="739"/>
      <c r="T30" s="739"/>
      <c r="U30" s="739"/>
      <c r="V30" s="739"/>
      <c r="W30" s="739"/>
      <c r="X30" s="739"/>
      <c r="AD30" s="2281">
        <v>2012</v>
      </c>
      <c r="AE30" s="1785">
        <f>AE29*H30</f>
        <v>1.8750455190419226</v>
      </c>
      <c r="AF30" s="765"/>
      <c r="AG30" s="1966"/>
      <c r="AH30" s="739"/>
      <c r="AI30" s="739"/>
      <c r="AJ30" s="739"/>
      <c r="AK30" s="739"/>
      <c r="AL30" s="739"/>
      <c r="AM30" s="739"/>
      <c r="AN30" s="739"/>
      <c r="AO30" s="739"/>
      <c r="AP30" s="739"/>
      <c r="AQ30" s="739"/>
      <c r="AR30" s="739"/>
      <c r="AS30" s="739"/>
      <c r="AT30" s="739"/>
      <c r="AU30" s="739"/>
      <c r="BA30" s="2281">
        <v>2012</v>
      </c>
      <c r="BB30" s="1285">
        <v>15.682710215951944</v>
      </c>
      <c r="BC30" s="2416"/>
      <c r="BD30" s="739"/>
      <c r="BE30" s="739"/>
      <c r="BF30" s="739"/>
      <c r="BG30" s="739"/>
      <c r="BH30" s="739"/>
      <c r="BI30" s="739"/>
      <c r="BJ30" s="739"/>
      <c r="BK30" s="739"/>
      <c r="BL30" s="739"/>
      <c r="BM30" s="739"/>
      <c r="BN30" s="739"/>
      <c r="BO30" s="739"/>
      <c r="BP30" s="739"/>
      <c r="BQ30" s="739"/>
      <c r="BW30" s="2281">
        <v>2012</v>
      </c>
      <c r="BX30" s="1785">
        <f>ОТЧЁТ!EE430</f>
        <v>2.7827564782033063</v>
      </c>
      <c r="BY30" s="1785">
        <v>2.3475480722590065</v>
      </c>
      <c r="BZ30" s="1966"/>
      <c r="CA30" s="739"/>
      <c r="CB30" s="739"/>
      <c r="CC30" s="739"/>
      <c r="CD30" s="739"/>
      <c r="CE30" s="739"/>
      <c r="CF30" s="739"/>
      <c r="CG30" s="739"/>
      <c r="CH30" s="739"/>
      <c r="CI30" s="739"/>
      <c r="CJ30" s="739"/>
      <c r="CK30" s="739"/>
      <c r="CL30" s="739"/>
      <c r="CM30" s="739"/>
      <c r="CN30" s="739"/>
      <c r="CT30" s="2281">
        <v>2012</v>
      </c>
      <c r="CU30" s="2487">
        <v>780.3098389056421</v>
      </c>
      <c r="CV30" s="1966"/>
      <c r="CW30" s="739"/>
      <c r="CX30" s="739"/>
      <c r="CY30" s="739"/>
      <c r="CZ30" s="739"/>
      <c r="DA30" s="739"/>
      <c r="DB30" s="739"/>
      <c r="DC30" s="739"/>
      <c r="DD30" s="739"/>
      <c r="DE30" s="739"/>
      <c r="DF30" s="739"/>
      <c r="DG30" s="739"/>
      <c r="DH30" s="739"/>
      <c r="DI30" s="739"/>
      <c r="DJ30" s="739"/>
      <c r="DO30" s="2281">
        <v>2012</v>
      </c>
      <c r="DP30" s="2487">
        <f t="shared" si="0"/>
        <v>780.3098389056421</v>
      </c>
      <c r="DQ30" s="1247">
        <f t="shared" si="8"/>
        <v>1.3104358474452877</v>
      </c>
      <c r="DR30" s="2329">
        <v>612.75497799463039</v>
      </c>
      <c r="DS30" s="1767"/>
      <c r="DT30" s="1767"/>
      <c r="DU30" s="1767"/>
      <c r="DV30" s="1767"/>
      <c r="DW30" s="1767"/>
      <c r="DX30" s="1767"/>
      <c r="DY30" s="1767"/>
      <c r="DZ30" s="1767"/>
      <c r="EA30" s="1767"/>
      <c r="EB30" s="1767"/>
      <c r="EC30" s="1767"/>
      <c r="ED30" s="1767"/>
      <c r="EE30" s="2749"/>
      <c r="EG30" s="2281">
        <v>2012</v>
      </c>
      <c r="EH30" s="2416">
        <v>1.0680000000000001</v>
      </c>
      <c r="EI30" s="2416"/>
      <c r="EJ30" s="739"/>
      <c r="EK30" s="739"/>
      <c r="EL30" s="739"/>
      <c r="EM30" s="739"/>
      <c r="EN30" s="739"/>
      <c r="EO30" s="739"/>
      <c r="EP30" s="739"/>
      <c r="EQ30" s="739"/>
      <c r="ER30" s="739"/>
      <c r="ES30" s="739"/>
      <c r="ET30" s="739"/>
      <c r="EU30" s="739"/>
      <c r="EV30" s="739"/>
      <c r="EW30" s="739"/>
      <c r="FC30" s="2281">
        <v>2012</v>
      </c>
      <c r="FD30" s="1785">
        <v>2.2951859656544467</v>
      </c>
      <c r="FE30" s="1966"/>
      <c r="FF30" s="739"/>
      <c r="FG30" s="739"/>
      <c r="FH30" s="739"/>
      <c r="FI30" s="739"/>
      <c r="FJ30" s="739"/>
      <c r="FK30" s="739"/>
      <c r="FL30" s="739"/>
      <c r="FM30" s="739"/>
      <c r="FN30" s="739"/>
      <c r="FO30" s="739"/>
      <c r="FP30" s="739"/>
      <c r="FQ30" s="739"/>
      <c r="FR30" s="739"/>
      <c r="FS30" s="739"/>
      <c r="FY30" s="2281">
        <v>2012</v>
      </c>
      <c r="FZ30" s="2490">
        <f t="shared" si="4"/>
        <v>1.097</v>
      </c>
      <c r="GA30" s="1966"/>
      <c r="GB30" s="739"/>
      <c r="GC30" s="739"/>
      <c r="GD30" s="739"/>
      <c r="GE30" s="739"/>
      <c r="GF30" s="739"/>
      <c r="GG30" s="739"/>
      <c r="GH30" s="739"/>
      <c r="GI30" s="739"/>
      <c r="GJ30" s="739"/>
      <c r="GK30" s="739"/>
      <c r="GL30" s="739"/>
      <c r="GM30" s="739"/>
      <c r="GN30" s="739"/>
      <c r="GO30" s="739"/>
      <c r="GU30" s="2281">
        <v>2012</v>
      </c>
      <c r="GV30" s="2509">
        <f>СЧЁТ!CN23</f>
        <v>4.3003958903922728</v>
      </c>
      <c r="GW30" s="2509">
        <f t="shared" si="1"/>
        <v>3.0108059231005662</v>
      </c>
      <c r="GX30" s="1966"/>
      <c r="GY30" s="739"/>
      <c r="GZ30" s="739"/>
      <c r="HA30" s="739"/>
      <c r="HB30" s="739"/>
      <c r="HC30" s="739"/>
      <c r="HD30" s="739"/>
      <c r="HE30" s="739"/>
      <c r="HF30" s="739"/>
      <c r="HG30" s="739"/>
      <c r="HH30" s="739"/>
      <c r="HI30" s="739"/>
      <c r="HJ30" s="739"/>
      <c r="HK30" s="739"/>
      <c r="HR30" s="2281">
        <v>2012</v>
      </c>
      <c r="HS30" s="2121">
        <v>0.30108059231005663</v>
      </c>
      <c r="HT30" s="1966"/>
      <c r="HU30" s="739"/>
      <c r="HV30" s="739"/>
      <c r="HW30" s="739"/>
      <c r="HX30" s="739"/>
      <c r="HY30" s="739"/>
      <c r="HZ30" s="739"/>
      <c r="IA30" s="739"/>
      <c r="IB30" s="739"/>
      <c r="IC30" s="739"/>
      <c r="ID30" s="739"/>
      <c r="IE30" s="739"/>
      <c r="IF30" s="739"/>
      <c r="IG30" s="739"/>
      <c r="IH30" s="739"/>
      <c r="IN30" s="2281">
        <v>2012</v>
      </c>
      <c r="IO30" s="1786">
        <v>10338.4</v>
      </c>
      <c r="IP30" s="1786">
        <f t="shared" si="6"/>
        <v>11932.60368</v>
      </c>
      <c r="IQ30" s="1495">
        <v>12586.090400000001</v>
      </c>
      <c r="IR30" s="1767"/>
      <c r="IS30" s="1767"/>
      <c r="IT30" s="1767"/>
      <c r="IU30" s="1767"/>
      <c r="IV30" s="1767"/>
      <c r="IW30" s="1767"/>
      <c r="IX30" s="1767"/>
      <c r="IY30" s="1767"/>
      <c r="IZ30" s="1767"/>
      <c r="JA30" s="1767"/>
      <c r="JJ30" s="2748"/>
      <c r="JL30" s="2281">
        <v>2012</v>
      </c>
      <c r="JM30" s="1785">
        <v>1.079</v>
      </c>
      <c r="JN30" s="1966"/>
      <c r="JO30" s="739"/>
      <c r="JP30" s="739"/>
      <c r="JQ30" s="739"/>
      <c r="JR30" s="739"/>
      <c r="JS30" s="739"/>
      <c r="JT30" s="739"/>
      <c r="JU30" s="739"/>
      <c r="JV30" s="739"/>
      <c r="JW30" s="739"/>
      <c r="JX30" s="739"/>
      <c r="JY30" s="739"/>
      <c r="JZ30" s="739"/>
      <c r="KA30" s="739"/>
      <c r="KB30" s="739"/>
      <c r="KH30" s="2281">
        <v>2012</v>
      </c>
      <c r="KI30" s="1785">
        <v>2.5846536253645356</v>
      </c>
      <c r="KJ30" s="765"/>
      <c r="KK30" s="1966"/>
      <c r="KL30" s="739"/>
      <c r="KM30" s="739"/>
      <c r="KN30" s="739"/>
      <c r="KO30" s="739"/>
      <c r="KP30" s="739"/>
      <c r="KQ30" s="739"/>
      <c r="KR30" s="739"/>
      <c r="KS30" s="739"/>
      <c r="KT30" s="739"/>
      <c r="KU30" s="739"/>
      <c r="KV30" s="739"/>
      <c r="KW30" s="739"/>
      <c r="KX30" s="739"/>
      <c r="KY30" s="739"/>
      <c r="LE30" s="2281">
        <v>2012</v>
      </c>
      <c r="LF30" s="1597">
        <v>71.545415863579535</v>
      </c>
      <c r="LG30" s="1966"/>
      <c r="LH30" s="1597">
        <v>4.1306599945102453</v>
      </c>
      <c r="LI30" s="1966"/>
      <c r="LJ30" s="739"/>
      <c r="LK30" s="739"/>
      <c r="LL30" s="739"/>
      <c r="LM30" s="739"/>
      <c r="LN30" s="739"/>
      <c r="LO30" s="739"/>
      <c r="LP30" s="739"/>
      <c r="LQ30" s="739"/>
      <c r="LR30" s="739"/>
      <c r="LS30" s="739"/>
      <c r="LT30" s="739"/>
      <c r="LU30" s="739"/>
      <c r="LV30" s="739"/>
      <c r="MB30" s="2281">
        <v>2012</v>
      </c>
      <c r="MC30" s="2131">
        <v>5283.3961788106672</v>
      </c>
      <c r="MD30" s="1966"/>
      <c r="ME30" s="739"/>
      <c r="MF30" s="739"/>
      <c r="MG30" s="739"/>
      <c r="MH30" s="739"/>
      <c r="MI30" s="739"/>
      <c r="MJ30" s="739"/>
      <c r="MK30" s="739"/>
      <c r="ML30" s="739"/>
      <c r="MM30" s="739"/>
      <c r="MN30" s="739"/>
      <c r="MO30" s="739"/>
      <c r="MP30" s="739"/>
      <c r="MQ30" s="739"/>
      <c r="MY30" s="2281">
        <v>2012</v>
      </c>
      <c r="MZ30" s="1597">
        <f t="shared" si="2"/>
        <v>73.846746364363511</v>
      </c>
      <c r="NA30" s="1966"/>
      <c r="NB30" s="739"/>
      <c r="NC30" s="739"/>
      <c r="ND30" s="739"/>
      <c r="NE30" s="739"/>
      <c r="NF30" s="739"/>
      <c r="NG30" s="739"/>
      <c r="NH30" s="739"/>
      <c r="NI30" s="739"/>
      <c r="NJ30" s="739"/>
      <c r="NK30" s="739"/>
      <c r="NL30" s="739"/>
      <c r="NM30" s="739"/>
      <c r="NN30" s="739"/>
      <c r="NO30" s="739"/>
      <c r="NV30" s="2281">
        <v>2012</v>
      </c>
      <c r="NW30" s="1785">
        <v>13.249096044334456</v>
      </c>
      <c r="NX30" s="1597">
        <v>14.321664095910151</v>
      </c>
      <c r="NY30" s="1785">
        <v>16.974068796381736</v>
      </c>
      <c r="NZ30" s="1966">
        <v>20.540168341333807</v>
      </c>
      <c r="OA30" s="739"/>
      <c r="OB30" s="739"/>
      <c r="OC30" s="739"/>
      <c r="OD30" s="739"/>
      <c r="OE30" s="739"/>
      <c r="OF30" s="739"/>
      <c r="OG30" s="739"/>
      <c r="OH30" s="739"/>
      <c r="OI30" s="739"/>
      <c r="OJ30" s="739"/>
      <c r="OK30" s="739"/>
      <c r="OS30" s="2748"/>
      <c r="OU30" s="2281">
        <v>2012</v>
      </c>
      <c r="OV30" s="1785">
        <f t="shared" si="7"/>
        <v>1.026</v>
      </c>
      <c r="OW30" s="1966"/>
      <c r="OX30" s="739"/>
      <c r="OY30" s="739"/>
      <c r="OZ30" s="739"/>
      <c r="PA30" s="739"/>
      <c r="PB30" s="739"/>
      <c r="PC30" s="739"/>
      <c r="PD30" s="739"/>
      <c r="PE30" s="739"/>
      <c r="PF30" s="739"/>
      <c r="PG30" s="739"/>
      <c r="PH30" s="739"/>
      <c r="PI30" s="739"/>
      <c r="PJ30" s="739"/>
      <c r="PK30" s="739"/>
      <c r="PQ30" s="2281">
        <v>2012</v>
      </c>
      <c r="PR30" s="1785">
        <f>СЧЁТ!CI23</f>
        <v>1.2761035803542125</v>
      </c>
      <c r="PS30" s="1966"/>
      <c r="PT30" s="739"/>
      <c r="PU30" s="739"/>
      <c r="PV30" s="739"/>
      <c r="PW30" s="739"/>
      <c r="PX30" s="739"/>
      <c r="PY30" s="739"/>
      <c r="PZ30" s="739"/>
      <c r="QA30" s="739"/>
      <c r="QB30" s="739"/>
      <c r="QC30" s="739"/>
      <c r="QD30" s="739"/>
      <c r="QE30" s="739"/>
      <c r="QF30" s="739"/>
      <c r="QG30" s="739"/>
      <c r="QM30" s="2281">
        <v>2012</v>
      </c>
      <c r="QN30" s="1785">
        <v>1.0365590157306384</v>
      </c>
      <c r="QO30" s="1966"/>
      <c r="QP30" s="739"/>
      <c r="QQ30" s="739"/>
      <c r="QR30" s="739"/>
      <c r="QS30" s="739"/>
      <c r="QT30" s="739"/>
      <c r="QU30" s="739"/>
      <c r="QV30" s="739"/>
      <c r="QW30" s="739"/>
      <c r="QX30" s="739"/>
      <c r="QY30" s="739"/>
      <c r="QZ30" s="739"/>
      <c r="RA30" s="739"/>
      <c r="RB30" s="739"/>
      <c r="RC30" s="739"/>
      <c r="RI30" s="943">
        <v>18</v>
      </c>
      <c r="RJ30" s="2281">
        <v>2012</v>
      </c>
      <c r="RK30" s="1786">
        <v>7144.3683570936282</v>
      </c>
      <c r="RL30" s="1786"/>
      <c r="RM30" s="1495">
        <f t="shared" si="12"/>
        <v>7144.3683570936282</v>
      </c>
      <c r="RN30" s="739"/>
      <c r="RO30" s="739"/>
      <c r="RP30" s="739"/>
      <c r="RQ30" s="739"/>
      <c r="RR30" s="739"/>
      <c r="RS30" s="739"/>
      <c r="RT30" s="739"/>
      <c r="RU30" s="739"/>
      <c r="RV30" s="739"/>
      <c r="RW30" s="739"/>
      <c r="RX30" s="739"/>
      <c r="RY30" s="739"/>
      <c r="RZ30" s="739"/>
      <c r="SA30" s="739"/>
      <c r="SG30" s="2281">
        <v>2012</v>
      </c>
      <c r="SH30" s="1785">
        <f t="shared" si="3"/>
        <v>0.73951900500270173</v>
      </c>
      <c r="SI30" s="1966"/>
      <c r="SJ30" s="739"/>
      <c r="SK30" s="739"/>
      <c r="SL30" s="739"/>
      <c r="SM30" s="739"/>
      <c r="SN30" s="739"/>
      <c r="SO30" s="739"/>
      <c r="SP30" s="739"/>
      <c r="SQ30" s="739"/>
      <c r="SR30" s="739"/>
      <c r="SS30" s="739"/>
      <c r="ST30" s="739"/>
      <c r="SU30" s="739"/>
      <c r="SV30" s="739"/>
      <c r="SW30" s="739"/>
      <c r="TC30" s="2281">
        <v>2012</v>
      </c>
      <c r="TD30" s="1785">
        <v>1.8750455190419226</v>
      </c>
      <c r="TE30" s="1966"/>
      <c r="TF30" s="739"/>
      <c r="TG30" s="739"/>
      <c r="TH30" s="739"/>
      <c r="TI30" s="739"/>
      <c r="TJ30" s="739"/>
      <c r="TK30" s="739"/>
      <c r="TL30" s="739"/>
      <c r="TM30" s="739"/>
      <c r="TN30" s="739"/>
      <c r="TO30" s="739"/>
      <c r="TP30" s="739"/>
      <c r="TQ30" s="739"/>
      <c r="TX30" s="2748"/>
      <c r="TZ30" s="2281">
        <v>2012</v>
      </c>
      <c r="UA30" s="1785">
        <f t="shared" si="5"/>
        <v>0.99</v>
      </c>
      <c r="UB30" s="2029">
        <f t="shared" si="10"/>
        <v>0.99</v>
      </c>
      <c r="UC30" s="1966"/>
      <c r="UD30" s="739"/>
      <c r="UE30" s="739"/>
      <c r="UF30" s="739"/>
      <c r="UG30" s="739"/>
      <c r="UH30" s="739"/>
      <c r="UI30" s="739"/>
      <c r="UJ30" s="739"/>
      <c r="UK30" s="739"/>
      <c r="UL30" s="739"/>
      <c r="UM30" s="739"/>
      <c r="UN30" s="739"/>
      <c r="UO30" s="739"/>
      <c r="UP30" s="739"/>
      <c r="UQ30" s="739"/>
      <c r="UW30" s="2281">
        <v>2012</v>
      </c>
      <c r="UX30" s="2029">
        <f>СЧЁТ!CK23</f>
        <v>0.64367470791674897</v>
      </c>
      <c r="UY30" s="1966"/>
      <c r="UZ30" s="739"/>
      <c r="VA30" s="739"/>
      <c r="VB30" s="739"/>
      <c r="VC30" s="739"/>
      <c r="VD30" s="739"/>
      <c r="VE30" s="739"/>
      <c r="VF30" s="739"/>
      <c r="VG30" s="739"/>
      <c r="VH30" s="739"/>
      <c r="VI30" s="739"/>
      <c r="VJ30" s="739"/>
      <c r="VK30" s="739"/>
      <c r="VL30" s="739"/>
      <c r="VM30" s="739"/>
      <c r="VS30" s="2281">
        <v>2012</v>
      </c>
      <c r="VT30" s="1785">
        <v>1.0365590157306384</v>
      </c>
      <c r="VU30" s="1966"/>
      <c r="VV30" s="739"/>
      <c r="VW30" s="739"/>
      <c r="VX30" s="739"/>
      <c r="VY30" s="739"/>
      <c r="VZ30" s="739"/>
      <c r="WA30" s="739"/>
      <c r="WB30" s="739"/>
      <c r="WC30" s="739"/>
      <c r="WD30" s="739"/>
      <c r="WE30" s="739"/>
      <c r="WF30" s="739"/>
      <c r="WG30" s="739"/>
      <c r="WH30" s="739"/>
      <c r="WI30" s="739"/>
      <c r="WO30" s="2281">
        <v>2012</v>
      </c>
      <c r="WP30" s="2131">
        <v>5283.3961788106672</v>
      </c>
      <c r="WQ30" s="1786">
        <f t="shared" si="11"/>
        <v>5779.7940008887454</v>
      </c>
      <c r="WR30" s="1495">
        <v>5283.3961788106672</v>
      </c>
      <c r="WS30" s="739"/>
      <c r="WT30" s="739"/>
      <c r="WU30" s="739"/>
      <c r="WV30" s="739"/>
      <c r="WW30" s="739"/>
      <c r="WX30" s="739"/>
      <c r="WY30" s="739"/>
      <c r="WZ30" s="739"/>
      <c r="XA30" s="739"/>
      <c r="XB30" s="739"/>
      <c r="XC30" s="739"/>
      <c r="XD30" s="739"/>
      <c r="XE30" s="739"/>
      <c r="XF30" s="739"/>
      <c r="XK30" s="2492">
        <v>2012</v>
      </c>
      <c r="XL30" s="2490">
        <f t="shared" si="13"/>
        <v>0.9141149629205213</v>
      </c>
      <c r="XM30" s="1966"/>
      <c r="XN30" s="739"/>
      <c r="XO30" s="739"/>
      <c r="XP30" s="739"/>
      <c r="XQ30" s="739"/>
      <c r="XR30" s="739"/>
      <c r="XS30" s="739"/>
      <c r="XT30" s="739"/>
      <c r="XU30" s="739"/>
      <c r="XV30" s="739"/>
      <c r="XW30" s="739"/>
      <c r="XX30" s="739"/>
      <c r="XY30" s="739"/>
      <c r="XZ30" s="739"/>
      <c r="YA30" s="739"/>
      <c r="YG30" s="2281">
        <v>2012</v>
      </c>
      <c r="YH30" s="1785">
        <v>1.8750455190419226</v>
      </c>
      <c r="YI30" s="1966"/>
      <c r="YJ30" s="739"/>
      <c r="YK30" s="739"/>
      <c r="YL30" s="739"/>
      <c r="YM30" s="739"/>
      <c r="YN30" s="739"/>
      <c r="YO30" s="739"/>
      <c r="YP30" s="739"/>
      <c r="YQ30" s="739"/>
      <c r="YR30" s="739"/>
      <c r="YS30" s="739"/>
      <c r="YT30" s="739"/>
      <c r="YU30" s="739"/>
      <c r="ZE30" s="2587" t="s">
        <v>2171</v>
      </c>
      <c r="ZF30" s="765"/>
      <c r="ZG30" s="765"/>
      <c r="ZH30" s="765"/>
      <c r="ZI30" s="765"/>
      <c r="ZJ30" s="765"/>
      <c r="ZK30" s="765"/>
      <c r="ZL30" s="765"/>
      <c r="ZM30" s="765"/>
      <c r="ZN30" s="765"/>
      <c r="ZO30" s="765"/>
      <c r="ZP30" s="777"/>
    </row>
    <row r="31" spans="5:692" ht="20.399999999999999">
      <c r="G31" s="2281">
        <v>2013</v>
      </c>
      <c r="H31" s="2490">
        <v>1.0178535450091057</v>
      </c>
      <c r="I31" s="2416"/>
      <c r="K31" s="739"/>
      <c r="L31" s="739"/>
      <c r="M31" s="739"/>
      <c r="N31" s="739"/>
      <c r="O31" s="739"/>
      <c r="P31" s="739"/>
      <c r="Q31" s="739"/>
      <c r="R31" s="739"/>
      <c r="S31" s="739"/>
      <c r="T31" s="739"/>
      <c r="U31" s="739"/>
      <c r="V31" s="739"/>
      <c r="W31" s="739"/>
      <c r="X31" s="739"/>
      <c r="AD31" s="2281">
        <v>2013</v>
      </c>
      <c r="AE31" s="1785">
        <f>AE30*H31</f>
        <v>1.9085217286102596</v>
      </c>
      <c r="AF31" s="765"/>
      <c r="AG31" s="1966"/>
      <c r="AH31" s="739"/>
      <c r="AI31" s="739"/>
      <c r="AJ31" s="739"/>
      <c r="AK31" s="739"/>
      <c r="AL31" s="739"/>
      <c r="AM31" s="739"/>
      <c r="AN31" s="739"/>
      <c r="AO31" s="739"/>
      <c r="AP31" s="739"/>
      <c r="AQ31" s="739"/>
      <c r="AR31" s="739"/>
      <c r="AS31" s="739"/>
      <c r="AT31" s="739"/>
      <c r="AU31" s="739"/>
      <c r="BA31" s="2281">
        <v>2013</v>
      </c>
      <c r="BB31" s="1285">
        <v>15.596922733834738</v>
      </c>
      <c r="BC31" s="2416"/>
      <c r="BD31" s="739"/>
      <c r="BE31" s="739"/>
      <c r="BF31" s="739"/>
      <c r="BG31" s="739"/>
      <c r="BH31" s="739"/>
      <c r="BI31" s="739"/>
      <c r="BJ31" s="739"/>
      <c r="BK31" s="739"/>
      <c r="BL31" s="739"/>
      <c r="BM31" s="739"/>
      <c r="BN31" s="739"/>
      <c r="BO31" s="739"/>
      <c r="BP31" s="739"/>
      <c r="BQ31" s="739"/>
      <c r="BW31" s="2281">
        <v>2013</v>
      </c>
      <c r="BX31" s="1785">
        <f>ОТЧЁТ!EE431</f>
        <v>2.7806418221752773</v>
      </c>
      <c r="BY31" s="1785">
        <v>2.4555352835829209</v>
      </c>
      <c r="BZ31" s="1966"/>
      <c r="CA31" s="739"/>
      <c r="CB31" s="739"/>
      <c r="CC31" s="739"/>
      <c r="CD31" s="739"/>
      <c r="CE31" s="739"/>
      <c r="CF31" s="739"/>
      <c r="CG31" s="739"/>
      <c r="CH31" s="739"/>
      <c r="CI31" s="739"/>
      <c r="CJ31" s="739"/>
      <c r="CK31" s="739"/>
      <c r="CL31" s="739"/>
      <c r="CM31" s="739"/>
      <c r="CN31" s="739"/>
      <c r="CT31" s="2281">
        <v>2013</v>
      </c>
      <c r="CU31" s="2487">
        <v>788.24558996731253</v>
      </c>
      <c r="CV31" s="1966"/>
      <c r="CW31" s="739"/>
      <c r="CX31" s="739"/>
      <c r="CY31" s="739"/>
      <c r="CZ31" s="739"/>
      <c r="DA31" s="739"/>
      <c r="DB31" s="739"/>
      <c r="DC31" s="739"/>
      <c r="DD31" s="739"/>
      <c r="DE31" s="739"/>
      <c r="DF31" s="739"/>
      <c r="DG31" s="739"/>
      <c r="DH31" s="739"/>
      <c r="DI31" s="739"/>
      <c r="DJ31" s="739"/>
      <c r="DO31" s="2281">
        <v>2013</v>
      </c>
      <c r="DP31" s="2487">
        <f t="shared" si="0"/>
        <v>788.24558996731253</v>
      </c>
      <c r="DQ31" s="1247">
        <f t="shared" si="8"/>
        <v>1.2873835370755577</v>
      </c>
      <c r="DR31" s="2329">
        <v>617.65701781858741</v>
      </c>
      <c r="DS31" s="1767"/>
      <c r="DT31" s="1767"/>
      <c r="DU31" s="1767"/>
      <c r="DV31" s="1767"/>
      <c r="DW31" s="1767"/>
      <c r="DX31" s="1767"/>
      <c r="DY31" s="1767"/>
      <c r="DZ31" s="1767"/>
      <c r="EA31" s="1767"/>
      <c r="EB31" s="1767"/>
      <c r="EC31" s="1767"/>
      <c r="ED31" s="1767"/>
      <c r="EE31" s="2749"/>
      <c r="EG31" s="2281">
        <v>2013</v>
      </c>
      <c r="EH31" s="2416">
        <v>1.008</v>
      </c>
      <c r="EI31" s="2416"/>
      <c r="EJ31" s="739"/>
      <c r="EK31" s="739"/>
      <c r="EL31" s="739"/>
      <c r="EM31" s="739"/>
      <c r="EN31" s="739"/>
      <c r="EO31" s="739"/>
      <c r="EP31" s="739"/>
      <c r="EQ31" s="739"/>
      <c r="ER31" s="739"/>
      <c r="ES31" s="739"/>
      <c r="ET31" s="739"/>
      <c r="EU31" s="739"/>
      <c r="EV31" s="739"/>
      <c r="EW31" s="739"/>
      <c r="FC31" s="2281">
        <v>2013</v>
      </c>
      <c r="FD31" s="1785">
        <v>2.313547453379682</v>
      </c>
      <c r="FE31" s="1966"/>
      <c r="FF31" s="739"/>
      <c r="FG31" s="739"/>
      <c r="FH31" s="739"/>
      <c r="FI31" s="739"/>
      <c r="FJ31" s="739"/>
      <c r="FK31" s="739"/>
      <c r="FL31" s="739"/>
      <c r="FM31" s="739"/>
      <c r="FN31" s="739"/>
      <c r="FO31" s="739"/>
      <c r="FP31" s="739"/>
      <c r="FQ31" s="739"/>
      <c r="FR31" s="739"/>
      <c r="FS31" s="739"/>
      <c r="FY31" s="2281">
        <v>2013</v>
      </c>
      <c r="FZ31" s="2490">
        <f t="shared" si="4"/>
        <v>1.0349999999999999</v>
      </c>
      <c r="GA31" s="1966"/>
      <c r="GB31" s="739"/>
      <c r="GC31" s="739"/>
      <c r="GD31" s="739"/>
      <c r="GE31" s="739"/>
      <c r="GF31" s="739"/>
      <c r="GG31" s="739"/>
      <c r="GH31" s="739"/>
      <c r="GI31" s="739"/>
      <c r="GJ31" s="739"/>
      <c r="GK31" s="739"/>
      <c r="GL31" s="739"/>
      <c r="GM31" s="739"/>
      <c r="GN31" s="739"/>
      <c r="GO31" s="739"/>
      <c r="GU31" s="2281">
        <v>2013</v>
      </c>
      <c r="GV31" s="2509">
        <f>СЧЁТ!CN24</f>
        <v>4.4509097465560021</v>
      </c>
      <c r="GW31" s="2509">
        <f t="shared" si="1"/>
        <v>3.0520902354643349</v>
      </c>
      <c r="GX31" s="1966"/>
      <c r="GY31" s="739"/>
      <c r="GZ31" s="739"/>
      <c r="HA31" s="739"/>
      <c r="HB31" s="739"/>
      <c r="HC31" s="739"/>
      <c r="HD31" s="739"/>
      <c r="HE31" s="739"/>
      <c r="HF31" s="739"/>
      <c r="HG31" s="739"/>
      <c r="HH31" s="739"/>
      <c r="HI31" s="739"/>
      <c r="HJ31" s="739"/>
      <c r="HK31" s="739"/>
      <c r="HR31" s="2281">
        <v>2013</v>
      </c>
      <c r="HS31" s="2121">
        <v>0.30520902354643348</v>
      </c>
      <c r="HT31" s="1966"/>
      <c r="HU31" s="739"/>
      <c r="HV31" s="739"/>
      <c r="HW31" s="739"/>
      <c r="HX31" s="739"/>
      <c r="HY31" s="739"/>
      <c r="HZ31" s="739"/>
      <c r="IA31" s="739"/>
      <c r="IB31" s="739"/>
      <c r="IC31" s="739"/>
      <c r="ID31" s="739"/>
      <c r="IE31" s="739"/>
      <c r="IF31" s="739"/>
      <c r="IG31" s="739"/>
      <c r="IH31" s="739"/>
      <c r="IN31" s="2281">
        <v>2013</v>
      </c>
      <c r="IO31" s="1786">
        <v>11160.485000000001</v>
      </c>
      <c r="IP31" s="1786">
        <f t="shared" si="6"/>
        <v>13035.95002</v>
      </c>
      <c r="IQ31" s="1495">
        <v>13450.2382</v>
      </c>
      <c r="IR31" s="1767"/>
      <c r="IS31" s="1767"/>
      <c r="IT31" s="1767"/>
      <c r="IU31" s="1767"/>
      <c r="IV31" s="1767"/>
      <c r="IW31" s="1767"/>
      <c r="IX31" s="1767"/>
      <c r="IY31" s="1767"/>
      <c r="IZ31" s="1767"/>
      <c r="JA31" s="1767"/>
      <c r="JJ31" s="2748"/>
      <c r="JL31" s="2281">
        <v>2013</v>
      </c>
      <c r="JM31" s="1785">
        <v>1.052</v>
      </c>
      <c r="JN31" s="1966"/>
      <c r="JO31" s="739"/>
      <c r="JP31" s="739"/>
      <c r="JQ31" s="739"/>
      <c r="JR31" s="739"/>
      <c r="JS31" s="739"/>
      <c r="JT31" s="739"/>
      <c r="JU31" s="739"/>
      <c r="JV31" s="739"/>
      <c r="JW31" s="739"/>
      <c r="JX31" s="739"/>
      <c r="JY31" s="739"/>
      <c r="JZ31" s="739"/>
      <c r="KA31" s="739"/>
      <c r="KB31" s="739"/>
      <c r="KH31" s="2281">
        <v>2013</v>
      </c>
      <c r="KI31" s="1785">
        <v>2.7190556138834916</v>
      </c>
      <c r="KJ31" s="765"/>
      <c r="KK31" s="1966"/>
      <c r="KL31" s="739"/>
      <c r="KM31" s="739"/>
      <c r="KN31" s="739"/>
      <c r="KO31" s="739"/>
      <c r="KP31" s="739"/>
      <c r="KQ31" s="739"/>
      <c r="KR31" s="739"/>
      <c r="KS31" s="739"/>
      <c r="KT31" s="739"/>
      <c r="KU31" s="739"/>
      <c r="KV31" s="739"/>
      <c r="KW31" s="739"/>
      <c r="KX31" s="739"/>
      <c r="KY31" s="739"/>
      <c r="LE31" s="2281">
        <v>2013</v>
      </c>
      <c r="LF31" s="1597">
        <v>71.391459581339006</v>
      </c>
      <c r="LG31" s="1966"/>
      <c r="LH31" s="1597">
        <v>4.1374433479760002</v>
      </c>
      <c r="LI31" s="1966"/>
      <c r="LJ31" s="739"/>
      <c r="LK31" s="739"/>
      <c r="LL31" s="739"/>
      <c r="LM31" s="739"/>
      <c r="LN31" s="739"/>
      <c r="LO31" s="739"/>
      <c r="LP31" s="739"/>
      <c r="LQ31" s="739"/>
      <c r="LR31" s="739"/>
      <c r="LS31" s="739"/>
      <c r="LT31" s="739"/>
      <c r="LU31" s="739"/>
      <c r="LV31" s="739"/>
      <c r="MB31" s="2281">
        <v>2013</v>
      </c>
      <c r="MC31" s="2131">
        <v>5394.3474985656912</v>
      </c>
      <c r="MD31" s="1966"/>
      <c r="ME31" s="739"/>
      <c r="MF31" s="739"/>
      <c r="MG31" s="739"/>
      <c r="MH31" s="739"/>
      <c r="MI31" s="739"/>
      <c r="MJ31" s="739"/>
      <c r="MK31" s="739"/>
      <c r="ML31" s="739"/>
      <c r="MM31" s="739"/>
      <c r="MN31" s="739"/>
      <c r="MO31" s="739"/>
      <c r="MP31" s="739"/>
      <c r="MQ31" s="739"/>
      <c r="MY31" s="2281">
        <v>2013</v>
      </c>
      <c r="MZ31" s="1597">
        <f t="shared" si="2"/>
        <v>75.560123440531513</v>
      </c>
      <c r="NA31" s="1966"/>
      <c r="NB31" s="739"/>
      <c r="NC31" s="739"/>
      <c r="ND31" s="739"/>
      <c r="NE31" s="739"/>
      <c r="NF31" s="739"/>
      <c r="NG31" s="739"/>
      <c r="NH31" s="739"/>
      <c r="NI31" s="739"/>
      <c r="NJ31" s="739"/>
      <c r="NK31" s="739"/>
      <c r="NL31" s="739"/>
      <c r="NM31" s="739"/>
      <c r="NN31" s="739"/>
      <c r="NO31" s="739"/>
      <c r="NV31" s="2281">
        <v>2013</v>
      </c>
      <c r="NW31" s="1785">
        <v>14.15863931501705</v>
      </c>
      <c r="NX31" s="1597">
        <v>15.245411430096356</v>
      </c>
      <c r="NY31" s="1785">
        <v>17.953158422730532</v>
      </c>
      <c r="NZ31" s="1966">
        <v>21.776225011581559</v>
      </c>
      <c r="OA31" s="739"/>
      <c r="OB31" s="739"/>
      <c r="OC31" s="739"/>
      <c r="OD31" s="739"/>
      <c r="OE31" s="739"/>
      <c r="OF31" s="739"/>
      <c r="OG31" s="739"/>
      <c r="OH31" s="739"/>
      <c r="OI31" s="739"/>
      <c r="OJ31" s="739"/>
      <c r="OK31" s="739"/>
      <c r="OS31" s="2748"/>
      <c r="OU31" s="2281">
        <v>2013</v>
      </c>
      <c r="OV31" s="1785">
        <f t="shared" si="7"/>
        <v>1.0090000000000001</v>
      </c>
      <c r="OW31" s="1966"/>
      <c r="OX31" s="739"/>
      <c r="OY31" s="739"/>
      <c r="OZ31" s="739"/>
      <c r="PA31" s="739"/>
      <c r="PB31" s="739"/>
      <c r="PC31" s="739"/>
      <c r="PD31" s="739"/>
      <c r="PE31" s="739"/>
      <c r="PF31" s="739"/>
      <c r="PG31" s="739"/>
      <c r="PH31" s="739"/>
      <c r="PI31" s="739"/>
      <c r="PJ31" s="739"/>
      <c r="PK31" s="739"/>
      <c r="PQ31" s="2281">
        <v>2013</v>
      </c>
      <c r="PR31" s="1785">
        <f>СЧЁТ!CI24</f>
        <v>1.2875885125774005</v>
      </c>
      <c r="PS31" s="1966"/>
      <c r="PT31" s="739"/>
      <c r="PU31" s="739"/>
      <c r="PV31" s="739"/>
      <c r="PW31" s="739"/>
      <c r="PX31" s="739"/>
      <c r="PY31" s="739"/>
      <c r="PZ31" s="739"/>
      <c r="QA31" s="739"/>
      <c r="QB31" s="739"/>
      <c r="QC31" s="739"/>
      <c r="QD31" s="739"/>
      <c r="QE31" s="739"/>
      <c r="QF31" s="739"/>
      <c r="QG31" s="739"/>
      <c r="QM31" s="2281">
        <v>2013</v>
      </c>
      <c r="QN31" s="1785">
        <v>1.0178535450091057</v>
      </c>
      <c r="QO31" s="1966"/>
      <c r="QP31" s="739"/>
      <c r="QQ31" s="739"/>
      <c r="QR31" s="739"/>
      <c r="QS31" s="739"/>
      <c r="QT31" s="739"/>
      <c r="QU31" s="739"/>
      <c r="QV31" s="739"/>
      <c r="QW31" s="739"/>
      <c r="QX31" s="739"/>
      <c r="QY31" s="739"/>
      <c r="QZ31" s="739"/>
      <c r="RA31" s="739"/>
      <c r="RB31" s="739"/>
      <c r="RC31" s="739"/>
      <c r="RI31" s="943">
        <v>19</v>
      </c>
      <c r="RJ31" s="2281">
        <v>2013</v>
      </c>
      <c r="RK31" s="1786">
        <v>7437.2874597344662</v>
      </c>
      <c r="RL31" s="1786"/>
      <c r="RM31" s="1495">
        <f t="shared" si="12"/>
        <v>7437.2874597344662</v>
      </c>
      <c r="RN31" s="739"/>
      <c r="RO31" s="739"/>
      <c r="RP31" s="739"/>
      <c r="RQ31" s="739"/>
      <c r="RR31" s="739"/>
      <c r="RS31" s="739"/>
      <c r="RT31" s="739"/>
      <c r="RU31" s="739"/>
      <c r="RV31" s="739"/>
      <c r="RW31" s="739"/>
      <c r="RX31" s="739"/>
      <c r="RY31" s="739"/>
      <c r="RZ31" s="739"/>
      <c r="SA31" s="739"/>
      <c r="SG31" s="2281">
        <v>2013</v>
      </c>
      <c r="SH31" s="1785">
        <f t="shared" si="3"/>
        <v>0.72531114707757793</v>
      </c>
      <c r="SI31" s="1966"/>
      <c r="SJ31" s="739"/>
      <c r="SK31" s="739"/>
      <c r="SL31" s="739"/>
      <c r="SM31" s="739"/>
      <c r="SN31" s="739"/>
      <c r="SO31" s="739"/>
      <c r="SP31" s="739"/>
      <c r="SQ31" s="739"/>
      <c r="SR31" s="739"/>
      <c r="SS31" s="739"/>
      <c r="ST31" s="739"/>
      <c r="SU31" s="739"/>
      <c r="SV31" s="739"/>
      <c r="SW31" s="739"/>
      <c r="TC31" s="2281">
        <v>2013</v>
      </c>
      <c r="TD31" s="1785">
        <v>1.9085217286102596</v>
      </c>
      <c r="TE31" s="1966"/>
      <c r="TF31" s="739"/>
      <c r="TG31" s="739"/>
      <c r="TH31" s="739"/>
      <c r="TI31" s="739"/>
      <c r="TJ31" s="739"/>
      <c r="TK31" s="739"/>
      <c r="TL31" s="739"/>
      <c r="TM31" s="739"/>
      <c r="TN31" s="739"/>
      <c r="TO31" s="739"/>
      <c r="TP31" s="739"/>
      <c r="TQ31" s="739"/>
      <c r="TX31" s="2748"/>
      <c r="TZ31" s="2281">
        <v>2013</v>
      </c>
      <c r="UA31" s="1785">
        <f t="shared" si="5"/>
        <v>0.9880000000000001</v>
      </c>
      <c r="UB31" s="2029">
        <f t="shared" si="10"/>
        <v>0.9880000000000001</v>
      </c>
      <c r="UC31" s="1966"/>
      <c r="UD31" s="739"/>
      <c r="UE31" s="739"/>
      <c r="UF31" s="739"/>
      <c r="UG31" s="739"/>
      <c r="UH31" s="739"/>
      <c r="UI31" s="739"/>
      <c r="UJ31" s="739"/>
      <c r="UK31" s="739"/>
      <c r="UL31" s="739"/>
      <c r="UM31" s="739"/>
      <c r="UN31" s="739"/>
      <c r="UO31" s="739"/>
      <c r="UP31" s="739"/>
      <c r="UQ31" s="739"/>
      <c r="UW31" s="2281">
        <v>2013</v>
      </c>
      <c r="UX31" s="2029">
        <f>СЧЁТ!CK24</f>
        <v>0.63595061142174802</v>
      </c>
      <c r="UY31" s="1966"/>
      <c r="UZ31" s="739"/>
      <c r="VA31" s="739"/>
      <c r="VB31" s="739"/>
      <c r="VC31" s="739"/>
      <c r="VD31" s="739"/>
      <c r="VE31" s="739"/>
      <c r="VF31" s="739"/>
      <c r="VG31" s="739"/>
      <c r="VH31" s="739"/>
      <c r="VI31" s="739"/>
      <c r="VJ31" s="739"/>
      <c r="VK31" s="739"/>
      <c r="VL31" s="739"/>
      <c r="VM31" s="739"/>
      <c r="VS31" s="2281">
        <v>2013</v>
      </c>
      <c r="VT31" s="1785">
        <v>1.0178535450091057</v>
      </c>
      <c r="VU31" s="1966"/>
      <c r="VV31" s="739"/>
      <c r="VW31" s="739"/>
      <c r="VX31" s="739"/>
      <c r="VY31" s="739"/>
      <c r="VZ31" s="739"/>
      <c r="WA31" s="739"/>
      <c r="WB31" s="739"/>
      <c r="WC31" s="739"/>
      <c r="WD31" s="739"/>
      <c r="WE31" s="739"/>
      <c r="WF31" s="739"/>
      <c r="WG31" s="739"/>
      <c r="WH31" s="739"/>
      <c r="WI31" s="739"/>
      <c r="WO31" s="2281">
        <v>2013</v>
      </c>
      <c r="WP31" s="2131">
        <v>5394.3474985656912</v>
      </c>
      <c r="WQ31" s="1786">
        <f t="shared" si="11"/>
        <v>6016.765554925184</v>
      </c>
      <c r="WR31" s="1495">
        <v>5394.3474985656912</v>
      </c>
      <c r="WS31" s="739"/>
      <c r="WT31" s="739"/>
      <c r="WU31" s="739"/>
      <c r="WV31" s="739"/>
      <c r="WW31" s="739"/>
      <c r="WX31" s="739"/>
      <c r="WY31" s="739"/>
      <c r="WZ31" s="739"/>
      <c r="XA31" s="739"/>
      <c r="XB31" s="739"/>
      <c r="XC31" s="739"/>
      <c r="XD31" s="739"/>
      <c r="XE31" s="739"/>
      <c r="XF31" s="739"/>
      <c r="XK31" s="2492">
        <v>2013</v>
      </c>
      <c r="XL31" s="2490">
        <f t="shared" si="13"/>
        <v>0.89655271579428653</v>
      </c>
      <c r="XM31" s="1966"/>
      <c r="XN31" s="739"/>
      <c r="XO31" s="739"/>
      <c r="XP31" s="739"/>
      <c r="XQ31" s="739"/>
      <c r="XR31" s="739"/>
      <c r="XS31" s="739"/>
      <c r="XT31" s="739"/>
      <c r="XU31" s="739"/>
      <c r="XV31" s="739"/>
      <c r="XW31" s="739"/>
      <c r="XX31" s="739"/>
      <c r="XY31" s="739"/>
      <c r="XZ31" s="739"/>
      <c r="YA31" s="739"/>
      <c r="YG31" s="2281">
        <v>2013</v>
      </c>
      <c r="YH31" s="1785">
        <v>1.9085217286102596</v>
      </c>
      <c r="YI31" s="1966"/>
      <c r="YJ31" s="739"/>
      <c r="YK31" s="739"/>
      <c r="YL31" s="739"/>
      <c r="YM31" s="739"/>
      <c r="YN31" s="739"/>
      <c r="YO31" s="739"/>
      <c r="YP31" s="739"/>
      <c r="YQ31" s="739"/>
      <c r="YR31" s="739"/>
      <c r="YS31" s="739"/>
      <c r="YT31" s="739"/>
      <c r="YU31" s="739"/>
      <c r="ZE31" s="2587" t="s">
        <v>2172</v>
      </c>
      <c r="ZF31" s="765"/>
      <c r="ZG31" s="765"/>
      <c r="ZH31" s="765"/>
      <c r="ZI31" s="765"/>
      <c r="ZJ31" s="765"/>
      <c r="ZK31" s="765"/>
      <c r="ZL31" s="765"/>
      <c r="ZM31" s="765"/>
      <c r="ZN31" s="765"/>
      <c r="ZO31" s="765"/>
      <c r="ZP31" s="777"/>
    </row>
    <row r="32" spans="5:692" ht="20.399999999999999">
      <c r="G32" s="2281">
        <v>2014</v>
      </c>
      <c r="H32" s="2490">
        <v>1.0073860077330101</v>
      </c>
      <c r="I32" s="2416"/>
      <c r="K32" s="739"/>
      <c r="L32" s="739"/>
      <c r="M32" s="739"/>
      <c r="N32" s="739"/>
      <c r="O32" s="739"/>
      <c r="P32" s="739"/>
      <c r="Q32" s="739"/>
      <c r="R32" s="739"/>
      <c r="S32" s="739"/>
      <c r="T32" s="739"/>
      <c r="U32" s="739"/>
      <c r="V32" s="739"/>
      <c r="W32" s="739"/>
      <c r="X32" s="739"/>
      <c r="AD32" s="2281">
        <v>2014</v>
      </c>
      <c r="AE32" s="1785">
        <f>AE31*H32</f>
        <v>1.9226180848563927</v>
      </c>
      <c r="AF32" s="765"/>
      <c r="AG32" s="1966"/>
      <c r="AH32" s="739"/>
      <c r="AI32" s="739"/>
      <c r="AJ32" s="739"/>
      <c r="AK32" s="739"/>
      <c r="AL32" s="739"/>
      <c r="AM32" s="739"/>
      <c r="AN32" s="739"/>
      <c r="AO32" s="739"/>
      <c r="AP32" s="739"/>
      <c r="AQ32" s="739"/>
      <c r="AR32" s="739"/>
      <c r="AS32" s="739"/>
      <c r="AT32" s="739"/>
      <c r="AU32" s="739"/>
      <c r="BA32" s="2281">
        <v>2014</v>
      </c>
      <c r="BB32" s="1285">
        <v>19.408072573294923</v>
      </c>
      <c r="BC32" s="2416"/>
      <c r="BD32" s="739"/>
      <c r="BE32" s="739"/>
      <c r="BF32" s="739"/>
      <c r="BG32" s="739"/>
      <c r="BH32" s="739"/>
      <c r="BI32" s="739"/>
      <c r="BJ32" s="739"/>
      <c r="BK32" s="739"/>
      <c r="BL32" s="739"/>
      <c r="BM32" s="739"/>
      <c r="BN32" s="739"/>
      <c r="BO32" s="739"/>
      <c r="BP32" s="739"/>
      <c r="BQ32" s="739"/>
      <c r="BW32" s="2281">
        <v>2014</v>
      </c>
      <c r="BX32" s="1785">
        <f>ОТЧЁТ!EE432</f>
        <v>2.5425932511944835</v>
      </c>
      <c r="BY32" s="1785">
        <v>2.4678129600008352</v>
      </c>
      <c r="BZ32" s="1966"/>
      <c r="CA32" s="739"/>
      <c r="CB32" s="739"/>
      <c r="CC32" s="739"/>
      <c r="CD32" s="739"/>
      <c r="CE32" s="739"/>
      <c r="CF32" s="739"/>
      <c r="CG32" s="739"/>
      <c r="CH32" s="739"/>
      <c r="CI32" s="739"/>
      <c r="CJ32" s="739"/>
      <c r="CK32" s="739"/>
      <c r="CL32" s="739"/>
      <c r="CM32" s="739"/>
      <c r="CN32" s="739"/>
      <c r="CT32" s="2281">
        <v>2014</v>
      </c>
      <c r="CU32" s="2487">
        <v>764.59822226829317</v>
      </c>
      <c r="CV32" s="1966"/>
      <c r="CW32" s="739"/>
      <c r="CX32" s="739"/>
      <c r="CY32" s="739"/>
      <c r="CZ32" s="739"/>
      <c r="DA32" s="739"/>
      <c r="DB32" s="739"/>
      <c r="DC32" s="739"/>
      <c r="DD32" s="739"/>
      <c r="DE32" s="739"/>
      <c r="DF32" s="739"/>
      <c r="DG32" s="739"/>
      <c r="DH32" s="739"/>
      <c r="DI32" s="739"/>
      <c r="DJ32" s="739"/>
      <c r="DO32" s="2281">
        <v>2014</v>
      </c>
      <c r="DP32" s="2487">
        <f t="shared" si="0"/>
        <v>764.59822226829317</v>
      </c>
      <c r="DQ32" s="1247">
        <f t="shared" si="8"/>
        <v>1.2520410860736908</v>
      </c>
      <c r="DR32" s="2329">
        <v>608.39216255130862</v>
      </c>
      <c r="DS32" s="1767"/>
      <c r="DT32" s="1767"/>
      <c r="DU32" s="1767"/>
      <c r="DV32" s="1767"/>
      <c r="DW32" s="1767"/>
      <c r="DX32" s="1767"/>
      <c r="DY32" s="1767"/>
      <c r="DZ32" s="1767"/>
      <c r="EA32" s="1767"/>
      <c r="EB32" s="1767"/>
      <c r="EC32" s="1767"/>
      <c r="ED32" s="1767"/>
      <c r="EE32" s="2749"/>
      <c r="EG32" s="2281">
        <v>2014</v>
      </c>
      <c r="EH32" s="2416">
        <v>0.98499999999999999</v>
      </c>
      <c r="EI32" s="2416"/>
      <c r="EJ32" s="739"/>
      <c r="EK32" s="739"/>
      <c r="EL32" s="739"/>
      <c r="EM32" s="739"/>
      <c r="EN32" s="739"/>
      <c r="EO32" s="739"/>
      <c r="EP32" s="739"/>
      <c r="EQ32" s="739"/>
      <c r="ER32" s="739"/>
      <c r="ES32" s="739"/>
      <c r="ET32" s="739"/>
      <c r="EU32" s="739"/>
      <c r="EV32" s="739"/>
      <c r="EW32" s="739"/>
      <c r="FC32" s="2281">
        <v>2014</v>
      </c>
      <c r="FD32" s="1785">
        <v>2.2788442415789869</v>
      </c>
      <c r="FE32" s="1966"/>
      <c r="FF32" s="739"/>
      <c r="FG32" s="739"/>
      <c r="FH32" s="739"/>
      <c r="FI32" s="739"/>
      <c r="FJ32" s="739"/>
      <c r="FK32" s="739"/>
      <c r="FL32" s="739"/>
      <c r="FM32" s="739"/>
      <c r="FN32" s="739"/>
      <c r="FO32" s="739"/>
      <c r="FP32" s="739"/>
      <c r="FQ32" s="739"/>
      <c r="FR32" s="739"/>
      <c r="FS32" s="739"/>
      <c r="FY32" s="2281">
        <v>2014</v>
      </c>
      <c r="FZ32" s="2490">
        <f t="shared" si="4"/>
        <v>0.92700000000000005</v>
      </c>
      <c r="GA32" s="1966"/>
      <c r="GB32" s="739"/>
      <c r="GC32" s="739"/>
      <c r="GD32" s="739"/>
      <c r="GE32" s="739"/>
      <c r="GF32" s="739"/>
      <c r="GG32" s="739"/>
      <c r="GH32" s="739"/>
      <c r="GI32" s="739"/>
      <c r="GJ32" s="739"/>
      <c r="GK32" s="739"/>
      <c r="GL32" s="739"/>
      <c r="GM32" s="739"/>
      <c r="GN32" s="739"/>
      <c r="GO32" s="739"/>
      <c r="GU32" s="2281">
        <v>2014</v>
      </c>
      <c r="GV32" s="2509">
        <f>СЧЁТ!CN25</f>
        <v>4.1259933350574141</v>
      </c>
      <c r="GW32" s="2509">
        <f t="shared" si="1"/>
        <v>2.806832984400236</v>
      </c>
      <c r="GX32" s="1966"/>
      <c r="GY32" s="739"/>
      <c r="GZ32" s="739"/>
      <c r="HA32" s="739"/>
      <c r="HB32" s="739"/>
      <c r="HC32" s="739"/>
      <c r="HD32" s="739"/>
      <c r="HE32" s="739"/>
      <c r="HF32" s="739"/>
      <c r="HG32" s="739"/>
      <c r="HH32" s="739"/>
      <c r="HI32" s="739"/>
      <c r="HJ32" s="739"/>
      <c r="HK32" s="739"/>
      <c r="HR32" s="2281">
        <v>2014</v>
      </c>
      <c r="HS32" s="2121">
        <v>0.2806832984400236</v>
      </c>
      <c r="HT32" s="1966"/>
      <c r="HU32" s="739"/>
      <c r="HV32" s="739"/>
      <c r="HW32" s="739"/>
      <c r="HX32" s="739"/>
      <c r="HY32" s="739"/>
      <c r="HZ32" s="739"/>
      <c r="IA32" s="739"/>
      <c r="IB32" s="739"/>
      <c r="IC32" s="739"/>
      <c r="ID32" s="739"/>
      <c r="IE32" s="739"/>
      <c r="IF32" s="739"/>
      <c r="IG32" s="739"/>
      <c r="IH32" s="739"/>
      <c r="IN32" s="2281">
        <v>2014</v>
      </c>
      <c r="IO32" s="1786">
        <v>10888</v>
      </c>
      <c r="IP32" s="1786">
        <f t="shared" si="6"/>
        <v>13680.508389999999</v>
      </c>
      <c r="IQ32" s="1495">
        <v>13902.6453</v>
      </c>
      <c r="IR32" s="1767"/>
      <c r="IS32" s="1767"/>
      <c r="IT32" s="1767"/>
      <c r="IU32" s="1767"/>
      <c r="IV32" s="1767"/>
      <c r="IW32" s="1767"/>
      <c r="IX32" s="1767"/>
      <c r="IY32" s="1767"/>
      <c r="IZ32" s="1767"/>
      <c r="JA32" s="1767"/>
      <c r="JJ32" s="2748"/>
      <c r="JL32" s="2281">
        <v>2014</v>
      </c>
      <c r="JM32" s="1785">
        <v>1.02</v>
      </c>
      <c r="JN32" s="1966"/>
      <c r="JO32" s="739"/>
      <c r="JP32" s="739"/>
      <c r="JQ32" s="739"/>
      <c r="JR32" s="739"/>
      <c r="JS32" s="739"/>
      <c r="JT32" s="739"/>
      <c r="JU32" s="739"/>
      <c r="JV32" s="739"/>
      <c r="JW32" s="739"/>
      <c r="JX32" s="739"/>
      <c r="JY32" s="739"/>
      <c r="JZ32" s="739"/>
      <c r="KA32" s="739"/>
      <c r="KB32" s="739"/>
      <c r="KH32" s="2281">
        <v>2014</v>
      </c>
      <c r="KI32" s="1785">
        <v>2.7734367261611617</v>
      </c>
      <c r="KJ32" s="765"/>
      <c r="KK32" s="1966"/>
      <c r="KL32" s="739"/>
      <c r="KM32" s="739"/>
      <c r="KN32" s="739"/>
      <c r="KO32" s="739"/>
      <c r="KP32" s="739"/>
      <c r="KQ32" s="739"/>
      <c r="KR32" s="739"/>
      <c r="KS32" s="739"/>
      <c r="KT32" s="739"/>
      <c r="KU32" s="739"/>
      <c r="KV32" s="739"/>
      <c r="KW32" s="739"/>
      <c r="KX32" s="739"/>
      <c r="KY32" s="739"/>
      <c r="LE32" s="2281">
        <v>2014</v>
      </c>
      <c r="LF32" s="1597">
        <v>71.539043569577998</v>
      </c>
      <c r="LG32" s="1966"/>
      <c r="LH32" s="1597">
        <v>3.889373856792</v>
      </c>
      <c r="LI32" s="1966"/>
      <c r="LJ32" s="739"/>
      <c r="LK32" s="739"/>
      <c r="LL32" s="739"/>
      <c r="LM32" s="739"/>
      <c r="LN32" s="739"/>
      <c r="LO32" s="739"/>
      <c r="LP32" s="739"/>
      <c r="LQ32" s="739"/>
      <c r="LR32" s="739"/>
      <c r="LS32" s="739"/>
      <c r="LT32" s="739"/>
      <c r="LU32" s="739"/>
      <c r="LV32" s="739"/>
      <c r="MB32" s="2281">
        <v>2014</v>
      </c>
      <c r="MC32" s="2131">
        <v>5437.5022785542169</v>
      </c>
      <c r="MD32" s="1966"/>
      <c r="ME32" s="739"/>
      <c r="MF32" s="739"/>
      <c r="MG32" s="739"/>
      <c r="MH32" s="739"/>
      <c r="MI32" s="739"/>
      <c r="MJ32" s="739"/>
      <c r="MK32" s="739"/>
      <c r="ML32" s="739"/>
      <c r="MM32" s="739"/>
      <c r="MN32" s="739"/>
      <c r="MO32" s="739"/>
      <c r="MP32" s="739"/>
      <c r="MQ32" s="739"/>
      <c r="MY32" s="2281">
        <v>2014</v>
      </c>
      <c r="MZ32" s="1597">
        <f t="shared" si="2"/>
        <v>76.007477976215441</v>
      </c>
      <c r="NA32" s="1966"/>
      <c r="NB32" s="739"/>
      <c r="NC32" s="739"/>
      <c r="ND32" s="739"/>
      <c r="NE32" s="739"/>
      <c r="NF32" s="739"/>
      <c r="NG32" s="739"/>
      <c r="NH32" s="739"/>
      <c r="NI32" s="739"/>
      <c r="NJ32" s="739"/>
      <c r="NK32" s="739"/>
      <c r="NL32" s="739"/>
      <c r="NM32" s="739"/>
      <c r="NN32" s="739"/>
      <c r="NO32" s="739"/>
      <c r="NV32" s="2281">
        <v>2014</v>
      </c>
      <c r="NW32" s="1785">
        <v>14.240158664898729</v>
      </c>
      <c r="NX32" s="1597">
        <v>17.318787384589459</v>
      </c>
      <c r="NY32" s="1785">
        <v>19.115802786548628</v>
      </c>
      <c r="NZ32" s="1966">
        <v>22.851453644141124</v>
      </c>
      <c r="OA32" s="739"/>
      <c r="OB32" s="739"/>
      <c r="OC32" s="739"/>
      <c r="OD32" s="739"/>
      <c r="OE32" s="739"/>
      <c r="OF32" s="739"/>
      <c r="OG32" s="739"/>
      <c r="OH32" s="739"/>
      <c r="OI32" s="739"/>
      <c r="OJ32" s="739"/>
      <c r="OK32" s="739"/>
      <c r="OS32" s="2748"/>
      <c r="OU32" s="2281">
        <v>2014</v>
      </c>
      <c r="OV32" s="1785">
        <f t="shared" si="7"/>
        <v>0.97900000000000009</v>
      </c>
      <c r="OW32" s="1966"/>
      <c r="OX32" s="739"/>
      <c r="OY32" s="739"/>
      <c r="OZ32" s="739"/>
      <c r="PA32" s="739"/>
      <c r="PB32" s="739"/>
      <c r="PC32" s="739"/>
      <c r="PD32" s="739"/>
      <c r="PE32" s="739"/>
      <c r="PF32" s="739"/>
      <c r="PG32" s="739"/>
      <c r="PH32" s="739"/>
      <c r="PI32" s="739"/>
      <c r="PJ32" s="739"/>
      <c r="PK32" s="739"/>
      <c r="PQ32" s="2281">
        <v>2014</v>
      </c>
      <c r="PR32" s="1785">
        <f>СЧЁТ!CI25</f>
        <v>1.2605491538132751</v>
      </c>
      <c r="PS32" s="1966"/>
      <c r="PT32" s="739"/>
      <c r="PU32" s="739"/>
      <c r="PV32" s="739"/>
      <c r="PW32" s="739"/>
      <c r="PX32" s="739"/>
      <c r="PY32" s="739"/>
      <c r="PZ32" s="739"/>
      <c r="QA32" s="739"/>
      <c r="QB32" s="739"/>
      <c r="QC32" s="739"/>
      <c r="QD32" s="739"/>
      <c r="QE32" s="739"/>
      <c r="QF32" s="739"/>
      <c r="QG32" s="739"/>
      <c r="QM32" s="2281">
        <v>2014</v>
      </c>
      <c r="QN32" s="1785">
        <v>1.0073860077330101</v>
      </c>
      <c r="QO32" s="1966"/>
      <c r="QP32" s="739"/>
      <c r="QQ32" s="739"/>
      <c r="QR32" s="739"/>
      <c r="QS32" s="739"/>
      <c r="QT32" s="739"/>
      <c r="QU32" s="739"/>
      <c r="QV32" s="739"/>
      <c r="QW32" s="739"/>
      <c r="QX32" s="739"/>
      <c r="QY32" s="739"/>
      <c r="QZ32" s="739"/>
      <c r="RA32" s="739"/>
      <c r="RB32" s="739"/>
      <c r="RC32" s="739"/>
      <c r="RI32" s="943">
        <v>20</v>
      </c>
      <c r="RJ32" s="2281">
        <v>2014</v>
      </c>
      <c r="RK32" s="1786">
        <v>7712.4670957446406</v>
      </c>
      <c r="RL32" s="1786"/>
      <c r="RM32" s="1495">
        <f t="shared" si="12"/>
        <v>7712.4670957446406</v>
      </c>
      <c r="RN32" s="739"/>
      <c r="RO32" s="739"/>
      <c r="RP32" s="739"/>
      <c r="RQ32" s="739"/>
      <c r="RR32" s="739"/>
      <c r="RS32" s="739"/>
      <c r="RT32" s="739"/>
      <c r="RU32" s="739"/>
      <c r="RV32" s="739"/>
      <c r="RW32" s="739"/>
      <c r="RX32" s="739"/>
      <c r="RY32" s="739"/>
      <c r="RZ32" s="739"/>
      <c r="SA32" s="739"/>
      <c r="SG32" s="2281">
        <v>2014</v>
      </c>
      <c r="SH32" s="1785">
        <f t="shared" si="3"/>
        <v>0.70502761451706719</v>
      </c>
      <c r="SI32" s="1966"/>
      <c r="SJ32" s="739"/>
      <c r="SK32" s="739"/>
      <c r="SL32" s="739"/>
      <c r="SM32" s="739"/>
      <c r="SN32" s="739"/>
      <c r="SO32" s="739"/>
      <c r="SP32" s="739"/>
      <c r="SQ32" s="739"/>
      <c r="SR32" s="739"/>
      <c r="SS32" s="739"/>
      <c r="ST32" s="739"/>
      <c r="SU32" s="739"/>
      <c r="SV32" s="739"/>
      <c r="SW32" s="739"/>
      <c r="TC32" s="2281">
        <v>2014</v>
      </c>
      <c r="TD32" s="1785">
        <v>1.9226180848563927</v>
      </c>
      <c r="TE32" s="1966"/>
      <c r="TF32" s="739"/>
      <c r="TG32" s="739"/>
      <c r="TH32" s="739"/>
      <c r="TI32" s="739"/>
      <c r="TJ32" s="739"/>
      <c r="TK32" s="739"/>
      <c r="TL32" s="739"/>
      <c r="TM32" s="739"/>
      <c r="TN32" s="739"/>
      <c r="TO32" s="739"/>
      <c r="TP32" s="739"/>
      <c r="TQ32" s="739"/>
      <c r="TX32" s="2748"/>
      <c r="TZ32" s="2281">
        <v>2014</v>
      </c>
      <c r="UA32" s="1785">
        <f t="shared" si="5"/>
        <v>1</v>
      </c>
      <c r="UB32" s="2029">
        <f t="shared" si="10"/>
        <v>1</v>
      </c>
      <c r="UC32" s="1966"/>
      <c r="UD32" s="739"/>
      <c r="UE32" s="739"/>
      <c r="UF32" s="739"/>
      <c r="UG32" s="739"/>
      <c r="UH32" s="739"/>
      <c r="UI32" s="739"/>
      <c r="UJ32" s="739"/>
      <c r="UK32" s="739"/>
      <c r="UL32" s="739"/>
      <c r="UM32" s="739"/>
      <c r="UN32" s="739"/>
      <c r="UO32" s="739"/>
      <c r="UP32" s="739"/>
      <c r="UQ32" s="739"/>
      <c r="UW32" s="2281">
        <v>2014</v>
      </c>
      <c r="UX32" s="2029">
        <f>СЧЁТ!CK25</f>
        <v>0.63595061142174802</v>
      </c>
      <c r="UY32" s="1966"/>
      <c r="UZ32" s="739"/>
      <c r="VA32" s="739"/>
      <c r="VB32" s="739"/>
      <c r="VC32" s="739"/>
      <c r="VD32" s="739"/>
      <c r="VE32" s="739"/>
      <c r="VF32" s="739"/>
      <c r="VG32" s="739"/>
      <c r="VH32" s="739"/>
      <c r="VI32" s="739"/>
      <c r="VJ32" s="739"/>
      <c r="VK32" s="739"/>
      <c r="VL32" s="739"/>
      <c r="VM32" s="739"/>
      <c r="VS32" s="2281">
        <v>2014</v>
      </c>
      <c r="VT32" s="1785">
        <v>1.0073860077330101</v>
      </c>
      <c r="VU32" s="1966"/>
      <c r="VV32" s="739"/>
      <c r="VW32" s="739"/>
      <c r="VX32" s="739"/>
      <c r="VY32" s="739"/>
      <c r="VZ32" s="739"/>
      <c r="WA32" s="739"/>
      <c r="WB32" s="739"/>
      <c r="WC32" s="739"/>
      <c r="WD32" s="739"/>
      <c r="WE32" s="739"/>
      <c r="WF32" s="739"/>
      <c r="WG32" s="739"/>
      <c r="WH32" s="739"/>
      <c r="WI32" s="739"/>
      <c r="WO32" s="2281">
        <v>2014</v>
      </c>
      <c r="WP32" s="2131">
        <v>5437.5022785542169</v>
      </c>
      <c r="WQ32" s="1786">
        <f t="shared" si="11"/>
        <v>6239.3858804574147</v>
      </c>
      <c r="WR32" s="1495">
        <v>5437.5022785542169</v>
      </c>
      <c r="WS32" s="739"/>
      <c r="WT32" s="739"/>
      <c r="WU32" s="739"/>
      <c r="WV32" s="739"/>
      <c r="WW32" s="739"/>
      <c r="WX32" s="739"/>
      <c r="WY32" s="739"/>
      <c r="WZ32" s="739"/>
      <c r="XA32" s="739"/>
      <c r="XB32" s="739"/>
      <c r="XC32" s="739"/>
      <c r="XD32" s="739"/>
      <c r="XE32" s="739"/>
      <c r="XF32" s="739"/>
      <c r="XK32" s="2492">
        <v>2014</v>
      </c>
      <c r="XL32" s="2490">
        <f t="shared" si="13"/>
        <v>0.87148036405076279</v>
      </c>
      <c r="XM32" s="1966"/>
      <c r="XN32" s="739"/>
      <c r="XO32" s="739"/>
      <c r="XP32" s="739"/>
      <c r="XQ32" s="739"/>
      <c r="XR32" s="739"/>
      <c r="XS32" s="739"/>
      <c r="XT32" s="739"/>
      <c r="XU32" s="739"/>
      <c r="XV32" s="739"/>
      <c r="XW32" s="739"/>
      <c r="XX32" s="739"/>
      <c r="XY32" s="739"/>
      <c r="XZ32" s="739"/>
      <c r="YA32" s="739"/>
      <c r="YG32" s="2281">
        <v>2014</v>
      </c>
      <c r="YH32" s="1785">
        <v>1.9226180848563927</v>
      </c>
      <c r="YI32" s="1966"/>
      <c r="YJ32" s="739"/>
      <c r="YK32" s="739"/>
      <c r="YL32" s="739"/>
      <c r="YM32" s="739"/>
      <c r="YN32" s="739"/>
      <c r="YO32" s="739"/>
      <c r="YP32" s="739"/>
      <c r="YQ32" s="739"/>
      <c r="YR32" s="739"/>
      <c r="YS32" s="739"/>
      <c r="YT32" s="739"/>
      <c r="YU32" s="739"/>
      <c r="ZE32" s="2587" t="s">
        <v>2173</v>
      </c>
      <c r="ZF32" s="765"/>
      <c r="ZG32" s="765"/>
      <c r="ZH32" s="765"/>
      <c r="ZI32" s="765"/>
      <c r="ZJ32" s="765"/>
      <c r="ZK32" s="765"/>
      <c r="ZL32" s="765"/>
      <c r="ZM32" s="765"/>
      <c r="ZN32" s="765"/>
      <c r="ZO32" s="765"/>
      <c r="ZP32" s="777"/>
    </row>
    <row r="33" spans="6:692" ht="20.399999999999999">
      <c r="G33" s="2281">
        <v>2015</v>
      </c>
      <c r="H33" s="2490">
        <v>0.97699999999999998</v>
      </c>
      <c r="I33" s="2416"/>
      <c r="K33" s="739"/>
      <c r="L33" s="739"/>
      <c r="M33" s="739"/>
      <c r="N33" s="739"/>
      <c r="O33" s="739"/>
      <c r="P33" s="739"/>
      <c r="Q33" s="739"/>
      <c r="R33" s="739"/>
      <c r="S33" s="739"/>
      <c r="T33" s="739"/>
      <c r="U33" s="739"/>
      <c r="V33" s="739"/>
      <c r="W33" s="739"/>
      <c r="X33" s="739"/>
      <c r="AD33" s="2281">
        <v>2015</v>
      </c>
      <c r="AE33" s="1785">
        <f>AE32*H33</f>
        <v>1.8783978689046956</v>
      </c>
      <c r="AF33" s="765"/>
      <c r="AG33" s="1966"/>
      <c r="AH33" s="739"/>
      <c r="AI33" s="739"/>
      <c r="AJ33" s="739"/>
      <c r="AK33" s="739"/>
      <c r="AL33" s="739"/>
      <c r="AM33" s="739"/>
      <c r="AN33" s="739"/>
      <c r="AO33" s="739"/>
      <c r="AP33" s="739"/>
      <c r="AQ33" s="739"/>
      <c r="AR33" s="739"/>
      <c r="AS33" s="739"/>
      <c r="AT33" s="739"/>
      <c r="AU33" s="739"/>
      <c r="BA33" s="2281">
        <v>2015</v>
      </c>
      <c r="BB33" s="1285">
        <v>25.392619710313024</v>
      </c>
      <c r="BC33" s="2416"/>
      <c r="BD33" s="739"/>
      <c r="BE33" s="739"/>
      <c r="BF33" s="739"/>
      <c r="BG33" s="739"/>
      <c r="BH33" s="739"/>
      <c r="BI33" s="739"/>
      <c r="BJ33" s="739"/>
      <c r="BK33" s="739"/>
      <c r="BL33" s="739"/>
      <c r="BM33" s="739"/>
      <c r="BN33" s="739"/>
      <c r="BO33" s="739"/>
      <c r="BP33" s="739"/>
      <c r="BQ33" s="739"/>
      <c r="BW33" s="2281">
        <v>2015</v>
      </c>
      <c r="BX33" s="1785">
        <f>ОТЧЁТ!EE433</f>
        <v>2.1845595087999583</v>
      </c>
      <c r="BY33" s="1785">
        <v>2.559122039520866</v>
      </c>
      <c r="BZ33" s="1966"/>
      <c r="CA33" s="739"/>
      <c r="CB33" s="739"/>
      <c r="CC33" s="739"/>
      <c r="CD33" s="739"/>
      <c r="CE33" s="739"/>
      <c r="CF33" s="739"/>
      <c r="CG33" s="739"/>
      <c r="CH33" s="739"/>
      <c r="CI33" s="739"/>
      <c r="CJ33" s="739"/>
      <c r="CK33" s="739"/>
      <c r="CL33" s="739"/>
      <c r="CM33" s="739"/>
      <c r="CN33" s="739"/>
      <c r="CT33" s="2281">
        <v>2015</v>
      </c>
      <c r="CU33" s="2487">
        <v>722.545320043537</v>
      </c>
      <c r="CV33" s="1966"/>
      <c r="CW33" s="739"/>
      <c r="CX33" s="739"/>
      <c r="CY33" s="739"/>
      <c r="CZ33" s="739"/>
      <c r="DA33" s="739"/>
      <c r="DB33" s="739"/>
      <c r="DC33" s="739"/>
      <c r="DD33" s="739"/>
      <c r="DE33" s="739"/>
      <c r="DF33" s="739"/>
      <c r="DG33" s="739"/>
      <c r="DH33" s="739"/>
      <c r="DI33" s="739"/>
      <c r="DJ33" s="739"/>
      <c r="DO33" s="2281">
        <v>2015</v>
      </c>
      <c r="DP33" s="2487">
        <f t="shared" si="0"/>
        <v>722.545320043537</v>
      </c>
      <c r="DQ33" s="1247">
        <f t="shared" si="8"/>
        <v>1.2758935714304587</v>
      </c>
      <c r="DR33" s="2329">
        <v>546.94455413362641</v>
      </c>
      <c r="DS33" s="1767"/>
      <c r="DT33" s="1767"/>
      <c r="DU33" s="1767"/>
      <c r="DV33" s="1767"/>
      <c r="DW33" s="1767"/>
      <c r="DX33" s="1767"/>
      <c r="DY33" s="1767"/>
      <c r="DZ33" s="1767"/>
      <c r="EA33" s="1767"/>
      <c r="EB33" s="1767"/>
      <c r="EC33" s="1767"/>
      <c r="ED33" s="1767"/>
      <c r="EE33" s="2749"/>
      <c r="EG33" s="2281">
        <v>2015</v>
      </c>
      <c r="EH33" s="2416">
        <v>0.89900000000000002</v>
      </c>
      <c r="EI33" s="2416"/>
      <c r="EJ33" s="739"/>
      <c r="EK33" s="739"/>
      <c r="EL33" s="739"/>
      <c r="EM33" s="739"/>
      <c r="EN33" s="739"/>
      <c r="EO33" s="739"/>
      <c r="EP33" s="739"/>
      <c r="EQ33" s="739"/>
      <c r="ER33" s="739"/>
      <c r="ES33" s="739"/>
      <c r="ET33" s="739"/>
      <c r="EU33" s="739"/>
      <c r="EV33" s="739"/>
      <c r="EW33" s="739"/>
      <c r="FC33" s="2281">
        <v>2015</v>
      </c>
      <c r="FD33" s="1785">
        <v>2.0486809731795095</v>
      </c>
      <c r="FE33" s="1966"/>
      <c r="FF33" s="739"/>
      <c r="FG33" s="739"/>
      <c r="FH33" s="739"/>
      <c r="FI33" s="739"/>
      <c r="FJ33" s="739"/>
      <c r="FK33" s="739"/>
      <c r="FL33" s="739"/>
      <c r="FM33" s="739"/>
      <c r="FN33" s="739"/>
      <c r="FO33" s="739"/>
      <c r="FP33" s="739"/>
      <c r="FQ33" s="739"/>
      <c r="FR33" s="739"/>
      <c r="FS33" s="739"/>
      <c r="FY33" s="2281">
        <v>2015</v>
      </c>
      <c r="FZ33" s="2490">
        <f t="shared" si="4"/>
        <v>0.749</v>
      </c>
      <c r="GA33" s="1966"/>
      <c r="GB33" s="739"/>
      <c r="GC33" s="739"/>
      <c r="GD33" s="739"/>
      <c r="GE33" s="739"/>
      <c r="GF33" s="739"/>
      <c r="GG33" s="739"/>
      <c r="GH33" s="739"/>
      <c r="GI33" s="739"/>
      <c r="GJ33" s="739"/>
      <c r="GK33" s="739"/>
      <c r="GL33" s="739"/>
      <c r="GM33" s="739"/>
      <c r="GN33" s="739"/>
      <c r="GO33" s="739"/>
      <c r="GU33" s="2281">
        <v>2015</v>
      </c>
      <c r="GV33" s="2509">
        <f>СЧЁТ!CN26</f>
        <v>3.0903690079580031</v>
      </c>
      <c r="GW33" s="2509">
        <f t="shared" si="1"/>
        <v>2.1300080094384772</v>
      </c>
      <c r="GX33" s="1966"/>
      <c r="GY33" s="739"/>
      <c r="GZ33" s="739"/>
      <c r="HA33" s="739"/>
      <c r="HB33" s="739"/>
      <c r="HC33" s="739"/>
      <c r="HD33" s="739"/>
      <c r="HE33" s="739"/>
      <c r="HF33" s="739"/>
      <c r="HG33" s="739"/>
      <c r="HH33" s="739"/>
      <c r="HI33" s="739"/>
      <c r="HJ33" s="739"/>
      <c r="HK33" s="739"/>
      <c r="HR33" s="2281">
        <v>2015</v>
      </c>
      <c r="HS33" s="2121">
        <v>0.21300080094384774</v>
      </c>
      <c r="HT33" s="1966"/>
      <c r="HU33" s="739"/>
      <c r="HV33" s="739"/>
      <c r="HW33" s="739"/>
      <c r="HX33" s="739"/>
      <c r="HY33" s="739"/>
      <c r="HZ33" s="739"/>
      <c r="IA33" s="739"/>
      <c r="IB33" s="739"/>
      <c r="IC33" s="739"/>
      <c r="ID33" s="739"/>
      <c r="IE33" s="739"/>
      <c r="IF33" s="739"/>
      <c r="IG33" s="739"/>
      <c r="IH33" s="739"/>
      <c r="IN33" s="2281">
        <v>2015</v>
      </c>
      <c r="IO33" s="1786">
        <v>10721</v>
      </c>
      <c r="IP33" s="1786">
        <f t="shared" si="6"/>
        <v>13853.59288</v>
      </c>
      <c r="IQ33" s="1495">
        <v>13897.2</v>
      </c>
      <c r="IR33" s="1767"/>
      <c r="IS33" s="1767"/>
      <c r="IT33" s="1767"/>
      <c r="IU33" s="1767"/>
      <c r="IV33" s="1767"/>
      <c r="IW33" s="1767"/>
      <c r="IX33" s="1767"/>
      <c r="IY33" s="1767"/>
      <c r="IZ33" s="1767"/>
      <c r="JA33" s="1767"/>
      <c r="JJ33" s="2748"/>
      <c r="JL33" s="2281">
        <v>2015</v>
      </c>
      <c r="JM33" s="1785">
        <v>0.90600000000000003</v>
      </c>
      <c r="JN33" s="1966"/>
      <c r="JO33" s="739"/>
      <c r="JP33" s="739"/>
      <c r="JQ33" s="739"/>
      <c r="JR33" s="739"/>
      <c r="JS33" s="739"/>
      <c r="JT33" s="739"/>
      <c r="JU33" s="739"/>
      <c r="JV33" s="739"/>
      <c r="JW33" s="739"/>
      <c r="JX33" s="739"/>
      <c r="JY33" s="739"/>
      <c r="JZ33" s="739"/>
      <c r="KA33" s="739"/>
      <c r="KB33" s="739"/>
      <c r="KH33" s="2281">
        <v>2015</v>
      </c>
      <c r="KI33" s="1785">
        <v>2.5127336739020127</v>
      </c>
      <c r="KJ33" s="765"/>
      <c r="KK33" s="1966"/>
      <c r="KL33" s="739"/>
      <c r="KM33" s="739"/>
      <c r="KN33" s="739"/>
      <c r="KO33" s="739"/>
      <c r="KP33" s="739"/>
      <c r="KQ33" s="739"/>
      <c r="KR33" s="739"/>
      <c r="KS33" s="739"/>
      <c r="KT33" s="739"/>
      <c r="KU33" s="739"/>
      <c r="KV33" s="739"/>
      <c r="KW33" s="739"/>
      <c r="KX33" s="739"/>
      <c r="KY33" s="739"/>
      <c r="LE33" s="2281">
        <v>2015</v>
      </c>
      <c r="LF33" s="1597">
        <v>72.323622532452006</v>
      </c>
      <c r="LG33" s="1966"/>
      <c r="LH33" s="1597">
        <v>4.2639265933380006</v>
      </c>
      <c r="LI33" s="1966"/>
      <c r="LJ33" s="739"/>
      <c r="LK33" s="739"/>
      <c r="LL33" s="739"/>
      <c r="LM33" s="739"/>
      <c r="LN33" s="739"/>
      <c r="LO33" s="739"/>
      <c r="LP33" s="739"/>
      <c r="LQ33" s="739"/>
      <c r="LR33" s="739"/>
      <c r="LS33" s="739"/>
      <c r="LT33" s="739"/>
      <c r="LU33" s="739"/>
      <c r="LV33" s="739"/>
      <c r="MB33" s="2281">
        <v>2015</v>
      </c>
      <c r="MC33" s="2131">
        <v>5366.8147489330113</v>
      </c>
      <c r="MD33" s="1966"/>
      <c r="ME33" s="739"/>
      <c r="MF33" s="739"/>
      <c r="MG33" s="739"/>
      <c r="MH33" s="739"/>
      <c r="MI33" s="739"/>
      <c r="MJ33" s="739"/>
      <c r="MK33" s="739"/>
      <c r="ML33" s="739"/>
      <c r="MM33" s="739"/>
      <c r="MN33" s="739"/>
      <c r="MO33" s="739"/>
      <c r="MP33" s="739"/>
      <c r="MQ33" s="739"/>
      <c r="MY33" s="2281">
        <v>2015</v>
      </c>
      <c r="MZ33" s="1597">
        <f t="shared" si="2"/>
        <v>74.205557755695821</v>
      </c>
      <c r="NA33" s="1966"/>
      <c r="NB33" s="739"/>
      <c r="NC33" s="739"/>
      <c r="ND33" s="739"/>
      <c r="NE33" s="739"/>
      <c r="NF33" s="739"/>
      <c r="NG33" s="739"/>
      <c r="NH33" s="739"/>
      <c r="NI33" s="739"/>
      <c r="NJ33" s="739"/>
      <c r="NK33" s="739"/>
      <c r="NL33" s="739"/>
      <c r="NM33" s="739"/>
      <c r="NN33" s="739"/>
      <c r="NO33" s="739"/>
      <c r="NV33" s="2281">
        <v>2015</v>
      </c>
      <c r="NW33" s="1785">
        <v>14.837823597492827</v>
      </c>
      <c r="NX33" s="1597">
        <v>19.552910957201501</v>
      </c>
      <c r="NY33" s="1785">
        <v>20.193444864834213</v>
      </c>
      <c r="NZ33" s="1966">
        <v>25.408791247612854</v>
      </c>
      <c r="OA33" s="739"/>
      <c r="OB33" s="739"/>
      <c r="OC33" s="739"/>
      <c r="OD33" s="739"/>
      <c r="OE33" s="739"/>
      <c r="OF33" s="739"/>
      <c r="OG33" s="739"/>
      <c r="OH33" s="739"/>
      <c r="OI33" s="739"/>
      <c r="OJ33" s="739"/>
      <c r="OK33" s="739"/>
      <c r="OS33" s="2748"/>
      <c r="OU33" s="2281">
        <v>2015</v>
      </c>
      <c r="OV33" s="1785">
        <f t="shared" si="7"/>
        <v>0.96399999999999997</v>
      </c>
      <c r="OW33" s="1966"/>
      <c r="OX33" s="739"/>
      <c r="OY33" s="739"/>
      <c r="OZ33" s="739"/>
      <c r="PA33" s="739"/>
      <c r="PB33" s="739"/>
      <c r="PC33" s="739"/>
      <c r="PD33" s="739"/>
      <c r="PE33" s="739"/>
      <c r="PF33" s="739"/>
      <c r="PG33" s="739"/>
      <c r="PH33" s="739"/>
      <c r="PI33" s="739"/>
      <c r="PJ33" s="739"/>
      <c r="PK33" s="739"/>
      <c r="PQ33" s="2281">
        <v>2015</v>
      </c>
      <c r="PR33" s="1785">
        <f>СЧЁТ!CI26</f>
        <v>1.2151693842759972</v>
      </c>
      <c r="PS33" s="1966">
        <f>СЧЁТ!CI26</f>
        <v>1.2151693842759972</v>
      </c>
      <c r="PT33" s="739"/>
      <c r="PU33" s="739"/>
      <c r="PV33" s="739"/>
      <c r="PW33" s="739"/>
      <c r="PX33" s="739"/>
      <c r="PY33" s="739"/>
      <c r="PZ33" s="739"/>
      <c r="QA33" s="739"/>
      <c r="QB33" s="739"/>
      <c r="QC33" s="739"/>
      <c r="QD33" s="739"/>
      <c r="QE33" s="739"/>
      <c r="QF33" s="739"/>
      <c r="QG33" s="739"/>
      <c r="QM33" s="2281">
        <v>2015</v>
      </c>
      <c r="QN33" s="1785">
        <v>0.97699999999999998</v>
      </c>
      <c r="QO33" s="1966"/>
      <c r="QP33" s="739"/>
      <c r="QQ33" s="739"/>
      <c r="QR33" s="739"/>
      <c r="QS33" s="739"/>
      <c r="QT33" s="739"/>
      <c r="QU33" s="739"/>
      <c r="QV33" s="739"/>
      <c r="QW33" s="739"/>
      <c r="QX33" s="739"/>
      <c r="QY33" s="739"/>
      <c r="QZ33" s="739"/>
      <c r="RA33" s="739"/>
      <c r="RB33" s="739"/>
      <c r="RC33" s="739"/>
      <c r="RI33" s="943">
        <v>21</v>
      </c>
      <c r="RJ33" s="2281">
        <v>2015</v>
      </c>
      <c r="RK33" s="1786">
        <v>7959.2660428084691</v>
      </c>
      <c r="RL33" s="1786"/>
      <c r="RM33" s="1495">
        <f t="shared" si="12"/>
        <v>7959.2660428084691</v>
      </c>
      <c r="RN33" s="739"/>
      <c r="RO33" s="739"/>
      <c r="RP33" s="739"/>
      <c r="RQ33" s="739"/>
      <c r="RR33" s="739"/>
      <c r="RS33" s="739"/>
      <c r="RT33" s="739"/>
      <c r="RU33" s="739"/>
      <c r="RV33" s="739"/>
      <c r="RW33" s="739"/>
      <c r="RX33" s="739"/>
      <c r="RY33" s="739"/>
      <c r="RZ33" s="739"/>
      <c r="SA33" s="739"/>
      <c r="SG33" s="2281">
        <v>2015</v>
      </c>
      <c r="SH33" s="1785">
        <f t="shared" si="3"/>
        <v>0.67428513132591583</v>
      </c>
      <c r="SI33" s="1966"/>
      <c r="SJ33" s="739"/>
      <c r="SK33" s="739"/>
      <c r="SL33" s="739"/>
      <c r="SM33" s="739"/>
      <c r="SN33" s="739"/>
      <c r="SO33" s="739"/>
      <c r="SP33" s="739"/>
      <c r="SQ33" s="739"/>
      <c r="SR33" s="739"/>
      <c r="SS33" s="739"/>
      <c r="ST33" s="739"/>
      <c r="SU33" s="739"/>
      <c r="SV33" s="739"/>
      <c r="SW33" s="739"/>
      <c r="TC33" s="2281">
        <v>2015</v>
      </c>
      <c r="TD33" s="1785">
        <v>1.8783978689046956</v>
      </c>
      <c r="TE33" s="1966"/>
      <c r="TF33" s="739"/>
      <c r="TG33" s="739"/>
      <c r="TH33" s="739"/>
      <c r="TI33" s="739"/>
      <c r="TJ33" s="739"/>
      <c r="TK33" s="739"/>
      <c r="TL33" s="739"/>
      <c r="TM33" s="739"/>
      <c r="TN33" s="739"/>
      <c r="TO33" s="739"/>
      <c r="TP33" s="739"/>
      <c r="TQ33" s="739"/>
      <c r="TX33" s="2748"/>
      <c r="TZ33" s="2281">
        <v>2015</v>
      </c>
      <c r="UA33" s="1785">
        <f t="shared" si="5"/>
        <v>0.97099999999999986</v>
      </c>
      <c r="UB33" s="2029">
        <f t="shared" si="10"/>
        <v>0.97099999999999986</v>
      </c>
      <c r="UC33" s="1966"/>
      <c r="UD33" s="739"/>
      <c r="UE33" s="739"/>
      <c r="UF33" s="739"/>
      <c r="UG33" s="739"/>
      <c r="UH33" s="739"/>
      <c r="UI33" s="739"/>
      <c r="UJ33" s="739"/>
      <c r="UK33" s="739"/>
      <c r="UL33" s="739"/>
      <c r="UM33" s="739"/>
      <c r="UN33" s="739"/>
      <c r="UO33" s="739"/>
      <c r="UP33" s="739"/>
      <c r="UQ33" s="739"/>
      <c r="UW33" s="2281">
        <v>2015</v>
      </c>
      <c r="UX33" s="2029">
        <f>СЧЁТ!CK26</f>
        <v>0.61750804369051726</v>
      </c>
      <c r="UY33" s="1966"/>
      <c r="UZ33" s="739"/>
      <c r="VA33" s="739"/>
      <c r="VB33" s="739"/>
      <c r="VC33" s="739"/>
      <c r="VD33" s="739"/>
      <c r="VE33" s="739"/>
      <c r="VF33" s="739"/>
      <c r="VG33" s="739"/>
      <c r="VH33" s="739"/>
      <c r="VI33" s="739"/>
      <c r="VJ33" s="739"/>
      <c r="VK33" s="739"/>
      <c r="VL33" s="739"/>
      <c r="VM33" s="739"/>
      <c r="VS33" s="2281">
        <v>2015</v>
      </c>
      <c r="VT33" s="1785">
        <v>0.97699999999999998</v>
      </c>
      <c r="VU33" s="1966"/>
      <c r="VV33" s="739"/>
      <c r="VW33" s="739"/>
      <c r="VX33" s="739"/>
      <c r="VY33" s="739"/>
      <c r="VZ33" s="739"/>
      <c r="WA33" s="739"/>
      <c r="WB33" s="739"/>
      <c r="WC33" s="739"/>
      <c r="WD33" s="739"/>
      <c r="WE33" s="739"/>
      <c r="WF33" s="739"/>
      <c r="WG33" s="739"/>
      <c r="WH33" s="739"/>
      <c r="WI33" s="739"/>
      <c r="WO33" s="2281">
        <v>2015</v>
      </c>
      <c r="WP33" s="2131">
        <v>5366.8147489330113</v>
      </c>
      <c r="WQ33" s="1786">
        <f t="shared" si="11"/>
        <v>6439.0462286320517</v>
      </c>
      <c r="WR33" s="2131">
        <v>5366.8147489330113</v>
      </c>
      <c r="WS33" s="739"/>
      <c r="WT33" s="739"/>
      <c r="WU33" s="739"/>
      <c r="WV33" s="739"/>
      <c r="WW33" s="739"/>
      <c r="WX33" s="739"/>
      <c r="WY33" s="739"/>
      <c r="WZ33" s="739"/>
      <c r="XA33" s="739"/>
      <c r="XB33" s="739"/>
      <c r="XC33" s="739"/>
      <c r="XD33" s="739"/>
      <c r="XE33" s="739"/>
      <c r="XF33" s="739"/>
      <c r="XK33" s="2492">
        <v>2015</v>
      </c>
      <c r="XL33" s="2490">
        <f t="shared" si="13"/>
        <v>0.83347976678110736</v>
      </c>
      <c r="XM33" s="1966"/>
      <c r="XN33" s="739"/>
      <c r="XO33" s="739"/>
      <c r="XP33" s="739"/>
      <c r="XQ33" s="739"/>
      <c r="XR33" s="739"/>
      <c r="XS33" s="739"/>
      <c r="XT33" s="739"/>
      <c r="XU33" s="739"/>
      <c r="XV33" s="739"/>
      <c r="XW33" s="739"/>
      <c r="XX33" s="739"/>
      <c r="XY33" s="739"/>
      <c r="XZ33" s="739"/>
      <c r="YA33" s="739"/>
      <c r="YG33" s="2281">
        <v>2015</v>
      </c>
      <c r="YH33" s="1785">
        <v>1.8783978689046956</v>
      </c>
      <c r="YI33" s="1966"/>
      <c r="YJ33" s="739"/>
      <c r="YK33" s="739"/>
      <c r="YL33" s="739"/>
      <c r="YM33" s="739"/>
      <c r="YN33" s="739"/>
      <c r="YO33" s="739"/>
      <c r="YP33" s="739"/>
      <c r="YQ33" s="739"/>
      <c r="YR33" s="739"/>
      <c r="YS33" s="739"/>
      <c r="YT33" s="739"/>
      <c r="YU33" s="739"/>
      <c r="ZE33" s="2587" t="s">
        <v>2174</v>
      </c>
      <c r="ZF33" s="765"/>
      <c r="ZG33" s="765"/>
      <c r="ZH33" s="765"/>
      <c r="ZI33" s="765"/>
      <c r="ZJ33" s="765"/>
      <c r="ZK33" s="765"/>
      <c r="ZL33" s="765"/>
      <c r="ZM33" s="765"/>
      <c r="ZN33" s="765"/>
      <c r="ZO33" s="765"/>
      <c r="ZP33" s="777"/>
    </row>
    <row r="34" spans="6:692" ht="20.399999999999999">
      <c r="G34" s="2281">
        <v>2016</v>
      </c>
      <c r="H34" s="2490">
        <v>1.002</v>
      </c>
      <c r="I34" s="2416"/>
      <c r="K34" s="739"/>
      <c r="L34" s="739"/>
      <c r="M34" s="739"/>
      <c r="N34" s="739"/>
      <c r="O34" s="739"/>
      <c r="P34" s="739"/>
      <c r="Q34" s="739"/>
      <c r="R34" s="739"/>
      <c r="S34" s="739"/>
      <c r="T34" s="739"/>
      <c r="U34" s="739"/>
      <c r="V34" s="739"/>
      <c r="W34" s="739"/>
      <c r="X34" s="739"/>
      <c r="AD34" s="2281">
        <v>2016</v>
      </c>
      <c r="AE34" s="1785">
        <f>AE33*H34</f>
        <v>1.8821546646425049</v>
      </c>
      <c r="AF34" s="765"/>
      <c r="AG34" s="1966"/>
      <c r="AH34" s="739"/>
      <c r="AI34" s="739"/>
      <c r="AJ34" s="739"/>
      <c r="AK34" s="739"/>
      <c r="AL34" s="739"/>
      <c r="AM34" s="739"/>
      <c r="AN34" s="739"/>
      <c r="AO34" s="739"/>
      <c r="AP34" s="739"/>
      <c r="AQ34" s="739"/>
      <c r="AR34" s="739"/>
      <c r="AS34" s="739"/>
      <c r="AT34" s="739"/>
      <c r="AU34" s="739"/>
      <c r="BA34" s="2281">
        <v>2016</v>
      </c>
      <c r="BB34" s="1285">
        <v>24.686694352693262</v>
      </c>
      <c r="BC34" s="1348"/>
      <c r="BD34" s="739"/>
      <c r="BE34" s="739"/>
      <c r="BF34" s="739"/>
      <c r="BG34" s="739"/>
      <c r="BH34" s="739"/>
      <c r="BI34" s="739"/>
      <c r="BJ34" s="739"/>
      <c r="BK34" s="739"/>
      <c r="BL34" s="739"/>
      <c r="BM34" s="739"/>
      <c r="BN34" s="739"/>
      <c r="BO34" s="739"/>
      <c r="BP34" s="739"/>
      <c r="BQ34" s="739"/>
      <c r="BW34" s="2281">
        <v>2016</v>
      </c>
      <c r="BX34" s="1785">
        <f>ОТЧЁТ!EE434</f>
        <v>2.1739835580660896</v>
      </c>
      <c r="BY34" s="1785">
        <v>2.6410139447855339</v>
      </c>
      <c r="BZ34" s="1966"/>
      <c r="CA34" s="739"/>
      <c r="CB34" s="739"/>
      <c r="CC34" s="739"/>
      <c r="CD34" s="739"/>
      <c r="CE34" s="739"/>
      <c r="CF34" s="739"/>
      <c r="CG34" s="739"/>
      <c r="CH34" s="739"/>
      <c r="CI34" s="739"/>
      <c r="CJ34" s="739"/>
      <c r="CK34" s="739"/>
      <c r="CL34" s="739"/>
      <c r="CM34" s="739"/>
      <c r="CN34" s="739"/>
      <c r="CT34" s="2281">
        <v>2016</v>
      </c>
      <c r="CU34" s="2487">
        <v>843.93293381085118</v>
      </c>
      <c r="CV34" s="1966"/>
      <c r="CW34" s="739"/>
      <c r="CX34" s="739"/>
      <c r="CY34" s="739"/>
      <c r="CZ34" s="739"/>
      <c r="DA34" s="739"/>
      <c r="DB34" s="739"/>
      <c r="DC34" s="739"/>
      <c r="DD34" s="739"/>
      <c r="DE34" s="739"/>
      <c r="DF34" s="739"/>
      <c r="DG34" s="739"/>
      <c r="DH34" s="739"/>
      <c r="DI34" s="739"/>
      <c r="DJ34" s="739"/>
      <c r="DO34" s="2281">
        <v>2016</v>
      </c>
      <c r="DP34" s="2487">
        <f t="shared" si="0"/>
        <v>843.93293381085118</v>
      </c>
      <c r="DQ34" s="1247">
        <f t="shared" si="8"/>
        <v>1.5279682872837883</v>
      </c>
      <c r="DR34" s="2329">
        <v>545.85066502535915</v>
      </c>
      <c r="DS34" s="1767"/>
      <c r="DT34" s="1767"/>
      <c r="DU34" s="1767"/>
      <c r="DV34" s="1767"/>
      <c r="DW34" s="1767"/>
      <c r="DX34" s="1767"/>
      <c r="DY34" s="1767"/>
      <c r="DZ34" s="1767"/>
      <c r="EA34" s="1767"/>
      <c r="EB34" s="1767"/>
      <c r="EC34" s="1767"/>
      <c r="ED34" s="1767"/>
      <c r="EE34" s="2749"/>
      <c r="EG34" s="2281">
        <v>2016</v>
      </c>
      <c r="EH34" s="2416">
        <v>0.998</v>
      </c>
      <c r="EI34" s="2416">
        <f>EH34</f>
        <v>0.998</v>
      </c>
      <c r="EJ34" s="739"/>
      <c r="EK34" s="739"/>
      <c r="EL34" s="739"/>
      <c r="EM34" s="739"/>
      <c r="EN34" s="739"/>
      <c r="EO34" s="739"/>
      <c r="EP34" s="739"/>
      <c r="EQ34" s="739"/>
      <c r="ER34" s="739"/>
      <c r="ES34" s="739"/>
      <c r="ET34" s="739"/>
      <c r="EU34" s="739"/>
      <c r="EV34" s="739"/>
      <c r="EW34" s="739"/>
      <c r="FC34" s="2281">
        <v>2016</v>
      </c>
      <c r="FD34" s="1785">
        <v>2.0445836112331506</v>
      </c>
      <c r="FE34" s="1966">
        <f>СЧЁТ!CG27</f>
        <v>2.0445836112331506</v>
      </c>
      <c r="FF34" s="739"/>
      <c r="FG34" s="739"/>
      <c r="FH34" s="739"/>
      <c r="FI34" s="739"/>
      <c r="FJ34" s="739"/>
      <c r="FK34" s="739"/>
      <c r="FL34" s="739"/>
      <c r="FM34" s="739"/>
      <c r="FN34" s="739"/>
      <c r="FO34" s="739"/>
      <c r="FP34" s="739"/>
      <c r="FQ34" s="739"/>
      <c r="FR34" s="739"/>
      <c r="FS34" s="739"/>
      <c r="FY34" s="2281">
        <v>2016</v>
      </c>
      <c r="FZ34" s="2490">
        <f t="shared" si="4"/>
        <v>0.96399999999999997</v>
      </c>
      <c r="GA34" s="1966"/>
      <c r="GB34" s="739"/>
      <c r="GC34" s="739"/>
      <c r="GD34" s="739"/>
      <c r="GE34" s="739"/>
      <c r="GF34" s="739"/>
      <c r="GG34" s="739"/>
      <c r="GH34" s="739"/>
      <c r="GI34" s="739"/>
      <c r="GJ34" s="739"/>
      <c r="GK34" s="739"/>
      <c r="GL34" s="739"/>
      <c r="GM34" s="739"/>
      <c r="GN34" s="739"/>
      <c r="GO34" s="739"/>
      <c r="GU34" s="2281">
        <v>2016</v>
      </c>
      <c r="GV34" s="2509">
        <f>СЧЁТ!CN27</f>
        <v>2.9791157236715149</v>
      </c>
      <c r="GW34" s="2509">
        <f t="shared" si="1"/>
        <v>2.0289799615599726</v>
      </c>
      <c r="GX34" s="1255">
        <f>СЧЁТ!CN27</f>
        <v>2.9791157236715149</v>
      </c>
      <c r="GY34" s="739"/>
      <c r="GZ34" s="739"/>
      <c r="HA34" s="739"/>
      <c r="HB34" s="739"/>
      <c r="HC34" s="739"/>
      <c r="HD34" s="739"/>
      <c r="HE34" s="739"/>
      <c r="HF34" s="739"/>
      <c r="HG34" s="739"/>
      <c r="HH34" s="739"/>
      <c r="HI34" s="739"/>
      <c r="HJ34" s="739"/>
      <c r="HK34" s="739"/>
      <c r="HR34" s="2281">
        <v>2016</v>
      </c>
      <c r="HS34" s="2121">
        <v>0.20289799615599724</v>
      </c>
      <c r="HT34" s="1966"/>
      <c r="HU34" s="739"/>
      <c r="HV34" s="739"/>
      <c r="HW34" s="739"/>
      <c r="HX34" s="739"/>
      <c r="HY34" s="739"/>
      <c r="HZ34" s="739"/>
      <c r="IA34" s="739"/>
      <c r="IB34" s="739"/>
      <c r="IC34" s="739"/>
      <c r="ID34" s="739"/>
      <c r="IE34" s="739"/>
      <c r="IF34" s="739"/>
      <c r="IG34" s="739"/>
      <c r="IH34" s="739"/>
      <c r="IN34" s="2281">
        <v>2016</v>
      </c>
      <c r="IO34" s="1786">
        <v>13256</v>
      </c>
      <c r="IP34" s="1786">
        <f t="shared" si="6"/>
        <v>14493.864529999999</v>
      </c>
      <c r="IQ34" s="1495">
        <v>14748.8</v>
      </c>
      <c r="IR34" s="1767"/>
      <c r="IS34" s="1767"/>
      <c r="IT34" s="1767"/>
      <c r="IU34" s="1767"/>
      <c r="IV34" s="1767"/>
      <c r="IW34" s="1767"/>
      <c r="IX34" s="1767"/>
      <c r="IY34" s="1767"/>
      <c r="IZ34" s="1767"/>
      <c r="JA34" s="1767"/>
      <c r="JJ34" s="2748"/>
      <c r="JL34" s="2281">
        <v>2016</v>
      </c>
      <c r="JM34" s="1785">
        <v>0.98099999999999998</v>
      </c>
      <c r="JN34" s="1966"/>
      <c r="JO34" s="739"/>
      <c r="JP34" s="739"/>
      <c r="JQ34" s="739"/>
      <c r="JR34" s="739"/>
      <c r="JS34" s="739"/>
      <c r="JT34" s="739"/>
      <c r="JU34" s="739"/>
      <c r="JV34" s="739"/>
      <c r="JW34" s="739"/>
      <c r="JX34" s="739"/>
      <c r="JY34" s="739"/>
      <c r="JZ34" s="739"/>
      <c r="KA34" s="739"/>
      <c r="KB34" s="739"/>
      <c r="KH34" s="2281">
        <v>2016</v>
      </c>
      <c r="KI34" s="1785">
        <v>2.4649917340978744</v>
      </c>
      <c r="KJ34" s="765"/>
      <c r="KK34" s="1966"/>
      <c r="KL34" s="739"/>
      <c r="KM34" s="739"/>
      <c r="KN34" s="739"/>
      <c r="KO34" s="739"/>
      <c r="KP34" s="739"/>
      <c r="KQ34" s="739"/>
      <c r="KR34" s="739"/>
      <c r="KS34" s="739"/>
      <c r="KT34" s="739"/>
      <c r="KU34" s="739"/>
      <c r="KV34" s="739"/>
      <c r="KW34" s="739"/>
      <c r="KX34" s="739"/>
      <c r="KY34" s="739"/>
      <c r="LE34" s="2281">
        <v>2016</v>
      </c>
      <c r="LF34" s="1597">
        <v>72.393000000000001</v>
      </c>
      <c r="LG34" s="1966"/>
      <c r="LH34" s="1597">
        <v>4.2430000000000003</v>
      </c>
      <c r="LI34" s="1966"/>
      <c r="LJ34" s="739"/>
      <c r="LK34" s="739"/>
      <c r="LL34" s="739"/>
      <c r="LM34" s="739"/>
      <c r="LN34" s="739"/>
      <c r="LO34" s="739"/>
      <c r="LP34" s="739"/>
      <c r="LQ34" s="739"/>
      <c r="LR34" s="739"/>
      <c r="LS34" s="739"/>
      <c r="LT34" s="739"/>
      <c r="LU34" s="739"/>
      <c r="LV34" s="739"/>
      <c r="MB34" s="2281">
        <v>2016</v>
      </c>
      <c r="MC34" s="2131">
        <v>5431.2165259202075</v>
      </c>
      <c r="MD34" s="1966"/>
      <c r="ME34" s="739"/>
      <c r="MF34" s="739"/>
      <c r="MG34" s="739"/>
      <c r="MH34" s="739"/>
      <c r="MI34" s="739"/>
      <c r="MJ34" s="739"/>
      <c r="MK34" s="739"/>
      <c r="ML34" s="739"/>
      <c r="MM34" s="739"/>
      <c r="MN34" s="739"/>
      <c r="MO34" s="739"/>
      <c r="MP34" s="739"/>
      <c r="MQ34" s="739"/>
      <c r="MY34" s="2281">
        <v>2016</v>
      </c>
      <c r="MZ34" s="1597">
        <f t="shared" si="2"/>
        <v>75.024056551326893</v>
      </c>
      <c r="NA34" s="1966"/>
      <c r="NB34" s="739"/>
      <c r="NC34" s="739"/>
      <c r="ND34" s="739"/>
      <c r="NE34" s="739"/>
      <c r="NF34" s="739"/>
      <c r="NG34" s="739"/>
      <c r="NH34" s="739"/>
      <c r="NI34" s="739"/>
      <c r="NJ34" s="739"/>
      <c r="NK34" s="739"/>
      <c r="NL34" s="739"/>
      <c r="NM34" s="739"/>
      <c r="NN34" s="739"/>
      <c r="NO34" s="739"/>
      <c r="NV34" s="2281">
        <v>2016</v>
      </c>
      <c r="NW34" s="1785">
        <v>15.707409284457475</v>
      </c>
      <c r="NX34" s="1597">
        <v>20.608768148890384</v>
      </c>
      <c r="NY34" s="1785">
        <v>22.177890468882978</v>
      </c>
      <c r="NZ34" s="1966">
        <v>27.019844336572895</v>
      </c>
      <c r="OA34" s="739"/>
      <c r="OB34" s="739"/>
      <c r="OC34" s="739"/>
      <c r="OD34" s="739"/>
      <c r="OE34" s="739"/>
      <c r="OF34" s="739"/>
      <c r="OG34" s="739"/>
      <c r="OH34" s="739"/>
      <c r="OI34" s="739"/>
      <c r="OJ34" s="739"/>
      <c r="OK34" s="739"/>
      <c r="OS34" s="2748"/>
      <c r="OU34" s="2281">
        <v>2016</v>
      </c>
      <c r="OV34" s="1785">
        <f t="shared" si="7"/>
        <v>1.0149999999999999</v>
      </c>
      <c r="OW34" s="1966"/>
      <c r="OX34" s="739"/>
      <c r="OY34" s="739"/>
      <c r="OZ34" s="739"/>
      <c r="PA34" s="739"/>
      <c r="PB34" s="739"/>
      <c r="PC34" s="739"/>
      <c r="PD34" s="739"/>
      <c r="PE34" s="739"/>
      <c r="PF34" s="739"/>
      <c r="PG34" s="739"/>
      <c r="PH34" s="739"/>
      <c r="PI34" s="739"/>
      <c r="PJ34" s="739"/>
      <c r="PK34" s="739"/>
      <c r="PQ34" s="2281">
        <v>2016</v>
      </c>
      <c r="PR34" s="1785">
        <f>СЧЁТ!CI27</f>
        <v>1.2333969250401371</v>
      </c>
      <c r="PS34" s="1966">
        <f>СЧЁТ!CI27</f>
        <v>1.2333969250401371</v>
      </c>
      <c r="PT34" s="739"/>
      <c r="PU34" s="739"/>
      <c r="PV34" s="739"/>
      <c r="PW34" s="739"/>
      <c r="PX34" s="739"/>
      <c r="PY34" s="739"/>
      <c r="PZ34" s="739"/>
      <c r="QA34" s="739"/>
      <c r="QB34" s="739"/>
      <c r="QC34" s="739"/>
      <c r="QD34" s="739"/>
      <c r="QE34" s="739"/>
      <c r="QF34" s="739"/>
      <c r="QG34" s="739"/>
      <c r="QM34" s="2281">
        <v>2016</v>
      </c>
      <c r="QN34" s="1785">
        <v>1.0029999999999999</v>
      </c>
      <c r="QO34" s="1966"/>
      <c r="QP34" s="739"/>
      <c r="QQ34" s="739"/>
      <c r="QR34" s="739"/>
      <c r="QS34" s="739"/>
      <c r="QT34" s="739"/>
      <c r="QU34" s="739"/>
      <c r="QV34" s="739"/>
      <c r="QW34" s="739"/>
      <c r="QX34" s="739"/>
      <c r="QY34" s="739"/>
      <c r="QZ34" s="739"/>
      <c r="RA34" s="739"/>
      <c r="RB34" s="739"/>
      <c r="RC34" s="739"/>
      <c r="RI34" s="943">
        <v>22</v>
      </c>
      <c r="RJ34" s="2281">
        <v>2016</v>
      </c>
      <c r="RK34" s="1786">
        <v>8269.6774184779988</v>
      </c>
      <c r="RL34" s="1786"/>
      <c r="RM34" s="1495">
        <f t="shared" si="12"/>
        <v>8269.6774184779988</v>
      </c>
      <c r="RN34" s="739"/>
      <c r="RO34" s="739"/>
      <c r="RP34" s="739"/>
      <c r="RQ34" s="739"/>
      <c r="RR34" s="739"/>
      <c r="RS34" s="739"/>
      <c r="RT34" s="739"/>
      <c r="RU34" s="739"/>
      <c r="RV34" s="739"/>
      <c r="RW34" s="739"/>
      <c r="RX34" s="739"/>
      <c r="RY34" s="739"/>
      <c r="RZ34" s="739"/>
      <c r="SA34" s="739"/>
      <c r="SG34" s="2281">
        <v>2016</v>
      </c>
      <c r="SH34" s="1785">
        <f t="shared" si="3"/>
        <v>0.65676280356287475</v>
      </c>
      <c r="SI34" s="1966"/>
      <c r="SJ34" s="739"/>
      <c r="SK34" s="739"/>
      <c r="SL34" s="739"/>
      <c r="SM34" s="739"/>
      <c r="SN34" s="739"/>
      <c r="SO34" s="739"/>
      <c r="SP34" s="739"/>
      <c r="SQ34" s="739"/>
      <c r="SR34" s="739"/>
      <c r="SS34" s="739"/>
      <c r="ST34" s="739"/>
      <c r="SU34" s="739"/>
      <c r="SV34" s="739"/>
      <c r="SW34" s="739"/>
      <c r="TC34" s="2281">
        <v>2016</v>
      </c>
      <c r="TD34" s="1785">
        <v>1.8840330625114095</v>
      </c>
      <c r="TE34" s="1966"/>
      <c r="TF34" s="739"/>
      <c r="TG34" s="739"/>
      <c r="TH34" s="739"/>
      <c r="TI34" s="739"/>
      <c r="TJ34" s="739"/>
      <c r="TK34" s="739"/>
      <c r="TL34" s="739"/>
      <c r="TM34" s="739"/>
      <c r="TN34" s="739"/>
      <c r="TO34" s="739"/>
      <c r="TP34" s="739"/>
      <c r="TQ34" s="739"/>
      <c r="TX34" s="2748"/>
      <c r="TZ34" s="2281">
        <v>2016</v>
      </c>
      <c r="UA34" s="1785">
        <f t="shared" si="5"/>
        <v>1.01</v>
      </c>
      <c r="UB34" s="2029">
        <f t="shared" si="10"/>
        <v>1.01</v>
      </c>
      <c r="UC34" s="1966"/>
      <c r="UD34" s="739"/>
      <c r="UE34" s="739"/>
      <c r="UF34" s="739"/>
      <c r="UG34" s="739"/>
      <c r="UH34" s="739"/>
      <c r="UI34" s="739"/>
      <c r="UJ34" s="739"/>
      <c r="UK34" s="739"/>
      <c r="UL34" s="739"/>
      <c r="UM34" s="739"/>
      <c r="UN34" s="739"/>
      <c r="UO34" s="739"/>
      <c r="UP34" s="739"/>
      <c r="UQ34" s="739"/>
      <c r="UW34" s="2281">
        <v>2016</v>
      </c>
      <c r="UX34" s="2029">
        <f>СЧЁТ!CK27</f>
        <v>0.62368312412742244</v>
      </c>
      <c r="UY34" s="1966"/>
      <c r="UZ34" s="739"/>
      <c r="VA34" s="739"/>
      <c r="VB34" s="739"/>
      <c r="VC34" s="739"/>
      <c r="VD34" s="739"/>
      <c r="VE34" s="739"/>
      <c r="VF34" s="739"/>
      <c r="VG34" s="739"/>
      <c r="VH34" s="739"/>
      <c r="VI34" s="739"/>
      <c r="VJ34" s="739"/>
      <c r="VK34" s="739"/>
      <c r="VL34" s="739"/>
      <c r="VM34" s="739"/>
      <c r="VS34" s="2281">
        <v>2016</v>
      </c>
      <c r="VT34" s="1785">
        <v>1.0029999999999999</v>
      </c>
      <c r="VU34" s="1966"/>
      <c r="VV34" s="739"/>
      <c r="VW34" s="739"/>
      <c r="VX34" s="739"/>
      <c r="VY34" s="739"/>
      <c r="VZ34" s="739"/>
      <c r="WA34" s="739"/>
      <c r="WB34" s="739"/>
      <c r="WC34" s="739"/>
      <c r="WD34" s="739"/>
      <c r="WE34" s="739"/>
      <c r="WF34" s="739"/>
      <c r="WG34" s="739"/>
      <c r="WH34" s="739"/>
      <c r="WI34" s="739"/>
      <c r="WO34" s="2281">
        <v>2016</v>
      </c>
      <c r="WP34" s="2131">
        <v>5431.2165259202075</v>
      </c>
      <c r="WQ34" s="1786">
        <f t="shared" si="11"/>
        <v>6690.1690315487012</v>
      </c>
      <c r="WR34" s="2131">
        <v>5431.2165259202075</v>
      </c>
      <c r="WS34" s="739"/>
      <c r="WT34" s="739"/>
      <c r="WU34" s="739"/>
      <c r="WV34" s="739"/>
      <c r="WW34" s="739"/>
      <c r="WX34" s="739"/>
      <c r="WY34" s="739"/>
      <c r="WZ34" s="739"/>
      <c r="XA34" s="739"/>
      <c r="XB34" s="739"/>
      <c r="XC34" s="739"/>
      <c r="XD34" s="739"/>
      <c r="XE34" s="739"/>
      <c r="XF34" s="739"/>
      <c r="XK34" s="2492">
        <v>2016</v>
      </c>
      <c r="XL34" s="2490">
        <f t="shared" si="13"/>
        <v>0.81182052356350409</v>
      </c>
      <c r="XM34" s="1966"/>
      <c r="XN34" s="739"/>
      <c r="XO34" s="739"/>
      <c r="XP34" s="739"/>
      <c r="XQ34" s="739"/>
      <c r="XR34" s="739"/>
      <c r="XS34" s="739"/>
      <c r="XT34" s="739"/>
      <c r="XU34" s="739"/>
      <c r="XV34" s="739"/>
      <c r="XW34" s="739"/>
      <c r="XX34" s="739"/>
      <c r="XY34" s="739"/>
      <c r="XZ34" s="739"/>
      <c r="YA34" s="739"/>
      <c r="YG34" s="2281">
        <v>2016</v>
      </c>
      <c r="YH34" s="1785">
        <v>1.8840330625114095</v>
      </c>
      <c r="YI34" s="1966"/>
      <c r="YJ34" s="739"/>
      <c r="YK34" s="739"/>
      <c r="YL34" s="739"/>
      <c r="YM34" s="739"/>
      <c r="YN34" s="739"/>
      <c r="YO34" s="739"/>
      <c r="YP34" s="739"/>
      <c r="YQ34" s="739"/>
      <c r="YR34" s="739"/>
      <c r="YS34" s="739"/>
      <c r="YT34" s="739"/>
      <c r="YU34" s="739"/>
      <c r="ZE34" s="2587" t="s">
        <v>2175</v>
      </c>
      <c r="ZF34" s="765"/>
      <c r="ZG34" s="765"/>
      <c r="ZH34" s="765"/>
      <c r="ZI34" s="765"/>
      <c r="ZJ34" s="765"/>
      <c r="ZK34" s="765"/>
      <c r="ZL34" s="765"/>
      <c r="ZM34" s="765"/>
      <c r="ZN34" s="765"/>
      <c r="ZO34" s="765"/>
      <c r="ZP34" s="777"/>
    </row>
    <row r="35" spans="6:692" ht="21">
      <c r="G35" s="2281">
        <v>2017</v>
      </c>
      <c r="H35" s="2490">
        <v>1.018</v>
      </c>
      <c r="I35" s="2594"/>
      <c r="K35" s="739"/>
      <c r="L35" s="739"/>
      <c r="M35" s="739"/>
      <c r="N35" s="739"/>
      <c r="O35" s="739"/>
      <c r="P35" s="739"/>
      <c r="Q35" s="739"/>
      <c r="R35" s="739"/>
      <c r="S35" s="739"/>
      <c r="T35" s="739"/>
      <c r="U35" s="739"/>
      <c r="V35" s="739"/>
      <c r="W35" s="739"/>
      <c r="X35" s="739"/>
      <c r="AD35" s="2281">
        <v>2017</v>
      </c>
      <c r="AE35" s="1785">
        <f>AE34*H35</f>
        <v>1.9160334486060699</v>
      </c>
      <c r="AF35" s="765"/>
      <c r="AG35" s="1966"/>
      <c r="AH35" s="739"/>
      <c r="AI35" s="739"/>
      <c r="AJ35" s="739"/>
      <c r="AK35" s="739"/>
      <c r="AL35" s="739"/>
      <c r="AM35" s="739"/>
      <c r="AN35" s="739"/>
      <c r="AO35" s="739"/>
      <c r="AP35" s="739"/>
      <c r="AQ35" s="739"/>
      <c r="AR35" s="739"/>
      <c r="AS35" s="739"/>
      <c r="AT35" s="739"/>
      <c r="AU35" s="739"/>
      <c r="BA35" s="2281">
        <v>2017</v>
      </c>
      <c r="BB35" s="1285">
        <v>23.815961506525245</v>
      </c>
      <c r="BC35" s="1348"/>
      <c r="BD35" s="739"/>
      <c r="BE35" s="739"/>
      <c r="BF35" s="739"/>
      <c r="BG35" s="739"/>
      <c r="BH35" s="739"/>
      <c r="BI35" s="739"/>
      <c r="BJ35" s="739"/>
      <c r="BK35" s="739"/>
      <c r="BL35" s="739"/>
      <c r="BM35" s="739"/>
      <c r="BN35" s="739"/>
      <c r="BO35" s="739"/>
      <c r="BP35" s="739"/>
      <c r="BQ35" s="739"/>
      <c r="BW35" s="2281">
        <v>2017</v>
      </c>
      <c r="BX35" s="1785">
        <f>ОТЧЁТ!EE435</f>
        <v>2.4593278252133119</v>
      </c>
      <c r="BY35" s="1785">
        <v>2.7730646420248108</v>
      </c>
      <c r="BZ35" s="1966"/>
      <c r="CA35" s="739"/>
      <c r="CB35" s="739"/>
      <c r="CC35" s="739"/>
      <c r="CD35" s="739"/>
      <c r="CE35" s="739"/>
      <c r="CF35" s="739"/>
      <c r="CG35" s="739"/>
      <c r="CH35" s="739"/>
      <c r="CI35" s="739"/>
      <c r="CJ35" s="739"/>
      <c r="CK35" s="739"/>
      <c r="CL35" s="739"/>
      <c r="CM35" s="739"/>
      <c r="CN35" s="739"/>
      <c r="CT35" s="2281">
        <v>2017</v>
      </c>
      <c r="CU35" s="2487">
        <v>844.7768667446619</v>
      </c>
      <c r="CV35" s="1794"/>
      <c r="CW35" s="739"/>
      <c r="CX35" s="739"/>
      <c r="CY35" s="739"/>
      <c r="CZ35" s="739"/>
      <c r="DA35" s="739"/>
      <c r="DB35" s="739"/>
      <c r="DC35" s="739"/>
      <c r="DD35" s="739"/>
      <c r="DE35" s="739"/>
      <c r="DF35" s="739"/>
      <c r="DG35" s="739"/>
      <c r="DH35" s="739"/>
      <c r="DI35" s="739"/>
      <c r="DJ35" s="739"/>
      <c r="DO35" s="2281">
        <v>2017</v>
      </c>
      <c r="DP35" s="2487">
        <f t="shared" si="0"/>
        <v>844.7768667446619</v>
      </c>
      <c r="DQ35" s="1247">
        <f t="shared" si="8"/>
        <v>1.4970333407952048</v>
      </c>
      <c r="DR35" s="2489">
        <v>572.05149694657644</v>
      </c>
      <c r="DS35" s="1767"/>
      <c r="DT35" s="1767"/>
      <c r="DU35" s="1767"/>
      <c r="DV35" s="1767"/>
      <c r="DW35" s="1767"/>
      <c r="DX35" s="1767"/>
      <c r="DY35" s="1767"/>
      <c r="DZ35" s="1767"/>
      <c r="EA35" s="1767"/>
      <c r="EB35" s="1767"/>
      <c r="EC35" s="1767"/>
      <c r="ED35" s="1767"/>
      <c r="EE35" s="2749"/>
      <c r="EG35" s="2281">
        <v>2017</v>
      </c>
      <c r="EH35" s="2416">
        <v>1.048</v>
      </c>
      <c r="EI35" s="2416">
        <f>FE35/FE34</f>
        <v>1.048</v>
      </c>
      <c r="EJ35" s="739"/>
      <c r="EK35" s="739"/>
      <c r="EL35" s="739"/>
      <c r="EM35" s="739"/>
      <c r="EN35" s="739"/>
      <c r="EO35" s="739"/>
      <c r="EP35" s="739"/>
      <c r="EQ35" s="739"/>
      <c r="ER35" s="739"/>
      <c r="ES35" s="739"/>
      <c r="ET35" s="739"/>
      <c r="EU35" s="739"/>
      <c r="EV35" s="739"/>
      <c r="EW35" s="739"/>
      <c r="FC35" s="2281">
        <v>2017</v>
      </c>
      <c r="FD35" s="1785">
        <v>2.142723624572342</v>
      </c>
      <c r="FE35" s="1966">
        <f>СЧЁТ!CG28</f>
        <v>2.142723624572342</v>
      </c>
      <c r="FF35" s="739"/>
      <c r="FG35" s="739"/>
      <c r="FH35" s="739"/>
      <c r="FI35" s="739"/>
      <c r="FJ35" s="739"/>
      <c r="FK35" s="739"/>
      <c r="FL35" s="739"/>
      <c r="FM35" s="739"/>
      <c r="FN35" s="739"/>
      <c r="FO35" s="739"/>
      <c r="FP35" s="739"/>
      <c r="FQ35" s="739"/>
      <c r="FR35" s="739"/>
      <c r="FS35" s="739"/>
      <c r="FY35" s="2281">
        <v>2017</v>
      </c>
      <c r="FZ35" s="2490">
        <f t="shared" si="4"/>
        <v>1.1739999999999999</v>
      </c>
      <c r="GA35" s="2416"/>
      <c r="GB35" s="739"/>
      <c r="GC35" s="739"/>
      <c r="GD35" s="739"/>
      <c r="GE35" s="739"/>
      <c r="GF35" s="739"/>
      <c r="GG35" s="739"/>
      <c r="GH35" s="739"/>
      <c r="GI35" s="739"/>
      <c r="GJ35" s="739"/>
      <c r="GK35" s="739"/>
      <c r="GL35" s="739"/>
      <c r="GM35" s="739"/>
      <c r="GN35" s="739"/>
      <c r="GO35" s="739"/>
      <c r="GU35" s="2281">
        <v>2017</v>
      </c>
      <c r="GV35" s="2509">
        <f>СЧЁТ!CN28</f>
        <v>3.4974818595903581</v>
      </c>
      <c r="GW35" s="2509">
        <f t="shared" si="1"/>
        <v>2.3239243657282023</v>
      </c>
      <c r="GX35" s="1255">
        <f>СЧЁТ!CN28</f>
        <v>3.4974818595903581</v>
      </c>
      <c r="GY35" s="739"/>
      <c r="GZ35" s="739"/>
      <c r="HA35" s="739"/>
      <c r="HB35" s="739"/>
      <c r="HC35" s="739"/>
      <c r="HD35" s="739"/>
      <c r="HE35" s="739"/>
      <c r="HF35" s="739"/>
      <c r="HG35" s="739"/>
      <c r="HH35" s="739"/>
      <c r="HI35" s="739"/>
      <c r="HJ35" s="739"/>
      <c r="HK35" s="739"/>
      <c r="HR35" s="2281">
        <v>2017</v>
      </c>
      <c r="HS35" s="2121">
        <v>0.23239243657282024</v>
      </c>
      <c r="HT35" s="1794"/>
      <c r="HU35" s="739"/>
      <c r="HV35" s="739"/>
      <c r="HW35" s="739"/>
      <c r="HX35" s="739"/>
      <c r="HY35" s="739"/>
      <c r="HZ35" s="739"/>
      <c r="IA35" s="739"/>
      <c r="IB35" s="739"/>
      <c r="IC35" s="739"/>
      <c r="ID35" s="739"/>
      <c r="IE35" s="739"/>
      <c r="IF35" s="739"/>
      <c r="IG35" s="739"/>
      <c r="IH35" s="739"/>
      <c r="IN35" s="2281">
        <v>2017</v>
      </c>
      <c r="IO35" s="1786">
        <v>12484.1</v>
      </c>
      <c r="IP35" s="1786">
        <f t="shared" si="6"/>
        <v>15558.59</v>
      </c>
      <c r="IQ35" s="2488">
        <v>16027.3</v>
      </c>
      <c r="IR35" s="1767"/>
      <c r="IS35" s="1767"/>
      <c r="IT35" s="1767"/>
      <c r="IU35" s="1767"/>
      <c r="IV35" s="1767"/>
      <c r="IW35" s="1767"/>
      <c r="IX35" s="1767"/>
      <c r="IY35" s="1767"/>
      <c r="IZ35" s="1767"/>
      <c r="JA35" s="1767"/>
      <c r="JJ35" s="2748"/>
      <c r="JL35" s="2281">
        <v>2017</v>
      </c>
      <c r="JM35" s="1785">
        <v>1.0329999999999999</v>
      </c>
      <c r="JN35" s="1966"/>
      <c r="JO35" s="739"/>
      <c r="JP35" s="739"/>
      <c r="JQ35" s="739"/>
      <c r="JR35" s="739"/>
      <c r="JS35" s="739"/>
      <c r="JT35" s="739"/>
      <c r="JU35" s="739"/>
      <c r="JV35" s="739"/>
      <c r="JW35" s="739"/>
      <c r="JX35" s="739"/>
      <c r="JY35" s="739"/>
      <c r="JZ35" s="739"/>
      <c r="KA35" s="739"/>
      <c r="KB35" s="739"/>
      <c r="KH35" s="2281">
        <v>2017</v>
      </c>
      <c r="KI35" s="1785">
        <v>2.5463364613231039</v>
      </c>
      <c r="KJ35" s="765"/>
      <c r="KK35" s="1966"/>
      <c r="KL35" s="739"/>
      <c r="KM35" s="739"/>
      <c r="KN35" s="739"/>
      <c r="KO35" s="739"/>
      <c r="KP35" s="739"/>
      <c r="KQ35" s="739"/>
      <c r="KR35" s="739"/>
      <c r="KS35" s="739"/>
      <c r="KT35" s="739"/>
      <c r="KU35" s="739"/>
      <c r="KV35" s="739"/>
      <c r="KW35" s="739"/>
      <c r="KX35" s="739"/>
      <c r="KY35" s="739"/>
      <c r="LE35" s="2281">
        <v>2017</v>
      </c>
      <c r="LF35" s="1597">
        <v>72.141999999999996</v>
      </c>
      <c r="LG35" s="1035">
        <f t="array" ref="LG35:LG53">TRANSPOSE(СЧЁТ!AJ146:BC146)</f>
        <v>72.393000000000001</v>
      </c>
      <c r="LH35" s="1597">
        <v>3.9670000000000001</v>
      </c>
      <c r="LI35" s="1035">
        <f t="array" ref="LI35:LI53">TRANSPOSE(СЧЁТ!AK147:BC147)</f>
        <v>3.9670000000000001</v>
      </c>
      <c r="LJ35" s="739"/>
      <c r="LK35" s="739"/>
      <c r="LL35" s="739"/>
      <c r="LM35" s="739"/>
      <c r="LN35" s="739"/>
      <c r="LO35" s="739"/>
      <c r="LP35" s="739"/>
      <c r="LQ35" s="739"/>
      <c r="LR35" s="739"/>
      <c r="LS35" s="739"/>
      <c r="LT35" s="739"/>
      <c r="LU35" s="739"/>
      <c r="LV35" s="739"/>
      <c r="MB35" s="2281">
        <v>2017</v>
      </c>
      <c r="MC35" s="2131">
        <v>5566.9969390682127</v>
      </c>
      <c r="MD35" s="2131">
        <f>СЧЁТ!CE28</f>
        <v>5566.9969390682127</v>
      </c>
      <c r="ME35" s="739"/>
      <c r="MF35" s="739"/>
      <c r="MG35" s="739"/>
      <c r="MH35" s="739"/>
      <c r="MI35" s="739"/>
      <c r="MJ35" s="739"/>
      <c r="MK35" s="739"/>
      <c r="ML35" s="739"/>
      <c r="MM35" s="739"/>
      <c r="MN35" s="739"/>
      <c r="MO35" s="739"/>
      <c r="MP35" s="739"/>
      <c r="MQ35" s="739"/>
      <c r="MY35" s="2281">
        <v>2017</v>
      </c>
      <c r="MZ35" s="1597">
        <f t="shared" si="2"/>
        <v>77.167211043056923</v>
      </c>
      <c r="NA35" s="1597">
        <f>СЧЁТ!CB28</f>
        <v>77.167211043056923</v>
      </c>
      <c r="NB35" s="739"/>
      <c r="NC35" s="739"/>
      <c r="ND35" s="739"/>
      <c r="NE35" s="739"/>
      <c r="NF35" s="739"/>
      <c r="NG35" s="739"/>
      <c r="NH35" s="739"/>
      <c r="NI35" s="739"/>
      <c r="NJ35" s="739"/>
      <c r="NK35" s="739"/>
      <c r="NL35" s="739"/>
      <c r="NM35" s="739"/>
      <c r="NN35" s="739"/>
      <c r="NO35" s="739"/>
      <c r="NV35" s="2281">
        <v>2017</v>
      </c>
      <c r="NW35" s="1785">
        <v>14.777985159687598</v>
      </c>
      <c r="NX35" s="1597">
        <v>21.123987352612641</v>
      </c>
      <c r="NY35" s="1785">
        <v>22.675989872141365</v>
      </c>
      <c r="NZ35" s="1966">
        <v>28.017232863734257</v>
      </c>
      <c r="OA35" s="739"/>
      <c r="OB35" s="739"/>
      <c r="OC35" s="739"/>
      <c r="OD35" s="739"/>
      <c r="OE35" s="739"/>
      <c r="OF35" s="739"/>
      <c r="OG35" s="739"/>
      <c r="OH35" s="739"/>
      <c r="OI35" s="739"/>
      <c r="OJ35" s="739"/>
      <c r="OK35" s="739"/>
      <c r="OS35" s="2748"/>
      <c r="OU35" s="2281">
        <v>2017</v>
      </c>
      <c r="OV35" s="1785">
        <f t="shared" si="7"/>
        <v>1.0249999999999999</v>
      </c>
      <c r="OW35" s="2594"/>
      <c r="OX35" s="739"/>
      <c r="OY35" s="739"/>
      <c r="OZ35" s="739"/>
      <c r="PA35" s="739"/>
      <c r="PB35" s="739"/>
      <c r="PC35" s="739"/>
      <c r="PD35" s="739"/>
      <c r="PE35" s="739"/>
      <c r="PF35" s="739"/>
      <c r="PG35" s="739"/>
      <c r="PH35" s="739"/>
      <c r="PI35" s="739"/>
      <c r="PJ35" s="739"/>
      <c r="PK35" s="739"/>
      <c r="PQ35" s="2281">
        <v>2017</v>
      </c>
      <c r="PR35" s="1785">
        <f>СЧЁТ!CI28</f>
        <v>1.2642318481661403</v>
      </c>
      <c r="PS35" s="1966">
        <f>СЧЁТ!CI28</f>
        <v>1.2642318481661403</v>
      </c>
      <c r="PT35" s="739"/>
      <c r="PU35" s="739"/>
      <c r="PV35" s="739"/>
      <c r="PW35" s="739"/>
      <c r="PX35" s="739"/>
      <c r="PY35" s="739"/>
      <c r="PZ35" s="739"/>
      <c r="QA35" s="739"/>
      <c r="QB35" s="739"/>
      <c r="QC35" s="739"/>
      <c r="QD35" s="739"/>
      <c r="QE35" s="739"/>
      <c r="QF35" s="739"/>
      <c r="QG35" s="739"/>
      <c r="QM35" s="2281">
        <v>2017</v>
      </c>
      <c r="QN35" s="1785">
        <v>1.016</v>
      </c>
      <c r="QO35" s="1794"/>
      <c r="QP35" s="739"/>
      <c r="QQ35" s="739"/>
      <c r="QR35" s="739"/>
      <c r="QS35" s="739"/>
      <c r="QT35" s="739"/>
      <c r="QU35" s="739"/>
      <c r="QV35" s="739"/>
      <c r="QW35" s="739"/>
      <c r="QX35" s="739"/>
      <c r="QY35" s="739"/>
      <c r="QZ35" s="739"/>
      <c r="RA35" s="739"/>
      <c r="RB35" s="739"/>
      <c r="RC35" s="739"/>
      <c r="RI35" s="943">
        <v>23</v>
      </c>
      <c r="RJ35" s="2281">
        <v>2017</v>
      </c>
      <c r="RK35" s="1786">
        <v>8583.9251603801622</v>
      </c>
      <c r="RL35" s="1786"/>
      <c r="RM35" s="1495">
        <f t="shared" si="12"/>
        <v>8583.9251603801622</v>
      </c>
      <c r="RN35" s="739"/>
      <c r="RO35" s="739"/>
      <c r="RP35" s="739"/>
      <c r="RQ35" s="739"/>
      <c r="RR35" s="739"/>
      <c r="RS35" s="739"/>
      <c r="RT35" s="739"/>
      <c r="RU35" s="739"/>
      <c r="RV35" s="739"/>
      <c r="RW35" s="739"/>
      <c r="RX35" s="739"/>
      <c r="RY35" s="739"/>
      <c r="RZ35" s="739"/>
      <c r="SA35" s="739"/>
      <c r="SG35" s="2281">
        <v>2017</v>
      </c>
      <c r="SH35" s="1785">
        <f t="shared" si="3"/>
        <v>0.64853745053174061</v>
      </c>
      <c r="SI35" s="1966"/>
      <c r="SJ35" s="739"/>
      <c r="SK35" s="739"/>
      <c r="SL35" s="739"/>
      <c r="SM35" s="739"/>
      <c r="SN35" s="739"/>
      <c r="SO35" s="739"/>
      <c r="SP35" s="739"/>
      <c r="SQ35" s="739"/>
      <c r="SR35" s="739"/>
      <c r="SS35" s="739"/>
      <c r="ST35" s="739"/>
      <c r="SU35" s="739"/>
      <c r="SV35" s="739"/>
      <c r="SW35" s="739"/>
      <c r="TC35" s="2281">
        <v>2017</v>
      </c>
      <c r="TD35" s="1785">
        <v>1.9141775915115919</v>
      </c>
      <c r="TE35" s="1794"/>
      <c r="TF35" s="739"/>
      <c r="TG35" s="739"/>
      <c r="TH35" s="739"/>
      <c r="TI35" s="739"/>
      <c r="TJ35" s="739"/>
      <c r="TK35" s="739"/>
      <c r="TL35" s="739"/>
      <c r="TM35" s="739"/>
      <c r="TN35" s="739"/>
      <c r="TO35" s="739"/>
      <c r="TP35" s="739"/>
      <c r="TQ35" s="739"/>
      <c r="TX35" s="2748"/>
      <c r="TZ35" s="2281">
        <v>2017</v>
      </c>
      <c r="UA35" s="1785">
        <f t="shared" si="5"/>
        <v>1.0049999999999999</v>
      </c>
      <c r="UB35" s="1785">
        <f t="shared" si="10"/>
        <v>1.0049999999999999</v>
      </c>
      <c r="UC35" s="1966"/>
      <c r="UD35" s="739"/>
      <c r="UE35" s="739"/>
      <c r="UF35" s="739"/>
      <c r="UG35" s="739"/>
      <c r="UH35" s="739"/>
      <c r="UI35" s="739"/>
      <c r="UJ35" s="739"/>
      <c r="UK35" s="739"/>
      <c r="UL35" s="739"/>
      <c r="UM35" s="739"/>
      <c r="UN35" s="739"/>
      <c r="UO35" s="739"/>
      <c r="UP35" s="739"/>
      <c r="UQ35" s="739"/>
      <c r="UW35" s="2281">
        <v>2017</v>
      </c>
      <c r="UX35" s="2029">
        <f>СЧЁТ!CK28</f>
        <v>0.62680153974805952</v>
      </c>
      <c r="UY35" s="1966"/>
      <c r="UZ35" s="739"/>
      <c r="VA35" s="739"/>
      <c r="VB35" s="739"/>
      <c r="VC35" s="739"/>
      <c r="VD35" s="739"/>
      <c r="VE35" s="739"/>
      <c r="VF35" s="739"/>
      <c r="VG35" s="739"/>
      <c r="VH35" s="739"/>
      <c r="VI35" s="739"/>
      <c r="VJ35" s="739"/>
      <c r="VK35" s="739"/>
      <c r="VL35" s="739"/>
      <c r="VM35" s="739"/>
      <c r="VS35" s="2281">
        <v>2017</v>
      </c>
      <c r="VT35" s="1785">
        <v>1.016</v>
      </c>
      <c r="VU35" s="1794"/>
      <c r="VV35" s="739"/>
      <c r="VW35" s="739"/>
      <c r="VX35" s="739"/>
      <c r="VY35" s="739"/>
      <c r="VZ35" s="739"/>
      <c r="WA35" s="739"/>
      <c r="WB35" s="739"/>
      <c r="WC35" s="739"/>
      <c r="WD35" s="739"/>
      <c r="WE35" s="739"/>
      <c r="WF35" s="739"/>
      <c r="WG35" s="739"/>
      <c r="WH35" s="739"/>
      <c r="WI35" s="739"/>
      <c r="WO35" s="2281">
        <v>2017</v>
      </c>
      <c r="WP35" s="2131">
        <v>5566.9969390682127</v>
      </c>
      <c r="WQ35" s="1786">
        <f t="shared" si="11"/>
        <v>6944.3954547475514</v>
      </c>
      <c r="WR35" s="2131">
        <v>5566.9969390682127</v>
      </c>
      <c r="WS35" s="739"/>
      <c r="WT35" s="739"/>
      <c r="WU35" s="739"/>
      <c r="WV35" s="739"/>
      <c r="WW35" s="739"/>
      <c r="WX35" s="739"/>
      <c r="WY35" s="739"/>
      <c r="WZ35" s="739"/>
      <c r="XA35" s="739"/>
      <c r="XB35" s="739"/>
      <c r="XC35" s="739"/>
      <c r="XD35" s="739"/>
      <c r="XE35" s="739"/>
      <c r="XF35" s="739"/>
      <c r="XK35" s="2492">
        <v>2017</v>
      </c>
      <c r="XL35" s="2490">
        <f t="shared" si="13"/>
        <v>0.80165321450153337</v>
      </c>
      <c r="XM35" s="1794"/>
      <c r="XN35" s="739"/>
      <c r="XO35" s="739"/>
      <c r="XP35" s="739"/>
      <c r="XQ35" s="739"/>
      <c r="XR35" s="739"/>
      <c r="XS35" s="739"/>
      <c r="XT35" s="739"/>
      <c r="XU35" s="739"/>
      <c r="XV35" s="739"/>
      <c r="XW35" s="739"/>
      <c r="XX35" s="739"/>
      <c r="XY35" s="739"/>
      <c r="XZ35" s="739"/>
      <c r="YA35" s="739"/>
      <c r="YG35" s="2281">
        <v>2017</v>
      </c>
      <c r="YH35" s="1785">
        <v>1.9141775915115919</v>
      </c>
      <c r="YI35" s="1794"/>
      <c r="YJ35" s="739"/>
      <c r="YK35" s="739"/>
      <c r="YL35" s="739"/>
      <c r="YM35" s="739"/>
      <c r="YN35" s="739"/>
      <c r="YO35" s="739"/>
      <c r="YP35" s="739"/>
      <c r="YQ35" s="739"/>
      <c r="YR35" s="739"/>
      <c r="YS35" s="739"/>
      <c r="YT35" s="739"/>
      <c r="YU35" s="739"/>
      <c r="ZE35" s="2587" t="s">
        <v>2176</v>
      </c>
      <c r="ZF35" s="765"/>
      <c r="ZG35" s="765"/>
      <c r="ZH35" s="765"/>
      <c r="ZI35" s="765"/>
      <c r="ZJ35" s="765"/>
      <c r="ZK35" s="765"/>
      <c r="ZL35" s="765"/>
      <c r="ZM35" s="765"/>
      <c r="ZN35" s="765"/>
      <c r="ZO35" s="765"/>
      <c r="ZP35" s="777"/>
    </row>
    <row r="36" spans="6:692" ht="21">
      <c r="G36" s="2281">
        <v>2018</v>
      </c>
      <c r="H36" s="2490">
        <v>1.028</v>
      </c>
      <c r="I36" s="2594">
        <f>H36</f>
        <v>1.028</v>
      </c>
      <c r="K36" s="739"/>
      <c r="L36" s="739"/>
      <c r="M36" s="739"/>
      <c r="N36" s="739"/>
      <c r="O36" s="739"/>
      <c r="P36" s="739"/>
      <c r="Q36" s="739"/>
      <c r="R36" s="739"/>
      <c r="S36" s="739"/>
      <c r="T36" s="739"/>
      <c r="U36" s="739"/>
      <c r="V36" s="739"/>
      <c r="W36" s="739"/>
      <c r="X36" s="739"/>
      <c r="AD36" s="2281">
        <v>2018</v>
      </c>
      <c r="AE36" s="1785">
        <f>AE35*H36</f>
        <v>1.96968238516704</v>
      </c>
      <c r="AF36" s="765"/>
      <c r="AG36" s="1966">
        <f>AE36</f>
        <v>1.96968238516704</v>
      </c>
      <c r="AH36" s="739"/>
      <c r="AI36" s="739"/>
      <c r="AJ36" s="739"/>
      <c r="AK36" s="739"/>
      <c r="AL36" s="739"/>
      <c r="AM36" s="739"/>
      <c r="AN36" s="739"/>
      <c r="AO36" s="739"/>
      <c r="AP36" s="739"/>
      <c r="AQ36" s="739"/>
      <c r="AR36" s="739"/>
      <c r="AS36" s="739"/>
      <c r="AT36" s="739"/>
      <c r="AU36" s="739"/>
      <c r="BA36" s="2281">
        <v>2018</v>
      </c>
      <c r="BB36" s="1285">
        <v>28.984298505855161</v>
      </c>
      <c r="BC36" s="1348"/>
      <c r="BD36" s="739"/>
      <c r="BE36" s="739"/>
      <c r="BF36" s="739"/>
      <c r="BG36" s="739"/>
      <c r="BH36" s="739"/>
      <c r="BI36" s="739"/>
      <c r="BJ36" s="739"/>
      <c r="BK36" s="739"/>
      <c r="BL36" s="739"/>
      <c r="BM36" s="739"/>
      <c r="BN36" s="739"/>
      <c r="BO36" s="739"/>
      <c r="BP36" s="739"/>
      <c r="BQ36" s="739"/>
      <c r="BW36" s="2281">
        <v>2018</v>
      </c>
      <c r="BX36" s="1785">
        <f>ОТЧЁТ!EE436</f>
        <v>2.5430346985333676</v>
      </c>
      <c r="BY36" s="1785">
        <v>2.9255831973361754</v>
      </c>
      <c r="BZ36" s="1966">
        <f t="array" ref="BZ36:BZ53">TRANSPOSE(СЧЁТ!AL182:BC182)</f>
        <v>2.5430346985333676</v>
      </c>
      <c r="CA36" s="739"/>
      <c r="CB36" s="739"/>
      <c r="CC36" s="739"/>
      <c r="CD36" s="739"/>
      <c r="CE36" s="739"/>
      <c r="CF36" s="739"/>
      <c r="CG36" s="739"/>
      <c r="CH36" s="739"/>
      <c r="CI36" s="739"/>
      <c r="CJ36" s="739"/>
      <c r="CK36" s="739"/>
      <c r="CL36" s="739"/>
      <c r="CM36" s="739"/>
      <c r="CN36" s="739"/>
      <c r="CT36" s="2281">
        <v>2018</v>
      </c>
      <c r="CU36" s="2487">
        <v>968.11428928938244</v>
      </c>
      <c r="CV36" s="1794"/>
      <c r="CW36" s="739"/>
      <c r="CX36" s="739"/>
      <c r="CY36" s="739"/>
      <c r="CZ36" s="739"/>
      <c r="DA36" s="739"/>
      <c r="DB36" s="739"/>
      <c r="DC36" s="739"/>
      <c r="DD36" s="739"/>
      <c r="DE36" s="739"/>
      <c r="DF36" s="739"/>
      <c r="DG36" s="739"/>
      <c r="DH36" s="739"/>
      <c r="DI36" s="739"/>
      <c r="DJ36" s="739"/>
      <c r="DO36" s="2281">
        <v>2018</v>
      </c>
      <c r="DP36" s="2487">
        <f t="shared" si="0"/>
        <v>968.11428928938244</v>
      </c>
      <c r="DQ36" s="1247">
        <f t="shared" si="8"/>
        <v>1.6502412323517661</v>
      </c>
      <c r="DR36" s="2489">
        <v>596.64971131527921</v>
      </c>
      <c r="DS36" s="1767"/>
      <c r="DT36" s="1767"/>
      <c r="DU36" s="1767"/>
      <c r="DV36" s="1767"/>
      <c r="DW36" s="1767"/>
      <c r="DX36" s="1767"/>
      <c r="DY36" s="1767"/>
      <c r="DZ36" s="1767"/>
      <c r="EA36" s="1767"/>
      <c r="EB36" s="1767"/>
      <c r="EC36" s="1767"/>
      <c r="ED36" s="1767"/>
      <c r="EE36" s="2749"/>
      <c r="EG36" s="2281">
        <v>2018</v>
      </c>
      <c r="EH36" s="2416">
        <v>1.0429999999999999</v>
      </c>
      <c r="EI36" s="2416">
        <f>FE36/FE35</f>
        <v>1.0429999999999999</v>
      </c>
      <c r="EJ36" s="739"/>
      <c r="EK36" s="739"/>
      <c r="EL36" s="739"/>
      <c r="EM36" s="739"/>
      <c r="EN36" s="739"/>
      <c r="EO36" s="739"/>
      <c r="EP36" s="739"/>
      <c r="EQ36" s="739"/>
      <c r="ER36" s="739"/>
      <c r="ES36" s="739"/>
      <c r="ET36" s="739"/>
      <c r="EU36" s="739"/>
      <c r="EV36" s="739"/>
      <c r="EW36" s="739"/>
      <c r="FC36" s="2281">
        <v>2018</v>
      </c>
      <c r="FD36" s="1785">
        <v>2.2348607404289527</v>
      </c>
      <c r="FE36" s="1966">
        <f>СЧЁТ!CG29</f>
        <v>2.2348607404289527</v>
      </c>
      <c r="FF36" s="739"/>
      <c r="FG36" s="739"/>
      <c r="FH36" s="739"/>
      <c r="FI36" s="739"/>
      <c r="FJ36" s="739"/>
      <c r="FK36" s="739"/>
      <c r="FL36" s="739"/>
      <c r="FM36" s="739"/>
      <c r="FN36" s="739"/>
      <c r="FO36" s="739"/>
      <c r="FP36" s="739"/>
      <c r="FQ36" s="739"/>
      <c r="FR36" s="739"/>
      <c r="FS36" s="739"/>
      <c r="FY36" s="2281">
        <v>2018</v>
      </c>
      <c r="FZ36" s="2490">
        <f t="shared" si="4"/>
        <v>1.0269999999999999</v>
      </c>
      <c r="GA36" s="2416">
        <f t="shared" ref="GA36:GA53" si="14">GX36/GX35</f>
        <v>1.0269999999999999</v>
      </c>
      <c r="GB36" s="739"/>
      <c r="GC36" s="739"/>
      <c r="GD36" s="739"/>
      <c r="GE36" s="739"/>
      <c r="GF36" s="739"/>
      <c r="GG36" s="739"/>
      <c r="GH36" s="739"/>
      <c r="GI36" s="739"/>
      <c r="GJ36" s="739"/>
      <c r="GK36" s="739"/>
      <c r="GL36" s="739"/>
      <c r="GM36" s="739"/>
      <c r="GN36" s="739"/>
      <c r="GO36" s="739"/>
      <c r="GU36" s="2281">
        <v>2018</v>
      </c>
      <c r="GV36" s="2509">
        <f>СЧЁТ!CN29</f>
        <v>3.5919138697992974</v>
      </c>
      <c r="GW36" s="2509">
        <f t="shared" si="1"/>
        <v>2.3284588522954772</v>
      </c>
      <c r="GX36" s="1255">
        <f>СЧЁТ!CN29</f>
        <v>3.5919138697992974</v>
      </c>
      <c r="GY36" s="739"/>
      <c r="GZ36" s="739"/>
      <c r="HA36" s="739"/>
      <c r="HB36" s="739"/>
      <c r="HC36" s="739"/>
      <c r="HD36" s="739"/>
      <c r="HE36" s="739"/>
      <c r="HF36" s="739"/>
      <c r="HG36" s="739"/>
      <c r="HH36" s="739"/>
      <c r="HI36" s="739"/>
      <c r="HJ36" s="739"/>
      <c r="HK36" s="739"/>
      <c r="HR36" s="2281">
        <v>2018</v>
      </c>
      <c r="HS36" s="2121">
        <v>0.23284588522954772</v>
      </c>
      <c r="HT36" s="1794"/>
      <c r="HU36" s="739"/>
      <c r="HV36" s="739"/>
      <c r="HW36" s="739"/>
      <c r="HX36" s="739"/>
      <c r="HY36" s="739"/>
      <c r="HZ36" s="739"/>
      <c r="IA36" s="739"/>
      <c r="IB36" s="739"/>
      <c r="IC36" s="739"/>
      <c r="ID36" s="739"/>
      <c r="IE36" s="739"/>
      <c r="IF36" s="739"/>
      <c r="IG36" s="739"/>
      <c r="IH36" s="739"/>
      <c r="IN36" s="2281">
        <v>2018</v>
      </c>
      <c r="IO36" s="1786">
        <v>14909.4</v>
      </c>
      <c r="IP36" s="1786">
        <f t="shared" si="6"/>
        <v>16996.84</v>
      </c>
      <c r="IQ36" s="2488">
        <v>17595</v>
      </c>
      <c r="IR36" s="1767"/>
      <c r="IS36" s="1767"/>
      <c r="IT36" s="1767"/>
      <c r="IU36" s="1767"/>
      <c r="IV36" s="1767"/>
      <c r="IW36" s="1767"/>
      <c r="IX36" s="1767"/>
      <c r="IY36" s="1767"/>
      <c r="IZ36" s="1767"/>
      <c r="JA36" s="1767"/>
      <c r="JJ36" s="2748"/>
      <c r="JL36" s="2281">
        <v>2018</v>
      </c>
      <c r="JM36" s="1785">
        <v>1.0229999999999999</v>
      </c>
      <c r="JN36" s="1966">
        <f>JM36</f>
        <v>1.0229999999999999</v>
      </c>
      <c r="JO36" s="739"/>
      <c r="JP36" s="739"/>
      <c r="JQ36" s="739"/>
      <c r="JR36" s="739"/>
      <c r="JS36" s="739"/>
      <c r="JT36" s="739"/>
      <c r="JU36" s="739"/>
      <c r="JV36" s="739"/>
      <c r="JW36" s="739"/>
      <c r="JX36" s="739"/>
      <c r="JY36" s="739"/>
      <c r="JZ36" s="739"/>
      <c r="KA36" s="739"/>
      <c r="KB36" s="739"/>
      <c r="KH36" s="2281">
        <v>2018</v>
      </c>
      <c r="KI36" s="1785">
        <v>2.6049021999335351</v>
      </c>
      <c r="KJ36" s="765"/>
      <c r="KK36" s="1966">
        <f>СЧЁТ!CJ29</f>
        <v>2.6049021999335351</v>
      </c>
      <c r="KL36" s="739"/>
      <c r="KM36" s="739"/>
      <c r="KN36" s="739"/>
      <c r="KO36" s="739"/>
      <c r="KP36" s="739"/>
      <c r="KQ36" s="739"/>
      <c r="KR36" s="739"/>
      <c r="KS36" s="739"/>
      <c r="KT36" s="739"/>
      <c r="KU36" s="739"/>
      <c r="KV36" s="739"/>
      <c r="KW36" s="739"/>
      <c r="KX36" s="739"/>
      <c r="KY36" s="739"/>
      <c r="LE36" s="2281">
        <v>2018</v>
      </c>
      <c r="LF36" s="1597">
        <v>72.353999999999999</v>
      </c>
      <c r="LG36" s="1035">
        <v>72.141999999999996</v>
      </c>
      <c r="LH36" s="1597">
        <v>3.657</v>
      </c>
      <c r="LI36" s="1035">
        <v>3.657</v>
      </c>
      <c r="LJ36" s="739"/>
      <c r="LK36" s="739"/>
      <c r="LL36" s="739"/>
      <c r="LM36" s="739"/>
      <c r="LN36" s="739"/>
      <c r="LO36" s="739"/>
      <c r="LP36" s="739"/>
      <c r="LQ36" s="739"/>
      <c r="LR36" s="739"/>
      <c r="LS36" s="739"/>
      <c r="LT36" s="739"/>
      <c r="LU36" s="739"/>
      <c r="LV36" s="739"/>
      <c r="MB36" s="2281">
        <v>2018</v>
      </c>
      <c r="MC36" s="2131">
        <v>5706.1718625449175</v>
      </c>
      <c r="MD36" s="2131">
        <f>СЧЁТ!CE29</f>
        <v>5706.1718625449175</v>
      </c>
      <c r="ME36" s="739"/>
      <c r="MF36" s="739"/>
      <c r="MG36" s="739"/>
      <c r="MH36" s="739"/>
      <c r="MI36" s="739"/>
      <c r="MJ36" s="739"/>
      <c r="MK36" s="739"/>
      <c r="ML36" s="739"/>
      <c r="MM36" s="739"/>
      <c r="MN36" s="739"/>
      <c r="MO36" s="739"/>
      <c r="MP36" s="739"/>
      <c r="MQ36" s="739"/>
      <c r="MY36" s="2281">
        <v>2018</v>
      </c>
      <c r="MZ36" s="1597">
        <f t="shared" si="2"/>
        <v>78.864635853510762</v>
      </c>
      <c r="NA36" s="1597">
        <f>СЧЁТ!CB29</f>
        <v>78.864635853510762</v>
      </c>
      <c r="NB36" s="739"/>
      <c r="NC36" s="739"/>
      <c r="ND36" s="739"/>
      <c r="NE36" s="739"/>
      <c r="NF36" s="739"/>
      <c r="NG36" s="739"/>
      <c r="NH36" s="739"/>
      <c r="NI36" s="739"/>
      <c r="NJ36" s="739"/>
      <c r="NK36" s="739"/>
      <c r="NL36" s="739"/>
      <c r="NM36" s="739"/>
      <c r="NN36" s="739"/>
      <c r="NO36" s="739"/>
      <c r="NV36" s="2281">
        <v>2018</v>
      </c>
      <c r="NW36" s="1785">
        <v>15.400454434924034</v>
      </c>
      <c r="NX36" s="1597">
        <v>22.032318808774981</v>
      </c>
      <c r="NY36" s="1785">
        <v>23.085153319082956</v>
      </c>
      <c r="NZ36" s="1966">
        <v>29.489664817255768</v>
      </c>
      <c r="OA36" s="739"/>
      <c r="OB36" s="739"/>
      <c r="OC36" s="739"/>
      <c r="OD36" s="739"/>
      <c r="OE36" s="739"/>
      <c r="OF36" s="739"/>
      <c r="OG36" s="739"/>
      <c r="OH36" s="739"/>
      <c r="OI36" s="739"/>
      <c r="OJ36" s="739"/>
      <c r="OK36" s="739"/>
      <c r="OS36" s="2748"/>
      <c r="OU36" s="2281">
        <v>2018</v>
      </c>
      <c r="OV36" s="1785">
        <f t="shared" si="7"/>
        <v>1.0029999999999999</v>
      </c>
      <c r="OW36" s="2594">
        <f t="shared" ref="OW36:OW53" si="15">PS36/PS35</f>
        <v>1.0029999999999999</v>
      </c>
      <c r="OX36" s="739"/>
      <c r="OY36" s="739"/>
      <c r="OZ36" s="739"/>
      <c r="PA36" s="739"/>
      <c r="PB36" s="739"/>
      <c r="PC36" s="739"/>
      <c r="PD36" s="739"/>
      <c r="PE36" s="739"/>
      <c r="PF36" s="739"/>
      <c r="PG36" s="739"/>
      <c r="PH36" s="739"/>
      <c r="PI36" s="739"/>
      <c r="PJ36" s="739"/>
      <c r="PK36" s="739"/>
      <c r="PQ36" s="2281">
        <v>2018</v>
      </c>
      <c r="PR36" s="1785">
        <f>СЧЁТ!CI29</f>
        <v>1.2680245437106386</v>
      </c>
      <c r="PS36" s="1966">
        <f>СЧЁТ!CI29</f>
        <v>1.2680245437106386</v>
      </c>
      <c r="PT36" s="739"/>
      <c r="PU36" s="739"/>
      <c r="PV36" s="739"/>
      <c r="PW36" s="739"/>
      <c r="PX36" s="739"/>
      <c r="PY36" s="739"/>
      <c r="PZ36" s="739"/>
      <c r="QA36" s="739"/>
      <c r="QB36" s="739"/>
      <c r="QC36" s="739"/>
      <c r="QD36" s="739"/>
      <c r="QE36" s="739"/>
      <c r="QF36" s="739"/>
      <c r="QG36" s="739"/>
      <c r="QM36" s="2281">
        <v>2018</v>
      </c>
      <c r="QN36" s="1785">
        <v>1.0229999999999999</v>
      </c>
      <c r="QO36" s="1794"/>
      <c r="QP36" s="739"/>
      <c r="QQ36" s="739"/>
      <c r="QR36" s="739"/>
      <c r="QS36" s="739"/>
      <c r="QT36" s="739"/>
      <c r="QU36" s="739"/>
      <c r="QV36" s="739"/>
      <c r="QW36" s="739"/>
      <c r="QX36" s="739"/>
      <c r="QY36" s="739"/>
      <c r="QZ36" s="739"/>
      <c r="RA36" s="739"/>
      <c r="RB36" s="739"/>
      <c r="RC36" s="739"/>
      <c r="RI36" s="943">
        <v>24</v>
      </c>
      <c r="RJ36" s="2281">
        <v>2018</v>
      </c>
      <c r="RK36" s="1786">
        <v>8944.4500171161289</v>
      </c>
      <c r="RL36" s="1786"/>
      <c r="RM36" s="1495">
        <f t="shared" si="12"/>
        <v>8944.4500171161289</v>
      </c>
      <c r="RN36" s="739"/>
      <c r="RO36" s="739"/>
      <c r="RP36" s="739"/>
      <c r="RQ36" s="739"/>
      <c r="RR36" s="739"/>
      <c r="RS36" s="739"/>
      <c r="RT36" s="739"/>
      <c r="RU36" s="739"/>
      <c r="RV36" s="739"/>
      <c r="RW36" s="739"/>
      <c r="RX36" s="739"/>
      <c r="RY36" s="739"/>
      <c r="RZ36" s="739"/>
      <c r="SA36" s="739"/>
      <c r="SG36" s="2281">
        <v>2018</v>
      </c>
      <c r="SH36" s="1785">
        <f t="shared" si="3"/>
        <v>0.63795670517757586</v>
      </c>
      <c r="SI36" s="1966"/>
      <c r="SJ36" s="739"/>
      <c r="SK36" s="739"/>
      <c r="SL36" s="739"/>
      <c r="SM36" s="739"/>
      <c r="SN36" s="739"/>
      <c r="SO36" s="739"/>
      <c r="SP36" s="739"/>
      <c r="SQ36" s="739"/>
      <c r="SR36" s="739"/>
      <c r="SS36" s="739"/>
      <c r="ST36" s="739"/>
      <c r="SU36" s="739"/>
      <c r="SV36" s="739"/>
      <c r="SW36" s="739"/>
      <c r="TC36" s="2281">
        <v>2018</v>
      </c>
      <c r="TD36" s="1785">
        <v>1.9582036761163584</v>
      </c>
      <c r="TE36" s="1794"/>
      <c r="TF36" s="739"/>
      <c r="TG36" s="739"/>
      <c r="TH36" s="739"/>
      <c r="TI36" s="739"/>
      <c r="TJ36" s="739"/>
      <c r="TK36" s="739"/>
      <c r="TL36" s="739"/>
      <c r="TM36" s="739"/>
      <c r="TN36" s="739"/>
      <c r="TO36" s="739"/>
      <c r="TP36" s="739"/>
      <c r="TQ36" s="739"/>
      <c r="TX36" s="2748"/>
      <c r="TZ36" s="2281">
        <v>2018</v>
      </c>
      <c r="UA36" s="1785">
        <f t="shared" si="5"/>
        <v>1.0449999999999999</v>
      </c>
      <c r="UB36" s="1785">
        <f t="shared" si="10"/>
        <v>1.0449999999999999</v>
      </c>
      <c r="UC36" s="1966">
        <f>UA36</f>
        <v>1.0449999999999999</v>
      </c>
      <c r="UD36" s="739"/>
      <c r="UE36" s="739"/>
      <c r="UF36" s="739"/>
      <c r="UG36" s="739"/>
      <c r="UH36" s="739"/>
      <c r="UI36" s="739"/>
      <c r="UJ36" s="739"/>
      <c r="UK36" s="739"/>
      <c r="UL36" s="739"/>
      <c r="UM36" s="739"/>
      <c r="UN36" s="739"/>
      <c r="UO36" s="739"/>
      <c r="UP36" s="739"/>
      <c r="UQ36" s="739"/>
      <c r="UW36" s="2281">
        <v>2018</v>
      </c>
      <c r="UX36" s="2029">
        <f>СЧЁТ!CK29</f>
        <v>0.65500760903672217</v>
      </c>
      <c r="UY36" s="1966">
        <f>UX36</f>
        <v>0.65500760903672217</v>
      </c>
      <c r="UZ36" s="739"/>
      <c r="VA36" s="739"/>
      <c r="VB36" s="739"/>
      <c r="VC36" s="739"/>
      <c r="VD36" s="739"/>
      <c r="VE36" s="739"/>
      <c r="VF36" s="739"/>
      <c r="VG36" s="739"/>
      <c r="VH36" s="739"/>
      <c r="VI36" s="739"/>
      <c r="VJ36" s="739"/>
      <c r="VK36" s="739"/>
      <c r="VL36" s="739"/>
      <c r="VM36" s="739"/>
      <c r="VS36" s="2281">
        <v>2018</v>
      </c>
      <c r="VT36" s="1785">
        <v>1.0229999999999999</v>
      </c>
      <c r="VU36" s="1794"/>
      <c r="VV36" s="739"/>
      <c r="VW36" s="739"/>
      <c r="VX36" s="739"/>
      <c r="VY36" s="739"/>
      <c r="VZ36" s="739"/>
      <c r="WA36" s="739"/>
      <c r="WB36" s="739"/>
      <c r="WC36" s="739"/>
      <c r="WD36" s="739"/>
      <c r="WE36" s="739"/>
      <c r="WF36" s="739"/>
      <c r="WG36" s="739"/>
      <c r="WH36" s="739"/>
      <c r="WI36" s="739"/>
      <c r="WO36" s="2281">
        <v>2018</v>
      </c>
      <c r="WP36" s="2131">
        <v>5706.1718625449175</v>
      </c>
      <c r="WQ36" s="1786">
        <f t="shared" si="11"/>
        <v>7236.0600638469487</v>
      </c>
      <c r="WR36" s="2131">
        <v>5706.1718625449175</v>
      </c>
      <c r="WS36" s="739"/>
      <c r="WT36" s="739"/>
      <c r="WU36" s="739"/>
      <c r="WV36" s="739"/>
      <c r="WW36" s="739"/>
      <c r="WX36" s="739"/>
      <c r="WY36" s="739"/>
      <c r="WZ36" s="739"/>
      <c r="XA36" s="739"/>
      <c r="XB36" s="739"/>
      <c r="XC36" s="739"/>
      <c r="XD36" s="739"/>
      <c r="XE36" s="739"/>
      <c r="XF36" s="739"/>
      <c r="XK36" s="2492">
        <v>2018</v>
      </c>
      <c r="XL36" s="2490">
        <f t="shared" si="13"/>
        <v>0.7885744192553471</v>
      </c>
      <c r="XM36" s="2416">
        <f>XL36</f>
        <v>0.7885744192553471</v>
      </c>
      <c r="XN36" s="739"/>
      <c r="XO36" s="739"/>
      <c r="XP36" s="739"/>
      <c r="XQ36" s="739"/>
      <c r="XR36" s="739"/>
      <c r="XS36" s="739"/>
      <c r="XT36" s="739"/>
      <c r="XU36" s="739"/>
      <c r="XV36" s="739"/>
      <c r="XW36" s="739"/>
      <c r="XX36" s="739"/>
      <c r="XY36" s="739"/>
      <c r="XZ36" s="739"/>
      <c r="YA36" s="739"/>
      <c r="YG36" s="2281">
        <v>2018</v>
      </c>
      <c r="YH36" s="1785">
        <v>1.9582036761163584</v>
      </c>
      <c r="YI36" s="1794"/>
      <c r="YJ36" s="739"/>
      <c r="YK36" s="739"/>
      <c r="YL36" s="739"/>
      <c r="YM36" s="739"/>
      <c r="YN36" s="739"/>
      <c r="YO36" s="739"/>
      <c r="YP36" s="739"/>
      <c r="YQ36" s="739"/>
      <c r="YR36" s="739"/>
      <c r="YS36" s="739"/>
      <c r="YT36" s="739"/>
      <c r="YU36" s="739"/>
      <c r="ZE36" s="2587" t="s">
        <v>2177</v>
      </c>
      <c r="ZF36" s="765"/>
      <c r="ZG36" s="765"/>
      <c r="ZH36" s="765"/>
      <c r="ZI36" s="765"/>
      <c r="ZJ36" s="765"/>
      <c r="ZK36" s="765"/>
      <c r="ZL36" s="765"/>
      <c r="ZM36" s="765"/>
      <c r="ZN36" s="765"/>
      <c r="ZO36" s="765"/>
      <c r="ZP36" s="777"/>
    </row>
    <row r="37" spans="6:692" ht="21">
      <c r="F37" s="2490"/>
      <c r="G37" s="2281">
        <v>2019</v>
      </c>
      <c r="H37" s="2595">
        <v>1.02</v>
      </c>
      <c r="I37" s="2594">
        <f ca="1">AG37/AG36</f>
        <v>1.0339048492770562</v>
      </c>
      <c r="K37" s="739"/>
      <c r="L37" s="739"/>
      <c r="M37" s="739"/>
      <c r="N37" s="739"/>
      <c r="O37" s="739"/>
      <c r="P37" s="739"/>
      <c r="Q37" s="739"/>
      <c r="R37" s="739"/>
      <c r="S37" s="739"/>
      <c r="T37" s="739"/>
      <c r="U37" s="739"/>
      <c r="V37" s="739"/>
      <c r="W37" s="739"/>
      <c r="X37" s="739"/>
      <c r="AD37" s="2281">
        <v>2019</v>
      </c>
      <c r="AE37" s="1785">
        <f>AE36*H37</f>
        <v>2.0090760328703809</v>
      </c>
      <c r="AF37" s="765"/>
      <c r="AG37" s="1966">
        <f t="array" aca="1" ref="AG37:AG53" ca="1">TRANSPOSE(СЧЁТ!AM175:BC175)</f>
        <v>2.0364641695598009</v>
      </c>
      <c r="AH37" s="739"/>
      <c r="AI37" s="739"/>
      <c r="AJ37" s="739"/>
      <c r="AK37" s="739"/>
      <c r="AL37" s="739"/>
      <c r="AM37" s="739"/>
      <c r="AN37" s="739"/>
      <c r="AO37" s="739"/>
      <c r="AP37" s="739"/>
      <c r="AQ37" s="739"/>
      <c r="AR37" s="739"/>
      <c r="AS37" s="739"/>
      <c r="AT37" s="739"/>
      <c r="AU37" s="739"/>
      <c r="BA37" s="2281">
        <v>2019</v>
      </c>
      <c r="BB37" s="2595"/>
      <c r="BC37" s="1255">
        <f t="array" ref="BC37:BC53">TRANSPOSE(СЧЁТ!AM22:BC22)</f>
        <v>28.287941205989458</v>
      </c>
      <c r="BD37" s="739"/>
      <c r="BE37" s="739"/>
      <c r="BF37" s="739"/>
      <c r="BG37" s="739"/>
      <c r="BH37" s="739"/>
      <c r="BI37" s="739"/>
      <c r="BJ37" s="739"/>
      <c r="BK37" s="739"/>
      <c r="BL37" s="739"/>
      <c r="BM37" s="739"/>
      <c r="BN37" s="739"/>
      <c r="BO37" s="739"/>
      <c r="BP37" s="739"/>
      <c r="BQ37" s="739"/>
      <c r="BW37" s="2281">
        <v>2019</v>
      </c>
      <c r="BX37" s="2137"/>
      <c r="BY37" s="765"/>
      <c r="BZ37" s="1966">
        <v>2.5932588225254012</v>
      </c>
      <c r="CA37" s="739"/>
      <c r="CB37" s="739"/>
      <c r="CC37" s="739"/>
      <c r="CD37" s="739"/>
      <c r="CE37" s="739"/>
      <c r="CF37" s="739"/>
      <c r="CG37" s="739"/>
      <c r="CH37" s="739"/>
      <c r="CI37" s="739"/>
      <c r="CJ37" s="739"/>
      <c r="CK37" s="739"/>
      <c r="CL37" s="739"/>
      <c r="CM37" s="739"/>
      <c r="CN37" s="739"/>
      <c r="CT37" s="2281">
        <v>2019</v>
      </c>
      <c r="CU37" s="2136"/>
      <c r="CV37" s="1794"/>
      <c r="CW37" s="739"/>
      <c r="CX37" s="739"/>
      <c r="CY37" s="739"/>
      <c r="CZ37" s="739"/>
      <c r="DA37" s="739"/>
      <c r="DB37" s="739"/>
      <c r="DC37" s="739"/>
      <c r="DD37" s="739"/>
      <c r="DE37" s="739"/>
      <c r="DF37" s="739"/>
      <c r="DG37" s="739"/>
      <c r="DH37" s="739"/>
      <c r="DI37" s="739"/>
      <c r="DJ37" s="739"/>
      <c r="DO37" s="2281">
        <v>2019</v>
      </c>
      <c r="DP37" s="2137"/>
      <c r="DQ37" s="765"/>
      <c r="DR37" s="1794"/>
      <c r="DS37" s="739"/>
      <c r="DT37" s="739"/>
      <c r="DU37" s="739"/>
      <c r="DV37" s="739"/>
      <c r="DW37" s="739"/>
      <c r="DX37" s="739"/>
      <c r="DY37" s="739"/>
      <c r="DZ37" s="739"/>
      <c r="EA37" s="739"/>
      <c r="EB37" s="739"/>
      <c r="EC37" s="739"/>
      <c r="ED37" s="739"/>
      <c r="EE37" s="2748"/>
      <c r="EG37" s="2281">
        <v>2019</v>
      </c>
      <c r="EH37" s="2416"/>
      <c r="EI37" s="2416">
        <f ca="1">FE37/FE36</f>
        <v>1.0525529549215771</v>
      </c>
      <c r="EJ37" s="739"/>
      <c r="EK37" s="739"/>
      <c r="EL37" s="739"/>
      <c r="EM37" s="739"/>
      <c r="EN37" s="739"/>
      <c r="EO37" s="739"/>
      <c r="EP37" s="739"/>
      <c r="EQ37" s="739"/>
      <c r="ER37" s="739"/>
      <c r="ES37" s="739"/>
      <c r="ET37" s="739"/>
      <c r="EU37" s="739"/>
      <c r="EV37" s="739"/>
      <c r="EW37" s="739"/>
      <c r="FC37" s="2281">
        <v>2019</v>
      </c>
      <c r="FD37" s="2137"/>
      <c r="FE37" s="1966">
        <f ca="1">СЧЁТ!CG30</f>
        <v>2.3523092761767179</v>
      </c>
      <c r="FF37" s="739"/>
      <c r="FG37" s="739"/>
      <c r="FH37" s="739"/>
      <c r="FI37" s="739"/>
      <c r="FJ37" s="739"/>
      <c r="FK37" s="739"/>
      <c r="FL37" s="739"/>
      <c r="FM37" s="739"/>
      <c r="FN37" s="739"/>
      <c r="FO37" s="739"/>
      <c r="FP37" s="739"/>
      <c r="FQ37" s="739"/>
      <c r="FR37" s="739"/>
      <c r="FS37" s="739"/>
      <c r="FY37" s="2281">
        <v>2019</v>
      </c>
      <c r="FZ37" s="2136"/>
      <c r="GA37" s="2416">
        <f t="shared" ca="1" si="14"/>
        <v>1.0466508028186878</v>
      </c>
      <c r="GB37" s="739"/>
      <c r="GC37" s="739"/>
      <c r="GD37" s="739"/>
      <c r="GE37" s="739"/>
      <c r="GF37" s="739"/>
      <c r="GG37" s="739"/>
      <c r="GH37" s="739"/>
      <c r="GI37" s="739"/>
      <c r="GJ37" s="739"/>
      <c r="GK37" s="739"/>
      <c r="GL37" s="739"/>
      <c r="GM37" s="739"/>
      <c r="GN37" s="739"/>
      <c r="GO37" s="739"/>
      <c r="GT37" s="2029"/>
      <c r="GU37" s="2281">
        <v>2019</v>
      </c>
      <c r="GV37" s="2137"/>
      <c r="GW37" s="2509">
        <f t="shared" si="1"/>
        <v>2.338458852295477</v>
      </c>
      <c r="GX37" s="1255">
        <f ca="1">СЧЁТ!CN30</f>
        <v>3.7594795354810144</v>
      </c>
      <c r="GY37" s="739"/>
      <c r="GZ37" s="739"/>
      <c r="HA37" s="739"/>
      <c r="HB37" s="739"/>
      <c r="HC37" s="739"/>
      <c r="HD37" s="739"/>
      <c r="HE37" s="739"/>
      <c r="HF37" s="739"/>
      <c r="HG37" s="739"/>
      <c r="HH37" s="739"/>
      <c r="HI37" s="739"/>
      <c r="HJ37" s="739"/>
      <c r="HK37" s="739"/>
      <c r="HR37" s="2281">
        <v>2019</v>
      </c>
      <c r="HS37" s="2121">
        <v>0.23384588522954772</v>
      </c>
      <c r="HT37" s="1794"/>
      <c r="HU37" s="739"/>
      <c r="HV37" s="739"/>
      <c r="HW37" s="739"/>
      <c r="HX37" s="739"/>
      <c r="HY37" s="739"/>
      <c r="HZ37" s="739"/>
      <c r="IA37" s="739"/>
      <c r="IB37" s="739"/>
      <c r="IC37" s="739"/>
      <c r="ID37" s="739"/>
      <c r="IE37" s="739"/>
      <c r="IF37" s="739"/>
      <c r="IG37" s="739"/>
      <c r="IH37" s="739"/>
      <c r="IL37" s="2029"/>
      <c r="IN37" s="2281">
        <v>2019</v>
      </c>
      <c r="IO37" s="2137"/>
      <c r="IP37" s="765"/>
      <c r="IQ37" s="1794"/>
      <c r="IR37" s="739"/>
      <c r="IS37" s="739"/>
      <c r="IT37" s="739"/>
      <c r="IU37" s="739"/>
      <c r="IV37" s="739"/>
      <c r="IW37" s="739"/>
      <c r="IX37" s="739"/>
      <c r="IY37" s="739"/>
      <c r="IZ37" s="739"/>
      <c r="JA37" s="739"/>
      <c r="JJ37" s="2748"/>
      <c r="JL37" s="2281">
        <v>2019</v>
      </c>
      <c r="JM37" s="2136"/>
      <c r="JN37" s="1966">
        <f t="shared" ref="JN37:JN53" ca="1" si="16">KK37/KK36</f>
        <v>1.0448077729996812</v>
      </c>
      <c r="JO37" s="739"/>
      <c r="JP37" s="739"/>
      <c r="JQ37" s="739"/>
      <c r="JR37" s="739"/>
      <c r="JS37" s="739"/>
      <c r="JT37" s="739"/>
      <c r="JU37" s="739"/>
      <c r="JV37" s="739"/>
      <c r="JW37" s="739"/>
      <c r="JX37" s="739"/>
      <c r="JY37" s="739"/>
      <c r="JZ37" s="739"/>
      <c r="KA37" s="739"/>
      <c r="KB37" s="739"/>
      <c r="KF37" s="2029"/>
      <c r="KH37" s="2281">
        <v>2019</v>
      </c>
      <c r="KI37" s="2137"/>
      <c r="KJ37" s="765"/>
      <c r="KK37" s="1966">
        <f ca="1">СЧЁТ!CJ30</f>
        <v>2.7216220663945272</v>
      </c>
      <c r="KL37" s="739"/>
      <c r="KM37" s="739"/>
      <c r="KN37" s="739"/>
      <c r="KO37" s="739"/>
      <c r="KP37" s="739"/>
      <c r="KQ37" s="739"/>
      <c r="KR37" s="739"/>
      <c r="KS37" s="739"/>
      <c r="KT37" s="739"/>
      <c r="KU37" s="739"/>
      <c r="KV37" s="739"/>
      <c r="KW37" s="739"/>
      <c r="KX37" s="739"/>
      <c r="KY37" s="739"/>
      <c r="LE37" s="2281">
        <v>2019</v>
      </c>
      <c r="LF37" s="2136"/>
      <c r="LG37" s="1382">
        <v>72.353999999999999</v>
      </c>
      <c r="LH37" s="2136"/>
      <c r="LI37" s="1035">
        <f ca="1"/>
        <v>2.710165438947044</v>
      </c>
      <c r="LJ37" s="739"/>
      <c r="LK37" s="739"/>
      <c r="LL37" s="739"/>
      <c r="LM37" s="739"/>
      <c r="LN37" s="739"/>
      <c r="LO37" s="739"/>
      <c r="LP37" s="739"/>
      <c r="LQ37" s="739"/>
      <c r="LR37" s="739"/>
      <c r="LS37" s="739"/>
      <c r="LT37" s="739"/>
      <c r="LU37" s="739"/>
      <c r="LV37" s="739"/>
      <c r="MB37" s="2281">
        <v>2019</v>
      </c>
      <c r="MC37" s="2485"/>
      <c r="MD37" s="2131">
        <f ca="1">СЧЁТ!CE30</f>
        <v>5946.8295942179684</v>
      </c>
      <c r="ME37" s="739"/>
      <c r="MF37" s="739"/>
      <c r="MG37" s="739"/>
      <c r="MH37" s="739"/>
      <c r="MI37" s="739"/>
      <c r="MJ37" s="739"/>
      <c r="MK37" s="739"/>
      <c r="ML37" s="739"/>
      <c r="MM37" s="739"/>
      <c r="MN37" s="739"/>
      <c r="MO37" s="739"/>
      <c r="MP37" s="739"/>
      <c r="MQ37" s="739"/>
      <c r="MY37" s="2281">
        <v>2019</v>
      </c>
      <c r="MZ37" s="2136"/>
      <c r="NA37" s="1597">
        <f>СЧЁТ!CB30</f>
        <v>79.940971174109237</v>
      </c>
      <c r="NB37" s="739"/>
      <c r="NC37" s="739"/>
      <c r="ND37" s="739"/>
      <c r="NE37" s="739"/>
      <c r="NF37" s="739"/>
      <c r="NG37" s="739"/>
      <c r="NH37" s="739"/>
      <c r="NI37" s="739"/>
      <c r="NJ37" s="739"/>
      <c r="NK37" s="739"/>
      <c r="NL37" s="739"/>
      <c r="NM37" s="739"/>
      <c r="NN37" s="739"/>
      <c r="NO37" s="739"/>
      <c r="NV37" s="2281">
        <v>2019</v>
      </c>
      <c r="NW37" s="2137"/>
      <c r="NX37" s="1597">
        <v>22.693288373038232</v>
      </c>
      <c r="NY37" s="765"/>
      <c r="NZ37" s="1794"/>
      <c r="OA37" s="739"/>
      <c r="OB37" s="739"/>
      <c r="OC37" s="739"/>
      <c r="OD37" s="739"/>
      <c r="OE37" s="739"/>
      <c r="OF37" s="739"/>
      <c r="OG37" s="739"/>
      <c r="OH37" s="739"/>
      <c r="OI37" s="739"/>
      <c r="OJ37" s="739"/>
      <c r="OK37" s="739"/>
      <c r="OS37" s="2748"/>
      <c r="OU37" s="2281">
        <v>2019</v>
      </c>
      <c r="OV37" s="2136"/>
      <c r="OW37" s="2594">
        <f t="shared" ca="1" si="15"/>
        <v>1.0448661480576524</v>
      </c>
      <c r="OX37" s="739"/>
      <c r="OY37" s="739"/>
      <c r="OZ37" s="739"/>
      <c r="PA37" s="739"/>
      <c r="PB37" s="739"/>
      <c r="PC37" s="739"/>
      <c r="PD37" s="739"/>
      <c r="PE37" s="739"/>
      <c r="PF37" s="739"/>
      <c r="PG37" s="739"/>
      <c r="PH37" s="739"/>
      <c r="PI37" s="739"/>
      <c r="PJ37" s="739"/>
      <c r="PK37" s="739"/>
      <c r="PO37" s="2029"/>
      <c r="PQ37" s="2281">
        <v>2019</v>
      </c>
      <c r="PR37" s="2137"/>
      <c r="PS37" s="1966">
        <f ca="1">СЧЁТ!CI30</f>
        <v>1.3249159206294971</v>
      </c>
      <c r="PT37" s="739"/>
      <c r="PU37" s="739"/>
      <c r="PV37" s="739"/>
      <c r="PW37" s="739"/>
      <c r="PX37" s="739"/>
      <c r="PY37" s="739"/>
      <c r="PZ37" s="739"/>
      <c r="QA37" s="739"/>
      <c r="QB37" s="739"/>
      <c r="QC37" s="739"/>
      <c r="QD37" s="739"/>
      <c r="QE37" s="739"/>
      <c r="QF37" s="739"/>
      <c r="QG37" s="739"/>
      <c r="QM37" s="2281">
        <v>2019</v>
      </c>
      <c r="QN37" s="2136"/>
      <c r="QO37" s="1794"/>
      <c r="QP37" s="739"/>
      <c r="QQ37" s="739"/>
      <c r="QR37" s="739"/>
      <c r="QS37" s="739"/>
      <c r="QT37" s="739"/>
      <c r="QU37" s="739"/>
      <c r="QV37" s="739"/>
      <c r="QW37" s="739"/>
      <c r="QX37" s="739"/>
      <c r="QY37" s="739"/>
      <c r="QZ37" s="739"/>
      <c r="RA37" s="739"/>
      <c r="RB37" s="739"/>
      <c r="RC37" s="739"/>
      <c r="RG37" s="2029"/>
      <c r="RI37" s="943">
        <v>25</v>
      </c>
      <c r="RJ37" s="2281">
        <v>2019</v>
      </c>
      <c r="RK37" s="2137"/>
      <c r="RL37" s="1786"/>
      <c r="RM37" s="2489">
        <f>НАСТРОЙКА!IB29</f>
        <v>9315.4794364663703</v>
      </c>
      <c r="RN37" s="739"/>
      <c r="RO37" s="739"/>
      <c r="RP37" s="739"/>
      <c r="RQ37" s="739"/>
      <c r="RR37" s="739"/>
      <c r="RS37" s="739"/>
      <c r="RT37" s="739"/>
      <c r="RU37" s="739"/>
      <c r="RV37" s="739"/>
      <c r="RW37" s="739"/>
      <c r="RX37" s="739"/>
      <c r="RY37" s="739"/>
      <c r="RZ37" s="739"/>
      <c r="SA37" s="739"/>
      <c r="SG37" s="2281">
        <v>2019</v>
      </c>
      <c r="SH37" s="2136"/>
      <c r="SI37" s="1966">
        <f t="shared" ref="SI37:SI53" ca="1" si="17">MD37/RM37</f>
        <v>0.63838148479384893</v>
      </c>
      <c r="SJ37" s="739"/>
      <c r="SK37" s="739"/>
      <c r="SL37" s="739"/>
      <c r="SM37" s="739"/>
      <c r="SN37" s="739"/>
      <c r="SO37" s="739"/>
      <c r="SP37" s="739"/>
      <c r="SQ37" s="739"/>
      <c r="SR37" s="739"/>
      <c r="SS37" s="739"/>
      <c r="ST37" s="739"/>
      <c r="SU37" s="739"/>
      <c r="SV37" s="739"/>
      <c r="SW37" s="739"/>
      <c r="TC37" s="2281">
        <v>2019</v>
      </c>
      <c r="TD37" s="2137"/>
      <c r="TE37" s="1794"/>
      <c r="TF37" s="739"/>
      <c r="TG37" s="739"/>
      <c r="TH37" s="739"/>
      <c r="TI37" s="739"/>
      <c r="TJ37" s="739"/>
      <c r="TK37" s="739"/>
      <c r="TL37" s="739"/>
      <c r="TM37" s="739"/>
      <c r="TN37" s="739"/>
      <c r="TO37" s="739"/>
      <c r="TP37" s="739"/>
      <c r="TQ37" s="739"/>
      <c r="TX37" s="2748"/>
      <c r="TZ37" s="2281">
        <v>2019</v>
      </c>
      <c r="UA37" s="2136"/>
      <c r="UB37" s="555"/>
      <c r="UC37" s="1966">
        <f>UY37/UY36</f>
        <v>1.0409090909090908</v>
      </c>
      <c r="UD37" s="739"/>
      <c r="UE37" s="739"/>
      <c r="UF37" s="739"/>
      <c r="UG37" s="739"/>
      <c r="UH37" s="739"/>
      <c r="UI37" s="739"/>
      <c r="UJ37" s="739"/>
      <c r="UK37" s="739"/>
      <c r="UL37" s="739"/>
      <c r="UM37" s="739"/>
      <c r="UN37" s="739"/>
      <c r="UO37" s="739"/>
      <c r="UP37" s="739"/>
      <c r="UQ37" s="739"/>
      <c r="UU37" s="2029"/>
      <c r="UW37" s="2281">
        <v>2019</v>
      </c>
      <c r="UX37" s="2137"/>
      <c r="UY37" s="1966">
        <f>ОТЧЁТ!EX160</f>
        <v>0.68180337486095166</v>
      </c>
      <c r="UZ37" s="739"/>
      <c r="VA37" s="739"/>
      <c r="VB37" s="739"/>
      <c r="VC37" s="739"/>
      <c r="VD37" s="739"/>
      <c r="VE37" s="739"/>
      <c r="VF37" s="739"/>
      <c r="VG37" s="739"/>
      <c r="VH37" s="739"/>
      <c r="VI37" s="739"/>
      <c r="VJ37" s="739"/>
      <c r="VK37" s="739"/>
      <c r="VL37" s="739"/>
      <c r="VM37" s="739"/>
      <c r="VS37" s="2281">
        <v>2019</v>
      </c>
      <c r="VT37" s="2136"/>
      <c r="VU37" s="1794"/>
      <c r="VV37" s="739"/>
      <c r="VW37" s="739"/>
      <c r="VX37" s="739"/>
      <c r="VY37" s="739"/>
      <c r="VZ37" s="739"/>
      <c r="WA37" s="739"/>
      <c r="WB37" s="739"/>
      <c r="WC37" s="739"/>
      <c r="WD37" s="739"/>
      <c r="WE37" s="739"/>
      <c r="WF37" s="739"/>
      <c r="WG37" s="739"/>
      <c r="WH37" s="739"/>
      <c r="WI37" s="739"/>
      <c r="WM37" s="2029"/>
      <c r="WO37" s="2281">
        <v>2019</v>
      </c>
      <c r="WP37" s="2485"/>
      <c r="WQ37" s="1786">
        <f t="shared" si="11"/>
        <v>7536.2228641012944</v>
      </c>
      <c r="WR37" s="2131">
        <v>5813.9801221261396</v>
      </c>
      <c r="WS37" s="739"/>
      <c r="WT37" s="739"/>
      <c r="WU37" s="739"/>
      <c r="WV37" s="739"/>
      <c r="WW37" s="739"/>
      <c r="WX37" s="739"/>
      <c r="WY37" s="739"/>
      <c r="WZ37" s="739"/>
      <c r="XA37" s="739"/>
      <c r="XB37" s="739"/>
      <c r="XC37" s="739"/>
      <c r="XD37" s="739"/>
      <c r="XE37" s="739"/>
      <c r="XF37" s="739"/>
      <c r="XK37" s="2492">
        <v>2019</v>
      </c>
      <c r="XL37" s="2136"/>
      <c r="XM37" s="2416">
        <f>1-(WQ37-WR37)/WQ37</f>
        <v>0.77147136263989258</v>
      </c>
      <c r="XN37" s="739"/>
      <c r="XO37" s="739"/>
      <c r="XP37" s="739"/>
      <c r="XQ37" s="739"/>
      <c r="XR37" s="739"/>
      <c r="XS37" s="739"/>
      <c r="XT37" s="739"/>
      <c r="XU37" s="739"/>
      <c r="XV37" s="739"/>
      <c r="XW37" s="739"/>
      <c r="XX37" s="739"/>
      <c r="XY37" s="739"/>
      <c r="XZ37" s="739"/>
      <c r="YA37" s="739"/>
      <c r="YE37" s="2029"/>
      <c r="YG37" s="2281">
        <v>2019</v>
      </c>
      <c r="YH37" s="2137"/>
      <c r="YI37" s="1794"/>
      <c r="YJ37" s="739"/>
      <c r="YK37" s="739"/>
      <c r="YL37" s="739"/>
      <c r="YM37" s="739"/>
      <c r="YN37" s="739"/>
      <c r="YO37" s="739"/>
      <c r="YP37" s="739"/>
      <c r="YQ37" s="739"/>
      <c r="YR37" s="739"/>
      <c r="YS37" s="739"/>
      <c r="YT37" s="739"/>
      <c r="YU37" s="739"/>
      <c r="ZE37" s="2587" t="s">
        <v>2178</v>
      </c>
      <c r="ZF37" s="765"/>
      <c r="ZG37" s="765"/>
      <c r="ZH37" s="765"/>
      <c r="ZI37" s="765"/>
      <c r="ZJ37" s="765"/>
      <c r="ZK37" s="765"/>
      <c r="ZL37" s="765"/>
      <c r="ZM37" s="765"/>
      <c r="ZN37" s="765"/>
      <c r="ZO37" s="765"/>
      <c r="ZP37" s="777"/>
    </row>
    <row r="38" spans="6:692" ht="21">
      <c r="G38" s="2281">
        <v>2020</v>
      </c>
      <c r="H38" s="2595">
        <v>0.97</v>
      </c>
      <c r="I38" s="2594">
        <f ca="1">AG38/AG37</f>
        <v>1.0251222715363595</v>
      </c>
      <c r="J38" s="2490">
        <f>H38</f>
        <v>0.97</v>
      </c>
      <c r="K38" s="739"/>
      <c r="L38" s="739"/>
      <c r="M38" s="739"/>
      <c r="N38" s="739"/>
      <c r="O38" s="739"/>
      <c r="P38" s="739"/>
      <c r="Q38" s="739"/>
      <c r="R38" s="739"/>
      <c r="S38" s="739"/>
      <c r="T38" s="739"/>
      <c r="U38" s="739"/>
      <c r="V38" s="739"/>
      <c r="W38" s="739"/>
      <c r="X38" s="739"/>
      <c r="AD38" s="2281">
        <v>2020</v>
      </c>
      <c r="AE38" s="1785">
        <f>AE37*H38</f>
        <v>1.9488037518842694</v>
      </c>
      <c r="AF38" s="765"/>
      <c r="AG38" s="1966">
        <f ca="1"/>
        <v>2.0876247754015491</v>
      </c>
      <c r="AH38" s="739"/>
      <c r="AI38" s="739"/>
      <c r="AJ38" s="739"/>
      <c r="AK38" s="739"/>
      <c r="AL38" s="739"/>
      <c r="AM38" s="739"/>
      <c r="AN38" s="739"/>
      <c r="AO38" s="739"/>
      <c r="AP38" s="739"/>
      <c r="AQ38" s="739"/>
      <c r="AR38" s="739"/>
      <c r="AS38" s="739"/>
      <c r="AT38" s="739"/>
      <c r="AU38" s="739"/>
      <c r="BA38" s="2281">
        <v>2020</v>
      </c>
      <c r="BB38" s="2595"/>
      <c r="BC38" s="1255">
        <v>30.295292486376674</v>
      </c>
      <c r="BD38" s="739"/>
      <c r="BE38" s="739"/>
      <c r="BF38" s="739"/>
      <c r="BG38" s="739"/>
      <c r="BH38" s="739"/>
      <c r="BI38" s="739"/>
      <c r="BJ38" s="739"/>
      <c r="BK38" s="739"/>
      <c r="BL38" s="739"/>
      <c r="BM38" s="739"/>
      <c r="BN38" s="739"/>
      <c r="BO38" s="739"/>
      <c r="BP38" s="739"/>
      <c r="BQ38" s="739"/>
      <c r="BW38" s="2281">
        <v>2020</v>
      </c>
      <c r="BX38" s="2137"/>
      <c r="BY38" s="765"/>
      <c r="BZ38" s="1966">
        <v>2.6233932969206215</v>
      </c>
      <c r="CA38" s="739"/>
      <c r="CB38" s="739"/>
      <c r="CC38" s="739"/>
      <c r="CD38" s="739"/>
      <c r="CE38" s="739"/>
      <c r="CF38" s="739"/>
      <c r="CG38" s="739"/>
      <c r="CH38" s="739"/>
      <c r="CI38" s="739"/>
      <c r="CJ38" s="739"/>
      <c r="CK38" s="739"/>
      <c r="CL38" s="739"/>
      <c r="CM38" s="739"/>
      <c r="CN38" s="739"/>
      <c r="CT38" s="2281">
        <v>2020</v>
      </c>
      <c r="CU38" s="2136"/>
      <c r="CV38" s="1794"/>
      <c r="CW38" s="739"/>
      <c r="CX38" s="739"/>
      <c r="CY38" s="739"/>
      <c r="CZ38" s="739"/>
      <c r="DA38" s="739"/>
      <c r="DB38" s="739"/>
      <c r="DC38" s="739"/>
      <c r="DD38" s="739"/>
      <c r="DE38" s="739"/>
      <c r="DF38" s="739"/>
      <c r="DG38" s="739"/>
      <c r="DH38" s="739"/>
      <c r="DI38" s="739"/>
      <c r="DJ38" s="739"/>
      <c r="DO38" s="2281">
        <v>2020</v>
      </c>
      <c r="DP38" s="2137"/>
      <c r="DQ38" s="765"/>
      <c r="DR38" s="1794"/>
      <c r="DS38" s="739"/>
      <c r="DT38" s="739"/>
      <c r="DU38" s="739"/>
      <c r="DV38" s="739"/>
      <c r="DW38" s="739"/>
      <c r="DX38" s="739"/>
      <c r="DY38" s="739"/>
      <c r="DZ38" s="739"/>
      <c r="EA38" s="739"/>
      <c r="EB38" s="739"/>
      <c r="EC38" s="739"/>
      <c r="ED38" s="739"/>
      <c r="EE38" s="2748"/>
      <c r="EG38" s="2281">
        <v>2020</v>
      </c>
      <c r="EH38" s="2416"/>
      <c r="EI38" s="2416">
        <f ca="1">FE38/FE37</f>
        <v>1.0403355003171391</v>
      </c>
      <c r="EJ38" s="739"/>
      <c r="EK38" s="739"/>
      <c r="EL38" s="739"/>
      <c r="EM38" s="739"/>
      <c r="EN38" s="739"/>
      <c r="EO38" s="739"/>
      <c r="EP38" s="739"/>
      <c r="EQ38" s="739"/>
      <c r="ER38" s="739"/>
      <c r="ES38" s="739"/>
      <c r="ET38" s="739"/>
      <c r="EU38" s="739"/>
      <c r="EV38" s="739"/>
      <c r="EW38" s="739"/>
      <c r="FC38" s="2281">
        <v>2020</v>
      </c>
      <c r="FD38" s="2137"/>
      <c r="FE38" s="1966">
        <f ca="1">СЧЁТ!CG31</f>
        <v>2.4471908477319531</v>
      </c>
      <c r="FF38" s="739"/>
      <c r="FG38" s="739"/>
      <c r="FH38" s="739"/>
      <c r="FI38" s="739"/>
      <c r="FJ38" s="739"/>
      <c r="FK38" s="739"/>
      <c r="FL38" s="739"/>
      <c r="FM38" s="739"/>
      <c r="FN38" s="739"/>
      <c r="FO38" s="739"/>
      <c r="FP38" s="739"/>
      <c r="FQ38" s="739"/>
      <c r="FR38" s="739"/>
      <c r="FS38" s="739"/>
      <c r="FY38" s="2281">
        <v>2020</v>
      </c>
      <c r="FZ38" s="2136"/>
      <c r="GA38" s="2416">
        <f t="shared" ca="1" si="14"/>
        <v>1.0316979950098868</v>
      </c>
      <c r="GB38" s="739"/>
      <c r="GC38" s="739"/>
      <c r="GD38" s="739"/>
      <c r="GE38" s="739"/>
      <c r="GF38" s="739"/>
      <c r="GG38" s="739"/>
      <c r="GH38" s="739"/>
      <c r="GI38" s="739"/>
      <c r="GJ38" s="739"/>
      <c r="GK38" s="739"/>
      <c r="GL38" s="739"/>
      <c r="GM38" s="739"/>
      <c r="GN38" s="739"/>
      <c r="GO38" s="739"/>
      <c r="GT38" s="2029"/>
      <c r="GU38" s="2281">
        <v>2020</v>
      </c>
      <c r="GV38" s="2137"/>
      <c r="GW38" s="2509">
        <f t="shared" si="1"/>
        <v>2.3484588522954772</v>
      </c>
      <c r="GX38" s="1255">
        <f ca="1">СЧЁТ!CN31</f>
        <v>3.8786474990364632</v>
      </c>
      <c r="GY38" s="739"/>
      <c r="GZ38" s="739"/>
      <c r="HA38" s="739"/>
      <c r="HB38" s="739"/>
      <c r="HC38" s="739"/>
      <c r="HD38" s="739"/>
      <c r="HE38" s="739"/>
      <c r="HF38" s="739"/>
      <c r="HG38" s="739"/>
      <c r="HH38" s="739"/>
      <c r="HI38" s="739"/>
      <c r="HJ38" s="739"/>
      <c r="HK38" s="739"/>
      <c r="HR38" s="2281">
        <v>2020</v>
      </c>
      <c r="HS38" s="2121">
        <v>0.23484588522954772</v>
      </c>
      <c r="HT38" s="1794"/>
      <c r="HU38" s="739"/>
      <c r="HV38" s="739"/>
      <c r="HW38" s="739"/>
      <c r="HX38" s="739"/>
      <c r="HY38" s="739"/>
      <c r="HZ38" s="739"/>
      <c r="IA38" s="739"/>
      <c r="IB38" s="739"/>
      <c r="IC38" s="739"/>
      <c r="ID38" s="739"/>
      <c r="IE38" s="739"/>
      <c r="IF38" s="739"/>
      <c r="IG38" s="739"/>
      <c r="IH38" s="739"/>
      <c r="IL38" s="2029"/>
      <c r="IN38" s="2281">
        <v>2020</v>
      </c>
      <c r="IO38" s="2137"/>
      <c r="IP38" s="765"/>
      <c r="IQ38" s="1794"/>
      <c r="IR38" s="739"/>
      <c r="IS38" s="739"/>
      <c r="IT38" s="739"/>
      <c r="IU38" s="739"/>
      <c r="IV38" s="739"/>
      <c r="IW38" s="739"/>
      <c r="IX38" s="739"/>
      <c r="IY38" s="739"/>
      <c r="IZ38" s="739"/>
      <c r="JA38" s="739"/>
      <c r="JJ38" s="2748"/>
      <c r="JL38" s="2281">
        <v>2020</v>
      </c>
      <c r="JM38" s="2136"/>
      <c r="JN38" s="1966">
        <f t="shared" ca="1" si="16"/>
        <v>1.0361927084271418</v>
      </c>
      <c r="JO38" s="739"/>
      <c r="JP38" s="739"/>
      <c r="JQ38" s="739"/>
      <c r="JR38" s="739"/>
      <c r="JS38" s="739"/>
      <c r="JT38" s="739"/>
      <c r="JU38" s="739"/>
      <c r="JV38" s="739"/>
      <c r="JW38" s="739"/>
      <c r="JX38" s="739"/>
      <c r="JY38" s="739"/>
      <c r="JZ38" s="739"/>
      <c r="KA38" s="739"/>
      <c r="KB38" s="739"/>
      <c r="KF38" s="2029"/>
      <c r="KH38" s="2281">
        <v>2020</v>
      </c>
      <c r="KI38" s="2137"/>
      <c r="KJ38" s="765"/>
      <c r="KK38" s="1966">
        <f ca="1">СЧЁТ!CJ31</f>
        <v>2.8201249402924198</v>
      </c>
      <c r="KL38" s="739"/>
      <c r="KM38" s="739"/>
      <c r="KN38" s="739"/>
      <c r="KO38" s="739"/>
      <c r="KP38" s="739"/>
      <c r="KQ38" s="739"/>
      <c r="KR38" s="739"/>
      <c r="KS38" s="739"/>
      <c r="KT38" s="739"/>
      <c r="KU38" s="739"/>
      <c r="KV38" s="739"/>
      <c r="KW38" s="739"/>
      <c r="KX38" s="739"/>
      <c r="KY38" s="739"/>
      <c r="LE38" s="2281">
        <v>2020</v>
      </c>
      <c r="LF38" s="2136"/>
      <c r="LG38" s="1382">
        <f ca="1"/>
        <v>73.189834561052962</v>
      </c>
      <c r="LH38" s="2136"/>
      <c r="LI38" s="1035">
        <f ca="1"/>
        <v>4.0422690765656739</v>
      </c>
      <c r="LJ38" s="739"/>
      <c r="LK38" s="739"/>
      <c r="LL38" s="739"/>
      <c r="LM38" s="739"/>
      <c r="LN38" s="739"/>
      <c r="LO38" s="739"/>
      <c r="LP38" s="739"/>
      <c r="LQ38" s="739"/>
      <c r="LR38" s="739"/>
      <c r="LS38" s="739"/>
      <c r="LT38" s="739"/>
      <c r="LU38" s="739"/>
      <c r="LV38" s="739"/>
      <c r="MB38" s="2281">
        <v>2020</v>
      </c>
      <c r="MC38" s="2485"/>
      <c r="MD38" s="2131">
        <f ca="1">СЧЁТ!CE31</f>
        <v>6109.2072396307076</v>
      </c>
      <c r="ME38" s="739"/>
      <c r="MF38" s="739"/>
      <c r="MG38" s="739"/>
      <c r="MH38" s="739"/>
      <c r="MI38" s="739"/>
      <c r="MJ38" s="739"/>
      <c r="MK38" s="739"/>
      <c r="ML38" s="739"/>
      <c r="MM38" s="739"/>
      <c r="MN38" s="739"/>
      <c r="MO38" s="739"/>
      <c r="MP38" s="739"/>
      <c r="MQ38" s="739"/>
      <c r="MY38" s="2281">
        <v>2020</v>
      </c>
      <c r="MZ38" s="2136"/>
      <c r="NA38" s="1597">
        <f>СЧЁТ!CB31</f>
        <v>80.019369981581406</v>
      </c>
      <c r="NB38" s="739"/>
      <c r="NC38" s="739"/>
      <c r="ND38" s="739"/>
      <c r="NE38" s="739"/>
      <c r="NF38" s="739"/>
      <c r="NG38" s="739"/>
      <c r="NH38" s="739"/>
      <c r="NI38" s="739"/>
      <c r="NJ38" s="739"/>
      <c r="NK38" s="739"/>
      <c r="NL38" s="739"/>
      <c r="NM38" s="739"/>
      <c r="NN38" s="739"/>
      <c r="NO38" s="739"/>
      <c r="NV38" s="2281">
        <v>2020</v>
      </c>
      <c r="NW38" s="2137"/>
      <c r="NX38" s="765"/>
      <c r="NY38" s="765"/>
      <c r="NZ38" s="1794"/>
      <c r="OA38" s="739"/>
      <c r="OB38" s="739"/>
      <c r="OC38" s="739"/>
      <c r="OD38" s="739"/>
      <c r="OE38" s="739"/>
      <c r="OF38" s="739"/>
      <c r="OG38" s="739"/>
      <c r="OH38" s="739"/>
      <c r="OI38" s="739"/>
      <c r="OJ38" s="739"/>
      <c r="OK38" s="739"/>
      <c r="OS38" s="2748"/>
      <c r="OU38" s="2281">
        <v>2020</v>
      </c>
      <c r="OV38" s="2136"/>
      <c r="OW38" s="2594">
        <f t="shared" ca="1" si="15"/>
        <v>1.0132905713891374</v>
      </c>
      <c r="OX38" s="739"/>
      <c r="OY38" s="739"/>
      <c r="OZ38" s="739"/>
      <c r="PA38" s="739"/>
      <c r="PB38" s="739"/>
      <c r="PC38" s="739"/>
      <c r="PD38" s="739"/>
      <c r="PE38" s="739"/>
      <c r="PF38" s="739"/>
      <c r="PG38" s="739"/>
      <c r="PH38" s="739"/>
      <c r="PI38" s="739"/>
      <c r="PJ38" s="739"/>
      <c r="PK38" s="739"/>
      <c r="PO38" s="2029"/>
      <c r="PQ38" s="2281">
        <v>2020</v>
      </c>
      <c r="PR38" s="2137"/>
      <c r="PS38" s="1966">
        <f ca="1">СЧЁТ!CI31</f>
        <v>1.342524810257228</v>
      </c>
      <c r="PT38" s="739"/>
      <c r="PU38" s="739"/>
      <c r="PV38" s="739"/>
      <c r="PW38" s="739"/>
      <c r="PX38" s="739"/>
      <c r="PY38" s="739"/>
      <c r="PZ38" s="739"/>
      <c r="QA38" s="739"/>
      <c r="QB38" s="739"/>
      <c r="QC38" s="739"/>
      <c r="QD38" s="739"/>
      <c r="QE38" s="739"/>
      <c r="QF38" s="739"/>
      <c r="QG38" s="739"/>
      <c r="QM38" s="2281">
        <v>2020</v>
      </c>
      <c r="QN38" s="2136"/>
      <c r="QO38" s="1794"/>
      <c r="QP38" s="739"/>
      <c r="QQ38" s="739"/>
      <c r="QR38" s="739"/>
      <c r="QS38" s="739"/>
      <c r="QT38" s="739"/>
      <c r="QU38" s="739"/>
      <c r="QV38" s="739"/>
      <c r="QW38" s="739"/>
      <c r="QX38" s="739"/>
      <c r="QY38" s="739"/>
      <c r="QZ38" s="739"/>
      <c r="RA38" s="739"/>
      <c r="RB38" s="739"/>
      <c r="RC38" s="739"/>
      <c r="RG38" s="2029"/>
      <c r="RI38" s="943">
        <v>26</v>
      </c>
      <c r="RJ38" s="2281">
        <v>2020</v>
      </c>
      <c r="RK38" s="2137"/>
      <c r="RL38" s="1786"/>
      <c r="RM38" s="2489">
        <f>НАСТРОЙКА!IB30</f>
        <v>9701.5634658874351</v>
      </c>
      <c r="RN38" s="739"/>
      <c r="RO38" s="739"/>
      <c r="RP38" s="739"/>
      <c r="RQ38" s="739"/>
      <c r="RR38" s="739"/>
      <c r="RS38" s="739"/>
      <c r="RT38" s="739"/>
      <c r="RU38" s="739"/>
      <c r="RV38" s="739"/>
      <c r="RW38" s="739"/>
      <c r="RX38" s="739"/>
      <c r="RY38" s="739"/>
      <c r="RZ38" s="739"/>
      <c r="SA38" s="739"/>
      <c r="SG38" s="2281">
        <v>2020</v>
      </c>
      <c r="SH38" s="2136"/>
      <c r="SI38" s="1966">
        <f t="shared" ca="1" si="17"/>
        <v>0.62971368080122925</v>
      </c>
      <c r="SJ38" s="739"/>
      <c r="SK38" s="739"/>
      <c r="SL38" s="739"/>
      <c r="SM38" s="739"/>
      <c r="SN38" s="739"/>
      <c r="SO38" s="739"/>
      <c r="SP38" s="739"/>
      <c r="SQ38" s="739"/>
      <c r="SR38" s="739"/>
      <c r="SS38" s="739"/>
      <c r="ST38" s="739"/>
      <c r="SU38" s="739"/>
      <c r="SV38" s="739"/>
      <c r="SW38" s="739"/>
      <c r="TC38" s="2281">
        <v>2020</v>
      </c>
      <c r="TD38" s="2137"/>
      <c r="TE38" s="1794"/>
      <c r="TF38" s="739"/>
      <c r="TG38" s="739"/>
      <c r="TH38" s="739"/>
      <c r="TI38" s="739"/>
      <c r="TJ38" s="739"/>
      <c r="TK38" s="739"/>
      <c r="TL38" s="739"/>
      <c r="TM38" s="739"/>
      <c r="TN38" s="739"/>
      <c r="TO38" s="739"/>
      <c r="TP38" s="739"/>
      <c r="TQ38" s="739"/>
      <c r="TX38" s="2748"/>
      <c r="TZ38" s="2281">
        <v>2020</v>
      </c>
      <c r="UA38" s="2136"/>
      <c r="UB38" s="555"/>
      <c r="UC38" s="1966">
        <f t="shared" ref="UC38:UC53" si="18">UY38/UY37</f>
        <v>1.0373362445414847</v>
      </c>
      <c r="UD38" s="739"/>
      <c r="UE38" s="739"/>
      <c r="UF38" s="739"/>
      <c r="UG38" s="739"/>
      <c r="UH38" s="739"/>
      <c r="UI38" s="739"/>
      <c r="UJ38" s="739"/>
      <c r="UK38" s="739"/>
      <c r="UL38" s="739"/>
      <c r="UM38" s="739"/>
      <c r="UN38" s="739"/>
      <c r="UO38" s="739"/>
      <c r="UP38" s="739"/>
      <c r="UQ38" s="739"/>
      <c r="UU38" s="2029"/>
      <c r="UW38" s="2281">
        <v>2020</v>
      </c>
      <c r="UX38" s="2137"/>
      <c r="UY38" s="1966">
        <f>ОТЧЁТ!EX161</f>
        <v>0.70725935239396964</v>
      </c>
      <c r="UZ38" s="739"/>
      <c r="VA38" s="739"/>
      <c r="VB38" s="739"/>
      <c r="VC38" s="739"/>
      <c r="VD38" s="739"/>
      <c r="VE38" s="739"/>
      <c r="VF38" s="739"/>
      <c r="VG38" s="739"/>
      <c r="VH38" s="739"/>
      <c r="VI38" s="739"/>
      <c r="VJ38" s="739"/>
      <c r="VK38" s="739"/>
      <c r="VL38" s="739"/>
      <c r="VM38" s="739"/>
      <c r="VS38" s="2281">
        <v>2020</v>
      </c>
      <c r="VT38" s="2136"/>
      <c r="VU38" s="1794"/>
      <c r="VV38" s="739"/>
      <c r="VW38" s="739"/>
      <c r="VX38" s="739"/>
      <c r="VY38" s="739"/>
      <c r="VZ38" s="739"/>
      <c r="WA38" s="739"/>
      <c r="WB38" s="739"/>
      <c r="WC38" s="739"/>
      <c r="WD38" s="739"/>
      <c r="WE38" s="739"/>
      <c r="WF38" s="739"/>
      <c r="WG38" s="739"/>
      <c r="WH38" s="739"/>
      <c r="WI38" s="739"/>
      <c r="WM38" s="2029"/>
      <c r="WO38" s="2281">
        <v>2020</v>
      </c>
      <c r="WP38" s="2485"/>
      <c r="WQ38" s="1786">
        <f t="shared" si="11"/>
        <v>7848.5648439029355</v>
      </c>
      <c r="WR38" s="2131">
        <v>5817.1195025668831</v>
      </c>
      <c r="WS38" s="739"/>
      <c r="WT38" s="739"/>
      <c r="WU38" s="739"/>
      <c r="WV38" s="739"/>
      <c r="WW38" s="739"/>
      <c r="WX38" s="739"/>
      <c r="WY38" s="739"/>
      <c r="WZ38" s="739"/>
      <c r="XA38" s="739"/>
      <c r="XB38" s="739"/>
      <c r="XC38" s="739"/>
      <c r="XD38" s="739"/>
      <c r="XE38" s="739"/>
      <c r="XF38" s="739"/>
      <c r="XK38" s="2492">
        <v>2020</v>
      </c>
      <c r="XL38" s="2136"/>
      <c r="XM38" s="2416">
        <f t="shared" ref="XM38:XM53" si="19">1-(WQ38-WR38)/WQ38</f>
        <v>0.74116983400931491</v>
      </c>
      <c r="XN38" s="739"/>
      <c r="XO38" s="739"/>
      <c r="XP38" s="739"/>
      <c r="XQ38" s="739"/>
      <c r="XR38" s="739"/>
      <c r="XS38" s="739"/>
      <c r="XT38" s="739"/>
      <c r="XU38" s="739"/>
      <c r="XV38" s="739"/>
      <c r="XW38" s="739"/>
      <c r="XX38" s="739"/>
      <c r="XY38" s="739"/>
      <c r="XZ38" s="739"/>
      <c r="YA38" s="739"/>
      <c r="YE38" s="2029"/>
      <c r="YG38" s="2281">
        <v>2020</v>
      </c>
      <c r="YH38" s="2137"/>
      <c r="YI38" s="1794"/>
      <c r="YJ38" s="739"/>
      <c r="YK38" s="739"/>
      <c r="YL38" s="739"/>
      <c r="YM38" s="739"/>
      <c r="YN38" s="739"/>
      <c r="YO38" s="739"/>
      <c r="YP38" s="739"/>
      <c r="YQ38" s="739"/>
      <c r="YR38" s="739"/>
      <c r="YS38" s="739"/>
      <c r="YT38" s="739"/>
      <c r="YU38" s="739"/>
      <c r="ZE38" s="2587" t="s">
        <v>2179</v>
      </c>
      <c r="ZF38" s="765"/>
      <c r="ZG38" s="765"/>
      <c r="ZH38" s="765"/>
      <c r="ZI38" s="765"/>
      <c r="ZJ38" s="765"/>
      <c r="ZK38" s="765"/>
      <c r="ZL38" s="765"/>
      <c r="ZM38" s="765"/>
      <c r="ZN38" s="765"/>
      <c r="ZO38" s="765"/>
      <c r="ZP38" s="777"/>
    </row>
    <row r="39" spans="6:692" ht="21">
      <c r="G39" s="2281">
        <v>2021</v>
      </c>
      <c r="H39" s="2595"/>
      <c r="I39" s="2594">
        <f ca="1">AG39/AG38</f>
        <v>1.0433348423097437</v>
      </c>
      <c r="J39" s="2490">
        <v>1.0289999999999999</v>
      </c>
      <c r="K39" s="739"/>
      <c r="L39" s="739"/>
      <c r="M39" s="739"/>
      <c r="N39" s="739"/>
      <c r="O39" s="739"/>
      <c r="P39" s="739"/>
      <c r="Q39" s="739"/>
      <c r="R39" s="739"/>
      <c r="S39" s="739"/>
      <c r="T39" s="739"/>
      <c r="U39" s="739"/>
      <c r="V39" s="739"/>
      <c r="W39" s="739"/>
      <c r="X39" s="739"/>
      <c r="AD39" s="2281">
        <v>2021</v>
      </c>
      <c r="AE39" s="2137"/>
      <c r="AF39" s="765"/>
      <c r="AG39" s="1966">
        <f ca="1"/>
        <v>2.1780916658454892</v>
      </c>
      <c r="AH39" s="739"/>
      <c r="AI39" s="739"/>
      <c r="AJ39" s="739"/>
      <c r="AK39" s="739"/>
      <c r="AL39" s="739"/>
      <c r="AM39" s="739"/>
      <c r="AN39" s="739"/>
      <c r="AO39" s="739"/>
      <c r="AP39" s="739"/>
      <c r="AQ39" s="739"/>
      <c r="AR39" s="739"/>
      <c r="AS39" s="739"/>
      <c r="AT39" s="739"/>
      <c r="AU39" s="739"/>
      <c r="BA39" s="2281">
        <v>2021</v>
      </c>
      <c r="BB39" s="2595"/>
      <c r="BC39" s="1255">
        <v>32.50839100920102</v>
      </c>
      <c r="BD39" s="739"/>
      <c r="BE39" s="739"/>
      <c r="BF39" s="739"/>
      <c r="BG39" s="739"/>
      <c r="BH39" s="739"/>
      <c r="BI39" s="739"/>
      <c r="BJ39" s="739"/>
      <c r="BK39" s="739"/>
      <c r="BL39" s="739"/>
      <c r="BM39" s="739"/>
      <c r="BN39" s="739"/>
      <c r="BO39" s="739"/>
      <c r="BP39" s="739"/>
      <c r="BQ39" s="739"/>
      <c r="BW39" s="2281">
        <v>2021</v>
      </c>
      <c r="BX39" s="2137"/>
      <c r="BY39" s="765"/>
      <c r="BZ39" s="1966">
        <v>2.6414739815577537</v>
      </c>
      <c r="CA39" s="739"/>
      <c r="CB39" s="739"/>
      <c r="CC39" s="739"/>
      <c r="CD39" s="739"/>
      <c r="CE39" s="739"/>
      <c r="CF39" s="739"/>
      <c r="CG39" s="739"/>
      <c r="CH39" s="739"/>
      <c r="CI39" s="739"/>
      <c r="CJ39" s="739"/>
      <c r="CK39" s="739"/>
      <c r="CL39" s="739"/>
      <c r="CM39" s="739"/>
      <c r="CN39" s="739"/>
      <c r="CT39" s="2281">
        <v>2021</v>
      </c>
      <c r="CU39" s="2136"/>
      <c r="CV39" s="1794"/>
      <c r="CW39" s="739"/>
      <c r="CX39" s="739"/>
      <c r="CY39" s="739"/>
      <c r="CZ39" s="739"/>
      <c r="DA39" s="739"/>
      <c r="DB39" s="739"/>
      <c r="DC39" s="739"/>
      <c r="DD39" s="739"/>
      <c r="DE39" s="739"/>
      <c r="DF39" s="739"/>
      <c r="DG39" s="739"/>
      <c r="DH39" s="739"/>
      <c r="DI39" s="739"/>
      <c r="DJ39" s="739"/>
      <c r="DO39" s="2281">
        <v>2021</v>
      </c>
      <c r="DP39" s="2137"/>
      <c r="DQ39" s="765"/>
      <c r="DR39" s="1794"/>
      <c r="DS39" s="739"/>
      <c r="DT39" s="739"/>
      <c r="DU39" s="739"/>
      <c r="DV39" s="739"/>
      <c r="DW39" s="739"/>
      <c r="DX39" s="739"/>
      <c r="DY39" s="739"/>
      <c r="DZ39" s="739"/>
      <c r="EA39" s="739"/>
      <c r="EB39" s="739"/>
      <c r="EC39" s="739"/>
      <c r="ED39" s="739"/>
      <c r="EE39" s="2748"/>
      <c r="EG39" s="2281">
        <v>2021</v>
      </c>
      <c r="EH39" s="2416"/>
      <c r="EI39" s="2416">
        <f ca="1">FE39/FE38</f>
        <v>1.0664608471760553</v>
      </c>
      <c r="EJ39" s="739"/>
      <c r="EK39" s="739"/>
      <c r="EL39" s="739"/>
      <c r="EM39" s="739"/>
      <c r="EN39" s="739"/>
      <c r="EO39" s="739"/>
      <c r="EP39" s="739"/>
      <c r="EQ39" s="739"/>
      <c r="ER39" s="739"/>
      <c r="ES39" s="739"/>
      <c r="ET39" s="739"/>
      <c r="EU39" s="739"/>
      <c r="EV39" s="739"/>
      <c r="EW39" s="739"/>
      <c r="FC39" s="2281">
        <v>2021</v>
      </c>
      <c r="FD39" s="2137"/>
      <c r="FE39" s="1966">
        <f ca="1">СЧЁТ!CG32</f>
        <v>2.6098332246737077</v>
      </c>
      <c r="FF39" s="739"/>
      <c r="FG39" s="739"/>
      <c r="FH39" s="739"/>
      <c r="FI39" s="739"/>
      <c r="FJ39" s="739"/>
      <c r="FK39" s="739"/>
      <c r="FL39" s="739"/>
      <c r="FM39" s="739"/>
      <c r="FN39" s="739"/>
      <c r="FO39" s="739"/>
      <c r="FP39" s="739"/>
      <c r="FQ39" s="739"/>
      <c r="FR39" s="739"/>
      <c r="FS39" s="739"/>
      <c r="FY39" s="2281">
        <v>2021</v>
      </c>
      <c r="FZ39" s="2136"/>
      <c r="GA39" s="2416">
        <f t="shared" ca="1" si="14"/>
        <v>1.0500131130926704</v>
      </c>
      <c r="GB39" s="739"/>
      <c r="GC39" s="739"/>
      <c r="GD39" s="739"/>
      <c r="GE39" s="739"/>
      <c r="GF39" s="739"/>
      <c r="GG39" s="739"/>
      <c r="GH39" s="739"/>
      <c r="GI39" s="739"/>
      <c r="GJ39" s="739"/>
      <c r="GK39" s="739"/>
      <c r="GL39" s="739"/>
      <c r="GM39" s="739"/>
      <c r="GN39" s="739"/>
      <c r="GO39" s="739"/>
      <c r="GT39" s="2029"/>
      <c r="GU39" s="2281">
        <v>2021</v>
      </c>
      <c r="GV39" s="2137"/>
      <c r="GW39" s="2509">
        <f t="shared" si="1"/>
        <v>2.358458852295477</v>
      </c>
      <c r="GX39" s="1255">
        <f ca="1">СЧЁТ!CN32</f>
        <v>4.0726307350523765</v>
      </c>
      <c r="GY39" s="739"/>
      <c r="GZ39" s="739"/>
      <c r="HA39" s="739"/>
      <c r="HB39" s="739"/>
      <c r="HC39" s="739"/>
      <c r="HD39" s="739"/>
      <c r="HE39" s="739"/>
      <c r="HF39" s="739"/>
      <c r="HG39" s="739"/>
      <c r="HH39" s="739"/>
      <c r="HI39" s="739"/>
      <c r="HJ39" s="739"/>
      <c r="HK39" s="739"/>
      <c r="HR39" s="2281">
        <v>2021</v>
      </c>
      <c r="HS39" s="2121">
        <v>0.23584588522954772</v>
      </c>
      <c r="HT39" s="1794"/>
      <c r="HU39" s="739"/>
      <c r="HV39" s="739"/>
      <c r="HW39" s="739"/>
      <c r="HX39" s="739"/>
      <c r="HY39" s="739"/>
      <c r="HZ39" s="739"/>
      <c r="IA39" s="739"/>
      <c r="IB39" s="739"/>
      <c r="IC39" s="739"/>
      <c r="ID39" s="739"/>
      <c r="IE39" s="739"/>
      <c r="IF39" s="739"/>
      <c r="IG39" s="739"/>
      <c r="IH39" s="739"/>
      <c r="IL39" s="2029"/>
      <c r="IN39" s="2281">
        <v>2021</v>
      </c>
      <c r="IO39" s="2137"/>
      <c r="IP39" s="765"/>
      <c r="IQ39" s="1794"/>
      <c r="IR39" s="739"/>
      <c r="IS39" s="739"/>
      <c r="IT39" s="739"/>
      <c r="IU39" s="739"/>
      <c r="IV39" s="739"/>
      <c r="IW39" s="739"/>
      <c r="IX39" s="739"/>
      <c r="IY39" s="739"/>
      <c r="IZ39" s="739"/>
      <c r="JA39" s="739"/>
      <c r="JJ39" s="2748"/>
      <c r="JL39" s="2281">
        <v>2021</v>
      </c>
      <c r="JM39" s="2136"/>
      <c r="JN39" s="1966">
        <f t="shared" ca="1" si="16"/>
        <v>1.059389475430236</v>
      </c>
      <c r="JO39" s="739"/>
      <c r="JP39" s="739"/>
      <c r="JQ39" s="739"/>
      <c r="JR39" s="739"/>
      <c r="JS39" s="739"/>
      <c r="JT39" s="739"/>
      <c r="JU39" s="739"/>
      <c r="JV39" s="739"/>
      <c r="JW39" s="739"/>
      <c r="JX39" s="739"/>
      <c r="JY39" s="739"/>
      <c r="JZ39" s="739"/>
      <c r="KA39" s="739"/>
      <c r="KB39" s="739"/>
      <c r="KF39" s="2029"/>
      <c r="KH39" s="2281">
        <v>2021</v>
      </c>
      <c r="KI39" s="2137"/>
      <c r="KJ39" s="765"/>
      <c r="KK39" s="1966">
        <f ca="1">СЧЁТ!CJ32</f>
        <v>2.9876106811441123</v>
      </c>
      <c r="KL39" s="739"/>
      <c r="KM39" s="739"/>
      <c r="KN39" s="739"/>
      <c r="KO39" s="739"/>
      <c r="KP39" s="739"/>
      <c r="KQ39" s="739"/>
      <c r="KR39" s="739"/>
      <c r="KS39" s="739"/>
      <c r="KT39" s="739"/>
      <c r="KU39" s="739"/>
      <c r="KV39" s="739"/>
      <c r="KW39" s="739"/>
      <c r="KX39" s="739"/>
      <c r="KY39" s="739"/>
      <c r="LE39" s="2281">
        <v>2021</v>
      </c>
      <c r="LF39" s="2136"/>
      <c r="LG39" s="1382">
        <f ca="1"/>
        <v>73.708730923434331</v>
      </c>
      <c r="LH39" s="2136"/>
      <c r="LI39" s="1035">
        <f ca="1"/>
        <v>3.0929087858897049</v>
      </c>
      <c r="LJ39" s="739"/>
      <c r="LK39" s="739"/>
      <c r="LL39" s="739"/>
      <c r="LM39" s="739"/>
      <c r="LN39" s="739"/>
      <c r="LO39" s="739"/>
      <c r="LP39" s="739"/>
      <c r="LQ39" s="739"/>
      <c r="LR39" s="739"/>
      <c r="LS39" s="739"/>
      <c r="LT39" s="739"/>
      <c r="LU39" s="739"/>
      <c r="LV39" s="739"/>
      <c r="MB39" s="2281">
        <v>2021</v>
      </c>
      <c r="MC39" s="2485"/>
      <c r="MD39" s="2131">
        <f ca="1">СЧЁТ!CE32</f>
        <v>6387.5488161797339</v>
      </c>
      <c r="ME39" s="739"/>
      <c r="MF39" s="739"/>
      <c r="MG39" s="739"/>
      <c r="MH39" s="739"/>
      <c r="MI39" s="739"/>
      <c r="MJ39" s="739"/>
      <c r="MK39" s="739"/>
      <c r="ML39" s="739"/>
      <c r="MM39" s="739"/>
      <c r="MN39" s="739"/>
      <c r="MO39" s="739"/>
      <c r="MP39" s="739"/>
      <c r="MQ39" s="739"/>
      <c r="MY39" s="2281">
        <v>2021</v>
      </c>
      <c r="MZ39" s="2136"/>
      <c r="NA39" s="1597">
        <f>СЧЁТ!CB32</f>
        <v>80.091381773154495</v>
      </c>
      <c r="NB39" s="739"/>
      <c r="NC39" s="739"/>
      <c r="ND39" s="739"/>
      <c r="NE39" s="739"/>
      <c r="NF39" s="739"/>
      <c r="NG39" s="739"/>
      <c r="NH39" s="739"/>
      <c r="NI39" s="739"/>
      <c r="NJ39" s="739"/>
      <c r="NK39" s="739"/>
      <c r="NL39" s="739"/>
      <c r="NM39" s="739"/>
      <c r="NN39" s="739"/>
      <c r="NO39" s="739"/>
      <c r="NV39" s="2281">
        <v>2021</v>
      </c>
      <c r="NW39" s="2137"/>
      <c r="NX39" s="765"/>
      <c r="NY39" s="765"/>
      <c r="NZ39" s="1794"/>
      <c r="OA39" s="739"/>
      <c r="OB39" s="739"/>
      <c r="OC39" s="739"/>
      <c r="OD39" s="739"/>
      <c r="OE39" s="739"/>
      <c r="OF39" s="739"/>
      <c r="OG39" s="739"/>
      <c r="OH39" s="739"/>
      <c r="OI39" s="739"/>
      <c r="OJ39" s="739"/>
      <c r="OK39" s="739"/>
      <c r="OS39" s="2748"/>
      <c r="OU39" s="2281">
        <v>2021</v>
      </c>
      <c r="OV39" s="2136"/>
      <c r="OW39" s="2594">
        <f t="shared" ca="1" si="15"/>
        <v>1.0741191791947833</v>
      </c>
      <c r="OX39" s="739"/>
      <c r="OY39" s="739"/>
      <c r="OZ39" s="739"/>
      <c r="PA39" s="739"/>
      <c r="PB39" s="739"/>
      <c r="PC39" s="739"/>
      <c r="PD39" s="739"/>
      <c r="PE39" s="739"/>
      <c r="PF39" s="739"/>
      <c r="PG39" s="739"/>
      <c r="PH39" s="739"/>
      <c r="PI39" s="739"/>
      <c r="PJ39" s="739"/>
      <c r="PK39" s="739"/>
      <c r="PO39" s="2029"/>
      <c r="PQ39" s="2281">
        <v>2021</v>
      </c>
      <c r="PR39" s="2137"/>
      <c r="PS39" s="1966">
        <f ca="1">СЧЁТ!CI32</f>
        <v>1.442031647242126</v>
      </c>
      <c r="PT39" s="739"/>
      <c r="PU39" s="739"/>
      <c r="PV39" s="739"/>
      <c r="PW39" s="739"/>
      <c r="PX39" s="739"/>
      <c r="PY39" s="739"/>
      <c r="PZ39" s="739"/>
      <c r="QA39" s="739"/>
      <c r="QB39" s="739"/>
      <c r="QC39" s="739"/>
      <c r="QD39" s="739"/>
      <c r="QE39" s="739"/>
      <c r="QF39" s="739"/>
      <c r="QG39" s="739"/>
      <c r="QM39" s="2281">
        <v>2021</v>
      </c>
      <c r="QN39" s="2136"/>
      <c r="QO39" s="1794"/>
      <c r="QP39" s="739"/>
      <c r="QQ39" s="739"/>
      <c r="QR39" s="739"/>
      <c r="QS39" s="739"/>
      <c r="QT39" s="739"/>
      <c r="QU39" s="739"/>
      <c r="QV39" s="739"/>
      <c r="QW39" s="739"/>
      <c r="QX39" s="739"/>
      <c r="QY39" s="739"/>
      <c r="QZ39" s="739"/>
      <c r="RA39" s="739"/>
      <c r="RB39" s="739"/>
      <c r="RC39" s="739"/>
      <c r="RG39" s="2029"/>
      <c r="RI39" s="943">
        <v>27</v>
      </c>
      <c r="RJ39" s="2281">
        <v>2021</v>
      </c>
      <c r="RK39" s="2137"/>
      <c r="RL39" s="1786"/>
      <c r="RM39" s="2489">
        <f>НАСТРОЙКА!IB31</f>
        <v>10100.449024754149</v>
      </c>
      <c r="RN39" s="739"/>
      <c r="RO39" s="739"/>
      <c r="RP39" s="739"/>
      <c r="RQ39" s="739"/>
      <c r="RR39" s="739"/>
      <c r="RS39" s="739"/>
      <c r="RT39" s="739"/>
      <c r="RU39" s="739"/>
      <c r="RV39" s="739"/>
      <c r="RW39" s="739"/>
      <c r="RX39" s="739"/>
      <c r="RY39" s="739"/>
      <c r="RZ39" s="739"/>
      <c r="SA39" s="739"/>
      <c r="SG39" s="2281">
        <v>2021</v>
      </c>
      <c r="SH39" s="2136"/>
      <c r="SI39" s="1966">
        <f t="shared" ca="1" si="17"/>
        <v>0.63240246057627236</v>
      </c>
      <c r="SJ39" s="739"/>
      <c r="SK39" s="739"/>
      <c r="SL39" s="739"/>
      <c r="SM39" s="739"/>
      <c r="SN39" s="739"/>
      <c r="SO39" s="739"/>
      <c r="SP39" s="739"/>
      <c r="SQ39" s="739"/>
      <c r="SR39" s="739"/>
      <c r="SS39" s="739"/>
      <c r="ST39" s="739"/>
      <c r="SU39" s="739"/>
      <c r="SV39" s="739"/>
      <c r="SW39" s="739"/>
      <c r="TC39" s="2281">
        <v>2021</v>
      </c>
      <c r="TD39" s="2137"/>
      <c r="TE39" s="1794"/>
      <c r="TF39" s="739"/>
      <c r="TG39" s="739"/>
      <c r="TH39" s="739"/>
      <c r="TI39" s="739"/>
      <c r="TJ39" s="739"/>
      <c r="TK39" s="739"/>
      <c r="TL39" s="739"/>
      <c r="TM39" s="739"/>
      <c r="TN39" s="739"/>
      <c r="TO39" s="739"/>
      <c r="TP39" s="739"/>
      <c r="TQ39" s="739"/>
      <c r="TX39" s="2748"/>
      <c r="TZ39" s="2281">
        <v>2021</v>
      </c>
      <c r="UA39" s="2136"/>
      <c r="UB39" s="555"/>
      <c r="UC39" s="1966">
        <f t="shared" si="18"/>
        <v>1.0341928015154704</v>
      </c>
      <c r="UD39" s="739"/>
      <c r="UE39" s="739"/>
      <c r="UF39" s="739"/>
      <c r="UG39" s="739"/>
      <c r="UH39" s="739"/>
      <c r="UI39" s="739"/>
      <c r="UJ39" s="739"/>
      <c r="UK39" s="739"/>
      <c r="UL39" s="739"/>
      <c r="UM39" s="739"/>
      <c r="UN39" s="739"/>
      <c r="UO39" s="739"/>
      <c r="UP39" s="739"/>
      <c r="UQ39" s="739"/>
      <c r="UU39" s="2029"/>
      <c r="UW39" s="2281">
        <v>2021</v>
      </c>
      <c r="UX39" s="2137"/>
      <c r="UY39" s="1966">
        <f>ОТЧЁТ!EX162</f>
        <v>0.73144253105033674</v>
      </c>
      <c r="UZ39" s="739"/>
      <c r="VA39" s="739"/>
      <c r="VB39" s="739"/>
      <c r="VC39" s="739"/>
      <c r="VD39" s="739"/>
      <c r="VE39" s="739"/>
      <c r="VF39" s="739"/>
      <c r="VG39" s="739"/>
      <c r="VH39" s="739"/>
      <c r="VI39" s="739"/>
      <c r="VJ39" s="739"/>
      <c r="VK39" s="739"/>
      <c r="VL39" s="739"/>
      <c r="VM39" s="739"/>
      <c r="VS39" s="2281">
        <v>2021</v>
      </c>
      <c r="VT39" s="2136"/>
      <c r="VU39" s="1794"/>
      <c r="VV39" s="739"/>
      <c r="VW39" s="739"/>
      <c r="VX39" s="739"/>
      <c r="VY39" s="739"/>
      <c r="VZ39" s="739"/>
      <c r="WA39" s="739"/>
      <c r="WB39" s="739"/>
      <c r="WC39" s="739"/>
      <c r="WD39" s="739"/>
      <c r="WE39" s="739"/>
      <c r="WF39" s="739"/>
      <c r="WG39" s="739"/>
      <c r="WH39" s="739"/>
      <c r="WI39" s="739"/>
      <c r="WM39" s="2029"/>
      <c r="WO39" s="2281">
        <v>2021</v>
      </c>
      <c r="WP39" s="2485"/>
      <c r="WQ39" s="1786">
        <f t="shared" si="11"/>
        <v>8171.2632610261071</v>
      </c>
      <c r="WR39" s="2131">
        <v>5819.6048892330591</v>
      </c>
      <c r="WS39" s="739"/>
      <c r="WT39" s="739"/>
      <c r="WU39" s="739"/>
      <c r="WV39" s="739"/>
      <c r="WW39" s="739"/>
      <c r="WX39" s="739"/>
      <c r="WY39" s="739"/>
      <c r="WZ39" s="739"/>
      <c r="XA39" s="739"/>
      <c r="XB39" s="739"/>
      <c r="XC39" s="739"/>
      <c r="XD39" s="739"/>
      <c r="XE39" s="739"/>
      <c r="XF39" s="739"/>
      <c r="XK39" s="2492">
        <v>2021</v>
      </c>
      <c r="XL39" s="2136"/>
      <c r="XM39" s="2416">
        <f t="shared" si="19"/>
        <v>0.71220381761415208</v>
      </c>
      <c r="XN39" s="739"/>
      <c r="XO39" s="739"/>
      <c r="XP39" s="739"/>
      <c r="XQ39" s="739"/>
      <c r="XR39" s="739"/>
      <c r="XS39" s="739"/>
      <c r="XT39" s="739"/>
      <c r="XU39" s="739"/>
      <c r="XV39" s="739"/>
      <c r="XW39" s="739"/>
      <c r="XX39" s="739"/>
      <c r="XY39" s="739"/>
      <c r="XZ39" s="739"/>
      <c r="YA39" s="739"/>
      <c r="YE39" s="2029"/>
      <c r="YG39" s="2281">
        <v>2021</v>
      </c>
      <c r="YH39" s="2137"/>
      <c r="YI39" s="1794"/>
      <c r="YJ39" s="739"/>
      <c r="YK39" s="739"/>
      <c r="YL39" s="739"/>
      <c r="YM39" s="739"/>
      <c r="YN39" s="739"/>
      <c r="YO39" s="739"/>
      <c r="YP39" s="739"/>
      <c r="YQ39" s="739"/>
      <c r="YR39" s="739"/>
      <c r="YS39" s="739"/>
      <c r="YT39" s="739"/>
      <c r="YU39" s="739"/>
      <c r="ZE39" s="2587" t="s">
        <v>2180</v>
      </c>
      <c r="ZF39" s="765"/>
      <c r="ZG39" s="765"/>
      <c r="ZH39" s="765"/>
      <c r="ZI39" s="765"/>
      <c r="ZJ39" s="765"/>
      <c r="ZK39" s="765"/>
      <c r="ZL39" s="765"/>
      <c r="ZM39" s="765"/>
      <c r="ZN39" s="765"/>
      <c r="ZO39" s="765"/>
      <c r="ZP39" s="777"/>
    </row>
    <row r="40" spans="6:692" ht="21">
      <c r="G40" s="2281">
        <v>2022</v>
      </c>
      <c r="H40" s="2595"/>
      <c r="I40" s="2594">
        <f ca="1">AG40/AG39</f>
        <v>1.0330148113118567</v>
      </c>
      <c r="J40" s="2490">
        <v>1.032</v>
      </c>
      <c r="K40" s="739"/>
      <c r="L40" s="739"/>
      <c r="M40" s="739"/>
      <c r="N40" s="739"/>
      <c r="O40" s="739"/>
      <c r="P40" s="739"/>
      <c r="Q40" s="739"/>
      <c r="R40" s="739"/>
      <c r="S40" s="739"/>
      <c r="T40" s="739"/>
      <c r="U40" s="739"/>
      <c r="V40" s="739"/>
      <c r="W40" s="739"/>
      <c r="X40" s="739"/>
      <c r="AD40" s="2281">
        <v>2022</v>
      </c>
      <c r="AE40" s="2137"/>
      <c r="AF40" s="765"/>
      <c r="AG40" s="1966">
        <f ca="1"/>
        <v>2.2500009512133055</v>
      </c>
      <c r="AH40" s="739"/>
      <c r="AI40" s="739"/>
      <c r="AJ40" s="739"/>
      <c r="AK40" s="739"/>
      <c r="AL40" s="739"/>
      <c r="AM40" s="739"/>
      <c r="AN40" s="739"/>
      <c r="AO40" s="739"/>
      <c r="AP40" s="739"/>
      <c r="AQ40" s="739"/>
      <c r="AR40" s="739"/>
      <c r="AS40" s="739"/>
      <c r="AT40" s="739"/>
      <c r="AU40" s="739"/>
      <c r="BA40" s="2281">
        <v>2022</v>
      </c>
      <c r="BB40" s="2595"/>
      <c r="BC40" s="1255">
        <v>34.908397682763393</v>
      </c>
      <c r="BD40" s="739"/>
      <c r="BE40" s="739"/>
      <c r="BF40" s="739"/>
      <c r="BG40" s="739"/>
      <c r="BH40" s="739"/>
      <c r="BI40" s="739"/>
      <c r="BJ40" s="739"/>
      <c r="BK40" s="739"/>
      <c r="BL40" s="739"/>
      <c r="BM40" s="739"/>
      <c r="BN40" s="739"/>
      <c r="BO40" s="739"/>
      <c r="BP40" s="739"/>
      <c r="BQ40" s="739"/>
      <c r="BW40" s="2281">
        <v>2022</v>
      </c>
      <c r="BX40" s="2137"/>
      <c r="BY40" s="765"/>
      <c r="BZ40" s="1966">
        <v>2.6523223923400332</v>
      </c>
      <c r="CA40" s="739"/>
      <c r="CB40" s="739"/>
      <c r="CC40" s="739"/>
      <c r="CD40" s="739"/>
      <c r="CE40" s="739"/>
      <c r="CF40" s="739"/>
      <c r="CG40" s="739"/>
      <c r="CH40" s="739"/>
      <c r="CI40" s="739"/>
      <c r="CJ40" s="739"/>
      <c r="CK40" s="739"/>
      <c r="CL40" s="739"/>
      <c r="CM40" s="739"/>
      <c r="CN40" s="739"/>
      <c r="CT40" s="2281">
        <v>2022</v>
      </c>
      <c r="CU40" s="2136"/>
      <c r="CV40" s="1794"/>
      <c r="CW40" s="739"/>
      <c r="CX40" s="739"/>
      <c r="CY40" s="739"/>
      <c r="CZ40" s="739"/>
      <c r="DA40" s="739"/>
      <c r="DB40" s="739"/>
      <c r="DC40" s="739"/>
      <c r="DD40" s="739"/>
      <c r="DE40" s="739"/>
      <c r="DF40" s="739"/>
      <c r="DG40" s="739"/>
      <c r="DH40" s="739"/>
      <c r="DI40" s="739"/>
      <c r="DJ40" s="739"/>
      <c r="DO40" s="2281">
        <v>2022</v>
      </c>
      <c r="DP40" s="2137"/>
      <c r="DQ40" s="765"/>
      <c r="DR40" s="1794"/>
      <c r="DS40" s="739"/>
      <c r="DT40" s="739"/>
      <c r="DU40" s="739"/>
      <c r="DV40" s="739"/>
      <c r="DW40" s="739"/>
      <c r="DX40" s="739"/>
      <c r="DY40" s="739"/>
      <c r="DZ40" s="739"/>
      <c r="EA40" s="739"/>
      <c r="EB40" s="739"/>
      <c r="EC40" s="739"/>
      <c r="ED40" s="739"/>
      <c r="EE40" s="2748"/>
      <c r="EG40" s="2281">
        <v>2022</v>
      </c>
      <c r="EH40" s="2416"/>
      <c r="EI40" s="2416">
        <f ca="1">FE40/FE39</f>
        <v>1.0503745970456615</v>
      </c>
      <c r="EJ40" s="739"/>
      <c r="EK40" s="739"/>
      <c r="EL40" s="739"/>
      <c r="EM40" s="739"/>
      <c r="EN40" s="739"/>
      <c r="EO40" s="739"/>
      <c r="EP40" s="739"/>
      <c r="EQ40" s="739"/>
      <c r="ER40" s="739"/>
      <c r="ES40" s="739"/>
      <c r="ET40" s="739"/>
      <c r="EU40" s="739"/>
      <c r="EV40" s="739"/>
      <c r="EW40" s="739"/>
      <c r="FC40" s="2281">
        <v>2022</v>
      </c>
      <c r="FD40" s="2137"/>
      <c r="FE40" s="1966">
        <f ca="1">СЧЁТ!CG33</f>
        <v>2.7413025217230254</v>
      </c>
      <c r="FF40" s="739"/>
      <c r="FG40" s="739"/>
      <c r="FH40" s="739"/>
      <c r="FI40" s="739"/>
      <c r="FJ40" s="739"/>
      <c r="FK40" s="739"/>
      <c r="FL40" s="739"/>
      <c r="FM40" s="739"/>
      <c r="FN40" s="739"/>
      <c r="FO40" s="739"/>
      <c r="FP40" s="739"/>
      <c r="FQ40" s="739"/>
      <c r="FR40" s="739"/>
      <c r="FS40" s="739"/>
      <c r="FY40" s="2281">
        <v>2022</v>
      </c>
      <c r="FZ40" s="2136"/>
      <c r="GA40" s="2416">
        <f t="shared" ca="1" si="14"/>
        <v>1.0396130672039186</v>
      </c>
      <c r="GB40" s="739"/>
      <c r="GC40" s="739"/>
      <c r="GD40" s="739"/>
      <c r="GE40" s="739"/>
      <c r="GF40" s="739"/>
      <c r="GG40" s="739"/>
      <c r="GH40" s="739"/>
      <c r="GI40" s="739"/>
      <c r="GJ40" s="739"/>
      <c r="GK40" s="739"/>
      <c r="GL40" s="739"/>
      <c r="GM40" s="739"/>
      <c r="GN40" s="739"/>
      <c r="GO40" s="739"/>
      <c r="GT40" s="2029"/>
      <c r="GU40" s="2281">
        <v>2022</v>
      </c>
      <c r="GV40" s="2137"/>
      <c r="GW40" s="2509">
        <f t="shared" si="1"/>
        <v>2.3684588522954773</v>
      </c>
      <c r="GX40" s="1255">
        <f ca="1">СЧЁТ!CN33</f>
        <v>4.2339601300567509</v>
      </c>
      <c r="GY40" s="739"/>
      <c r="GZ40" s="739"/>
      <c r="HA40" s="739"/>
      <c r="HB40" s="739"/>
      <c r="HC40" s="739"/>
      <c r="HD40" s="739"/>
      <c r="HE40" s="739"/>
      <c r="HF40" s="739"/>
      <c r="HG40" s="739"/>
      <c r="HH40" s="739"/>
      <c r="HI40" s="739"/>
      <c r="HJ40" s="739"/>
      <c r="HK40" s="739"/>
      <c r="HR40" s="2281">
        <v>2022</v>
      </c>
      <c r="HS40" s="2121">
        <v>0.23684588522954772</v>
      </c>
      <c r="HT40" s="1794"/>
      <c r="HU40" s="739"/>
      <c r="HV40" s="739"/>
      <c r="HW40" s="739"/>
      <c r="HX40" s="739"/>
      <c r="HY40" s="739"/>
      <c r="HZ40" s="739"/>
      <c r="IA40" s="739"/>
      <c r="IB40" s="739"/>
      <c r="IC40" s="739"/>
      <c r="ID40" s="739"/>
      <c r="IE40" s="739"/>
      <c r="IF40" s="739"/>
      <c r="IG40" s="739"/>
      <c r="IH40" s="739"/>
      <c r="IL40" s="2029"/>
      <c r="IN40" s="2281">
        <v>2022</v>
      </c>
      <c r="IO40" s="2137"/>
      <c r="IP40" s="765"/>
      <c r="IQ40" s="1794"/>
      <c r="IR40" s="739"/>
      <c r="IS40" s="739"/>
      <c r="IT40" s="739"/>
      <c r="IU40" s="739"/>
      <c r="IV40" s="739"/>
      <c r="IW40" s="739"/>
      <c r="IX40" s="739"/>
      <c r="IY40" s="739"/>
      <c r="IZ40" s="739"/>
      <c r="JA40" s="739"/>
      <c r="JJ40" s="2748"/>
      <c r="JL40" s="2281">
        <v>2022</v>
      </c>
      <c r="JM40" s="2136"/>
      <c r="JN40" s="1966">
        <f t="shared" ca="1" si="16"/>
        <v>1.0482744288587429</v>
      </c>
      <c r="JO40" s="739"/>
      <c r="JP40" s="739"/>
      <c r="JQ40" s="739"/>
      <c r="JR40" s="739"/>
      <c r="JS40" s="739"/>
      <c r="JT40" s="739"/>
      <c r="JU40" s="739"/>
      <c r="JV40" s="739"/>
      <c r="JW40" s="739"/>
      <c r="JX40" s="739"/>
      <c r="JY40" s="739"/>
      <c r="JZ40" s="739"/>
      <c r="KA40" s="739"/>
      <c r="KB40" s="739"/>
      <c r="KF40" s="2029"/>
      <c r="KH40" s="2281">
        <v>2022</v>
      </c>
      <c r="KI40" s="2137"/>
      <c r="KJ40" s="765"/>
      <c r="KK40" s="1966">
        <f ca="1">СЧЁТ!CJ33</f>
        <v>3.1318358804286244</v>
      </c>
      <c r="KL40" s="739"/>
      <c r="KM40" s="739"/>
      <c r="KN40" s="739"/>
      <c r="KO40" s="739"/>
      <c r="KP40" s="739"/>
      <c r="KQ40" s="739"/>
      <c r="KR40" s="739"/>
      <c r="KS40" s="739"/>
      <c r="KT40" s="739"/>
      <c r="KU40" s="739"/>
      <c r="KV40" s="739"/>
      <c r="KW40" s="739"/>
      <c r="KX40" s="739"/>
      <c r="KY40" s="739"/>
      <c r="LE40" s="2281">
        <v>2022</v>
      </c>
      <c r="LF40" s="2136"/>
      <c r="LG40" s="1382">
        <f ca="1"/>
        <v>74.626291214110296</v>
      </c>
      <c r="LH40" s="2136"/>
      <c r="LI40" s="1035">
        <f ca="1"/>
        <v>2.3211689748205657</v>
      </c>
      <c r="LJ40" s="739"/>
      <c r="LK40" s="739"/>
      <c r="LL40" s="739"/>
      <c r="LM40" s="739"/>
      <c r="LN40" s="739"/>
      <c r="LO40" s="739"/>
      <c r="LP40" s="739"/>
      <c r="LQ40" s="739"/>
      <c r="LR40" s="739"/>
      <c r="LS40" s="739"/>
      <c r="LT40" s="739"/>
      <c r="LU40" s="739"/>
      <c r="LV40" s="739"/>
      <c r="MB40" s="2281">
        <v>2022</v>
      </c>
      <c r="MC40" s="2485"/>
      <c r="MD40" s="2131">
        <f ca="1">СЧЁТ!CE33</f>
        <v>6612.5416630415566</v>
      </c>
      <c r="ME40" s="739"/>
      <c r="MF40" s="739"/>
      <c r="MG40" s="739"/>
      <c r="MH40" s="739"/>
      <c r="MI40" s="739"/>
      <c r="MJ40" s="739"/>
      <c r="MK40" s="739"/>
      <c r="ML40" s="739"/>
      <c r="MM40" s="739"/>
      <c r="MN40" s="739"/>
      <c r="MO40" s="739"/>
      <c r="MP40" s="739"/>
      <c r="MQ40" s="739"/>
      <c r="MY40" s="2281">
        <v>2022</v>
      </c>
      <c r="MZ40" s="2136"/>
      <c r="NA40" s="1597">
        <f>СЧЁТ!CB33</f>
        <v>81.915820010252475</v>
      </c>
      <c r="NB40" s="739"/>
      <c r="NC40" s="739"/>
      <c r="ND40" s="739"/>
      <c r="NE40" s="739"/>
      <c r="NF40" s="739"/>
      <c r="NG40" s="739"/>
      <c r="NH40" s="739"/>
      <c r="NI40" s="739"/>
      <c r="NJ40" s="739"/>
      <c r="NK40" s="739"/>
      <c r="NL40" s="739"/>
      <c r="NM40" s="739"/>
      <c r="NN40" s="739"/>
      <c r="NO40" s="739"/>
      <c r="NV40" s="2281">
        <v>2022</v>
      </c>
      <c r="NW40" s="2137"/>
      <c r="NX40" s="765"/>
      <c r="NY40" s="765"/>
      <c r="NZ40" s="1794"/>
      <c r="OA40" s="739"/>
      <c r="OB40" s="739"/>
      <c r="OC40" s="739"/>
      <c r="OD40" s="739"/>
      <c r="OE40" s="739"/>
      <c r="OF40" s="739"/>
      <c r="OG40" s="739"/>
      <c r="OH40" s="739"/>
      <c r="OI40" s="739"/>
      <c r="OJ40" s="739"/>
      <c r="OK40" s="739"/>
      <c r="OS40" s="2748"/>
      <c r="OU40" s="2281">
        <v>2022</v>
      </c>
      <c r="OV40" s="2136"/>
      <c r="OW40" s="2594">
        <f t="shared" ca="1" si="15"/>
        <v>1.0441404273810087</v>
      </c>
      <c r="OX40" s="739"/>
      <c r="OY40" s="739"/>
      <c r="OZ40" s="739"/>
      <c r="PA40" s="739"/>
      <c r="PB40" s="739"/>
      <c r="PC40" s="739"/>
      <c r="PD40" s="739"/>
      <c r="PE40" s="739"/>
      <c r="PF40" s="739"/>
      <c r="PG40" s="739"/>
      <c r="PH40" s="739"/>
      <c r="PI40" s="739"/>
      <c r="PJ40" s="739"/>
      <c r="PK40" s="739"/>
      <c r="PO40" s="2029"/>
      <c r="PQ40" s="2281">
        <v>2022</v>
      </c>
      <c r="PR40" s="2137"/>
      <c r="PS40" s="1966">
        <f ca="1">СЧЁТ!CI33</f>
        <v>1.5056835404483333</v>
      </c>
      <c r="PT40" s="739"/>
      <c r="PU40" s="739"/>
      <c r="PV40" s="739"/>
      <c r="PW40" s="739"/>
      <c r="PX40" s="739"/>
      <c r="PY40" s="739"/>
      <c r="PZ40" s="739"/>
      <c r="QA40" s="739"/>
      <c r="QB40" s="739"/>
      <c r="QC40" s="739"/>
      <c r="QD40" s="739"/>
      <c r="QE40" s="739"/>
      <c r="QF40" s="739"/>
      <c r="QG40" s="739"/>
      <c r="QM40" s="2281">
        <v>2022</v>
      </c>
      <c r="QN40" s="2136"/>
      <c r="QO40" s="1794"/>
      <c r="QP40" s="739"/>
      <c r="QQ40" s="739"/>
      <c r="QR40" s="739"/>
      <c r="QS40" s="739"/>
      <c r="QT40" s="739"/>
      <c r="QU40" s="739"/>
      <c r="QV40" s="739"/>
      <c r="QW40" s="739"/>
      <c r="QX40" s="739"/>
      <c r="QY40" s="739"/>
      <c r="QZ40" s="739"/>
      <c r="RA40" s="739"/>
      <c r="RB40" s="739"/>
      <c r="RC40" s="739"/>
      <c r="RG40" s="2029"/>
      <c r="RI40" s="943">
        <v>28</v>
      </c>
      <c r="RJ40" s="2281">
        <v>2022</v>
      </c>
      <c r="RK40" s="2137"/>
      <c r="RL40" s="1786"/>
      <c r="RM40" s="2489">
        <f>НАСТРОЙКА!IB32</f>
        <v>10526.232536339399</v>
      </c>
      <c r="RN40" s="739"/>
      <c r="RO40" s="739"/>
      <c r="RP40" s="739"/>
      <c r="RQ40" s="739"/>
      <c r="RR40" s="739"/>
      <c r="RS40" s="739"/>
      <c r="RT40" s="739"/>
      <c r="RU40" s="739"/>
      <c r="RV40" s="739"/>
      <c r="RW40" s="739"/>
      <c r="RX40" s="739"/>
      <c r="RY40" s="739"/>
      <c r="RZ40" s="739"/>
      <c r="SA40" s="739"/>
      <c r="SG40" s="2281">
        <v>2022</v>
      </c>
      <c r="SH40" s="2136"/>
      <c r="SI40" s="1966">
        <f t="shared" ca="1" si="17"/>
        <v>0.62819642642448525</v>
      </c>
      <c r="SJ40" s="739"/>
      <c r="SK40" s="739"/>
      <c r="SL40" s="739"/>
      <c r="SM40" s="739"/>
      <c r="SN40" s="739"/>
      <c r="SO40" s="739"/>
      <c r="SP40" s="739"/>
      <c r="SQ40" s="739"/>
      <c r="SR40" s="739"/>
      <c r="SS40" s="739"/>
      <c r="ST40" s="739"/>
      <c r="SU40" s="739"/>
      <c r="SV40" s="739"/>
      <c r="SW40" s="739"/>
      <c r="TC40" s="2281">
        <v>2022</v>
      </c>
      <c r="TD40" s="2137"/>
      <c r="TE40" s="1794"/>
      <c r="TF40" s="739"/>
      <c r="TG40" s="739"/>
      <c r="TH40" s="739"/>
      <c r="TI40" s="739"/>
      <c r="TJ40" s="739"/>
      <c r="TK40" s="739"/>
      <c r="TL40" s="739"/>
      <c r="TM40" s="739"/>
      <c r="TN40" s="739"/>
      <c r="TO40" s="739"/>
      <c r="TP40" s="739"/>
      <c r="TQ40" s="739"/>
      <c r="TX40" s="2748"/>
      <c r="TZ40" s="2281">
        <v>2022</v>
      </c>
      <c r="UA40" s="2136"/>
      <c r="UB40" s="555"/>
      <c r="UC40" s="1966">
        <f t="shared" si="18"/>
        <v>1.0314091931331344</v>
      </c>
      <c r="UD40" s="739"/>
      <c r="UE40" s="739"/>
      <c r="UF40" s="739"/>
      <c r="UG40" s="739"/>
      <c r="UH40" s="739"/>
      <c r="UI40" s="739"/>
      <c r="UJ40" s="739"/>
      <c r="UK40" s="739"/>
      <c r="UL40" s="739"/>
      <c r="UM40" s="739"/>
      <c r="UN40" s="739"/>
      <c r="UO40" s="739"/>
      <c r="UP40" s="739"/>
      <c r="UQ40" s="739"/>
      <c r="UU40" s="2029"/>
      <c r="UW40" s="2281">
        <v>2022</v>
      </c>
      <c r="UX40" s="2137"/>
      <c r="UY40" s="1966">
        <f>ОТЧЁТ!EX163</f>
        <v>0.75441655077388547</v>
      </c>
      <c r="UZ40" s="739"/>
      <c r="VA40" s="739"/>
      <c r="VB40" s="739"/>
      <c r="VC40" s="739"/>
      <c r="VD40" s="739"/>
      <c r="VE40" s="739"/>
      <c r="VF40" s="739"/>
      <c r="VG40" s="739"/>
      <c r="VH40" s="739"/>
      <c r="VI40" s="739"/>
      <c r="VJ40" s="739"/>
      <c r="VK40" s="739"/>
      <c r="VL40" s="739"/>
      <c r="VM40" s="739"/>
      <c r="VS40" s="2281">
        <v>2022</v>
      </c>
      <c r="VT40" s="2136"/>
      <c r="VU40" s="1794"/>
      <c r="VV40" s="739"/>
      <c r="VW40" s="739"/>
      <c r="VX40" s="739"/>
      <c r="VY40" s="739"/>
      <c r="VZ40" s="739"/>
      <c r="WA40" s="739"/>
      <c r="WB40" s="739"/>
      <c r="WC40" s="739"/>
      <c r="WD40" s="739"/>
      <c r="WE40" s="739"/>
      <c r="WF40" s="739"/>
      <c r="WG40" s="739"/>
      <c r="WH40" s="739"/>
      <c r="WI40" s="739"/>
      <c r="WM40" s="2029"/>
      <c r="WO40" s="2281">
        <v>2022</v>
      </c>
      <c r="WP40" s="2485"/>
      <c r="WQ40" s="1786">
        <f t="shared" si="11"/>
        <v>8515.7221218985742</v>
      </c>
      <c r="WR40" s="2131">
        <v>5999.5152654098065</v>
      </c>
      <c r="WS40" s="739"/>
      <c r="WT40" s="739"/>
      <c r="WU40" s="739"/>
      <c r="WV40" s="739"/>
      <c r="WW40" s="739"/>
      <c r="WX40" s="739"/>
      <c r="WY40" s="739"/>
      <c r="WZ40" s="739"/>
      <c r="XA40" s="739"/>
      <c r="XB40" s="739"/>
      <c r="XC40" s="739"/>
      <c r="XD40" s="739"/>
      <c r="XE40" s="739"/>
      <c r="XF40" s="739"/>
      <c r="XK40" s="2492">
        <v>2022</v>
      </c>
      <c r="XL40" s="2136"/>
      <c r="XM40" s="2416">
        <f t="shared" si="19"/>
        <v>0.70452219782768333</v>
      </c>
      <c r="XN40" s="739"/>
      <c r="XO40" s="739"/>
      <c r="XP40" s="739"/>
      <c r="XQ40" s="739"/>
      <c r="XR40" s="739"/>
      <c r="XS40" s="739"/>
      <c r="XT40" s="739"/>
      <c r="XU40" s="739"/>
      <c r="XV40" s="739"/>
      <c r="XW40" s="739"/>
      <c r="XX40" s="739"/>
      <c r="XY40" s="739"/>
      <c r="XZ40" s="739"/>
      <c r="YA40" s="739"/>
      <c r="YE40" s="2029"/>
      <c r="YG40" s="2281">
        <v>2022</v>
      </c>
      <c r="YH40" s="2137"/>
      <c r="YI40" s="1794"/>
      <c r="YJ40" s="739"/>
      <c r="YK40" s="739"/>
      <c r="YL40" s="739"/>
      <c r="YM40" s="739"/>
      <c r="YN40" s="739"/>
      <c r="YO40" s="739"/>
      <c r="YP40" s="739"/>
      <c r="YQ40" s="739"/>
      <c r="YR40" s="739"/>
      <c r="YS40" s="739"/>
      <c r="YT40" s="739"/>
      <c r="YU40" s="739"/>
      <c r="ZE40" s="2587" t="s">
        <v>2181</v>
      </c>
      <c r="ZF40" s="765"/>
      <c r="ZG40" s="765"/>
      <c r="ZH40" s="765"/>
      <c r="ZI40" s="765"/>
      <c r="ZJ40" s="765"/>
      <c r="ZK40" s="765"/>
      <c r="ZL40" s="765"/>
      <c r="ZM40" s="765"/>
      <c r="ZN40" s="765"/>
      <c r="ZO40" s="765"/>
      <c r="ZP40" s="777"/>
    </row>
    <row r="41" spans="6:692" ht="21">
      <c r="G41" s="2281">
        <v>2023</v>
      </c>
      <c r="H41" s="2595"/>
      <c r="I41" s="2594">
        <f ca="1">AG41/AG40</f>
        <v>1.031375464333472</v>
      </c>
      <c r="J41" s="2490">
        <v>1.03</v>
      </c>
      <c r="K41" s="739"/>
      <c r="L41" s="739"/>
      <c r="M41" s="739"/>
      <c r="N41" s="739"/>
      <c r="O41" s="739"/>
      <c r="P41" s="739"/>
      <c r="Q41" s="739"/>
      <c r="R41" s="739"/>
      <c r="S41" s="739"/>
      <c r="T41" s="739"/>
      <c r="U41" s="739"/>
      <c r="V41" s="739"/>
      <c r="W41" s="739"/>
      <c r="X41" s="739"/>
      <c r="AD41" s="2281">
        <v>2023</v>
      </c>
      <c r="AE41" s="2137"/>
      <c r="AF41" s="765"/>
      <c r="AG41" s="1966">
        <f ca="1"/>
        <v>2.3205957758083766</v>
      </c>
      <c r="AH41" s="739"/>
      <c r="AI41" s="739"/>
      <c r="AJ41" s="739"/>
      <c r="AK41" s="739"/>
      <c r="AL41" s="739"/>
      <c r="AM41" s="739"/>
      <c r="AN41" s="739"/>
      <c r="AO41" s="739"/>
      <c r="AP41" s="739"/>
      <c r="AQ41" s="739"/>
      <c r="AR41" s="739"/>
      <c r="AS41" s="739"/>
      <c r="AT41" s="739"/>
      <c r="AU41" s="739"/>
      <c r="BA41" s="2281">
        <v>2023</v>
      </c>
      <c r="BB41" s="2595"/>
      <c r="BC41" s="1255">
        <v>37.512473870121873</v>
      </c>
      <c r="BD41" s="739"/>
      <c r="BE41" s="739"/>
      <c r="BF41" s="739"/>
      <c r="BG41" s="739"/>
      <c r="BH41" s="739"/>
      <c r="BI41" s="739"/>
      <c r="BJ41" s="739"/>
      <c r="BK41" s="739"/>
      <c r="BL41" s="739"/>
      <c r="BM41" s="739"/>
      <c r="BN41" s="739"/>
      <c r="BO41" s="739"/>
      <c r="BP41" s="739"/>
      <c r="BQ41" s="739"/>
      <c r="BW41" s="2281">
        <v>2023</v>
      </c>
      <c r="BX41" s="2137"/>
      <c r="BY41" s="765"/>
      <c r="BZ41" s="1966">
        <v>2.658831438809401</v>
      </c>
      <c r="CA41" s="739"/>
      <c r="CB41" s="739"/>
      <c r="CC41" s="739"/>
      <c r="CD41" s="739"/>
      <c r="CE41" s="739"/>
      <c r="CF41" s="739"/>
      <c r="CG41" s="739"/>
      <c r="CH41" s="739"/>
      <c r="CI41" s="739"/>
      <c r="CJ41" s="739"/>
      <c r="CK41" s="739"/>
      <c r="CL41" s="739"/>
      <c r="CM41" s="739"/>
      <c r="CN41" s="739"/>
      <c r="CT41" s="2281">
        <v>2023</v>
      </c>
      <c r="CU41" s="2136"/>
      <c r="CV41" s="1794"/>
      <c r="CW41" s="739"/>
      <c r="CX41" s="739"/>
      <c r="CY41" s="739"/>
      <c r="CZ41" s="739"/>
      <c r="DA41" s="739"/>
      <c r="DB41" s="739"/>
      <c r="DC41" s="739"/>
      <c r="DD41" s="739"/>
      <c r="DE41" s="739"/>
      <c r="DF41" s="739"/>
      <c r="DG41" s="739"/>
      <c r="DH41" s="739"/>
      <c r="DI41" s="739"/>
      <c r="DJ41" s="739"/>
      <c r="DO41" s="2281">
        <v>2023</v>
      </c>
      <c r="DP41" s="2137"/>
      <c r="DQ41" s="765"/>
      <c r="DR41" s="1794"/>
      <c r="DS41" s="739"/>
      <c r="DT41" s="739"/>
      <c r="DU41" s="739"/>
      <c r="DV41" s="739"/>
      <c r="DW41" s="739"/>
      <c r="DX41" s="739"/>
      <c r="DY41" s="739"/>
      <c r="DZ41" s="739"/>
      <c r="EA41" s="739"/>
      <c r="EB41" s="739"/>
      <c r="EC41" s="739"/>
      <c r="ED41" s="739"/>
      <c r="EE41" s="2748"/>
      <c r="EG41" s="2281">
        <v>2023</v>
      </c>
      <c r="EH41" s="2416"/>
      <c r="EI41" s="2416">
        <f ca="1">FE41/FE40</f>
        <v>1.0473390276932233</v>
      </c>
      <c r="EJ41" s="739"/>
      <c r="EK41" s="739"/>
      <c r="EL41" s="739"/>
      <c r="EM41" s="739"/>
      <c r="EN41" s="739"/>
      <c r="EO41" s="739"/>
      <c r="EP41" s="739"/>
      <c r="EQ41" s="739"/>
      <c r="ER41" s="739"/>
      <c r="ES41" s="739"/>
      <c r="ET41" s="739"/>
      <c r="EU41" s="739"/>
      <c r="EV41" s="739"/>
      <c r="EW41" s="739"/>
      <c r="FC41" s="2281">
        <v>2023</v>
      </c>
      <c r="FD41" s="2137"/>
      <c r="FE41" s="1966">
        <f ca="1">СЧЁТ!CG34</f>
        <v>2.8710731177143747</v>
      </c>
      <c r="FF41" s="739"/>
      <c r="FG41" s="739"/>
      <c r="FH41" s="739"/>
      <c r="FI41" s="739"/>
      <c r="FJ41" s="739"/>
      <c r="FK41" s="739"/>
      <c r="FL41" s="739"/>
      <c r="FM41" s="739"/>
      <c r="FN41" s="739"/>
      <c r="FO41" s="739"/>
      <c r="FP41" s="739"/>
      <c r="FQ41" s="739"/>
      <c r="FR41" s="739"/>
      <c r="FS41" s="739"/>
      <c r="FY41" s="2281">
        <v>2023</v>
      </c>
      <c r="FZ41" s="2136"/>
      <c r="GA41" s="2416">
        <f t="shared" ca="1" si="14"/>
        <v>1.0379494913925325</v>
      </c>
      <c r="GB41" s="739"/>
      <c r="GC41" s="739"/>
      <c r="GD41" s="739"/>
      <c r="GE41" s="739"/>
      <c r="GF41" s="739"/>
      <c r="GG41" s="739"/>
      <c r="GH41" s="739"/>
      <c r="GI41" s="739"/>
      <c r="GJ41" s="739"/>
      <c r="GK41" s="739"/>
      <c r="GL41" s="739"/>
      <c r="GM41" s="739"/>
      <c r="GN41" s="739"/>
      <c r="GO41" s="739"/>
      <c r="GT41" s="2029"/>
      <c r="GU41" s="2281">
        <v>2023</v>
      </c>
      <c r="GV41" s="2137"/>
      <c r="GW41" s="2509">
        <f t="shared" si="1"/>
        <v>2.378458852295477</v>
      </c>
      <c r="GX41" s="1255">
        <f ca="1">СЧЁТ!CN34</f>
        <v>4.3946367635686654</v>
      </c>
      <c r="GY41" s="739"/>
      <c r="GZ41" s="739"/>
      <c r="HA41" s="739"/>
      <c r="HB41" s="739"/>
      <c r="HC41" s="739"/>
      <c r="HD41" s="739"/>
      <c r="HE41" s="739"/>
      <c r="HF41" s="739"/>
      <c r="HG41" s="739"/>
      <c r="HH41" s="739"/>
      <c r="HI41" s="739"/>
      <c r="HJ41" s="739"/>
      <c r="HK41" s="739"/>
      <c r="HR41" s="2281">
        <v>2023</v>
      </c>
      <c r="HS41" s="2121">
        <v>0.23784588522954772</v>
      </c>
      <c r="HT41" s="1794"/>
      <c r="HU41" s="739"/>
      <c r="HV41" s="739"/>
      <c r="HW41" s="739"/>
      <c r="HX41" s="739"/>
      <c r="HY41" s="739"/>
      <c r="HZ41" s="739"/>
      <c r="IA41" s="739"/>
      <c r="IB41" s="739"/>
      <c r="IC41" s="739"/>
      <c r="ID41" s="739"/>
      <c r="IE41" s="739"/>
      <c r="IF41" s="739"/>
      <c r="IG41" s="739"/>
      <c r="IH41" s="739"/>
      <c r="IL41" s="2029"/>
      <c r="IN41" s="2281">
        <v>2023</v>
      </c>
      <c r="IO41" s="2137"/>
      <c r="IP41" s="765"/>
      <c r="IQ41" s="1794"/>
      <c r="IR41" s="739"/>
      <c r="IS41" s="739"/>
      <c r="IT41" s="739"/>
      <c r="IU41" s="739"/>
      <c r="IV41" s="739"/>
      <c r="IW41" s="739"/>
      <c r="IX41" s="739"/>
      <c r="IY41" s="739"/>
      <c r="IZ41" s="739"/>
      <c r="JA41" s="739"/>
      <c r="JJ41" s="2748"/>
      <c r="JL41" s="2281">
        <v>2023</v>
      </c>
      <c r="JM41" s="2136"/>
      <c r="JN41" s="1966">
        <f t="shared" ca="1" si="16"/>
        <v>1.0462926657945175</v>
      </c>
      <c r="JO41" s="739"/>
      <c r="JP41" s="739"/>
      <c r="JQ41" s="739"/>
      <c r="JR41" s="739"/>
      <c r="JS41" s="739"/>
      <c r="JT41" s="739"/>
      <c r="JU41" s="739"/>
      <c r="JV41" s="739"/>
      <c r="JW41" s="739"/>
      <c r="JX41" s="739"/>
      <c r="JY41" s="739"/>
      <c r="JZ41" s="739"/>
      <c r="KA41" s="739"/>
      <c r="KB41" s="739"/>
      <c r="KF41" s="2029"/>
      <c r="KH41" s="2281">
        <v>2023</v>
      </c>
      <c r="KI41" s="2137"/>
      <c r="KJ41" s="765"/>
      <c r="KK41" s="1966">
        <f ca="1">СЧЁТ!CJ34</f>
        <v>3.2768169121645849</v>
      </c>
      <c r="KL41" s="739"/>
      <c r="KM41" s="739"/>
      <c r="KN41" s="739"/>
      <c r="KO41" s="739"/>
      <c r="KP41" s="739"/>
      <c r="KQ41" s="739"/>
      <c r="KR41" s="739"/>
      <c r="KS41" s="739"/>
      <c r="KT41" s="739"/>
      <c r="KU41" s="739"/>
      <c r="KV41" s="739"/>
      <c r="KW41" s="739"/>
      <c r="KX41" s="739"/>
      <c r="KY41" s="739"/>
      <c r="LE41" s="2281">
        <v>2023</v>
      </c>
      <c r="LF41" s="2136"/>
      <c r="LG41" s="1382">
        <f ca="1"/>
        <v>75.35563102517942</v>
      </c>
      <c r="LH41" s="2136"/>
      <c r="LI41" s="1035">
        <f ca="1"/>
        <v>1.5415610800227313</v>
      </c>
      <c r="LJ41" s="739"/>
      <c r="LK41" s="739"/>
      <c r="LL41" s="739"/>
      <c r="LM41" s="739"/>
      <c r="LN41" s="739"/>
      <c r="LO41" s="739"/>
      <c r="LP41" s="739"/>
      <c r="LQ41" s="739"/>
      <c r="LR41" s="739"/>
      <c r="LS41" s="739"/>
      <c r="LT41" s="739"/>
      <c r="LU41" s="739"/>
      <c r="LV41" s="739"/>
      <c r="MB41" s="2281">
        <v>2023</v>
      </c>
      <c r="MC41" s="2485"/>
      <c r="MD41" s="2131">
        <f ca="1">СЧЁТ!CE34</f>
        <v>6834.6274008248565</v>
      </c>
      <c r="ME41" s="739"/>
      <c r="MF41" s="739"/>
      <c r="MG41" s="739"/>
      <c r="MH41" s="739"/>
      <c r="MI41" s="739"/>
      <c r="MJ41" s="739"/>
      <c r="MK41" s="739"/>
      <c r="ML41" s="739"/>
      <c r="MM41" s="739"/>
      <c r="MN41" s="739"/>
      <c r="MO41" s="739"/>
      <c r="MP41" s="739"/>
      <c r="MQ41" s="739"/>
      <c r="MY41" s="2281">
        <v>2023</v>
      </c>
      <c r="MZ41" s="2136"/>
      <c r="NA41" s="1597">
        <f>СЧЁТ!CB34</f>
        <v>82.896899731222646</v>
      </c>
      <c r="NB41" s="739"/>
      <c r="NC41" s="739"/>
      <c r="ND41" s="739"/>
      <c r="NE41" s="739"/>
      <c r="NF41" s="739"/>
      <c r="NG41" s="739"/>
      <c r="NH41" s="739"/>
      <c r="NI41" s="739"/>
      <c r="NJ41" s="739"/>
      <c r="NK41" s="739"/>
      <c r="NL41" s="739"/>
      <c r="NM41" s="739"/>
      <c r="NN41" s="739"/>
      <c r="NO41" s="739"/>
      <c r="NV41" s="2281">
        <v>2023</v>
      </c>
      <c r="NW41" s="2137"/>
      <c r="NX41" s="765"/>
      <c r="NY41" s="765"/>
      <c r="NZ41" s="1794"/>
      <c r="OA41" s="739"/>
      <c r="OB41" s="739"/>
      <c r="OC41" s="739"/>
      <c r="OD41" s="739"/>
      <c r="OE41" s="739"/>
      <c r="OF41" s="739"/>
      <c r="OG41" s="739"/>
      <c r="OH41" s="739"/>
      <c r="OI41" s="739"/>
      <c r="OJ41" s="739"/>
      <c r="OK41" s="739"/>
      <c r="OS41" s="2748"/>
      <c r="OU41" s="2281">
        <v>2023</v>
      </c>
      <c r="OV41" s="2136"/>
      <c r="OW41" s="2594">
        <f t="shared" ca="1" si="15"/>
        <v>1.0424019574402061</v>
      </c>
      <c r="OX41" s="739"/>
      <c r="OY41" s="739"/>
      <c r="OZ41" s="739"/>
      <c r="PA41" s="739"/>
      <c r="PB41" s="739"/>
      <c r="PC41" s="739"/>
      <c r="PD41" s="739"/>
      <c r="PE41" s="739"/>
      <c r="PF41" s="739"/>
      <c r="PG41" s="739"/>
      <c r="PH41" s="739"/>
      <c r="PI41" s="739"/>
      <c r="PJ41" s="739"/>
      <c r="PK41" s="739"/>
      <c r="PO41" s="2029"/>
      <c r="PQ41" s="2281">
        <v>2023</v>
      </c>
      <c r="PR41" s="2137"/>
      <c r="PS41" s="1966">
        <f ca="1">СЧЁТ!CI34</f>
        <v>1.5695274698488424</v>
      </c>
      <c r="PT41" s="739"/>
      <c r="PU41" s="739"/>
      <c r="PV41" s="739"/>
      <c r="PW41" s="739"/>
      <c r="PX41" s="739"/>
      <c r="PY41" s="739"/>
      <c r="PZ41" s="739"/>
      <c r="QA41" s="739"/>
      <c r="QB41" s="739"/>
      <c r="QC41" s="739"/>
      <c r="QD41" s="739"/>
      <c r="QE41" s="739"/>
      <c r="QF41" s="739"/>
      <c r="QG41" s="739"/>
      <c r="QM41" s="2281">
        <v>2023</v>
      </c>
      <c r="QN41" s="2136"/>
      <c r="QO41" s="1794"/>
      <c r="QP41" s="739"/>
      <c r="QQ41" s="739"/>
      <c r="QR41" s="739"/>
      <c r="QS41" s="739"/>
      <c r="QT41" s="739"/>
      <c r="QU41" s="739"/>
      <c r="QV41" s="739"/>
      <c r="QW41" s="739"/>
      <c r="QX41" s="739"/>
      <c r="QY41" s="739"/>
      <c r="QZ41" s="739"/>
      <c r="RA41" s="739"/>
      <c r="RB41" s="739"/>
      <c r="RC41" s="739"/>
      <c r="RG41" s="2029"/>
      <c r="RI41" s="943">
        <v>29</v>
      </c>
      <c r="RJ41" s="2281">
        <v>2023</v>
      </c>
      <c r="RK41" s="2137"/>
      <c r="RL41" s="1786"/>
      <c r="RM41" s="2489">
        <f>НАСТРОЙКА!IB33</f>
        <v>10976.127338183813</v>
      </c>
      <c r="RN41" s="739"/>
      <c r="RO41" s="739"/>
      <c r="RP41" s="739"/>
      <c r="RQ41" s="739"/>
      <c r="RR41" s="739"/>
      <c r="RS41" s="739"/>
      <c r="RT41" s="739"/>
      <c r="RU41" s="739"/>
      <c r="RV41" s="739"/>
      <c r="RW41" s="739"/>
      <c r="RX41" s="739"/>
      <c r="RY41" s="739"/>
      <c r="RZ41" s="739"/>
      <c r="SA41" s="739"/>
      <c r="SG41" s="2281">
        <v>2023</v>
      </c>
      <c r="SH41" s="2136"/>
      <c r="SI41" s="1966">
        <f t="shared" ca="1" si="17"/>
        <v>0.62268113244718992</v>
      </c>
      <c r="SJ41" s="739"/>
      <c r="SK41" s="739"/>
      <c r="SL41" s="739"/>
      <c r="SM41" s="739"/>
      <c r="SN41" s="739"/>
      <c r="SO41" s="739"/>
      <c r="SP41" s="739"/>
      <c r="SQ41" s="739"/>
      <c r="SR41" s="739"/>
      <c r="SS41" s="739"/>
      <c r="ST41" s="739"/>
      <c r="SU41" s="739"/>
      <c r="SV41" s="739"/>
      <c r="SW41" s="739"/>
      <c r="TC41" s="2281">
        <v>2023</v>
      </c>
      <c r="TD41" s="2137"/>
      <c r="TE41" s="1794"/>
      <c r="TF41" s="739"/>
      <c r="TG41" s="739"/>
      <c r="TH41" s="739"/>
      <c r="TI41" s="739"/>
      <c r="TJ41" s="739"/>
      <c r="TK41" s="739"/>
      <c r="TL41" s="739"/>
      <c r="TM41" s="739"/>
      <c r="TN41" s="739"/>
      <c r="TO41" s="739"/>
      <c r="TP41" s="739"/>
      <c r="TQ41" s="739"/>
      <c r="TX41" s="2748"/>
      <c r="TZ41" s="2281">
        <v>2023</v>
      </c>
      <c r="UA41" s="2136"/>
      <c r="UB41" s="555"/>
      <c r="UC41" s="1966">
        <f t="shared" si="18"/>
        <v>1.0289300635239016</v>
      </c>
      <c r="UD41" s="739"/>
      <c r="UE41" s="739"/>
      <c r="UF41" s="739"/>
      <c r="UG41" s="739"/>
      <c r="UH41" s="739"/>
      <c r="UI41" s="739"/>
      <c r="UJ41" s="739"/>
      <c r="UK41" s="739"/>
      <c r="UL41" s="739"/>
      <c r="UM41" s="739"/>
      <c r="UN41" s="739"/>
      <c r="UO41" s="739"/>
      <c r="UP41" s="739"/>
      <c r="UQ41" s="739"/>
      <c r="UU41" s="2029"/>
      <c r="UW41" s="2281">
        <v>2023</v>
      </c>
      <c r="UX41" s="2137"/>
      <c r="UY41" s="1966">
        <f>ОТЧЁТ!EX164</f>
        <v>0.77624186951125673</v>
      </c>
      <c r="UZ41" s="739"/>
      <c r="VA41" s="739"/>
      <c r="VB41" s="739"/>
      <c r="VC41" s="739"/>
      <c r="VD41" s="739"/>
      <c r="VE41" s="739"/>
      <c r="VF41" s="739"/>
      <c r="VG41" s="739"/>
      <c r="VH41" s="739"/>
      <c r="VI41" s="739"/>
      <c r="VJ41" s="739"/>
      <c r="VK41" s="739"/>
      <c r="VL41" s="739"/>
      <c r="VM41" s="739"/>
      <c r="VS41" s="2281">
        <v>2023</v>
      </c>
      <c r="VT41" s="2136"/>
      <c r="VU41" s="1794"/>
      <c r="VV41" s="739"/>
      <c r="VW41" s="739"/>
      <c r="VX41" s="739"/>
      <c r="VY41" s="739"/>
      <c r="VZ41" s="739"/>
      <c r="WA41" s="739"/>
      <c r="WB41" s="739"/>
      <c r="WC41" s="739"/>
      <c r="WD41" s="739"/>
      <c r="WE41" s="739"/>
      <c r="WF41" s="739"/>
      <c r="WG41" s="739"/>
      <c r="WH41" s="739"/>
      <c r="WI41" s="739"/>
      <c r="WM41" s="2029"/>
      <c r="WO41" s="2281">
        <v>2023</v>
      </c>
      <c r="WP41" s="2485"/>
      <c r="WQ41" s="1786">
        <f t="shared" si="11"/>
        <v>8879.6870165907058</v>
      </c>
      <c r="WR41" s="2131">
        <v>6094.9411984717672</v>
      </c>
      <c r="WS41" s="739"/>
      <c r="WT41" s="739"/>
      <c r="WU41" s="739"/>
      <c r="WV41" s="739"/>
      <c r="WW41" s="739"/>
      <c r="WX41" s="739"/>
      <c r="WY41" s="739"/>
      <c r="WZ41" s="739"/>
      <c r="XA41" s="739"/>
      <c r="XB41" s="739"/>
      <c r="XC41" s="739"/>
      <c r="XD41" s="739"/>
      <c r="XE41" s="739"/>
      <c r="XF41" s="739"/>
      <c r="XK41" s="2492">
        <v>2023</v>
      </c>
      <c r="XL41" s="2136"/>
      <c r="XM41" s="2416">
        <f t="shared" si="19"/>
        <v>0.68639144455024703</v>
      </c>
      <c r="XN41" s="739"/>
      <c r="XO41" s="739"/>
      <c r="XP41" s="739"/>
      <c r="XQ41" s="739"/>
      <c r="XR41" s="739"/>
      <c r="XS41" s="739"/>
      <c r="XT41" s="739"/>
      <c r="XU41" s="739"/>
      <c r="XV41" s="739"/>
      <c r="XW41" s="739"/>
      <c r="XX41" s="739"/>
      <c r="XY41" s="739"/>
      <c r="XZ41" s="739"/>
      <c r="YA41" s="739"/>
      <c r="YE41" s="2029"/>
      <c r="YG41" s="2281">
        <v>2023</v>
      </c>
      <c r="YH41" s="2137"/>
      <c r="YI41" s="1794"/>
      <c r="YJ41" s="739"/>
      <c r="YK41" s="739"/>
      <c r="YL41" s="739"/>
      <c r="YM41" s="739"/>
      <c r="YN41" s="739"/>
      <c r="YO41" s="739"/>
      <c r="YP41" s="739"/>
      <c r="YQ41" s="739"/>
      <c r="YR41" s="739"/>
      <c r="YS41" s="739"/>
      <c r="YT41" s="739"/>
      <c r="YU41" s="739"/>
      <c r="ZE41" s="2587" t="s">
        <v>2182</v>
      </c>
      <c r="ZF41" s="765"/>
      <c r="ZG41" s="765"/>
      <c r="ZH41" s="765"/>
      <c r="ZI41" s="765"/>
      <c r="ZJ41" s="765"/>
      <c r="ZK41" s="765"/>
      <c r="ZL41" s="765"/>
      <c r="ZM41" s="765"/>
      <c r="ZN41" s="765"/>
      <c r="ZO41" s="765"/>
      <c r="ZP41" s="777"/>
    </row>
    <row r="42" spans="6:692" ht="21">
      <c r="G42" s="2281">
        <v>2024</v>
      </c>
      <c r="H42" s="2595"/>
      <c r="I42" s="2594">
        <f ca="1">AG42/AG41</f>
        <v>1.0306297390633483</v>
      </c>
      <c r="J42" s="2490">
        <v>1.03</v>
      </c>
      <c r="K42" s="739"/>
      <c r="L42" s="739"/>
      <c r="M42" s="739"/>
      <c r="N42" s="739"/>
      <c r="O42" s="739"/>
      <c r="P42" s="739"/>
      <c r="Q42" s="739"/>
      <c r="R42" s="739"/>
      <c r="S42" s="739"/>
      <c r="T42" s="739"/>
      <c r="U42" s="739"/>
      <c r="V42" s="739"/>
      <c r="W42" s="739"/>
      <c r="X42" s="739"/>
      <c r="AD42" s="2281">
        <v>2024</v>
      </c>
      <c r="AE42" s="2137"/>
      <c r="AF42" s="765"/>
      <c r="AG42" s="1966">
        <f ca="1"/>
        <v>2.3916750188928955</v>
      </c>
      <c r="AH42" s="739"/>
      <c r="AI42" s="739"/>
      <c r="AJ42" s="739"/>
      <c r="AK42" s="739"/>
      <c r="AL42" s="739"/>
      <c r="AM42" s="739"/>
      <c r="AN42" s="739"/>
      <c r="AO42" s="739"/>
      <c r="AP42" s="739"/>
      <c r="AQ42" s="739"/>
      <c r="AR42" s="739"/>
      <c r="AS42" s="739"/>
      <c r="AT42" s="739"/>
      <c r="AU42" s="739"/>
      <c r="BA42" s="2281">
        <v>2024</v>
      </c>
      <c r="BB42" s="2595"/>
      <c r="BC42" s="1255">
        <v>40.339440137928356</v>
      </c>
      <c r="BD42" s="739"/>
      <c r="BE42" s="739"/>
      <c r="BF42" s="739"/>
      <c r="BG42" s="739"/>
      <c r="BH42" s="739"/>
      <c r="BI42" s="739"/>
      <c r="BJ42" s="739"/>
      <c r="BK42" s="739"/>
      <c r="BL42" s="739"/>
      <c r="BM42" s="739"/>
      <c r="BN42" s="739"/>
      <c r="BO42" s="739"/>
      <c r="BP42" s="739"/>
      <c r="BQ42" s="739"/>
      <c r="BW42" s="2281">
        <v>2024</v>
      </c>
      <c r="BX42" s="2137"/>
      <c r="BY42" s="765"/>
      <c r="BZ42" s="1966">
        <v>2.6627368666910218</v>
      </c>
      <c r="CA42" s="739"/>
      <c r="CB42" s="739"/>
      <c r="CC42" s="739"/>
      <c r="CD42" s="739"/>
      <c r="CE42" s="739"/>
      <c r="CF42" s="739"/>
      <c r="CG42" s="739"/>
      <c r="CH42" s="739"/>
      <c r="CI42" s="739"/>
      <c r="CJ42" s="739"/>
      <c r="CK42" s="739"/>
      <c r="CL42" s="739"/>
      <c r="CM42" s="739"/>
      <c r="CN42" s="739"/>
      <c r="CT42" s="2281">
        <v>2024</v>
      </c>
      <c r="CU42" s="2136"/>
      <c r="CV42" s="1794"/>
      <c r="CW42" s="739"/>
      <c r="CX42" s="739"/>
      <c r="CY42" s="739"/>
      <c r="CZ42" s="739"/>
      <c r="DA42" s="739"/>
      <c r="DB42" s="739"/>
      <c r="DC42" s="739"/>
      <c r="DD42" s="739"/>
      <c r="DE42" s="739"/>
      <c r="DF42" s="739"/>
      <c r="DG42" s="739"/>
      <c r="DH42" s="739"/>
      <c r="DI42" s="739"/>
      <c r="DJ42" s="739"/>
      <c r="DO42" s="2281">
        <v>2024</v>
      </c>
      <c r="DP42" s="2137"/>
      <c r="DQ42" s="765"/>
      <c r="DR42" s="1794"/>
      <c r="DS42" s="739"/>
      <c r="DT42" s="739"/>
      <c r="DU42" s="739"/>
      <c r="DV42" s="739"/>
      <c r="DW42" s="739"/>
      <c r="DX42" s="739"/>
      <c r="DY42" s="739"/>
      <c r="DZ42" s="739"/>
      <c r="EA42" s="739"/>
      <c r="EB42" s="739"/>
      <c r="EC42" s="739"/>
      <c r="ED42" s="739"/>
      <c r="EE42" s="2748"/>
      <c r="EG42" s="2281">
        <v>2024</v>
      </c>
      <c r="EH42" s="2416"/>
      <c r="EI42" s="2416">
        <f ca="1">FE42/FE41</f>
        <v>1.0456844513214165</v>
      </c>
      <c r="EJ42" s="739"/>
      <c r="EK42" s="739"/>
      <c r="EL42" s="739"/>
      <c r="EM42" s="739"/>
      <c r="EN42" s="739"/>
      <c r="EO42" s="739"/>
      <c r="EP42" s="739"/>
      <c r="EQ42" s="739"/>
      <c r="ER42" s="739"/>
      <c r="ES42" s="739"/>
      <c r="ET42" s="739"/>
      <c r="EU42" s="739"/>
      <c r="EV42" s="739"/>
      <c r="EW42" s="739"/>
      <c r="FC42" s="2281">
        <v>2024</v>
      </c>
      <c r="FD42" s="2137"/>
      <c r="FE42" s="1966">
        <f ca="1">СЧЁТ!CG35</f>
        <v>3.0022365178008243</v>
      </c>
      <c r="FF42" s="739"/>
      <c r="FG42" s="739"/>
      <c r="FH42" s="739"/>
      <c r="FI42" s="739"/>
      <c r="FJ42" s="739"/>
      <c r="FK42" s="739"/>
      <c r="FL42" s="739"/>
      <c r="FM42" s="739"/>
      <c r="FN42" s="739"/>
      <c r="FO42" s="739"/>
      <c r="FP42" s="739"/>
      <c r="FQ42" s="739"/>
      <c r="FR42" s="739"/>
      <c r="FS42" s="739"/>
      <c r="FY42" s="2281">
        <v>2024</v>
      </c>
      <c r="FZ42" s="2136"/>
      <c r="GA42" s="2416">
        <f t="shared" ca="1" si="14"/>
        <v>1.0371854407613699</v>
      </c>
      <c r="GB42" s="739"/>
      <c r="GC42" s="739"/>
      <c r="GD42" s="739"/>
      <c r="GE42" s="739"/>
      <c r="GF42" s="739"/>
      <c r="GG42" s="739"/>
      <c r="GH42" s="739"/>
      <c r="GI42" s="739"/>
      <c r="GJ42" s="739"/>
      <c r="GK42" s="739"/>
      <c r="GL42" s="739"/>
      <c r="GM42" s="739"/>
      <c r="GN42" s="739"/>
      <c r="GO42" s="739"/>
      <c r="GT42" s="2029"/>
      <c r="GU42" s="2281">
        <v>2024</v>
      </c>
      <c r="GV42" s="2137"/>
      <c r="GW42" s="2509">
        <f t="shared" si="1"/>
        <v>2.3884588522954773</v>
      </c>
      <c r="GX42" s="1255">
        <f ca="1">СЧЁТ!CN35</f>
        <v>4.5580532686080861</v>
      </c>
      <c r="GY42" s="739"/>
      <c r="GZ42" s="739"/>
      <c r="HA42" s="739"/>
      <c r="HB42" s="739"/>
      <c r="HC42" s="739"/>
      <c r="HD42" s="739"/>
      <c r="HE42" s="739"/>
      <c r="HF42" s="739"/>
      <c r="HG42" s="739"/>
      <c r="HH42" s="739"/>
      <c r="HI42" s="739"/>
      <c r="HJ42" s="739"/>
      <c r="HK42" s="739"/>
      <c r="HR42" s="2281">
        <v>2024</v>
      </c>
      <c r="HS42" s="2121">
        <v>0.23884588522954772</v>
      </c>
      <c r="HT42" s="1794"/>
      <c r="HU42" s="739"/>
      <c r="HV42" s="739"/>
      <c r="HW42" s="739"/>
      <c r="HX42" s="739"/>
      <c r="HY42" s="739"/>
      <c r="HZ42" s="739"/>
      <c r="IA42" s="739"/>
      <c r="IB42" s="739"/>
      <c r="IC42" s="739"/>
      <c r="ID42" s="739"/>
      <c r="IE42" s="739"/>
      <c r="IF42" s="739"/>
      <c r="IG42" s="739"/>
      <c r="IH42" s="739"/>
      <c r="IL42" s="2029"/>
      <c r="IN42" s="2281">
        <v>2024</v>
      </c>
      <c r="IO42" s="2137"/>
      <c r="IP42" s="765"/>
      <c r="IQ42" s="1794"/>
      <c r="IR42" s="739"/>
      <c r="IS42" s="739"/>
      <c r="IT42" s="739"/>
      <c r="IU42" s="739"/>
      <c r="IV42" s="739"/>
      <c r="IW42" s="739"/>
      <c r="IX42" s="739"/>
      <c r="IY42" s="739"/>
      <c r="IZ42" s="739"/>
      <c r="JA42" s="739"/>
      <c r="JJ42" s="2748"/>
      <c r="JL42" s="2281">
        <v>2024</v>
      </c>
      <c r="JM42" s="2136"/>
      <c r="JN42" s="1966">
        <f t="shared" ca="1" si="16"/>
        <v>1.0452294442844008</v>
      </c>
      <c r="JO42" s="739"/>
      <c r="JP42" s="739"/>
      <c r="JQ42" s="739"/>
      <c r="JR42" s="739"/>
      <c r="JS42" s="739"/>
      <c r="JT42" s="739"/>
      <c r="JU42" s="739"/>
      <c r="JV42" s="739"/>
      <c r="JW42" s="739"/>
      <c r="JX42" s="739"/>
      <c r="JY42" s="739"/>
      <c r="JZ42" s="739"/>
      <c r="KA42" s="739"/>
      <c r="KB42" s="739"/>
      <c r="KF42" s="2029"/>
      <c r="KH42" s="2281">
        <v>2024</v>
      </c>
      <c r="KI42" s="2137"/>
      <c r="KJ42" s="765"/>
      <c r="KK42" s="1966">
        <f ca="1">СЧЁТ!CJ35</f>
        <v>3.4250255201235156</v>
      </c>
      <c r="KL42" s="739"/>
      <c r="KM42" s="739"/>
      <c r="KN42" s="739"/>
      <c r="KO42" s="739"/>
      <c r="KP42" s="739"/>
      <c r="KQ42" s="739"/>
      <c r="KR42" s="739"/>
      <c r="KS42" s="739"/>
      <c r="KT42" s="739"/>
      <c r="KU42" s="739"/>
      <c r="KV42" s="739"/>
      <c r="KW42" s="739"/>
      <c r="KX42" s="739"/>
      <c r="KY42" s="739"/>
      <c r="LE42" s="2281">
        <v>2024</v>
      </c>
      <c r="LF42" s="2136"/>
      <c r="LG42" s="1382">
        <f ca="1"/>
        <v>76.071638919977261</v>
      </c>
      <c r="LH42" s="2136"/>
      <c r="LI42" s="1035">
        <f ca="1"/>
        <v>0.757039971475578</v>
      </c>
      <c r="LJ42" s="739"/>
      <c r="LK42" s="739"/>
      <c r="LL42" s="739"/>
      <c r="LM42" s="739"/>
      <c r="LN42" s="739"/>
      <c r="LO42" s="739"/>
      <c r="LP42" s="739"/>
      <c r="LQ42" s="739"/>
      <c r="LR42" s="739"/>
      <c r="LS42" s="739"/>
      <c r="LT42" s="739"/>
      <c r="LU42" s="739"/>
      <c r="LV42" s="739"/>
      <c r="MB42" s="2281">
        <v>2024</v>
      </c>
      <c r="MC42" s="2485"/>
      <c r="MD42" s="2131">
        <f ca="1">СЧЁТ!CE35</f>
        <v>7059.0967442522897</v>
      </c>
      <c r="ME42" s="739"/>
      <c r="MF42" s="739"/>
      <c r="MG42" s="739"/>
      <c r="MH42" s="739"/>
      <c r="MI42" s="739"/>
      <c r="MJ42" s="739"/>
      <c r="MK42" s="739"/>
      <c r="ML42" s="739"/>
      <c r="MM42" s="739"/>
      <c r="MN42" s="739"/>
      <c r="MO42" s="739"/>
      <c r="MP42" s="739"/>
      <c r="MQ42" s="739"/>
      <c r="MY42" s="2281">
        <v>2024</v>
      </c>
      <c r="MZ42" s="2136"/>
      <c r="NA42" s="1597">
        <f>СЧЁТ!CB35</f>
        <v>83.898550764360792</v>
      </c>
      <c r="NB42" s="739"/>
      <c r="NC42" s="739"/>
      <c r="ND42" s="739"/>
      <c r="NE42" s="739"/>
      <c r="NF42" s="739"/>
      <c r="NG42" s="739"/>
      <c r="NH42" s="739"/>
      <c r="NI42" s="739"/>
      <c r="NJ42" s="739"/>
      <c r="NK42" s="739"/>
      <c r="NL42" s="739"/>
      <c r="NM42" s="739"/>
      <c r="NN42" s="739"/>
      <c r="NO42" s="739"/>
      <c r="NV42" s="2281">
        <v>2024</v>
      </c>
      <c r="NW42" s="2137"/>
      <c r="NX42" s="765"/>
      <c r="NY42" s="765"/>
      <c r="NZ42" s="1794"/>
      <c r="OA42" s="739"/>
      <c r="OB42" s="739"/>
      <c r="OC42" s="739"/>
      <c r="OD42" s="739"/>
      <c r="OE42" s="739"/>
      <c r="OF42" s="739"/>
      <c r="OG42" s="739"/>
      <c r="OH42" s="739"/>
      <c r="OI42" s="739"/>
      <c r="OJ42" s="739"/>
      <c r="OK42" s="739"/>
      <c r="OS42" s="2748"/>
      <c r="OU42" s="2281">
        <v>2024</v>
      </c>
      <c r="OV42" s="2136"/>
      <c r="OW42" s="2594">
        <f t="shared" ca="1" si="15"/>
        <v>1.0415597051838101</v>
      </c>
      <c r="OX42" s="739"/>
      <c r="OY42" s="739"/>
      <c r="OZ42" s="739"/>
      <c r="PA42" s="739"/>
      <c r="PB42" s="739"/>
      <c r="PC42" s="739"/>
      <c r="PD42" s="739"/>
      <c r="PE42" s="739"/>
      <c r="PF42" s="739"/>
      <c r="PG42" s="739"/>
      <c r="PH42" s="739"/>
      <c r="PI42" s="739"/>
      <c r="PJ42" s="739"/>
      <c r="PK42" s="739"/>
      <c r="PO42" s="2029"/>
      <c r="PQ42" s="2281">
        <v>2024</v>
      </c>
      <c r="PR42" s="2137"/>
      <c r="PS42" s="1966">
        <f ca="1">СЧЁТ!CI35</f>
        <v>1.6347565687736516</v>
      </c>
      <c r="PT42" s="739"/>
      <c r="PU42" s="739"/>
      <c r="PV42" s="739"/>
      <c r="PW42" s="739"/>
      <c r="PX42" s="739"/>
      <c r="PY42" s="739"/>
      <c r="PZ42" s="739"/>
      <c r="QA42" s="739"/>
      <c r="QB42" s="739"/>
      <c r="QC42" s="739"/>
      <c r="QD42" s="739"/>
      <c r="QE42" s="739"/>
      <c r="QF42" s="739"/>
      <c r="QG42" s="739"/>
      <c r="QM42" s="2281">
        <v>2024</v>
      </c>
      <c r="QN42" s="2136"/>
      <c r="QO42" s="1794"/>
      <c r="QP42" s="739"/>
      <c r="QQ42" s="739"/>
      <c r="QR42" s="739"/>
      <c r="QS42" s="739"/>
      <c r="QT42" s="739"/>
      <c r="QU42" s="739"/>
      <c r="QV42" s="739"/>
      <c r="QW42" s="739"/>
      <c r="QX42" s="739"/>
      <c r="QY42" s="739"/>
      <c r="QZ42" s="739"/>
      <c r="RA42" s="739"/>
      <c r="RB42" s="739"/>
      <c r="RC42" s="739"/>
      <c r="RG42" s="2029"/>
      <c r="RI42" s="943">
        <v>30</v>
      </c>
      <c r="RJ42" s="2281">
        <v>2024</v>
      </c>
      <c r="RK42" s="2137"/>
      <c r="RL42" s="1786"/>
      <c r="RM42" s="2489">
        <f>НАСТРОЙКА!IB34</f>
        <v>11450.376438115263</v>
      </c>
      <c r="RN42" s="739"/>
      <c r="RO42" s="739"/>
      <c r="RP42" s="739"/>
      <c r="RQ42" s="739"/>
      <c r="RR42" s="739"/>
      <c r="RS42" s="739"/>
      <c r="RT42" s="739"/>
      <c r="RU42" s="739"/>
      <c r="RV42" s="739"/>
      <c r="RW42" s="739"/>
      <c r="RX42" s="739"/>
      <c r="RY42" s="739"/>
      <c r="RZ42" s="739"/>
      <c r="SA42" s="739"/>
      <c r="SG42" s="2281">
        <v>2024</v>
      </c>
      <c r="SH42" s="2136"/>
      <c r="SI42" s="1966">
        <f t="shared" ca="1" si="17"/>
        <v>0.61649473119105769</v>
      </c>
      <c r="SJ42" s="739"/>
      <c r="SK42" s="739"/>
      <c r="SL42" s="739"/>
      <c r="SM42" s="739"/>
      <c r="SN42" s="739"/>
      <c r="SO42" s="739"/>
      <c r="SP42" s="739"/>
      <c r="SQ42" s="739"/>
      <c r="SR42" s="739"/>
      <c r="SS42" s="739"/>
      <c r="ST42" s="739"/>
      <c r="SU42" s="739"/>
      <c r="SV42" s="739"/>
      <c r="SW42" s="739"/>
      <c r="TC42" s="2281">
        <v>2024</v>
      </c>
      <c r="TD42" s="2137"/>
      <c r="TE42" s="1794"/>
      <c r="TF42" s="739"/>
      <c r="TG42" s="739"/>
      <c r="TH42" s="739"/>
      <c r="TI42" s="739"/>
      <c r="TJ42" s="739"/>
      <c r="TK42" s="739"/>
      <c r="TL42" s="739"/>
      <c r="TM42" s="739"/>
      <c r="TN42" s="739"/>
      <c r="TO42" s="739"/>
      <c r="TP42" s="739"/>
      <c r="TQ42" s="739"/>
      <c r="TX42" s="2748"/>
      <c r="TZ42" s="2281">
        <v>2024</v>
      </c>
      <c r="UA42" s="2136"/>
      <c r="UB42" s="555"/>
      <c r="UC42" s="1966">
        <f t="shared" si="18"/>
        <v>1.0267108147793642</v>
      </c>
      <c r="UD42" s="739"/>
      <c r="UE42" s="739"/>
      <c r="UF42" s="739"/>
      <c r="UG42" s="739"/>
      <c r="UH42" s="739"/>
      <c r="UI42" s="739"/>
      <c r="UJ42" s="739"/>
      <c r="UK42" s="739"/>
      <c r="UL42" s="739"/>
      <c r="UM42" s="739"/>
      <c r="UN42" s="739"/>
      <c r="UO42" s="739"/>
      <c r="UP42" s="739"/>
      <c r="UQ42" s="739"/>
      <c r="UU42" s="2029"/>
      <c r="UW42" s="2281">
        <v>2024</v>
      </c>
      <c r="UX42" s="2137"/>
      <c r="UY42" s="1966">
        <f>ОТЧЁТ!EX165</f>
        <v>0.7969759223117594</v>
      </c>
      <c r="UZ42" s="739"/>
      <c r="VA42" s="739"/>
      <c r="VB42" s="739"/>
      <c r="VC42" s="739"/>
      <c r="VD42" s="739"/>
      <c r="VE42" s="739"/>
      <c r="VF42" s="739"/>
      <c r="VG42" s="739"/>
      <c r="VH42" s="739"/>
      <c r="VI42" s="739"/>
      <c r="VJ42" s="739"/>
      <c r="VK42" s="739"/>
      <c r="VL42" s="739"/>
      <c r="VM42" s="739"/>
      <c r="VS42" s="2281">
        <v>2024</v>
      </c>
      <c r="VT42" s="2136"/>
      <c r="VU42" s="1794"/>
      <c r="VV42" s="739"/>
      <c r="VW42" s="739"/>
      <c r="VX42" s="739"/>
      <c r="VY42" s="739"/>
      <c r="VZ42" s="739"/>
      <c r="WA42" s="739"/>
      <c r="WB42" s="739"/>
      <c r="WC42" s="739"/>
      <c r="WD42" s="739"/>
      <c r="WE42" s="739"/>
      <c r="WF42" s="739"/>
      <c r="WG42" s="739"/>
      <c r="WH42" s="739"/>
      <c r="WI42" s="739"/>
      <c r="WM42" s="2029"/>
      <c r="WO42" s="2281">
        <v>2024</v>
      </c>
      <c r="WP42" s="2485"/>
      <c r="WQ42" s="1786">
        <f t="shared" si="11"/>
        <v>9263.3545384352492</v>
      </c>
      <c r="WR42" s="2131">
        <v>6193.1184796046173</v>
      </c>
      <c r="WS42" s="739"/>
      <c r="WT42" s="739"/>
      <c r="WU42" s="739"/>
      <c r="WV42" s="739"/>
      <c r="WW42" s="739"/>
      <c r="WX42" s="739"/>
      <c r="WY42" s="739"/>
      <c r="WZ42" s="739"/>
      <c r="XA42" s="739"/>
      <c r="XB42" s="739"/>
      <c r="XC42" s="739"/>
      <c r="XD42" s="739"/>
      <c r="XE42" s="739"/>
      <c r="XF42" s="739"/>
      <c r="XK42" s="2492">
        <v>2024</v>
      </c>
      <c r="XL42" s="2136"/>
      <c r="XM42" s="2416">
        <f t="shared" si="19"/>
        <v>0.66856109780839157</v>
      </c>
      <c r="XN42" s="739"/>
      <c r="XO42" s="739"/>
      <c r="XP42" s="739"/>
      <c r="XQ42" s="739"/>
      <c r="XR42" s="739"/>
      <c r="XS42" s="739"/>
      <c r="XT42" s="739"/>
      <c r="XU42" s="739"/>
      <c r="XV42" s="739"/>
      <c r="XW42" s="739"/>
      <c r="XX42" s="739"/>
      <c r="XY42" s="739"/>
      <c r="XZ42" s="739"/>
      <c r="YA42" s="739"/>
      <c r="YE42" s="2029"/>
      <c r="YG42" s="2281">
        <v>2024</v>
      </c>
      <c r="YH42" s="2137"/>
      <c r="YI42" s="1794"/>
      <c r="YJ42" s="739"/>
      <c r="YK42" s="739"/>
      <c r="YL42" s="739"/>
      <c r="YM42" s="739"/>
      <c r="YN42" s="739"/>
      <c r="YO42" s="739"/>
      <c r="YP42" s="739"/>
      <c r="YQ42" s="739"/>
      <c r="YR42" s="739"/>
      <c r="YS42" s="739"/>
      <c r="YT42" s="739"/>
      <c r="YU42" s="739"/>
      <c r="ZE42" s="2587" t="s">
        <v>2183</v>
      </c>
      <c r="ZF42" s="765"/>
      <c r="ZG42" s="765"/>
      <c r="ZH42" s="765"/>
      <c r="ZI42" s="765"/>
      <c r="ZJ42" s="765"/>
      <c r="ZK42" s="765"/>
      <c r="ZL42" s="765"/>
      <c r="ZM42" s="765"/>
      <c r="ZN42" s="765"/>
      <c r="ZO42" s="765"/>
      <c r="ZP42" s="777"/>
    </row>
    <row r="43" spans="6:692" ht="21">
      <c r="G43" s="2281">
        <v>2025</v>
      </c>
      <c r="H43" s="2595"/>
      <c r="I43" s="2594">
        <f ca="1">AG43/AG42</f>
        <v>1.0304082970353559</v>
      </c>
      <c r="J43" s="2490">
        <v>1.03</v>
      </c>
      <c r="K43" s="739"/>
      <c r="L43" s="739"/>
      <c r="M43" s="739"/>
      <c r="N43" s="739"/>
      <c r="O43" s="739"/>
      <c r="P43" s="739"/>
      <c r="Q43" s="739"/>
      <c r="R43" s="739"/>
      <c r="S43" s="739"/>
      <c r="T43" s="739"/>
      <c r="U43" s="739"/>
      <c r="V43" s="739"/>
      <c r="W43" s="739"/>
      <c r="X43" s="739"/>
      <c r="AD43" s="2281">
        <v>2025</v>
      </c>
      <c r="AE43" s="2137"/>
      <c r="AF43" s="765"/>
      <c r="AG43" s="1966">
        <f ca="1"/>
        <v>2.4644017832794307</v>
      </c>
      <c r="AH43" s="739"/>
      <c r="AI43" s="739"/>
      <c r="AJ43" s="739"/>
      <c r="AK43" s="739"/>
      <c r="AL43" s="739"/>
      <c r="AM43" s="739"/>
      <c r="AN43" s="739"/>
      <c r="AO43" s="739"/>
      <c r="AP43" s="739"/>
      <c r="AQ43" s="739"/>
      <c r="AR43" s="739"/>
      <c r="AS43" s="739"/>
      <c r="AT43" s="739"/>
      <c r="AU43" s="739"/>
      <c r="BA43" s="2281">
        <v>2025</v>
      </c>
      <c r="BB43" s="2595"/>
      <c r="BC43" s="1255">
        <v>43.409941332990961</v>
      </c>
      <c r="BD43" s="739"/>
      <c r="BE43" s="739"/>
      <c r="BF43" s="739"/>
      <c r="BG43" s="739"/>
      <c r="BH43" s="739"/>
      <c r="BI43" s="739"/>
      <c r="BJ43" s="739"/>
      <c r="BK43" s="739"/>
      <c r="BL43" s="739"/>
      <c r="BM43" s="739"/>
      <c r="BN43" s="739"/>
      <c r="BO43" s="739"/>
      <c r="BP43" s="739"/>
      <c r="BQ43" s="739"/>
      <c r="BW43" s="2281">
        <v>2025</v>
      </c>
      <c r="BX43" s="2137"/>
      <c r="BY43" s="765"/>
      <c r="BZ43" s="1966">
        <v>2.6650801234199943</v>
      </c>
      <c r="CA43" s="739"/>
      <c r="CB43" s="739"/>
      <c r="CC43" s="739"/>
      <c r="CD43" s="739"/>
      <c r="CE43" s="739"/>
      <c r="CF43" s="739"/>
      <c r="CG43" s="739"/>
      <c r="CH43" s="739"/>
      <c r="CI43" s="739"/>
      <c r="CJ43" s="739"/>
      <c r="CK43" s="739"/>
      <c r="CL43" s="739"/>
      <c r="CM43" s="739"/>
      <c r="CN43" s="739"/>
      <c r="CT43" s="2281">
        <v>2025</v>
      </c>
      <c r="CU43" s="2136"/>
      <c r="CV43" s="1794"/>
      <c r="CW43" s="739"/>
      <c r="CX43" s="739"/>
      <c r="CY43" s="739"/>
      <c r="CZ43" s="739"/>
      <c r="DA43" s="739"/>
      <c r="DB43" s="739"/>
      <c r="DC43" s="739"/>
      <c r="DD43" s="739"/>
      <c r="DE43" s="739"/>
      <c r="DF43" s="739"/>
      <c r="DG43" s="739"/>
      <c r="DH43" s="739"/>
      <c r="DI43" s="739"/>
      <c r="DJ43" s="739"/>
      <c r="DO43" s="2281">
        <v>2025</v>
      </c>
      <c r="DP43" s="2137"/>
      <c r="DQ43" s="765"/>
      <c r="DR43" s="1794"/>
      <c r="DS43" s="739"/>
      <c r="DT43" s="739"/>
      <c r="DU43" s="739"/>
      <c r="DV43" s="739"/>
      <c r="DW43" s="739"/>
      <c r="DX43" s="739"/>
      <c r="DY43" s="739"/>
      <c r="DZ43" s="739"/>
      <c r="EA43" s="739"/>
      <c r="EB43" s="739"/>
      <c r="EC43" s="739"/>
      <c r="ED43" s="739"/>
      <c r="EE43" s="2748"/>
      <c r="EG43" s="2281">
        <v>2025</v>
      </c>
      <c r="EH43" s="2416"/>
      <c r="EI43" s="2416">
        <f ca="1">FE43/FE42</f>
        <v>1.0448250713327234</v>
      </c>
      <c r="EJ43" s="739"/>
      <c r="EK43" s="739"/>
      <c r="EL43" s="739"/>
      <c r="EM43" s="739"/>
      <c r="EN43" s="739"/>
      <c r="EO43" s="739"/>
      <c r="EP43" s="739"/>
      <c r="EQ43" s="739"/>
      <c r="ER43" s="739"/>
      <c r="ES43" s="739"/>
      <c r="ET43" s="739"/>
      <c r="EU43" s="739"/>
      <c r="EV43" s="739"/>
      <c r="EW43" s="739"/>
      <c r="FC43" s="2281">
        <v>2025</v>
      </c>
      <c r="FD43" s="2137"/>
      <c r="FE43" s="1966">
        <f ca="1">СЧЁТ!CG36</f>
        <v>3.1368119838689532</v>
      </c>
      <c r="FF43" s="739"/>
      <c r="FG43" s="739"/>
      <c r="FH43" s="739"/>
      <c r="FI43" s="739"/>
      <c r="FJ43" s="739"/>
      <c r="FK43" s="739"/>
      <c r="FL43" s="739"/>
      <c r="FM43" s="739"/>
      <c r="FN43" s="739"/>
      <c r="FO43" s="739"/>
      <c r="FP43" s="739"/>
      <c r="FQ43" s="739"/>
      <c r="FR43" s="739"/>
      <c r="FS43" s="739"/>
      <c r="FY43" s="2281">
        <v>2025</v>
      </c>
      <c r="FZ43" s="2136"/>
      <c r="GA43" s="2416">
        <f t="shared" ca="1" si="14"/>
        <v>1.0369491948262495</v>
      </c>
      <c r="GB43" s="739"/>
      <c r="GC43" s="739"/>
      <c r="GD43" s="739"/>
      <c r="GE43" s="739"/>
      <c r="GF43" s="739"/>
      <c r="GG43" s="739"/>
      <c r="GH43" s="739"/>
      <c r="GI43" s="739"/>
      <c r="GJ43" s="739"/>
      <c r="GK43" s="739"/>
      <c r="GL43" s="739"/>
      <c r="GM43" s="739"/>
      <c r="GN43" s="739"/>
      <c r="GO43" s="739"/>
      <c r="GT43" s="2029"/>
      <c r="GU43" s="2281">
        <v>2025</v>
      </c>
      <c r="GV43" s="2137"/>
      <c r="GW43" s="2509">
        <f t="shared" si="1"/>
        <v>2.3984588522954771</v>
      </c>
      <c r="GX43" s="1255">
        <f ca="1">СЧЁТ!CN36</f>
        <v>4.7264696668583097</v>
      </c>
      <c r="GY43" s="739"/>
      <c r="GZ43" s="739"/>
      <c r="HA43" s="739"/>
      <c r="HB43" s="739"/>
      <c r="HC43" s="739"/>
      <c r="HD43" s="739"/>
      <c r="HE43" s="739"/>
      <c r="HF43" s="739"/>
      <c r="HG43" s="739"/>
      <c r="HH43" s="739"/>
      <c r="HI43" s="739"/>
      <c r="HJ43" s="739"/>
      <c r="HK43" s="739"/>
      <c r="HR43" s="2281">
        <v>2025</v>
      </c>
      <c r="HS43" s="2121">
        <v>0.23984588522954772</v>
      </c>
      <c r="HT43" s="1794"/>
      <c r="HU43" s="739"/>
      <c r="HV43" s="739"/>
      <c r="HW43" s="739"/>
      <c r="HX43" s="739"/>
      <c r="HY43" s="739"/>
      <c r="HZ43" s="739"/>
      <c r="IA43" s="739"/>
      <c r="IB43" s="739"/>
      <c r="IC43" s="739"/>
      <c r="ID43" s="739"/>
      <c r="IE43" s="739"/>
      <c r="IF43" s="739"/>
      <c r="IG43" s="739"/>
      <c r="IH43" s="739"/>
      <c r="IL43" s="2029"/>
      <c r="IN43" s="2281">
        <v>2025</v>
      </c>
      <c r="IO43" s="2137"/>
      <c r="IP43" s="765"/>
      <c r="IQ43" s="1794"/>
      <c r="IR43" s="739"/>
      <c r="IS43" s="739"/>
      <c r="IT43" s="739"/>
      <c r="IU43" s="739"/>
      <c r="IV43" s="739"/>
      <c r="IW43" s="739"/>
      <c r="IX43" s="739"/>
      <c r="IY43" s="739"/>
      <c r="IZ43" s="739"/>
      <c r="JA43" s="739"/>
      <c r="JJ43" s="2748"/>
      <c r="JL43" s="2281">
        <v>2025</v>
      </c>
      <c r="JM43" s="2136"/>
      <c r="JN43" s="1966">
        <f t="shared" ca="1" si="16"/>
        <v>1.0447027920353136</v>
      </c>
      <c r="JO43" s="739"/>
      <c r="JP43" s="739"/>
      <c r="JQ43" s="739"/>
      <c r="JR43" s="739"/>
      <c r="JS43" s="739"/>
      <c r="JT43" s="739"/>
      <c r="JU43" s="739"/>
      <c r="JV43" s="739"/>
      <c r="JW43" s="739"/>
      <c r="JX43" s="739"/>
      <c r="JY43" s="739"/>
      <c r="JZ43" s="739"/>
      <c r="KA43" s="739"/>
      <c r="KB43" s="739"/>
      <c r="KF43" s="2029"/>
      <c r="KH43" s="2281">
        <v>2025</v>
      </c>
      <c r="KI43" s="2137"/>
      <c r="KJ43" s="765"/>
      <c r="KK43" s="1966">
        <f ca="1">СЧЁТ!CJ36</f>
        <v>3.5781337236652386</v>
      </c>
      <c r="KL43" s="739"/>
      <c r="KM43" s="739"/>
      <c r="KN43" s="739"/>
      <c r="KO43" s="739"/>
      <c r="KP43" s="739"/>
      <c r="KQ43" s="739"/>
      <c r="KR43" s="739"/>
      <c r="KS43" s="739"/>
      <c r="KT43" s="739"/>
      <c r="KU43" s="739"/>
      <c r="KV43" s="739"/>
      <c r="KW43" s="739"/>
      <c r="KX43" s="739"/>
      <c r="KY43" s="739"/>
      <c r="LE43" s="2281">
        <v>2025</v>
      </c>
      <c r="LF43" s="2136"/>
      <c r="LG43" s="1382">
        <f ca="1"/>
        <v>76.792560028524406</v>
      </c>
      <c r="LH43" s="2136"/>
      <c r="LI43" s="1035">
        <f ca="1"/>
        <v>-6.5391119224770478E-2</v>
      </c>
      <c r="LJ43" s="739"/>
      <c r="LK43" s="739"/>
      <c r="LL43" s="739"/>
      <c r="LM43" s="739"/>
      <c r="LN43" s="739"/>
      <c r="LO43" s="739"/>
      <c r="LP43" s="739"/>
      <c r="LQ43" s="739"/>
      <c r="LR43" s="739"/>
      <c r="LS43" s="739"/>
      <c r="LT43" s="739"/>
      <c r="LU43" s="739"/>
      <c r="LV43" s="739"/>
      <c r="MB43" s="2281">
        <v>2025</v>
      </c>
      <c r="MC43" s="2485"/>
      <c r="MD43" s="2131">
        <f ca="1">СЧЁТ!CE36</f>
        <v>7289.4054011630133</v>
      </c>
      <c r="ME43" s="739"/>
      <c r="MF43" s="739"/>
      <c r="MG43" s="739"/>
      <c r="MH43" s="739"/>
      <c r="MI43" s="739"/>
      <c r="MJ43" s="739"/>
      <c r="MK43" s="739"/>
      <c r="ML43" s="739"/>
      <c r="MM43" s="739"/>
      <c r="MN43" s="739"/>
      <c r="MO43" s="739"/>
      <c r="MP43" s="739"/>
      <c r="MQ43" s="739"/>
      <c r="MY43" s="2281">
        <v>2025</v>
      </c>
      <c r="MZ43" s="2136"/>
      <c r="NA43" s="1597">
        <f>СЧЁТ!CB36</f>
        <v>84.919779616660918</v>
      </c>
      <c r="NB43" s="739"/>
      <c r="NC43" s="739"/>
      <c r="ND43" s="739"/>
      <c r="NE43" s="739"/>
      <c r="NF43" s="739"/>
      <c r="NG43" s="739"/>
      <c r="NH43" s="739"/>
      <c r="NI43" s="739"/>
      <c r="NJ43" s="739"/>
      <c r="NK43" s="739"/>
      <c r="NL43" s="739"/>
      <c r="NM43" s="739"/>
      <c r="NN43" s="739"/>
      <c r="NO43" s="739"/>
      <c r="NV43" s="2281">
        <v>2025</v>
      </c>
      <c r="NW43" s="2137"/>
      <c r="NX43" s="765"/>
      <c r="NY43" s="765"/>
      <c r="NZ43" s="1794"/>
      <c r="OA43" s="739"/>
      <c r="OB43" s="739"/>
      <c r="OC43" s="739"/>
      <c r="OD43" s="739"/>
      <c r="OE43" s="739"/>
      <c r="OF43" s="739"/>
      <c r="OG43" s="739"/>
      <c r="OH43" s="739"/>
      <c r="OI43" s="739"/>
      <c r="OJ43" s="739"/>
      <c r="OK43" s="739"/>
      <c r="OS43" s="2748"/>
      <c r="OU43" s="2281">
        <v>2025</v>
      </c>
      <c r="OV43" s="2136"/>
      <c r="OW43" s="2594">
        <f t="shared" ca="1" si="15"/>
        <v>1.0412367253533303</v>
      </c>
      <c r="OX43" s="739"/>
      <c r="OY43" s="739"/>
      <c r="OZ43" s="739"/>
      <c r="PA43" s="739"/>
      <c r="PB43" s="739"/>
      <c r="PC43" s="739"/>
      <c r="PD43" s="739"/>
      <c r="PE43" s="739"/>
      <c r="PF43" s="739"/>
      <c r="PG43" s="739"/>
      <c r="PH43" s="739"/>
      <c r="PI43" s="739"/>
      <c r="PJ43" s="739"/>
      <c r="PK43" s="739"/>
      <c r="PO43" s="2029"/>
      <c r="PQ43" s="2281">
        <v>2025</v>
      </c>
      <c r="PR43" s="2137"/>
      <c r="PS43" s="1966">
        <f ca="1">СЧЁТ!CI36</f>
        <v>1.7021685764197234</v>
      </c>
      <c r="PT43" s="739"/>
      <c r="PU43" s="739"/>
      <c r="PV43" s="739"/>
      <c r="PW43" s="739"/>
      <c r="PX43" s="739"/>
      <c r="PY43" s="739"/>
      <c r="PZ43" s="739"/>
      <c r="QA43" s="739"/>
      <c r="QB43" s="739"/>
      <c r="QC43" s="739"/>
      <c r="QD43" s="739"/>
      <c r="QE43" s="739"/>
      <c r="QF43" s="739"/>
      <c r="QG43" s="739"/>
      <c r="QM43" s="2281">
        <v>2025</v>
      </c>
      <c r="QN43" s="2136"/>
      <c r="QO43" s="1794"/>
      <c r="QP43" s="739"/>
      <c r="QQ43" s="739"/>
      <c r="QR43" s="739"/>
      <c r="QS43" s="739"/>
      <c r="QT43" s="739"/>
      <c r="QU43" s="739"/>
      <c r="QV43" s="739"/>
      <c r="QW43" s="739"/>
      <c r="QX43" s="739"/>
      <c r="QY43" s="739"/>
      <c r="QZ43" s="739"/>
      <c r="RA43" s="739"/>
      <c r="RB43" s="739"/>
      <c r="RC43" s="739"/>
      <c r="RG43" s="2029"/>
      <c r="RI43" s="943">
        <v>31</v>
      </c>
      <c r="RJ43" s="2281">
        <v>2025</v>
      </c>
      <c r="RK43" s="2137"/>
      <c r="RL43" s="1786"/>
      <c r="RM43" s="2489">
        <f>НАСТРОЙКА!IB35</f>
        <v>11948.374451382973</v>
      </c>
      <c r="RN43" s="739"/>
      <c r="RO43" s="739"/>
      <c r="RP43" s="739"/>
      <c r="RQ43" s="739"/>
      <c r="RR43" s="739"/>
      <c r="RS43" s="739"/>
      <c r="RT43" s="739"/>
      <c r="RU43" s="739"/>
      <c r="RV43" s="739"/>
      <c r="RW43" s="739"/>
      <c r="RX43" s="739"/>
      <c r="RY43" s="739"/>
      <c r="RZ43" s="739"/>
      <c r="SA43" s="739"/>
      <c r="SG43" s="2281">
        <v>2025</v>
      </c>
      <c r="SH43" s="2136"/>
      <c r="SI43" s="1966">
        <f t="shared" ca="1" si="17"/>
        <v>0.61007507178679821</v>
      </c>
      <c r="SJ43" s="739"/>
      <c r="SK43" s="739"/>
      <c r="SL43" s="739"/>
      <c r="SM43" s="739"/>
      <c r="SN43" s="739"/>
      <c r="SO43" s="739"/>
      <c r="SP43" s="739"/>
      <c r="SQ43" s="739"/>
      <c r="SR43" s="739"/>
      <c r="SS43" s="739"/>
      <c r="ST43" s="739"/>
      <c r="SU43" s="739"/>
      <c r="SV43" s="739"/>
      <c r="SW43" s="739"/>
      <c r="TC43" s="2281">
        <v>2025</v>
      </c>
      <c r="TD43" s="2137"/>
      <c r="TE43" s="1794"/>
      <c r="TF43" s="739"/>
      <c r="TG43" s="739"/>
      <c r="TH43" s="739"/>
      <c r="TI43" s="739"/>
      <c r="TJ43" s="739"/>
      <c r="TK43" s="739"/>
      <c r="TL43" s="739"/>
      <c r="TM43" s="739"/>
      <c r="TN43" s="739"/>
      <c r="TO43" s="739"/>
      <c r="TP43" s="739"/>
      <c r="TQ43" s="739"/>
      <c r="TX43" s="2748"/>
      <c r="TZ43" s="2281">
        <v>2025</v>
      </c>
      <c r="UA43" s="2136"/>
      <c r="UB43" s="555"/>
      <c r="UC43" s="1966">
        <f t="shared" si="18"/>
        <v>1.0247151132286936</v>
      </c>
      <c r="UD43" s="739"/>
      <c r="UE43" s="739"/>
      <c r="UF43" s="739"/>
      <c r="UG43" s="739"/>
      <c r="UH43" s="739"/>
      <c r="UI43" s="739"/>
      <c r="UJ43" s="739"/>
      <c r="UK43" s="739"/>
      <c r="UL43" s="739"/>
      <c r="UM43" s="739"/>
      <c r="UN43" s="739"/>
      <c r="UO43" s="739"/>
      <c r="UP43" s="739"/>
      <c r="UQ43" s="739"/>
      <c r="UU43" s="2029"/>
      <c r="UW43" s="2281">
        <v>2025</v>
      </c>
      <c r="UX43" s="2137"/>
      <c r="UY43" s="1966">
        <f>ОТЧЁТ!EX166</f>
        <v>0.81667327247223698</v>
      </c>
      <c r="UZ43" s="739"/>
      <c r="VA43" s="739"/>
      <c r="VB43" s="739"/>
      <c r="VC43" s="739"/>
      <c r="VD43" s="739"/>
      <c r="VE43" s="739"/>
      <c r="VF43" s="739"/>
      <c r="VG43" s="739"/>
      <c r="VH43" s="739"/>
      <c r="VI43" s="739"/>
      <c r="VJ43" s="739"/>
      <c r="VK43" s="739"/>
      <c r="VL43" s="739"/>
      <c r="VM43" s="739"/>
      <c r="VS43" s="2281">
        <v>2025</v>
      </c>
      <c r="VT43" s="2136"/>
      <c r="VU43" s="1794"/>
      <c r="VV43" s="739"/>
      <c r="VW43" s="739"/>
      <c r="VX43" s="739"/>
      <c r="VY43" s="739"/>
      <c r="VZ43" s="739"/>
      <c r="WA43" s="739"/>
      <c r="WB43" s="739"/>
      <c r="WC43" s="739"/>
      <c r="WD43" s="739"/>
      <c r="WE43" s="739"/>
      <c r="WF43" s="739"/>
      <c r="WG43" s="739"/>
      <c r="WH43" s="739"/>
      <c r="WI43" s="739"/>
      <c r="WM43" s="2029"/>
      <c r="WO43" s="2281">
        <v>2025</v>
      </c>
      <c r="WP43" s="2485"/>
      <c r="WQ43" s="1786">
        <f t="shared" si="11"/>
        <v>9666.2349311688267</v>
      </c>
      <c r="WR43" s="2131">
        <v>6293.9954958463259</v>
      </c>
      <c r="WS43" s="739"/>
      <c r="WT43" s="739"/>
      <c r="WU43" s="739"/>
      <c r="WV43" s="739"/>
      <c r="WW43" s="739"/>
      <c r="WX43" s="739"/>
      <c r="WY43" s="739"/>
      <c r="WZ43" s="739"/>
      <c r="XA43" s="739"/>
      <c r="XB43" s="739"/>
      <c r="XC43" s="739"/>
      <c r="XD43" s="739"/>
      <c r="XE43" s="739"/>
      <c r="XF43" s="739"/>
      <c r="XK43" s="2492">
        <v>2025</v>
      </c>
      <c r="XL43" s="2136"/>
      <c r="XM43" s="2416">
        <f t="shared" si="19"/>
        <v>0.65113206337984852</v>
      </c>
      <c r="XN43" s="739"/>
      <c r="XO43" s="739"/>
      <c r="XP43" s="739"/>
      <c r="XQ43" s="739"/>
      <c r="XR43" s="739"/>
      <c r="XS43" s="739"/>
      <c r="XT43" s="739"/>
      <c r="XU43" s="739"/>
      <c r="XV43" s="739"/>
      <c r="XW43" s="739"/>
      <c r="XX43" s="739"/>
      <c r="XY43" s="739"/>
      <c r="XZ43" s="739"/>
      <c r="YA43" s="739"/>
      <c r="YE43" s="2029"/>
      <c r="YG43" s="2281">
        <v>2025</v>
      </c>
      <c r="YH43" s="2137"/>
      <c r="YI43" s="1794"/>
      <c r="YJ43" s="739"/>
      <c r="YK43" s="739"/>
      <c r="YL43" s="739"/>
      <c r="YM43" s="739"/>
      <c r="YN43" s="739"/>
      <c r="YO43" s="739"/>
      <c r="YP43" s="739"/>
      <c r="YQ43" s="739"/>
      <c r="YR43" s="739"/>
      <c r="YS43" s="739"/>
      <c r="YT43" s="739"/>
      <c r="YU43" s="739"/>
      <c r="ZE43" s="2587" t="s">
        <v>2184</v>
      </c>
      <c r="ZF43" s="765"/>
      <c r="ZG43" s="765"/>
      <c r="ZH43" s="765"/>
      <c r="ZI43" s="765"/>
      <c r="ZJ43" s="765"/>
      <c r="ZK43" s="765"/>
      <c r="ZL43" s="765"/>
      <c r="ZM43" s="765"/>
      <c r="ZN43" s="765"/>
      <c r="ZO43" s="765"/>
      <c r="ZP43" s="777"/>
    </row>
    <row r="44" spans="6:692" ht="21">
      <c r="G44" s="2281">
        <v>2026</v>
      </c>
      <c r="H44" s="2595"/>
      <c r="I44" s="2594">
        <f ca="1">AG44/AG43</f>
        <v>1.0304945289350431</v>
      </c>
      <c r="K44" s="739"/>
      <c r="L44" s="739"/>
      <c r="M44" s="739"/>
      <c r="N44" s="739"/>
      <c r="O44" s="739"/>
      <c r="P44" s="739"/>
      <c r="Q44" s="739"/>
      <c r="R44" s="739"/>
      <c r="S44" s="739"/>
      <c r="T44" s="739"/>
      <c r="U44" s="739"/>
      <c r="V44" s="739"/>
      <c r="W44" s="739"/>
      <c r="X44" s="739"/>
      <c r="AD44" s="2281">
        <v>2026</v>
      </c>
      <c r="AE44" s="2137"/>
      <c r="AF44" s="765"/>
      <c r="AG44" s="1966">
        <f ca="1"/>
        <v>2.5395525547672171</v>
      </c>
      <c r="AH44" s="739"/>
      <c r="AI44" s="739"/>
      <c r="AJ44" s="739"/>
      <c r="AK44" s="739"/>
      <c r="AL44" s="739"/>
      <c r="AM44" s="739"/>
      <c r="AN44" s="739"/>
      <c r="AO44" s="739"/>
      <c r="AP44" s="739"/>
      <c r="AQ44" s="739"/>
      <c r="AR44" s="739"/>
      <c r="AS44" s="739"/>
      <c r="AT44" s="739"/>
      <c r="AU44" s="739"/>
      <c r="BA44" s="2281">
        <v>2026</v>
      </c>
      <c r="BB44" s="2595"/>
      <c r="BC44" s="1255">
        <v>46.746628329593726</v>
      </c>
      <c r="BD44" s="739"/>
      <c r="BE44" s="739"/>
      <c r="BF44" s="739"/>
      <c r="BG44" s="739"/>
      <c r="BH44" s="739"/>
      <c r="BI44" s="739"/>
      <c r="BJ44" s="739"/>
      <c r="BK44" s="739"/>
      <c r="BL44" s="739"/>
      <c r="BM44" s="739"/>
      <c r="BN44" s="739"/>
      <c r="BO44" s="739"/>
      <c r="BP44" s="739"/>
      <c r="BQ44" s="739"/>
      <c r="BW44" s="2281">
        <v>2026</v>
      </c>
      <c r="BX44" s="2137"/>
      <c r="BY44" s="765"/>
      <c r="BZ44" s="1966">
        <v>2.6664860774573778</v>
      </c>
      <c r="CA44" s="739"/>
      <c r="CB44" s="739"/>
      <c r="CC44" s="739"/>
      <c r="CD44" s="739"/>
      <c r="CE44" s="739"/>
      <c r="CF44" s="739"/>
      <c r="CG44" s="739"/>
      <c r="CH44" s="739"/>
      <c r="CI44" s="739"/>
      <c r="CJ44" s="739"/>
      <c r="CK44" s="739"/>
      <c r="CL44" s="739"/>
      <c r="CM44" s="739"/>
      <c r="CN44" s="739"/>
      <c r="CT44" s="2281">
        <v>2026</v>
      </c>
      <c r="CU44" s="2136"/>
      <c r="CV44" s="1794"/>
      <c r="CW44" s="739"/>
      <c r="CX44" s="739"/>
      <c r="CY44" s="739"/>
      <c r="CZ44" s="739"/>
      <c r="DA44" s="739"/>
      <c r="DB44" s="739"/>
      <c r="DC44" s="739"/>
      <c r="DD44" s="739"/>
      <c r="DE44" s="739"/>
      <c r="DF44" s="739"/>
      <c r="DG44" s="739"/>
      <c r="DH44" s="739"/>
      <c r="DI44" s="739"/>
      <c r="DJ44" s="739"/>
      <c r="DO44" s="2281">
        <v>2026</v>
      </c>
      <c r="DP44" s="2137"/>
      <c r="DQ44" s="765"/>
      <c r="DR44" s="1794"/>
      <c r="DS44" s="739"/>
      <c r="DT44" s="739"/>
      <c r="DU44" s="739"/>
      <c r="DV44" s="739"/>
      <c r="DW44" s="739"/>
      <c r="DX44" s="739"/>
      <c r="DY44" s="739"/>
      <c r="DZ44" s="739"/>
      <c r="EA44" s="739"/>
      <c r="EB44" s="739"/>
      <c r="EC44" s="739"/>
      <c r="ED44" s="739"/>
      <c r="EE44" s="2748"/>
      <c r="EG44" s="2281">
        <v>2026</v>
      </c>
      <c r="EH44" s="2416"/>
      <c r="EI44" s="2416">
        <f ca="1">FE44/FE43</f>
        <v>1.0444255367571784</v>
      </c>
      <c r="EJ44" s="739"/>
      <c r="EK44" s="739"/>
      <c r="EL44" s="739"/>
      <c r="EM44" s="739"/>
      <c r="EN44" s="739"/>
      <c r="EO44" s="739"/>
      <c r="EP44" s="739"/>
      <c r="EQ44" s="739"/>
      <c r="ER44" s="739"/>
      <c r="ES44" s="739"/>
      <c r="ET44" s="739"/>
      <c r="EU44" s="739"/>
      <c r="EV44" s="739"/>
      <c r="EW44" s="739"/>
      <c r="FC44" s="2281">
        <v>2026</v>
      </c>
      <c r="FD44" s="2137"/>
      <c r="FE44" s="1966">
        <f ca="1">СЧЁТ!CG37</f>
        <v>3.2761665399586812</v>
      </c>
      <c r="FF44" s="739"/>
      <c r="FG44" s="739"/>
      <c r="FH44" s="739"/>
      <c r="FI44" s="739"/>
      <c r="FJ44" s="739"/>
      <c r="FK44" s="739"/>
      <c r="FL44" s="739"/>
      <c r="FM44" s="739"/>
      <c r="FN44" s="739"/>
      <c r="FO44" s="739"/>
      <c r="FP44" s="739"/>
      <c r="FQ44" s="739"/>
      <c r="FR44" s="739"/>
      <c r="FS44" s="739"/>
      <c r="FY44" s="2281">
        <v>2026</v>
      </c>
      <c r="FZ44" s="2136"/>
      <c r="GA44" s="2416">
        <f t="shared" ca="1" si="14"/>
        <v>1.0370227496987634</v>
      </c>
      <c r="GB44" s="739"/>
      <c r="GC44" s="739"/>
      <c r="GD44" s="739"/>
      <c r="GE44" s="739"/>
      <c r="GF44" s="739"/>
      <c r="GG44" s="739"/>
      <c r="GH44" s="739"/>
      <c r="GI44" s="739"/>
      <c r="GJ44" s="739"/>
      <c r="GK44" s="739"/>
      <c r="GL44" s="739"/>
      <c r="GM44" s="739"/>
      <c r="GN44" s="739"/>
      <c r="GO44" s="739"/>
      <c r="GT44" s="2029"/>
      <c r="GU44" s="2281">
        <v>2026</v>
      </c>
      <c r="GV44" s="2137"/>
      <c r="GW44" s="2509">
        <f t="shared" si="1"/>
        <v>2.4084588522954773</v>
      </c>
      <c r="GX44" s="1255">
        <f ca="1">СЧЁТ!CN37</f>
        <v>4.9014565702932025</v>
      </c>
      <c r="GY44" s="739"/>
      <c r="GZ44" s="739"/>
      <c r="HA44" s="739"/>
      <c r="HB44" s="739"/>
      <c r="HC44" s="739"/>
      <c r="HD44" s="739"/>
      <c r="HE44" s="739"/>
      <c r="HF44" s="739"/>
      <c r="HG44" s="739"/>
      <c r="HH44" s="739"/>
      <c r="HI44" s="739"/>
      <c r="HJ44" s="739"/>
      <c r="HK44" s="739"/>
      <c r="HR44" s="2281">
        <v>2026</v>
      </c>
      <c r="HS44" s="2121">
        <v>0.24084588522954772</v>
      </c>
      <c r="HT44" s="1794"/>
      <c r="HU44" s="739"/>
      <c r="HV44" s="739"/>
      <c r="HW44" s="739"/>
      <c r="HX44" s="739"/>
      <c r="HY44" s="739"/>
      <c r="HZ44" s="739"/>
      <c r="IA44" s="739"/>
      <c r="IB44" s="739"/>
      <c r="IC44" s="739"/>
      <c r="ID44" s="739"/>
      <c r="IE44" s="739"/>
      <c r="IF44" s="739"/>
      <c r="IG44" s="739"/>
      <c r="IH44" s="739"/>
      <c r="IL44" s="2029"/>
      <c r="IN44" s="2281">
        <v>2026</v>
      </c>
      <c r="IO44" s="2137"/>
      <c r="IP44" s="765"/>
      <c r="IQ44" s="1794"/>
      <c r="IR44" s="739"/>
      <c r="IS44" s="739"/>
      <c r="IT44" s="739"/>
      <c r="IU44" s="739"/>
      <c r="IV44" s="739"/>
      <c r="IW44" s="739"/>
      <c r="IX44" s="739"/>
      <c r="IY44" s="739"/>
      <c r="IZ44" s="739"/>
      <c r="JA44" s="739"/>
      <c r="JJ44" s="2748"/>
      <c r="JL44" s="2281">
        <v>2026</v>
      </c>
      <c r="JM44" s="2136"/>
      <c r="JN44" s="1966">
        <f t="shared" ca="1" si="16"/>
        <v>1.0444895571120232</v>
      </c>
      <c r="JO44" s="739"/>
      <c r="JP44" s="739"/>
      <c r="JQ44" s="739"/>
      <c r="JR44" s="739"/>
      <c r="JS44" s="739"/>
      <c r="JT44" s="739"/>
      <c r="JU44" s="739"/>
      <c r="JV44" s="739"/>
      <c r="JW44" s="739"/>
      <c r="JX44" s="739"/>
      <c r="JY44" s="739"/>
      <c r="JZ44" s="739"/>
      <c r="KA44" s="739"/>
      <c r="KB44" s="739"/>
      <c r="KF44" s="2029"/>
      <c r="KH44" s="2281">
        <v>2026</v>
      </c>
      <c r="KI44" s="2137"/>
      <c r="KJ44" s="765"/>
      <c r="KK44" s="1966">
        <f ca="1">СЧЁТ!CJ37</f>
        <v>3.7373233083186994</v>
      </c>
      <c r="KL44" s="739"/>
      <c r="KM44" s="739"/>
      <c r="KN44" s="739"/>
      <c r="KO44" s="739"/>
      <c r="KP44" s="739"/>
      <c r="KQ44" s="739"/>
      <c r="KR44" s="739"/>
      <c r="KS44" s="739"/>
      <c r="KT44" s="739"/>
      <c r="KU44" s="739"/>
      <c r="KV44" s="739"/>
      <c r="KW44" s="739"/>
      <c r="KX44" s="739"/>
      <c r="KY44" s="739"/>
      <c r="LE44" s="2281">
        <v>2026</v>
      </c>
      <c r="LF44" s="2136"/>
      <c r="LG44" s="1382">
        <f ca="1"/>
        <v>77.530191119224753</v>
      </c>
      <c r="LH44" s="2136"/>
      <c r="LI44" s="1035">
        <f ca="1"/>
        <v>-0.91240769804689137</v>
      </c>
      <c r="LJ44" s="739"/>
      <c r="LK44" s="739"/>
      <c r="LL44" s="739"/>
      <c r="LM44" s="739"/>
      <c r="LN44" s="739"/>
      <c r="LO44" s="739"/>
      <c r="LP44" s="739"/>
      <c r="LQ44" s="739"/>
      <c r="LR44" s="739"/>
      <c r="LS44" s="739"/>
      <c r="LT44" s="739"/>
      <c r="LU44" s="739"/>
      <c r="LV44" s="739"/>
      <c r="MB44" s="2281">
        <v>2026</v>
      </c>
      <c r="MC44" s="2485"/>
      <c r="MD44" s="2131">
        <f ca="1">СЧЁТ!CE37</f>
        <v>7527.8928579418525</v>
      </c>
      <c r="ME44" s="739"/>
      <c r="MF44" s="739"/>
      <c r="MG44" s="739"/>
      <c r="MH44" s="739"/>
      <c r="MI44" s="739"/>
      <c r="MJ44" s="739"/>
      <c r="MK44" s="739"/>
      <c r="ML44" s="739"/>
      <c r="MM44" s="739"/>
      <c r="MN44" s="739"/>
      <c r="MO44" s="739"/>
      <c r="MP44" s="739"/>
      <c r="MQ44" s="739"/>
      <c r="MY44" s="2281">
        <v>2026</v>
      </c>
      <c r="MZ44" s="2136"/>
      <c r="NA44" s="1597">
        <f>СЧЁТ!CB37</f>
        <v>85.959594939183901</v>
      </c>
      <c r="NB44" s="739"/>
      <c r="NC44" s="739"/>
      <c r="ND44" s="739"/>
      <c r="NE44" s="739"/>
      <c r="NF44" s="739"/>
      <c r="NG44" s="739"/>
      <c r="NH44" s="739"/>
      <c r="NI44" s="739"/>
      <c r="NJ44" s="739"/>
      <c r="NK44" s="739"/>
      <c r="NL44" s="739"/>
      <c r="NM44" s="739"/>
      <c r="NN44" s="739"/>
      <c r="NO44" s="739"/>
      <c r="NV44" s="2281">
        <v>2026</v>
      </c>
      <c r="NW44" s="2137"/>
      <c r="NX44" s="765"/>
      <c r="NY44" s="765"/>
      <c r="NZ44" s="1794"/>
      <c r="OA44" s="739"/>
      <c r="OB44" s="739"/>
      <c r="OC44" s="739"/>
      <c r="OD44" s="739"/>
      <c r="OE44" s="739"/>
      <c r="OF44" s="739"/>
      <c r="OG44" s="739"/>
      <c r="OH44" s="739"/>
      <c r="OI44" s="739"/>
      <c r="OJ44" s="739"/>
      <c r="OK44" s="739"/>
      <c r="OS44" s="2748"/>
      <c r="OU44" s="2281">
        <v>2026</v>
      </c>
      <c r="OV44" s="2136"/>
      <c r="OW44" s="2594">
        <f t="shared" ca="1" si="15"/>
        <v>1.0412129123057581</v>
      </c>
      <c r="OX44" s="739"/>
      <c r="OY44" s="739"/>
      <c r="OZ44" s="739"/>
      <c r="PA44" s="739"/>
      <c r="PB44" s="739"/>
      <c r="PC44" s="739"/>
      <c r="PD44" s="739"/>
      <c r="PE44" s="739"/>
      <c r="PF44" s="739"/>
      <c r="PG44" s="739"/>
      <c r="PH44" s="739"/>
      <c r="PI44" s="739"/>
      <c r="PJ44" s="739"/>
      <c r="PK44" s="739"/>
      <c r="PO44" s="2029"/>
      <c r="PQ44" s="2281">
        <v>2026</v>
      </c>
      <c r="PR44" s="2137"/>
      <c r="PS44" s="1966">
        <f ca="1">СЧЁТ!CI37</f>
        <v>1.7723199006893267</v>
      </c>
      <c r="PT44" s="739"/>
      <c r="PU44" s="739"/>
      <c r="PV44" s="739"/>
      <c r="PW44" s="739"/>
      <c r="PX44" s="739"/>
      <c r="PY44" s="739"/>
      <c r="PZ44" s="739"/>
      <c r="QA44" s="739"/>
      <c r="QB44" s="739"/>
      <c r="QC44" s="739"/>
      <c r="QD44" s="739"/>
      <c r="QE44" s="739"/>
      <c r="QF44" s="739"/>
      <c r="QG44" s="739"/>
      <c r="QM44" s="2281">
        <v>2026</v>
      </c>
      <c r="QN44" s="2136"/>
      <c r="QO44" s="1794"/>
      <c r="QP44" s="739"/>
      <c r="QQ44" s="739"/>
      <c r="QR44" s="739"/>
      <c r="QS44" s="739"/>
      <c r="QT44" s="739"/>
      <c r="QU44" s="739"/>
      <c r="QV44" s="739"/>
      <c r="QW44" s="739"/>
      <c r="QX44" s="739"/>
      <c r="QY44" s="739"/>
      <c r="QZ44" s="739"/>
      <c r="RA44" s="739"/>
      <c r="RB44" s="739"/>
      <c r="RC44" s="739"/>
      <c r="RG44" s="2029"/>
      <c r="RI44" s="943">
        <v>32</v>
      </c>
      <c r="RJ44" s="2281">
        <v>2026</v>
      </c>
      <c r="RK44" s="2137"/>
      <c r="RL44" s="1786"/>
      <c r="RM44" s="2489">
        <f>НАСТРОЙКА!IB36</f>
        <v>12470.493165184831</v>
      </c>
      <c r="RN44" s="739"/>
      <c r="RO44" s="739"/>
      <c r="RP44" s="739"/>
      <c r="RQ44" s="739"/>
      <c r="RR44" s="739"/>
      <c r="RS44" s="739"/>
      <c r="RT44" s="739"/>
      <c r="RU44" s="739"/>
      <c r="RV44" s="739"/>
      <c r="RW44" s="739"/>
      <c r="RX44" s="739"/>
      <c r="RY44" s="739"/>
      <c r="RZ44" s="739"/>
      <c r="SA44" s="739"/>
      <c r="SG44" s="2281">
        <v>2026</v>
      </c>
      <c r="SH44" s="2136"/>
      <c r="SI44" s="1966">
        <f t="shared" ca="1" si="17"/>
        <v>0.60365638778089803</v>
      </c>
      <c r="SJ44" s="739"/>
      <c r="SK44" s="739"/>
      <c r="SL44" s="739"/>
      <c r="SM44" s="739"/>
      <c r="SN44" s="739"/>
      <c r="SO44" s="739"/>
      <c r="SP44" s="739"/>
      <c r="SQ44" s="739"/>
      <c r="SR44" s="739"/>
      <c r="SS44" s="739"/>
      <c r="ST44" s="739"/>
      <c r="SU44" s="739"/>
      <c r="SV44" s="739"/>
      <c r="SW44" s="739"/>
      <c r="TC44" s="2281">
        <v>2026</v>
      </c>
      <c r="TD44" s="2137"/>
      <c r="TE44" s="1794"/>
      <c r="TF44" s="739"/>
      <c r="TG44" s="739"/>
      <c r="TH44" s="739"/>
      <c r="TI44" s="739"/>
      <c r="TJ44" s="739"/>
      <c r="TK44" s="739"/>
      <c r="TL44" s="739"/>
      <c r="TM44" s="739"/>
      <c r="TN44" s="739"/>
      <c r="TO44" s="739"/>
      <c r="TP44" s="739"/>
      <c r="TQ44" s="739"/>
      <c r="TX44" s="2748"/>
      <c r="TZ44" s="2281">
        <v>2026</v>
      </c>
      <c r="UA44" s="2136"/>
      <c r="UB44" s="555"/>
      <c r="UC44" s="1966">
        <f t="shared" si="18"/>
        <v>1.0229130587264197</v>
      </c>
      <c r="UD44" s="739"/>
      <c r="UE44" s="739"/>
      <c r="UF44" s="739"/>
      <c r="UG44" s="739"/>
      <c r="UH44" s="739"/>
      <c r="UI44" s="739"/>
      <c r="UJ44" s="739"/>
      <c r="UK44" s="739"/>
      <c r="UL44" s="739"/>
      <c r="UM44" s="739"/>
      <c r="UN44" s="739"/>
      <c r="UO44" s="739"/>
      <c r="UP44" s="739"/>
      <c r="UQ44" s="739"/>
      <c r="UU44" s="2029"/>
      <c r="UW44" s="2281">
        <v>2026</v>
      </c>
      <c r="UX44" s="2137"/>
      <c r="UY44" s="1966">
        <f>ОТЧЁТ!EX167</f>
        <v>0.83538575512469071</v>
      </c>
      <c r="UZ44" s="739"/>
      <c r="VA44" s="739"/>
      <c r="VB44" s="739"/>
      <c r="VC44" s="739"/>
      <c r="VD44" s="739"/>
      <c r="VE44" s="739"/>
      <c r="VF44" s="739"/>
      <c r="VG44" s="739"/>
      <c r="VH44" s="739"/>
      <c r="VI44" s="739"/>
      <c r="VJ44" s="739"/>
      <c r="VK44" s="739"/>
      <c r="VL44" s="739"/>
      <c r="VM44" s="739"/>
      <c r="VS44" s="2281">
        <v>2026</v>
      </c>
      <c r="VT44" s="2136"/>
      <c r="VU44" s="1794"/>
      <c r="VV44" s="739"/>
      <c r="VW44" s="739"/>
      <c r="VX44" s="739"/>
      <c r="VY44" s="739"/>
      <c r="VZ44" s="739"/>
      <c r="WA44" s="739"/>
      <c r="WB44" s="739"/>
      <c r="WC44" s="739"/>
      <c r="WD44" s="739"/>
      <c r="WE44" s="739"/>
      <c r="WF44" s="739"/>
      <c r="WG44" s="739"/>
      <c r="WH44" s="739"/>
      <c r="WI44" s="739"/>
      <c r="WM44" s="2029"/>
      <c r="WO44" s="2281">
        <v>2026</v>
      </c>
      <c r="WP44" s="2485"/>
      <c r="WQ44" s="1786">
        <f t="shared" si="11"/>
        <v>10088.628970634529</v>
      </c>
      <c r="WR44" s="2131">
        <v>6397.5193143208744</v>
      </c>
      <c r="WS44" s="739"/>
      <c r="WT44" s="739"/>
      <c r="WU44" s="739"/>
      <c r="WV44" s="739"/>
      <c r="WW44" s="739"/>
      <c r="WX44" s="739"/>
      <c r="WY44" s="739"/>
      <c r="WZ44" s="739"/>
      <c r="XA44" s="739"/>
      <c r="XB44" s="739"/>
      <c r="XC44" s="739"/>
      <c r="XD44" s="739"/>
      <c r="XE44" s="739"/>
      <c r="XF44" s="739"/>
      <c r="XK44" s="2492">
        <v>2026</v>
      </c>
      <c r="XL44" s="2136"/>
      <c r="XM44" s="2416">
        <f t="shared" si="19"/>
        <v>0.63413168756056448</v>
      </c>
      <c r="XN44" s="739"/>
      <c r="XO44" s="739"/>
      <c r="XP44" s="739"/>
      <c r="XQ44" s="739"/>
      <c r="XR44" s="739"/>
      <c r="XS44" s="739"/>
      <c r="XT44" s="739"/>
      <c r="XU44" s="739"/>
      <c r="XV44" s="739"/>
      <c r="XW44" s="739"/>
      <c r="XX44" s="739"/>
      <c r="XY44" s="739"/>
      <c r="XZ44" s="739"/>
      <c r="YA44" s="739"/>
      <c r="YE44" s="2029"/>
      <c r="YG44" s="2281">
        <v>2026</v>
      </c>
      <c r="YH44" s="2137"/>
      <c r="YI44" s="1794"/>
      <c r="YJ44" s="739"/>
      <c r="YK44" s="739"/>
      <c r="YL44" s="739"/>
      <c r="YM44" s="739"/>
      <c r="YN44" s="739"/>
      <c r="YO44" s="739"/>
      <c r="YP44" s="739"/>
      <c r="YQ44" s="739"/>
      <c r="YR44" s="739"/>
      <c r="YS44" s="739"/>
      <c r="YT44" s="739"/>
      <c r="YU44" s="739"/>
      <c r="ZE44" s="2587" t="s">
        <v>2185</v>
      </c>
      <c r="ZF44" s="765"/>
      <c r="ZG44" s="765"/>
      <c r="ZH44" s="765"/>
      <c r="ZI44" s="765"/>
      <c r="ZJ44" s="765"/>
      <c r="ZK44" s="765"/>
      <c r="ZL44" s="765"/>
      <c r="ZM44" s="765"/>
      <c r="ZN44" s="765"/>
      <c r="ZO44" s="765"/>
      <c r="ZP44" s="777"/>
    </row>
    <row r="45" spans="6:692" ht="21">
      <c r="G45" s="2281">
        <v>2027</v>
      </c>
      <c r="H45" s="2595"/>
      <c r="I45" s="2594">
        <f ca="1">AG45/AG44</f>
        <v>1.0307602878436899</v>
      </c>
      <c r="K45" s="739"/>
      <c r="L45" s="739"/>
      <c r="M45" s="739"/>
      <c r="N45" s="739"/>
      <c r="O45" s="739"/>
      <c r="P45" s="739"/>
      <c r="Q45" s="739"/>
      <c r="R45" s="739"/>
      <c r="S45" s="739"/>
      <c r="T45" s="739"/>
      <c r="U45" s="739"/>
      <c r="V45" s="739"/>
      <c r="W45" s="739"/>
      <c r="X45" s="739"/>
      <c r="AD45" s="2281">
        <v>2027</v>
      </c>
      <c r="AE45" s="2137"/>
      <c r="AF45" s="765"/>
      <c r="AG45" s="1966">
        <f ca="1"/>
        <v>2.6176699223460349</v>
      </c>
      <c r="AH45" s="739"/>
      <c r="AI45" s="739"/>
      <c r="AJ45" s="739"/>
      <c r="AK45" s="739"/>
      <c r="AL45" s="739"/>
      <c r="AM45" s="739"/>
      <c r="AN45" s="739"/>
      <c r="AO45" s="739"/>
      <c r="AP45" s="739"/>
      <c r="AQ45" s="739"/>
      <c r="AR45" s="739"/>
      <c r="AS45" s="739"/>
      <c r="AT45" s="739"/>
      <c r="AU45" s="739"/>
      <c r="BA45" s="2281">
        <v>2027</v>
      </c>
      <c r="BB45" s="2595"/>
      <c r="BC45" s="1255">
        <v>50.374358143846841</v>
      </c>
      <c r="BD45" s="739"/>
      <c r="BE45" s="739"/>
      <c r="BF45" s="739"/>
      <c r="BG45" s="739"/>
      <c r="BH45" s="739"/>
      <c r="BI45" s="739"/>
      <c r="BJ45" s="739"/>
      <c r="BK45" s="739"/>
      <c r="BL45" s="739"/>
      <c r="BM45" s="739"/>
      <c r="BN45" s="739"/>
      <c r="BO45" s="739"/>
      <c r="BP45" s="739"/>
      <c r="BQ45" s="739"/>
      <c r="BW45" s="2281">
        <v>2027</v>
      </c>
      <c r="BX45" s="2137"/>
      <c r="BY45" s="765"/>
      <c r="BZ45" s="1966">
        <v>2.6673296498798078</v>
      </c>
      <c r="CA45" s="739"/>
      <c r="CB45" s="739"/>
      <c r="CC45" s="739"/>
      <c r="CD45" s="739"/>
      <c r="CE45" s="739"/>
      <c r="CF45" s="739"/>
      <c r="CG45" s="739"/>
      <c r="CH45" s="739"/>
      <c r="CI45" s="739"/>
      <c r="CJ45" s="739"/>
      <c r="CK45" s="739"/>
      <c r="CL45" s="739"/>
      <c r="CM45" s="739"/>
      <c r="CN45" s="739"/>
      <c r="CT45" s="2281">
        <v>2027</v>
      </c>
      <c r="CU45" s="2136"/>
      <c r="CV45" s="1794"/>
      <c r="CW45" s="739"/>
      <c r="CX45" s="739"/>
      <c r="CY45" s="739"/>
      <c r="CZ45" s="739"/>
      <c r="DA45" s="739"/>
      <c r="DB45" s="739"/>
      <c r="DC45" s="739"/>
      <c r="DD45" s="739"/>
      <c r="DE45" s="739"/>
      <c r="DF45" s="739"/>
      <c r="DG45" s="739"/>
      <c r="DH45" s="739"/>
      <c r="DI45" s="739"/>
      <c r="DJ45" s="739"/>
      <c r="DO45" s="2281">
        <v>2027</v>
      </c>
      <c r="DP45" s="2137"/>
      <c r="DQ45" s="765"/>
      <c r="DR45" s="1794"/>
      <c r="DS45" s="739"/>
      <c r="DT45" s="739"/>
      <c r="DU45" s="739"/>
      <c r="DV45" s="739"/>
      <c r="DW45" s="739"/>
      <c r="DX45" s="739"/>
      <c r="DY45" s="739"/>
      <c r="DZ45" s="739"/>
      <c r="EA45" s="739"/>
      <c r="EB45" s="739"/>
      <c r="EC45" s="739"/>
      <c r="ED45" s="739"/>
      <c r="EE45" s="2748"/>
      <c r="EG45" s="2281">
        <v>2027</v>
      </c>
      <c r="EH45" s="2416"/>
      <c r="EI45" s="2416">
        <f ca="1">FE45/FE44</f>
        <v>1.0442915461258766</v>
      </c>
      <c r="EJ45" s="739"/>
      <c r="EK45" s="739"/>
      <c r="EL45" s="739"/>
      <c r="EM45" s="739"/>
      <c r="EN45" s="739"/>
      <c r="EO45" s="739"/>
      <c r="EP45" s="739"/>
      <c r="EQ45" s="739"/>
      <c r="ER45" s="739"/>
      <c r="ES45" s="739"/>
      <c r="ET45" s="739"/>
      <c r="EU45" s="739"/>
      <c r="EV45" s="739"/>
      <c r="EW45" s="739"/>
      <c r="FC45" s="2281">
        <v>2027</v>
      </c>
      <c r="FD45" s="2137"/>
      <c r="FE45" s="1966">
        <f ca="1">СЧЁТ!CG38</f>
        <v>3.4212730213793159</v>
      </c>
      <c r="FF45" s="739"/>
      <c r="FG45" s="739"/>
      <c r="FH45" s="739"/>
      <c r="FI45" s="739"/>
      <c r="FJ45" s="739"/>
      <c r="FK45" s="739"/>
      <c r="FL45" s="739"/>
      <c r="FM45" s="739"/>
      <c r="FN45" s="739"/>
      <c r="FO45" s="739"/>
      <c r="FP45" s="739"/>
      <c r="FQ45" s="739"/>
      <c r="FR45" s="739"/>
      <c r="FS45" s="739"/>
      <c r="FY45" s="2281">
        <v>2027</v>
      </c>
      <c r="FZ45" s="2136"/>
      <c r="GA45" s="2416">
        <f t="shared" ca="1" si="14"/>
        <v>1.0372771347119694</v>
      </c>
      <c r="GB45" s="739"/>
      <c r="GC45" s="739"/>
      <c r="GD45" s="739"/>
      <c r="GE45" s="739"/>
      <c r="GF45" s="739"/>
      <c r="GG45" s="739"/>
      <c r="GH45" s="739"/>
      <c r="GI45" s="739"/>
      <c r="GJ45" s="739"/>
      <c r="GK45" s="739"/>
      <c r="GL45" s="739"/>
      <c r="GM45" s="739"/>
      <c r="GN45" s="739"/>
      <c r="GO45" s="739"/>
      <c r="GT45" s="2029"/>
      <c r="GU45" s="2281">
        <v>2027</v>
      </c>
      <c r="GV45" s="2137"/>
      <c r="GW45" s="2509">
        <f t="shared" si="1"/>
        <v>2.4184588522954771</v>
      </c>
      <c r="GX45" s="1255">
        <f ca="1">СЧЁТ!CN38</f>
        <v>5.0841688271488916</v>
      </c>
      <c r="GY45" s="739"/>
      <c r="GZ45" s="739"/>
      <c r="HA45" s="739"/>
      <c r="HB45" s="739"/>
      <c r="HC45" s="739"/>
      <c r="HD45" s="739"/>
      <c r="HE45" s="739"/>
      <c r="HF45" s="739"/>
      <c r="HG45" s="739"/>
      <c r="HH45" s="739"/>
      <c r="HI45" s="739"/>
      <c r="HJ45" s="739"/>
      <c r="HK45" s="739"/>
      <c r="HR45" s="2281">
        <v>2027</v>
      </c>
      <c r="HS45" s="2121">
        <v>0.24184588522954772</v>
      </c>
      <c r="HT45" s="1794"/>
      <c r="HU45" s="739"/>
      <c r="HV45" s="739"/>
      <c r="HW45" s="739"/>
      <c r="HX45" s="739"/>
      <c r="HY45" s="739"/>
      <c r="HZ45" s="739"/>
      <c r="IA45" s="739"/>
      <c r="IB45" s="739"/>
      <c r="IC45" s="739"/>
      <c r="ID45" s="739"/>
      <c r="IE45" s="739"/>
      <c r="IF45" s="739"/>
      <c r="IG45" s="739"/>
      <c r="IH45" s="739"/>
      <c r="IL45" s="2029"/>
      <c r="IN45" s="2281">
        <v>2027</v>
      </c>
      <c r="IO45" s="2137"/>
      <c r="IP45" s="765"/>
      <c r="IQ45" s="1794"/>
      <c r="IR45" s="739"/>
      <c r="IS45" s="739"/>
      <c r="IT45" s="739"/>
      <c r="IU45" s="739"/>
      <c r="IV45" s="739"/>
      <c r="IW45" s="739"/>
      <c r="IX45" s="739"/>
      <c r="IY45" s="739"/>
      <c r="IZ45" s="739"/>
      <c r="JA45" s="739"/>
      <c r="JJ45" s="2748"/>
      <c r="JL45" s="2281">
        <v>2027</v>
      </c>
      <c r="JM45" s="2136"/>
      <c r="JN45" s="1966">
        <f t="shared" ca="1" si="16"/>
        <v>1.0444583487505363</v>
      </c>
      <c r="JO45" s="739"/>
      <c r="JP45" s="739"/>
      <c r="JQ45" s="739"/>
      <c r="JR45" s="739"/>
      <c r="JS45" s="739"/>
      <c r="JT45" s="739"/>
      <c r="JU45" s="739"/>
      <c r="JV45" s="739"/>
      <c r="JW45" s="739"/>
      <c r="JX45" s="739"/>
      <c r="JY45" s="739"/>
      <c r="JZ45" s="739"/>
      <c r="KA45" s="739"/>
      <c r="KB45" s="739"/>
      <c r="KF45" s="2029"/>
      <c r="KH45" s="2281">
        <v>2027</v>
      </c>
      <c r="KI45" s="2137"/>
      <c r="KJ45" s="765"/>
      <c r="KK45" s="1966">
        <f ca="1">СЧЁТ!CJ38</f>
        <v>3.9034785313534401</v>
      </c>
      <c r="KL45" s="739"/>
      <c r="KM45" s="739"/>
      <c r="KN45" s="739"/>
      <c r="KO45" s="739"/>
      <c r="KP45" s="739"/>
      <c r="KQ45" s="739"/>
      <c r="KR45" s="739"/>
      <c r="KS45" s="739"/>
      <c r="KT45" s="739"/>
      <c r="KU45" s="739"/>
      <c r="KV45" s="739"/>
      <c r="KW45" s="739"/>
      <c r="KX45" s="739"/>
      <c r="KY45" s="739"/>
      <c r="LE45" s="2281">
        <v>2027</v>
      </c>
      <c r="LF45" s="2136"/>
      <c r="LG45" s="1382">
        <f ca="1"/>
        <v>78.292407698046887</v>
      </c>
      <c r="LH45" s="2136"/>
      <c r="LI45" s="1035">
        <f ca="1"/>
        <v>-1.7895129729460848</v>
      </c>
      <c r="LJ45" s="739"/>
      <c r="LK45" s="739"/>
      <c r="LL45" s="739"/>
      <c r="LM45" s="739"/>
      <c r="LN45" s="739"/>
      <c r="LO45" s="739"/>
      <c r="LP45" s="739"/>
      <c r="LQ45" s="739"/>
      <c r="LR45" s="739"/>
      <c r="LS45" s="739"/>
      <c r="LT45" s="739"/>
      <c r="LU45" s="739"/>
      <c r="LV45" s="739"/>
      <c r="MB45" s="2281">
        <v>2027</v>
      </c>
      <c r="MC45" s="2485"/>
      <c r="MD45" s="2131">
        <f ca="1">СЧЁТ!CE38</f>
        <v>7776.2239974982122</v>
      </c>
      <c r="ME45" s="739"/>
      <c r="MF45" s="739"/>
      <c r="MG45" s="739"/>
      <c r="MH45" s="739"/>
      <c r="MI45" s="739"/>
      <c r="MJ45" s="739"/>
      <c r="MK45" s="739"/>
      <c r="ML45" s="739"/>
      <c r="MM45" s="739"/>
      <c r="MN45" s="739"/>
      <c r="MO45" s="739"/>
      <c r="MP45" s="739"/>
      <c r="MQ45" s="739"/>
      <c r="MY45" s="2281">
        <v>2027</v>
      </c>
      <c r="MZ45" s="2136"/>
      <c r="NA45" s="1597">
        <f>СЧЁТ!CB38</f>
        <v>87.017006170284546</v>
      </c>
      <c r="NB45" s="739"/>
      <c r="NC45" s="739"/>
      <c r="ND45" s="739"/>
      <c r="NE45" s="739"/>
      <c r="NF45" s="739"/>
      <c r="NG45" s="739"/>
      <c r="NH45" s="739"/>
      <c r="NI45" s="739"/>
      <c r="NJ45" s="739"/>
      <c r="NK45" s="739"/>
      <c r="NL45" s="739"/>
      <c r="NM45" s="739"/>
      <c r="NN45" s="739"/>
      <c r="NO45" s="739"/>
      <c r="NV45" s="2281">
        <v>2027</v>
      </c>
      <c r="NW45" s="2137"/>
      <c r="NX45" s="765"/>
      <c r="NY45" s="765"/>
      <c r="NZ45" s="1794"/>
      <c r="OA45" s="739"/>
      <c r="OB45" s="739"/>
      <c r="OC45" s="739"/>
      <c r="OD45" s="739"/>
      <c r="OE45" s="739"/>
      <c r="OF45" s="739"/>
      <c r="OG45" s="739"/>
      <c r="OH45" s="739"/>
      <c r="OI45" s="739"/>
      <c r="OJ45" s="739"/>
      <c r="OK45" s="739"/>
      <c r="OS45" s="2748"/>
      <c r="OU45" s="2281">
        <v>2027</v>
      </c>
      <c r="OV45" s="2136"/>
      <c r="OW45" s="2594">
        <f t="shared" ca="1" si="15"/>
        <v>1.0413588415036501</v>
      </c>
      <c r="OX45" s="739"/>
      <c r="OY45" s="739"/>
      <c r="OZ45" s="739"/>
      <c r="PA45" s="739"/>
      <c r="PB45" s="739"/>
      <c r="PC45" s="739"/>
      <c r="PD45" s="739"/>
      <c r="PE45" s="739"/>
      <c r="PF45" s="739"/>
      <c r="PG45" s="739"/>
      <c r="PH45" s="739"/>
      <c r="PI45" s="739"/>
      <c r="PJ45" s="739"/>
      <c r="PK45" s="739"/>
      <c r="PO45" s="2029"/>
      <c r="PQ45" s="2281">
        <v>2027</v>
      </c>
      <c r="PR45" s="2137"/>
      <c r="PS45" s="1966">
        <f ca="1">СЧЁТ!CI38</f>
        <v>1.8456209985557013</v>
      </c>
      <c r="PT45" s="739"/>
      <c r="PU45" s="739"/>
      <c r="PV45" s="739"/>
      <c r="PW45" s="739"/>
      <c r="PX45" s="739"/>
      <c r="PY45" s="739"/>
      <c r="PZ45" s="739"/>
      <c r="QA45" s="739"/>
      <c r="QB45" s="739"/>
      <c r="QC45" s="739"/>
      <c r="QD45" s="739"/>
      <c r="QE45" s="739"/>
      <c r="QF45" s="739"/>
      <c r="QG45" s="739"/>
      <c r="QM45" s="2281">
        <v>2027</v>
      </c>
      <c r="QN45" s="2136"/>
      <c r="QO45" s="1794"/>
      <c r="QP45" s="739"/>
      <c r="QQ45" s="739"/>
      <c r="QR45" s="739"/>
      <c r="QS45" s="739"/>
      <c r="QT45" s="739"/>
      <c r="QU45" s="739"/>
      <c r="QV45" s="739"/>
      <c r="QW45" s="739"/>
      <c r="QX45" s="739"/>
      <c r="QY45" s="739"/>
      <c r="QZ45" s="739"/>
      <c r="RA45" s="739"/>
      <c r="RB45" s="739"/>
      <c r="RC45" s="739"/>
      <c r="RG45" s="2029"/>
      <c r="RI45" s="943">
        <v>33</v>
      </c>
      <c r="RJ45" s="2281">
        <v>2027</v>
      </c>
      <c r="RK45" s="2137"/>
      <c r="RL45" s="1786"/>
      <c r="RM45" s="2489">
        <f>НАСТРОЙКА!IB37</f>
        <v>13017.144068658055</v>
      </c>
      <c r="RN45" s="739"/>
      <c r="RO45" s="739"/>
      <c r="RP45" s="739"/>
      <c r="RQ45" s="739"/>
      <c r="RR45" s="739"/>
      <c r="RS45" s="739"/>
      <c r="RT45" s="739"/>
      <c r="RU45" s="739"/>
      <c r="RV45" s="739"/>
      <c r="RW45" s="739"/>
      <c r="RX45" s="739"/>
      <c r="RY45" s="739"/>
      <c r="RZ45" s="739"/>
      <c r="SA45" s="739"/>
      <c r="SG45" s="2281">
        <v>2027</v>
      </c>
      <c r="SH45" s="2136"/>
      <c r="SI45" s="1966">
        <f t="shared" ca="1" si="17"/>
        <v>0.59738326290951682</v>
      </c>
      <c r="SJ45" s="739"/>
      <c r="SK45" s="739"/>
      <c r="SL45" s="739"/>
      <c r="SM45" s="739"/>
      <c r="SN45" s="739"/>
      <c r="SO45" s="739"/>
      <c r="SP45" s="739"/>
      <c r="SQ45" s="739"/>
      <c r="SR45" s="739"/>
      <c r="SS45" s="739"/>
      <c r="ST45" s="739"/>
      <c r="SU45" s="739"/>
      <c r="SV45" s="739"/>
      <c r="SW45" s="739"/>
      <c r="TC45" s="2281">
        <v>2027</v>
      </c>
      <c r="TD45" s="2137"/>
      <c r="TE45" s="1794"/>
      <c r="TF45" s="739"/>
      <c r="TG45" s="739"/>
      <c r="TH45" s="739"/>
      <c r="TI45" s="739"/>
      <c r="TJ45" s="739"/>
      <c r="TK45" s="739"/>
      <c r="TL45" s="739"/>
      <c r="TM45" s="739"/>
      <c r="TN45" s="739"/>
      <c r="TO45" s="739"/>
      <c r="TP45" s="739"/>
      <c r="TQ45" s="739"/>
      <c r="TX45" s="2748"/>
      <c r="TZ45" s="2281">
        <v>2027</v>
      </c>
      <c r="UA45" s="2136"/>
      <c r="UB45" s="555"/>
      <c r="UC45" s="1966">
        <f t="shared" si="18"/>
        <v>1.0212798200241966</v>
      </c>
      <c r="UD45" s="739"/>
      <c r="UE45" s="739"/>
      <c r="UF45" s="739"/>
      <c r="UG45" s="739"/>
      <c r="UH45" s="739"/>
      <c r="UI45" s="739"/>
      <c r="UJ45" s="739"/>
      <c r="UK45" s="739"/>
      <c r="UL45" s="739"/>
      <c r="UM45" s="739"/>
      <c r="UN45" s="739"/>
      <c r="UO45" s="739"/>
      <c r="UP45" s="739"/>
      <c r="UQ45" s="739"/>
      <c r="UU45" s="2029"/>
      <c r="UW45" s="2281">
        <v>2027</v>
      </c>
      <c r="UX45" s="2137"/>
      <c r="UY45" s="1966">
        <f>ОТЧЁТ!EX168</f>
        <v>0.85316261364452173</v>
      </c>
      <c r="UZ45" s="739"/>
      <c r="VA45" s="739"/>
      <c r="VB45" s="739"/>
      <c r="VC45" s="739"/>
      <c r="VD45" s="739"/>
      <c r="VE45" s="739"/>
      <c r="VF45" s="739"/>
      <c r="VG45" s="739"/>
      <c r="VH45" s="739"/>
      <c r="VI45" s="739"/>
      <c r="VJ45" s="739"/>
      <c r="VK45" s="739"/>
      <c r="VL45" s="739"/>
      <c r="VM45" s="739"/>
      <c r="VS45" s="2281">
        <v>2027</v>
      </c>
      <c r="VT45" s="2136"/>
      <c r="VU45" s="1794"/>
      <c r="VV45" s="739"/>
      <c r="VW45" s="739"/>
      <c r="VX45" s="739"/>
      <c r="VY45" s="739"/>
      <c r="VZ45" s="739"/>
      <c r="WA45" s="739"/>
      <c r="WB45" s="739"/>
      <c r="WC45" s="739"/>
      <c r="WD45" s="739"/>
      <c r="WE45" s="739"/>
      <c r="WF45" s="739"/>
      <c r="WG45" s="739"/>
      <c r="WH45" s="739"/>
      <c r="WI45" s="739"/>
      <c r="WM45" s="2029"/>
      <c r="WO45" s="2281">
        <v>2027</v>
      </c>
      <c r="WP45" s="2485"/>
      <c r="WQ45" s="1786">
        <f t="shared" si="11"/>
        <v>10530.869551544367</v>
      </c>
      <c r="WR45" s="2131">
        <v>6503.6353530367069</v>
      </c>
      <c r="WS45" s="739"/>
      <c r="WT45" s="739"/>
      <c r="WU45" s="739"/>
      <c r="WV45" s="739"/>
      <c r="WW45" s="739"/>
      <c r="WX45" s="739"/>
      <c r="WY45" s="739"/>
      <c r="WZ45" s="739"/>
      <c r="XA45" s="739"/>
      <c r="XB45" s="739"/>
      <c r="XC45" s="739"/>
      <c r="XD45" s="739"/>
      <c r="XE45" s="739"/>
      <c r="XF45" s="739"/>
      <c r="XK45" s="2492">
        <v>2027</v>
      </c>
      <c r="XL45" s="2136"/>
      <c r="XM45" s="2416">
        <f t="shared" si="19"/>
        <v>0.61757818964559674</v>
      </c>
      <c r="XN45" s="739"/>
      <c r="XO45" s="739"/>
      <c r="XP45" s="739"/>
      <c r="XQ45" s="739"/>
      <c r="XR45" s="739"/>
      <c r="XS45" s="739"/>
      <c r="XT45" s="739"/>
      <c r="XU45" s="739"/>
      <c r="XV45" s="739"/>
      <c r="XW45" s="739"/>
      <c r="XX45" s="739"/>
      <c r="XY45" s="739"/>
      <c r="XZ45" s="739"/>
      <c r="YA45" s="739"/>
      <c r="YE45" s="2029"/>
      <c r="YG45" s="2281">
        <v>2027</v>
      </c>
      <c r="YH45" s="2137"/>
      <c r="YI45" s="1794"/>
      <c r="YJ45" s="739"/>
      <c r="YK45" s="739"/>
      <c r="YL45" s="739"/>
      <c r="YM45" s="739"/>
      <c r="YN45" s="739"/>
      <c r="YO45" s="739"/>
      <c r="YP45" s="739"/>
      <c r="YQ45" s="739"/>
      <c r="YR45" s="739"/>
      <c r="YS45" s="739"/>
      <c r="YT45" s="739"/>
      <c r="YU45" s="739"/>
      <c r="ZE45" s="2587" t="s">
        <v>2186</v>
      </c>
      <c r="ZF45" s="765"/>
      <c r="ZG45" s="765"/>
      <c r="ZH45" s="765"/>
      <c r="ZI45" s="765"/>
      <c r="ZJ45" s="765"/>
      <c r="ZK45" s="765"/>
      <c r="ZL45" s="765"/>
      <c r="ZM45" s="765"/>
      <c r="ZN45" s="765"/>
      <c r="ZO45" s="765"/>
      <c r="ZP45" s="777"/>
    </row>
    <row r="46" spans="6:692" ht="21">
      <c r="G46" s="2281">
        <v>2028</v>
      </c>
      <c r="H46" s="2595"/>
      <c r="I46" s="2594">
        <f ca="1">AG46/AG45</f>
        <v>1.0311293462617874</v>
      </c>
      <c r="K46" s="739"/>
      <c r="L46" s="739"/>
      <c r="M46" s="739"/>
      <c r="N46" s="739"/>
      <c r="O46" s="739"/>
      <c r="P46" s="739"/>
      <c r="Q46" s="739"/>
      <c r="R46" s="739"/>
      <c r="S46" s="739"/>
      <c r="T46" s="739"/>
      <c r="U46" s="739"/>
      <c r="V46" s="739"/>
      <c r="W46" s="739"/>
      <c r="X46" s="739"/>
      <c r="AD46" s="2281">
        <v>2028</v>
      </c>
      <c r="AE46" s="2137"/>
      <c r="AF46" s="765"/>
      <c r="AG46" s="1966">
        <f ca="1"/>
        <v>2.6991562757578107</v>
      </c>
      <c r="AH46" s="739"/>
      <c r="AI46" s="739"/>
      <c r="AJ46" s="739"/>
      <c r="AK46" s="739"/>
      <c r="AL46" s="739"/>
      <c r="AM46" s="739"/>
      <c r="AN46" s="739"/>
      <c r="AO46" s="739"/>
      <c r="AP46" s="739"/>
      <c r="AQ46" s="739"/>
      <c r="AR46" s="739"/>
      <c r="AS46" s="739"/>
      <c r="AT46" s="739"/>
      <c r="AU46" s="739"/>
      <c r="BA46" s="2281">
        <v>2028</v>
      </c>
      <c r="BB46" s="2595"/>
      <c r="BC46" s="1255">
        <v>54.32041428458438</v>
      </c>
      <c r="BD46" s="739"/>
      <c r="BE46" s="739"/>
      <c r="BF46" s="739"/>
      <c r="BG46" s="739"/>
      <c r="BH46" s="739"/>
      <c r="BI46" s="739"/>
      <c r="BJ46" s="739"/>
      <c r="BK46" s="739"/>
      <c r="BL46" s="739"/>
      <c r="BM46" s="739"/>
      <c r="BN46" s="739"/>
      <c r="BO46" s="739"/>
      <c r="BP46" s="739"/>
      <c r="BQ46" s="739"/>
      <c r="BW46" s="2281">
        <v>2028</v>
      </c>
      <c r="BX46" s="2137"/>
      <c r="BY46" s="765"/>
      <c r="BZ46" s="1966">
        <v>2.6678357933332659</v>
      </c>
      <c r="CA46" s="739"/>
      <c r="CB46" s="739"/>
      <c r="CC46" s="739"/>
      <c r="CD46" s="739"/>
      <c r="CE46" s="739"/>
      <c r="CF46" s="739"/>
      <c r="CG46" s="739"/>
      <c r="CH46" s="739"/>
      <c r="CI46" s="739"/>
      <c r="CJ46" s="739"/>
      <c r="CK46" s="739"/>
      <c r="CL46" s="739"/>
      <c r="CM46" s="739"/>
      <c r="CN46" s="739"/>
      <c r="CT46" s="2281">
        <v>2028</v>
      </c>
      <c r="CU46" s="2136"/>
      <c r="CV46" s="1794"/>
      <c r="CW46" s="739"/>
      <c r="CX46" s="739"/>
      <c r="CY46" s="739"/>
      <c r="CZ46" s="739"/>
      <c r="DA46" s="739"/>
      <c r="DB46" s="739"/>
      <c r="DC46" s="739"/>
      <c r="DD46" s="739"/>
      <c r="DE46" s="739"/>
      <c r="DF46" s="739"/>
      <c r="DG46" s="739"/>
      <c r="DH46" s="739"/>
      <c r="DI46" s="739"/>
      <c r="DJ46" s="739"/>
      <c r="DO46" s="2281">
        <v>2028</v>
      </c>
      <c r="DP46" s="2137"/>
      <c r="DQ46" s="765"/>
      <c r="DR46" s="1794"/>
      <c r="DS46" s="739"/>
      <c r="DT46" s="739"/>
      <c r="DU46" s="739"/>
      <c r="DV46" s="739"/>
      <c r="DW46" s="739"/>
      <c r="DX46" s="739"/>
      <c r="DY46" s="739"/>
      <c r="DZ46" s="739"/>
      <c r="EA46" s="739"/>
      <c r="EB46" s="739"/>
      <c r="EC46" s="739"/>
      <c r="ED46" s="739"/>
      <c r="EE46" s="2748"/>
      <c r="EG46" s="2281">
        <v>2028</v>
      </c>
      <c r="EH46" s="2416"/>
      <c r="EI46" s="2416">
        <f ca="1">FE46/FE45</f>
        <v>1.0443097582196408</v>
      </c>
      <c r="EJ46" s="739"/>
      <c r="EK46" s="739"/>
      <c r="EL46" s="739"/>
      <c r="EM46" s="739"/>
      <c r="EN46" s="739"/>
      <c r="EO46" s="739"/>
      <c r="EP46" s="739"/>
      <c r="EQ46" s="739"/>
      <c r="ER46" s="739"/>
      <c r="ES46" s="739"/>
      <c r="ET46" s="739"/>
      <c r="EU46" s="739"/>
      <c r="EV46" s="739"/>
      <c r="EW46" s="739"/>
      <c r="FC46" s="2281">
        <v>2028</v>
      </c>
      <c r="FD46" s="2137"/>
      <c r="FE46" s="1966">
        <f ca="1">СЧЁТ!CG39</f>
        <v>3.5728688017600128</v>
      </c>
      <c r="FF46" s="739"/>
      <c r="FG46" s="739"/>
      <c r="FH46" s="739"/>
      <c r="FI46" s="739"/>
      <c r="FJ46" s="739"/>
      <c r="FK46" s="739"/>
      <c r="FL46" s="739"/>
      <c r="FM46" s="739"/>
      <c r="FN46" s="739"/>
      <c r="FO46" s="739"/>
      <c r="FP46" s="739"/>
      <c r="FQ46" s="739"/>
      <c r="FR46" s="739"/>
      <c r="FS46" s="739"/>
      <c r="FY46" s="2281">
        <v>2028</v>
      </c>
      <c r="FZ46" s="2136"/>
      <c r="GA46" s="2416">
        <f t="shared" ca="1" si="14"/>
        <v>1.0376356329679999</v>
      </c>
      <c r="GB46" s="739"/>
      <c r="GC46" s="739"/>
      <c r="GD46" s="739"/>
      <c r="GE46" s="739"/>
      <c r="GF46" s="739"/>
      <c r="GG46" s="739"/>
      <c r="GH46" s="739"/>
      <c r="GI46" s="739"/>
      <c r="GJ46" s="739"/>
      <c r="GK46" s="739"/>
      <c r="GL46" s="739"/>
      <c r="GM46" s="739"/>
      <c r="GN46" s="739"/>
      <c r="GO46" s="739"/>
      <c r="GT46" s="2029"/>
      <c r="GU46" s="2281">
        <v>2028</v>
      </c>
      <c r="GV46" s="2137"/>
      <c r="GW46" s="2509">
        <f t="shared" si="1"/>
        <v>2.4284588522954773</v>
      </c>
      <c r="GX46" s="1255">
        <f ca="1">СЧЁТ!CN39</f>
        <v>5.2755147390748123</v>
      </c>
      <c r="GY46" s="739"/>
      <c r="GZ46" s="739"/>
      <c r="HA46" s="739"/>
      <c r="HB46" s="739"/>
      <c r="HC46" s="739"/>
      <c r="HD46" s="739"/>
      <c r="HE46" s="739"/>
      <c r="HF46" s="739"/>
      <c r="HG46" s="739"/>
      <c r="HH46" s="739"/>
      <c r="HI46" s="739"/>
      <c r="HJ46" s="739"/>
      <c r="HK46" s="739"/>
      <c r="HR46" s="2281">
        <v>2028</v>
      </c>
      <c r="HS46" s="2121">
        <v>0.24284588522954773</v>
      </c>
      <c r="HT46" s="1794"/>
      <c r="HU46" s="739"/>
      <c r="HV46" s="739"/>
      <c r="HW46" s="739"/>
      <c r="HX46" s="739"/>
      <c r="HY46" s="739"/>
      <c r="HZ46" s="739"/>
      <c r="IA46" s="739"/>
      <c r="IB46" s="739"/>
      <c r="IC46" s="739"/>
      <c r="ID46" s="739"/>
      <c r="IE46" s="739"/>
      <c r="IF46" s="739"/>
      <c r="IG46" s="739"/>
      <c r="IH46" s="739"/>
      <c r="IL46" s="2029"/>
      <c r="IN46" s="2281">
        <v>2028</v>
      </c>
      <c r="IO46" s="2137"/>
      <c r="IP46" s="765"/>
      <c r="IQ46" s="1794"/>
      <c r="IR46" s="739"/>
      <c r="IS46" s="739"/>
      <c r="IT46" s="739"/>
      <c r="IU46" s="739"/>
      <c r="IV46" s="739"/>
      <c r="IW46" s="739"/>
      <c r="IX46" s="739"/>
      <c r="IY46" s="739"/>
      <c r="IZ46" s="739"/>
      <c r="JA46" s="739"/>
      <c r="JJ46" s="2748"/>
      <c r="JL46" s="2281">
        <v>2028</v>
      </c>
      <c r="JM46" s="2136"/>
      <c r="JN46" s="1966">
        <f t="shared" ca="1" si="16"/>
        <v>1.0445314936169554</v>
      </c>
      <c r="JO46" s="739"/>
      <c r="JP46" s="739"/>
      <c r="JQ46" s="739"/>
      <c r="JR46" s="739"/>
      <c r="JS46" s="739"/>
      <c r="JT46" s="739"/>
      <c r="JU46" s="739"/>
      <c r="JV46" s="739"/>
      <c r="JW46" s="739"/>
      <c r="JX46" s="739"/>
      <c r="JY46" s="739"/>
      <c r="JZ46" s="739"/>
      <c r="KA46" s="739"/>
      <c r="KB46" s="739"/>
      <c r="KF46" s="2029"/>
      <c r="KH46" s="2281">
        <v>2028</v>
      </c>
      <c r="KI46" s="2137"/>
      <c r="KJ46" s="765"/>
      <c r="KK46" s="1966">
        <f ca="1">СЧЁТ!CJ39</f>
        <v>4.0773062606563286</v>
      </c>
      <c r="KL46" s="739"/>
      <c r="KM46" s="739"/>
      <c r="KN46" s="739"/>
      <c r="KO46" s="739"/>
      <c r="KP46" s="739"/>
      <c r="KQ46" s="739"/>
      <c r="KR46" s="739"/>
      <c r="KS46" s="739"/>
      <c r="KT46" s="739"/>
      <c r="KU46" s="739"/>
      <c r="KV46" s="739"/>
      <c r="KW46" s="739"/>
      <c r="KX46" s="739"/>
      <c r="KY46" s="739"/>
      <c r="LE46" s="2281">
        <v>2028</v>
      </c>
      <c r="LF46" s="2136"/>
      <c r="LG46" s="1382">
        <f ca="1"/>
        <v>79.084712972946079</v>
      </c>
      <c r="LH46" s="2136"/>
      <c r="LI46" s="1035">
        <f ca="1"/>
        <v>-2.7007881812319994</v>
      </c>
      <c r="LJ46" s="739"/>
      <c r="LK46" s="739"/>
      <c r="LL46" s="739"/>
      <c r="LM46" s="739"/>
      <c r="LN46" s="739"/>
      <c r="LO46" s="739"/>
      <c r="LP46" s="739"/>
      <c r="LQ46" s="739"/>
      <c r="LR46" s="739"/>
      <c r="LS46" s="739"/>
      <c r="LT46" s="739"/>
      <c r="LU46" s="739"/>
      <c r="LV46" s="739"/>
      <c r="MB46" s="2281">
        <v>2028</v>
      </c>
      <c r="MC46" s="2485"/>
      <c r="MD46" s="2131">
        <f ca="1">СЧЁТ!CE39</f>
        <v>8035.6607402633208</v>
      </c>
      <c r="ME46" s="739"/>
      <c r="MF46" s="739"/>
      <c r="MG46" s="739"/>
      <c r="MH46" s="739"/>
      <c r="MI46" s="739"/>
      <c r="MJ46" s="739"/>
      <c r="MK46" s="739"/>
      <c r="ML46" s="739"/>
      <c r="MM46" s="739"/>
      <c r="MN46" s="739"/>
      <c r="MO46" s="739"/>
      <c r="MP46" s="739"/>
      <c r="MQ46" s="739"/>
      <c r="MY46" s="2281">
        <v>2028</v>
      </c>
      <c r="MZ46" s="2136"/>
      <c r="NA46" s="1597">
        <f>СЧЁТ!CB39</f>
        <v>88.091022509927015</v>
      </c>
      <c r="NB46" s="739"/>
      <c r="NC46" s="739"/>
      <c r="ND46" s="739"/>
      <c r="NE46" s="739"/>
      <c r="NF46" s="739"/>
      <c r="NG46" s="739"/>
      <c r="NH46" s="739"/>
      <c r="NI46" s="739"/>
      <c r="NJ46" s="739"/>
      <c r="NK46" s="739"/>
      <c r="NL46" s="739"/>
      <c r="NM46" s="739"/>
      <c r="NN46" s="739"/>
      <c r="NO46" s="739"/>
      <c r="NV46" s="2281">
        <v>2028</v>
      </c>
      <c r="NW46" s="2137"/>
      <c r="NX46" s="765"/>
      <c r="NY46" s="765"/>
      <c r="NZ46" s="1794"/>
      <c r="OA46" s="739"/>
      <c r="OB46" s="739"/>
      <c r="OC46" s="739"/>
      <c r="OD46" s="739"/>
      <c r="OE46" s="739"/>
      <c r="OF46" s="739"/>
      <c r="OG46" s="739"/>
      <c r="OH46" s="739"/>
      <c r="OI46" s="739"/>
      <c r="OJ46" s="739"/>
      <c r="OK46" s="739"/>
      <c r="OS46" s="2748"/>
      <c r="OU46" s="2281">
        <v>2028</v>
      </c>
      <c r="OV46" s="2136"/>
      <c r="OW46" s="2594">
        <f t="shared" ca="1" si="15"/>
        <v>1.041598199412145</v>
      </c>
      <c r="OX46" s="739"/>
      <c r="OY46" s="739"/>
      <c r="OZ46" s="739"/>
      <c r="PA46" s="739"/>
      <c r="PB46" s="739"/>
      <c r="PC46" s="739"/>
      <c r="PD46" s="739"/>
      <c r="PE46" s="739"/>
      <c r="PF46" s="739"/>
      <c r="PG46" s="739"/>
      <c r="PH46" s="739"/>
      <c r="PI46" s="739"/>
      <c r="PJ46" s="739"/>
      <c r="PK46" s="739"/>
      <c r="PO46" s="2029"/>
      <c r="PQ46" s="2281">
        <v>2028</v>
      </c>
      <c r="PR46" s="2137"/>
      <c r="PS46" s="1966">
        <f ca="1">СЧЁТ!CI39</f>
        <v>1.9223955088928635</v>
      </c>
      <c r="PT46" s="739"/>
      <c r="PU46" s="739"/>
      <c r="PV46" s="739"/>
      <c r="PW46" s="739"/>
      <c r="PX46" s="739"/>
      <c r="PY46" s="739"/>
      <c r="PZ46" s="739"/>
      <c r="QA46" s="739"/>
      <c r="QB46" s="739"/>
      <c r="QC46" s="739"/>
      <c r="QD46" s="739"/>
      <c r="QE46" s="739"/>
      <c r="QF46" s="739"/>
      <c r="QG46" s="739"/>
      <c r="QM46" s="2281">
        <v>2028</v>
      </c>
      <c r="QN46" s="2136"/>
      <c r="QO46" s="1794"/>
      <c r="QP46" s="739"/>
      <c r="QQ46" s="739"/>
      <c r="QR46" s="739"/>
      <c r="QS46" s="739"/>
      <c r="QT46" s="739"/>
      <c r="QU46" s="739"/>
      <c r="QV46" s="739"/>
      <c r="QW46" s="739"/>
      <c r="QX46" s="739"/>
      <c r="QY46" s="739"/>
      <c r="QZ46" s="739"/>
      <c r="RA46" s="739"/>
      <c r="RB46" s="739"/>
      <c r="RC46" s="739"/>
      <c r="RG46" s="2029"/>
      <c r="RI46" s="943">
        <v>34</v>
      </c>
      <c r="RJ46" s="2281">
        <v>2028</v>
      </c>
      <c r="RK46" s="2137"/>
      <c r="RL46" s="1786"/>
      <c r="RM46" s="2489">
        <f>НАСТРОЙКА!IB38</f>
        <v>13588.769822736602</v>
      </c>
      <c r="RN46" s="739"/>
      <c r="RO46" s="739"/>
      <c r="RP46" s="739"/>
      <c r="RQ46" s="739"/>
      <c r="RR46" s="739"/>
      <c r="RS46" s="739"/>
      <c r="RT46" s="739"/>
      <c r="RU46" s="739"/>
      <c r="RV46" s="739"/>
      <c r="RW46" s="739"/>
      <c r="RX46" s="739"/>
      <c r="RY46" s="739"/>
      <c r="RZ46" s="739"/>
      <c r="SA46" s="739"/>
      <c r="SG46" s="2281">
        <v>2028</v>
      </c>
      <c r="SH46" s="2136"/>
      <c r="SI46" s="1966">
        <f t="shared" ca="1" si="17"/>
        <v>0.59134571010380421</v>
      </c>
      <c r="SJ46" s="739"/>
      <c r="SK46" s="739"/>
      <c r="SL46" s="739"/>
      <c r="SM46" s="739"/>
      <c r="SN46" s="739"/>
      <c r="SO46" s="739"/>
      <c r="SP46" s="739"/>
      <c r="SQ46" s="739"/>
      <c r="SR46" s="739"/>
      <c r="SS46" s="739"/>
      <c r="ST46" s="739"/>
      <c r="SU46" s="739"/>
      <c r="SV46" s="739"/>
      <c r="SW46" s="739"/>
      <c r="TC46" s="2281">
        <v>2028</v>
      </c>
      <c r="TD46" s="2137"/>
      <c r="TE46" s="1794"/>
      <c r="TF46" s="739"/>
      <c r="TG46" s="739"/>
      <c r="TH46" s="739"/>
      <c r="TI46" s="739"/>
      <c r="TJ46" s="739"/>
      <c r="TK46" s="739"/>
      <c r="TL46" s="739"/>
      <c r="TM46" s="739"/>
      <c r="TN46" s="739"/>
      <c r="TO46" s="739"/>
      <c r="TP46" s="739"/>
      <c r="TQ46" s="739"/>
      <c r="TX46" s="2748"/>
      <c r="TZ46" s="2281">
        <v>2028</v>
      </c>
      <c r="UA46" s="2136"/>
      <c r="UB46" s="555"/>
      <c r="UC46" s="1966">
        <f t="shared" si="18"/>
        <v>1.0197946034246597</v>
      </c>
      <c r="UD46" s="739"/>
      <c r="UE46" s="739"/>
      <c r="UF46" s="739"/>
      <c r="UG46" s="739"/>
      <c r="UH46" s="739"/>
      <c r="UI46" s="739"/>
      <c r="UJ46" s="739"/>
      <c r="UK46" s="739"/>
      <c r="UL46" s="739"/>
      <c r="UM46" s="739"/>
      <c r="UN46" s="739"/>
      <c r="UO46" s="739"/>
      <c r="UP46" s="739"/>
      <c r="UQ46" s="739"/>
      <c r="UU46" s="2029"/>
      <c r="UW46" s="2281">
        <v>2028</v>
      </c>
      <c r="UX46" s="2137"/>
      <c r="UY46" s="1966">
        <f>ОТЧЁТ!EX169</f>
        <v>0.87005062923836118</v>
      </c>
      <c r="UZ46" s="739"/>
      <c r="VA46" s="739"/>
      <c r="VB46" s="739"/>
      <c r="VC46" s="739"/>
      <c r="VD46" s="739"/>
      <c r="VE46" s="739"/>
      <c r="VF46" s="739"/>
      <c r="VG46" s="739"/>
      <c r="VH46" s="739"/>
      <c r="VI46" s="739"/>
      <c r="VJ46" s="739"/>
      <c r="VK46" s="739"/>
      <c r="VL46" s="739"/>
      <c r="VM46" s="739"/>
      <c r="VS46" s="2281">
        <v>2028</v>
      </c>
      <c r="VT46" s="2136"/>
      <c r="VU46" s="1794"/>
      <c r="VV46" s="739"/>
      <c r="VW46" s="739"/>
      <c r="VX46" s="739"/>
      <c r="VY46" s="739"/>
      <c r="VZ46" s="739"/>
      <c r="WA46" s="739"/>
      <c r="WB46" s="739"/>
      <c r="WC46" s="739"/>
      <c r="WD46" s="739"/>
      <c r="WE46" s="739"/>
      <c r="WF46" s="739"/>
      <c r="WG46" s="739"/>
      <c r="WH46" s="739"/>
      <c r="WI46" s="739"/>
      <c r="WM46" s="2029"/>
      <c r="WO46" s="2281">
        <v>2028</v>
      </c>
      <c r="WP46" s="2485"/>
      <c r="WQ46" s="1786">
        <f t="shared" si="11"/>
        <v>10993.314786593912</v>
      </c>
      <c r="WR46" s="2131">
        <v>6612.2870813952477</v>
      </c>
      <c r="WS46" s="739"/>
      <c r="WT46" s="739"/>
      <c r="WU46" s="739"/>
      <c r="WV46" s="739"/>
      <c r="WW46" s="739"/>
      <c r="WX46" s="739"/>
      <c r="WY46" s="739"/>
      <c r="WZ46" s="739"/>
      <c r="XA46" s="739"/>
      <c r="XB46" s="739"/>
      <c r="XC46" s="739"/>
      <c r="XD46" s="739"/>
      <c r="XE46" s="739"/>
      <c r="XF46" s="739"/>
      <c r="XK46" s="2492">
        <v>2028</v>
      </c>
      <c r="XL46" s="2136"/>
      <c r="XM46" s="2416">
        <f t="shared" si="19"/>
        <v>0.60148255642227</v>
      </c>
      <c r="XN46" s="739"/>
      <c r="XO46" s="739"/>
      <c r="XP46" s="739"/>
      <c r="XQ46" s="739"/>
      <c r="XR46" s="739"/>
      <c r="XS46" s="739"/>
      <c r="XT46" s="739"/>
      <c r="XU46" s="739"/>
      <c r="XV46" s="739"/>
      <c r="XW46" s="739"/>
      <c r="XX46" s="739"/>
      <c r="XY46" s="739"/>
      <c r="XZ46" s="739"/>
      <c r="YA46" s="739"/>
      <c r="YE46" s="2029"/>
      <c r="YG46" s="2281">
        <v>2028</v>
      </c>
      <c r="YH46" s="2137"/>
      <c r="YI46" s="1794"/>
      <c r="YJ46" s="739"/>
      <c r="YK46" s="739"/>
      <c r="YL46" s="739"/>
      <c r="YM46" s="739"/>
      <c r="YN46" s="739"/>
      <c r="YO46" s="739"/>
      <c r="YP46" s="739"/>
      <c r="YQ46" s="739"/>
      <c r="YR46" s="739"/>
      <c r="YS46" s="739"/>
      <c r="YT46" s="739"/>
      <c r="YU46" s="739"/>
      <c r="ZE46" s="2587" t="s">
        <v>2187</v>
      </c>
      <c r="ZF46" s="765"/>
      <c r="ZG46" s="765"/>
      <c r="ZH46" s="765"/>
      <c r="ZI46" s="765"/>
      <c r="ZJ46" s="765"/>
      <c r="ZK46" s="765"/>
      <c r="ZL46" s="765"/>
      <c r="ZM46" s="765"/>
      <c r="ZN46" s="765"/>
      <c r="ZO46" s="765"/>
      <c r="ZP46" s="777"/>
    </row>
    <row r="47" spans="6:692" ht="21">
      <c r="G47" s="2281">
        <v>2029</v>
      </c>
      <c r="H47" s="2595"/>
      <c r="I47" s="2594">
        <f ca="1">AG47/AG46</f>
        <v>1.0315561915854523</v>
      </c>
      <c r="K47" s="739"/>
      <c r="L47" s="739"/>
      <c r="M47" s="739"/>
      <c r="N47" s="739"/>
      <c r="O47" s="739"/>
      <c r="P47" s="739"/>
      <c r="Q47" s="739"/>
      <c r="R47" s="739"/>
      <c r="S47" s="739"/>
      <c r="T47" s="739"/>
      <c r="U47" s="739"/>
      <c r="V47" s="739"/>
      <c r="W47" s="739"/>
      <c r="X47" s="739"/>
      <c r="AD47" s="2281">
        <v>2029</v>
      </c>
      <c r="AE47" s="2137"/>
      <c r="AF47" s="765"/>
      <c r="AG47" s="1966">
        <f ca="1"/>
        <v>2.7843313683147004</v>
      </c>
      <c r="AH47" s="739"/>
      <c r="AI47" s="739"/>
      <c r="AJ47" s="739"/>
      <c r="AK47" s="739"/>
      <c r="AL47" s="739"/>
      <c r="AM47" s="739"/>
      <c r="AN47" s="739"/>
      <c r="AO47" s="739"/>
      <c r="AP47" s="739"/>
      <c r="AQ47" s="739"/>
      <c r="AR47" s="739"/>
      <c r="AS47" s="739"/>
      <c r="AT47" s="739"/>
      <c r="AU47" s="739"/>
      <c r="BA47" s="2281">
        <v>2029</v>
      </c>
      <c r="BB47" s="2595"/>
      <c r="BC47" s="1255">
        <v>58.614749401297182</v>
      </c>
      <c r="BD47" s="739"/>
      <c r="BE47" s="739"/>
      <c r="BF47" s="739"/>
      <c r="BG47" s="739"/>
      <c r="BH47" s="739"/>
      <c r="BI47" s="739"/>
      <c r="BJ47" s="739"/>
      <c r="BK47" s="739"/>
      <c r="BL47" s="739"/>
      <c r="BM47" s="739"/>
      <c r="BN47" s="739"/>
      <c r="BO47" s="739"/>
      <c r="BP47" s="739"/>
      <c r="BQ47" s="739"/>
      <c r="BW47" s="2281">
        <v>2029</v>
      </c>
      <c r="BX47" s="2137"/>
      <c r="BY47" s="765"/>
      <c r="BZ47" s="1966">
        <v>2.6681394794053408</v>
      </c>
      <c r="CA47" s="739"/>
      <c r="CB47" s="739"/>
      <c r="CC47" s="739"/>
      <c r="CD47" s="739"/>
      <c r="CE47" s="739"/>
      <c r="CF47" s="739"/>
      <c r="CG47" s="739"/>
      <c r="CH47" s="739"/>
      <c r="CI47" s="739"/>
      <c r="CJ47" s="739"/>
      <c r="CK47" s="739"/>
      <c r="CL47" s="739"/>
      <c r="CM47" s="739"/>
      <c r="CN47" s="739"/>
      <c r="CT47" s="2281">
        <v>2029</v>
      </c>
      <c r="CU47" s="2136"/>
      <c r="CV47" s="1794"/>
      <c r="CW47" s="739"/>
      <c r="CX47" s="739"/>
      <c r="CY47" s="739"/>
      <c r="CZ47" s="739"/>
      <c r="DA47" s="739"/>
      <c r="DB47" s="739"/>
      <c r="DC47" s="739"/>
      <c r="DD47" s="739"/>
      <c r="DE47" s="739"/>
      <c r="DF47" s="739"/>
      <c r="DG47" s="739"/>
      <c r="DH47" s="739"/>
      <c r="DI47" s="739"/>
      <c r="DJ47" s="739"/>
      <c r="DO47" s="2281">
        <v>2029</v>
      </c>
      <c r="DP47" s="2137"/>
      <c r="DQ47" s="765"/>
      <c r="DR47" s="1794"/>
      <c r="DS47" s="739"/>
      <c r="DT47" s="739"/>
      <c r="DU47" s="739"/>
      <c r="DV47" s="739"/>
      <c r="DW47" s="739"/>
      <c r="DX47" s="739"/>
      <c r="DY47" s="739"/>
      <c r="DZ47" s="739"/>
      <c r="EA47" s="739"/>
      <c r="EB47" s="739"/>
      <c r="EC47" s="739"/>
      <c r="ED47" s="739"/>
      <c r="EE47" s="2748"/>
      <c r="EG47" s="2281">
        <v>2029</v>
      </c>
      <c r="EH47" s="2416"/>
      <c r="EI47" s="2416">
        <f ca="1">FE47/FE46</f>
        <v>1.0444138304702029</v>
      </c>
      <c r="EJ47" s="739"/>
      <c r="EK47" s="739"/>
      <c r="EL47" s="739"/>
      <c r="EM47" s="739"/>
      <c r="EN47" s="739"/>
      <c r="EO47" s="739"/>
      <c r="EP47" s="739"/>
      <c r="EQ47" s="739"/>
      <c r="ER47" s="739"/>
      <c r="ES47" s="739"/>
      <c r="ET47" s="739"/>
      <c r="EU47" s="739"/>
      <c r="EV47" s="739"/>
      <c r="EW47" s="739"/>
      <c r="FC47" s="2281">
        <v>2029</v>
      </c>
      <c r="FD47" s="2137"/>
      <c r="FE47" s="1966">
        <f ca="1">СЧЁТ!CG40</f>
        <v>3.7315535910136588</v>
      </c>
      <c r="FF47" s="739"/>
      <c r="FG47" s="739"/>
      <c r="FH47" s="739"/>
      <c r="FI47" s="739"/>
      <c r="FJ47" s="739"/>
      <c r="FK47" s="739"/>
      <c r="FL47" s="739"/>
      <c r="FM47" s="739"/>
      <c r="FN47" s="739"/>
      <c r="FO47" s="739"/>
      <c r="FP47" s="739"/>
      <c r="FQ47" s="739"/>
      <c r="FR47" s="739"/>
      <c r="FS47" s="739"/>
      <c r="FY47" s="2281">
        <v>2029</v>
      </c>
      <c r="FZ47" s="2136"/>
      <c r="GA47" s="2416">
        <f t="shared" ca="1" si="14"/>
        <v>1.0380524398612505</v>
      </c>
      <c r="GB47" s="739"/>
      <c r="GC47" s="739"/>
      <c r="GD47" s="739"/>
      <c r="GE47" s="739"/>
      <c r="GF47" s="739"/>
      <c r="GG47" s="739"/>
      <c r="GH47" s="739"/>
      <c r="GI47" s="739"/>
      <c r="GJ47" s="739"/>
      <c r="GK47" s="739"/>
      <c r="GL47" s="739"/>
      <c r="GM47" s="739"/>
      <c r="GN47" s="739"/>
      <c r="GO47" s="739"/>
      <c r="GT47" s="2029"/>
      <c r="GU47" s="2281">
        <v>2029</v>
      </c>
      <c r="GV47" s="2137"/>
      <c r="GW47" s="2509">
        <f t="shared" si="1"/>
        <v>2.4384588522954771</v>
      </c>
      <c r="GX47" s="1255">
        <f ca="1">СЧЁТ!CN40</f>
        <v>5.4762609464205978</v>
      </c>
      <c r="GY47" s="739"/>
      <c r="GZ47" s="739"/>
      <c r="HA47" s="739"/>
      <c r="HB47" s="739"/>
      <c r="HC47" s="739"/>
      <c r="HD47" s="739"/>
      <c r="HE47" s="739"/>
      <c r="HF47" s="739"/>
      <c r="HG47" s="739"/>
      <c r="HH47" s="739"/>
      <c r="HI47" s="739"/>
      <c r="HJ47" s="739"/>
      <c r="HK47" s="739"/>
      <c r="HR47" s="2281">
        <v>2029</v>
      </c>
      <c r="HS47" s="2121">
        <v>0.24384588522954773</v>
      </c>
      <c r="HT47" s="1794"/>
      <c r="HU47" s="739"/>
      <c r="HV47" s="739"/>
      <c r="HW47" s="739"/>
      <c r="HX47" s="739"/>
      <c r="HY47" s="739"/>
      <c r="HZ47" s="739"/>
      <c r="IA47" s="739"/>
      <c r="IB47" s="739"/>
      <c r="IC47" s="739"/>
      <c r="ID47" s="739"/>
      <c r="IE47" s="739"/>
      <c r="IF47" s="739"/>
      <c r="IG47" s="739"/>
      <c r="IH47" s="739"/>
      <c r="IL47" s="2029"/>
      <c r="IN47" s="2281">
        <v>2029</v>
      </c>
      <c r="IO47" s="2137"/>
      <c r="IP47" s="765"/>
      <c r="IQ47" s="1794"/>
      <c r="IR47" s="739"/>
      <c r="IS47" s="739"/>
      <c r="IT47" s="739"/>
      <c r="IU47" s="739"/>
      <c r="IV47" s="739"/>
      <c r="IW47" s="739"/>
      <c r="IX47" s="739"/>
      <c r="IY47" s="739"/>
      <c r="IZ47" s="739"/>
      <c r="JA47" s="739"/>
      <c r="JJ47" s="2748"/>
      <c r="JL47" s="2281">
        <v>2029</v>
      </c>
      <c r="JM47" s="2136"/>
      <c r="JN47" s="1966">
        <f t="shared" ca="1" si="16"/>
        <v>1.044663007999814</v>
      </c>
      <c r="JO47" s="739"/>
      <c r="JP47" s="739"/>
      <c r="JQ47" s="739"/>
      <c r="JR47" s="739"/>
      <c r="JS47" s="739"/>
      <c r="JT47" s="739"/>
      <c r="JU47" s="739"/>
      <c r="JV47" s="739"/>
      <c r="JW47" s="739"/>
      <c r="JX47" s="739"/>
      <c r="JY47" s="739"/>
      <c r="JZ47" s="739"/>
      <c r="KA47" s="739"/>
      <c r="KB47" s="739"/>
      <c r="KF47" s="2029"/>
      <c r="KH47" s="2281">
        <v>2029</v>
      </c>
      <c r="KI47" s="2137"/>
      <c r="KJ47" s="765"/>
      <c r="KK47" s="1966">
        <f ca="1">СЧЁТ!CJ40</f>
        <v>4.2594110227937145</v>
      </c>
      <c r="KL47" s="739"/>
      <c r="KM47" s="739"/>
      <c r="KN47" s="739"/>
      <c r="KO47" s="739"/>
      <c r="KP47" s="739"/>
      <c r="KQ47" s="739"/>
      <c r="KR47" s="739"/>
      <c r="KS47" s="739"/>
      <c r="KT47" s="739"/>
      <c r="KU47" s="739"/>
      <c r="KV47" s="739"/>
      <c r="KW47" s="739"/>
      <c r="KX47" s="739"/>
      <c r="KY47" s="739"/>
      <c r="LE47" s="2281">
        <v>2029</v>
      </c>
      <c r="LF47" s="2136"/>
      <c r="LG47" s="1382">
        <f ca="1"/>
        <v>79.911188181231992</v>
      </c>
      <c r="LH47" s="2136"/>
      <c r="LI47" s="1035">
        <f ca="1"/>
        <v>-3.6600764203583509</v>
      </c>
      <c r="LJ47" s="739"/>
      <c r="LK47" s="739"/>
      <c r="LL47" s="739"/>
      <c r="LM47" s="739"/>
      <c r="LN47" s="739"/>
      <c r="LO47" s="739"/>
      <c r="LP47" s="739"/>
      <c r="LQ47" s="739"/>
      <c r="LR47" s="739"/>
      <c r="LS47" s="739"/>
      <c r="LT47" s="739"/>
      <c r="LU47" s="739"/>
      <c r="LV47" s="739"/>
      <c r="MB47" s="2281">
        <v>2029</v>
      </c>
      <c r="MC47" s="2485"/>
      <c r="MD47" s="2131">
        <f ca="1">СЧЁТ!CE40</f>
        <v>8307.2294128671838</v>
      </c>
      <c r="ME47" s="739"/>
      <c r="MF47" s="739"/>
      <c r="MG47" s="739"/>
      <c r="MH47" s="739"/>
      <c r="MI47" s="739"/>
      <c r="MJ47" s="739"/>
      <c r="MK47" s="739"/>
      <c r="ML47" s="739"/>
      <c r="MM47" s="739"/>
      <c r="MN47" s="739"/>
      <c r="MO47" s="739"/>
      <c r="MP47" s="739"/>
      <c r="MQ47" s="739"/>
      <c r="MY47" s="2281">
        <v>2029</v>
      </c>
      <c r="MZ47" s="2136"/>
      <c r="NA47" s="1597">
        <f>СЧЁТ!CB40</f>
        <v>89.18065218920745</v>
      </c>
      <c r="NB47" s="739"/>
      <c r="NC47" s="739"/>
      <c r="ND47" s="739"/>
      <c r="NE47" s="739"/>
      <c r="NF47" s="739"/>
      <c r="NG47" s="739"/>
      <c r="NH47" s="739"/>
      <c r="NI47" s="739"/>
      <c r="NJ47" s="739"/>
      <c r="NK47" s="739"/>
      <c r="NL47" s="739"/>
      <c r="NM47" s="739"/>
      <c r="NN47" s="739"/>
      <c r="NO47" s="739"/>
      <c r="NV47" s="2281">
        <v>2029</v>
      </c>
      <c r="NW47" s="2137"/>
      <c r="NX47" s="765"/>
      <c r="NY47" s="765"/>
      <c r="NZ47" s="1794"/>
      <c r="OA47" s="739"/>
      <c r="OB47" s="739"/>
      <c r="OC47" s="739"/>
      <c r="OD47" s="739"/>
      <c r="OE47" s="739"/>
      <c r="OF47" s="739"/>
      <c r="OG47" s="739"/>
      <c r="OH47" s="739"/>
      <c r="OI47" s="739"/>
      <c r="OJ47" s="739"/>
      <c r="OK47" s="739"/>
      <c r="OS47" s="2748"/>
      <c r="OU47" s="2281">
        <v>2029</v>
      </c>
      <c r="OV47" s="2136"/>
      <c r="OW47" s="2594">
        <f t="shared" ca="1" si="15"/>
        <v>1.0418860110698367</v>
      </c>
      <c r="OX47" s="739"/>
      <c r="OY47" s="739"/>
      <c r="OZ47" s="739"/>
      <c r="PA47" s="739"/>
      <c r="PB47" s="739"/>
      <c r="PC47" s="739"/>
      <c r="PD47" s="739"/>
      <c r="PE47" s="739"/>
      <c r="PF47" s="739"/>
      <c r="PG47" s="739"/>
      <c r="PH47" s="739"/>
      <c r="PI47" s="739"/>
      <c r="PJ47" s="739"/>
      <c r="PK47" s="739"/>
      <c r="PO47" s="2029"/>
      <c r="PQ47" s="2281">
        <v>2029</v>
      </c>
      <c r="PR47" s="2137"/>
      <c r="PS47" s="1966">
        <f ca="1">СЧЁТ!CI40</f>
        <v>2.0029169884589542</v>
      </c>
      <c r="PT47" s="739"/>
      <c r="PU47" s="739"/>
      <c r="PV47" s="739"/>
      <c r="PW47" s="739"/>
      <c r="PX47" s="739"/>
      <c r="PY47" s="739"/>
      <c r="PZ47" s="739"/>
      <c r="QA47" s="739"/>
      <c r="QB47" s="739"/>
      <c r="QC47" s="739"/>
      <c r="QD47" s="739"/>
      <c r="QE47" s="739"/>
      <c r="QF47" s="739"/>
      <c r="QG47" s="739"/>
      <c r="QM47" s="2281">
        <v>2029</v>
      </c>
      <c r="QN47" s="2136"/>
      <c r="QO47" s="1794"/>
      <c r="QP47" s="739"/>
      <c r="QQ47" s="739"/>
      <c r="QR47" s="739"/>
      <c r="QS47" s="739"/>
      <c r="QT47" s="739"/>
      <c r="QU47" s="739"/>
      <c r="QV47" s="739"/>
      <c r="QW47" s="739"/>
      <c r="QX47" s="739"/>
      <c r="QY47" s="739"/>
      <c r="QZ47" s="739"/>
      <c r="RA47" s="739"/>
      <c r="RB47" s="739"/>
      <c r="RC47" s="739"/>
      <c r="RG47" s="2029"/>
      <c r="RI47" s="943">
        <v>35</v>
      </c>
      <c r="RJ47" s="2281">
        <v>2029</v>
      </c>
      <c r="RK47" s="2137"/>
      <c r="RL47" s="1786"/>
      <c r="RM47" s="2489">
        <f>НАСТРОЙКА!IB39</f>
        <v>14185.83670455504</v>
      </c>
      <c r="RN47" s="739"/>
      <c r="RO47" s="739"/>
      <c r="RP47" s="739"/>
      <c r="RQ47" s="739"/>
      <c r="RR47" s="739"/>
      <c r="RS47" s="739"/>
      <c r="RT47" s="739"/>
      <c r="RU47" s="739"/>
      <c r="RV47" s="739"/>
      <c r="RW47" s="739"/>
      <c r="RX47" s="739"/>
      <c r="RY47" s="739"/>
      <c r="RZ47" s="739"/>
      <c r="SA47" s="739"/>
      <c r="SG47" s="2281">
        <v>2029</v>
      </c>
      <c r="SH47" s="2136"/>
      <c r="SI47" s="1966">
        <f t="shared" ca="1" si="17"/>
        <v>0.58560024240232167</v>
      </c>
      <c r="SJ47" s="739"/>
      <c r="SK47" s="739"/>
      <c r="SL47" s="739"/>
      <c r="SM47" s="739"/>
      <c r="SN47" s="739"/>
      <c r="SO47" s="739"/>
      <c r="SP47" s="739"/>
      <c r="SQ47" s="739"/>
      <c r="SR47" s="739"/>
      <c r="SS47" s="739"/>
      <c r="ST47" s="739"/>
      <c r="SU47" s="739"/>
      <c r="SV47" s="739"/>
      <c r="SW47" s="739"/>
      <c r="TC47" s="2281">
        <v>2029</v>
      </c>
      <c r="TD47" s="2137"/>
      <c r="TE47" s="1794"/>
      <c r="TF47" s="739"/>
      <c r="TG47" s="739"/>
      <c r="TH47" s="739"/>
      <c r="TI47" s="739"/>
      <c r="TJ47" s="739"/>
      <c r="TK47" s="739"/>
      <c r="TL47" s="739"/>
      <c r="TM47" s="739"/>
      <c r="TN47" s="739"/>
      <c r="TO47" s="739"/>
      <c r="TP47" s="739"/>
      <c r="TQ47" s="739"/>
      <c r="TX47" s="2748"/>
      <c r="TZ47" s="2281">
        <v>2029</v>
      </c>
      <c r="UA47" s="2136"/>
      <c r="UB47" s="555"/>
      <c r="UC47" s="1966">
        <f t="shared" si="18"/>
        <v>1.0184398634688558</v>
      </c>
      <c r="UD47" s="739"/>
      <c r="UE47" s="739"/>
      <c r="UF47" s="739"/>
      <c r="UG47" s="739"/>
      <c r="UH47" s="739"/>
      <c r="UI47" s="739"/>
      <c r="UJ47" s="739"/>
      <c r="UK47" s="739"/>
      <c r="UL47" s="739"/>
      <c r="UM47" s="739"/>
      <c r="UN47" s="739"/>
      <c r="UO47" s="739"/>
      <c r="UP47" s="739"/>
      <c r="UQ47" s="739"/>
      <c r="UU47" s="2029"/>
      <c r="UW47" s="2281">
        <v>2029</v>
      </c>
      <c r="UX47" s="2137"/>
      <c r="UY47" s="1966">
        <f>ОТЧЁТ!EX170</f>
        <v>0.88609424405250869</v>
      </c>
      <c r="UZ47" s="739"/>
      <c r="VA47" s="739"/>
      <c r="VB47" s="739"/>
      <c r="VC47" s="739"/>
      <c r="VD47" s="739"/>
      <c r="VE47" s="739"/>
      <c r="VF47" s="739"/>
      <c r="VG47" s="739"/>
      <c r="VH47" s="739"/>
      <c r="VI47" s="739"/>
      <c r="VJ47" s="739"/>
      <c r="VK47" s="739"/>
      <c r="VL47" s="739"/>
      <c r="VM47" s="739"/>
      <c r="VS47" s="2281">
        <v>2029</v>
      </c>
      <c r="VT47" s="2136"/>
      <c r="VU47" s="1794"/>
      <c r="VV47" s="739"/>
      <c r="VW47" s="739"/>
      <c r="VX47" s="739"/>
      <c r="VY47" s="739"/>
      <c r="VZ47" s="739"/>
      <c r="WA47" s="739"/>
      <c r="WB47" s="739"/>
      <c r="WC47" s="739"/>
      <c r="WD47" s="739"/>
      <c r="WE47" s="739"/>
      <c r="WF47" s="739"/>
      <c r="WG47" s="739"/>
      <c r="WH47" s="739"/>
      <c r="WI47" s="739"/>
      <c r="WM47" s="2029"/>
      <c r="WO47" s="2281">
        <v>2029</v>
      </c>
      <c r="WP47" s="2485"/>
      <c r="WQ47" s="1786">
        <f t="shared" si="11"/>
        <v>11476.341893985029</v>
      </c>
      <c r="WR47" s="2131">
        <v>6723.41574803002</v>
      </c>
      <c r="WS47" s="739"/>
      <c r="WT47" s="739"/>
      <c r="WU47" s="739"/>
      <c r="WV47" s="739"/>
      <c r="WW47" s="739"/>
      <c r="WX47" s="739"/>
      <c r="WY47" s="739"/>
      <c r="WZ47" s="739"/>
      <c r="XA47" s="739"/>
      <c r="XB47" s="739"/>
      <c r="XC47" s="739"/>
      <c r="XD47" s="739"/>
      <c r="XE47" s="739"/>
      <c r="XF47" s="739"/>
      <c r="XK47" s="2492">
        <v>2029</v>
      </c>
      <c r="XL47" s="2136"/>
      <c r="XM47" s="2416">
        <f t="shared" si="19"/>
        <v>0.58585007401652012</v>
      </c>
      <c r="XN47" s="739"/>
      <c r="XO47" s="739"/>
      <c r="XP47" s="739"/>
      <c r="XQ47" s="739"/>
      <c r="XR47" s="739"/>
      <c r="XS47" s="739"/>
      <c r="XT47" s="739"/>
      <c r="XU47" s="739"/>
      <c r="XV47" s="739"/>
      <c r="XW47" s="739"/>
      <c r="XX47" s="739"/>
      <c r="XY47" s="739"/>
      <c r="XZ47" s="739"/>
      <c r="YA47" s="739"/>
      <c r="YE47" s="2029"/>
      <c r="YG47" s="2281">
        <v>2029</v>
      </c>
      <c r="YH47" s="2137"/>
      <c r="YI47" s="1794"/>
      <c r="YJ47" s="739"/>
      <c r="YK47" s="739"/>
      <c r="YL47" s="739"/>
      <c r="YM47" s="739"/>
      <c r="YN47" s="739"/>
      <c r="YO47" s="739"/>
      <c r="YP47" s="739"/>
      <c r="YQ47" s="739"/>
      <c r="YR47" s="739"/>
      <c r="YS47" s="739"/>
      <c r="YT47" s="739"/>
      <c r="YU47" s="739"/>
      <c r="ZE47" s="2587" t="s">
        <v>2188</v>
      </c>
      <c r="ZF47" s="765"/>
      <c r="ZG47" s="765"/>
      <c r="ZH47" s="765"/>
      <c r="ZI47" s="765"/>
      <c r="ZJ47" s="765"/>
      <c r="ZK47" s="765"/>
      <c r="ZL47" s="765"/>
      <c r="ZM47" s="765"/>
      <c r="ZN47" s="765"/>
      <c r="ZO47" s="765"/>
      <c r="ZP47" s="777"/>
    </row>
    <row r="48" spans="6:692" ht="21">
      <c r="G48" s="2281">
        <v>2030</v>
      </c>
      <c r="H48" s="2595"/>
      <c r="I48" s="2594">
        <f ca="1">AG48/AG47</f>
        <v>1.0320135684572234</v>
      </c>
      <c r="K48" s="739"/>
      <c r="L48" s="739"/>
      <c r="M48" s="739"/>
      <c r="N48" s="739"/>
      <c r="O48" s="739"/>
      <c r="P48" s="739"/>
      <c r="Q48" s="739"/>
      <c r="R48" s="739"/>
      <c r="S48" s="739"/>
      <c r="T48" s="739"/>
      <c r="U48" s="739"/>
      <c r="V48" s="739"/>
      <c r="W48" s="739"/>
      <c r="X48" s="739"/>
      <c r="AD48" s="2281">
        <v>2030</v>
      </c>
      <c r="AE48" s="2137"/>
      <c r="AF48" s="765"/>
      <c r="AG48" s="1966">
        <f ca="1"/>
        <v>2.8734677511818374</v>
      </c>
      <c r="AH48" s="739"/>
      <c r="AI48" s="739"/>
      <c r="AJ48" s="739"/>
      <c r="AK48" s="739"/>
      <c r="AL48" s="739"/>
      <c r="AM48" s="739"/>
      <c r="AN48" s="739"/>
      <c r="AO48" s="739"/>
      <c r="AP48" s="739"/>
      <c r="AQ48" s="739"/>
      <c r="AR48" s="739"/>
      <c r="AS48" s="739"/>
      <c r="AT48" s="739"/>
      <c r="AU48" s="739"/>
      <c r="BA48" s="2281">
        <v>2030</v>
      </c>
      <c r="BB48" s="2595"/>
      <c r="BC48" s="1255">
        <v>63.290252500100188</v>
      </c>
      <c r="BD48" s="739"/>
      <c r="BE48" s="739"/>
      <c r="BF48" s="739"/>
      <c r="BG48" s="739"/>
      <c r="BH48" s="739"/>
      <c r="BI48" s="739"/>
      <c r="BJ48" s="739"/>
      <c r="BK48" s="739"/>
      <c r="BL48" s="739"/>
      <c r="BM48" s="739"/>
      <c r="BN48" s="739"/>
      <c r="BO48" s="739"/>
      <c r="BP48" s="739"/>
      <c r="BQ48" s="739"/>
      <c r="BW48" s="2281">
        <v>2030</v>
      </c>
      <c r="BX48" s="2137"/>
      <c r="BY48" s="765"/>
      <c r="BZ48" s="1966">
        <v>2.6683216910485856</v>
      </c>
      <c r="CA48" s="739"/>
      <c r="CB48" s="739"/>
      <c r="CC48" s="739"/>
      <c r="CD48" s="739"/>
      <c r="CE48" s="739"/>
      <c r="CF48" s="739"/>
      <c r="CG48" s="739"/>
      <c r="CH48" s="739"/>
      <c r="CI48" s="739"/>
      <c r="CJ48" s="739"/>
      <c r="CK48" s="739"/>
      <c r="CL48" s="739"/>
      <c r="CM48" s="739"/>
      <c r="CN48" s="739"/>
      <c r="CT48" s="2281">
        <v>2030</v>
      </c>
      <c r="CU48" s="2136"/>
      <c r="CV48" s="1794"/>
      <c r="CW48" s="739"/>
      <c r="CX48" s="739"/>
      <c r="CY48" s="739"/>
      <c r="CZ48" s="739"/>
      <c r="DA48" s="739"/>
      <c r="DB48" s="739"/>
      <c r="DC48" s="739"/>
      <c r="DD48" s="739"/>
      <c r="DE48" s="739"/>
      <c r="DF48" s="739"/>
      <c r="DG48" s="739"/>
      <c r="DH48" s="739"/>
      <c r="DI48" s="739"/>
      <c r="DJ48" s="739"/>
      <c r="DO48" s="2281">
        <v>2030</v>
      </c>
      <c r="DP48" s="2137"/>
      <c r="DQ48" s="765"/>
      <c r="DR48" s="1794"/>
      <c r="DS48" s="739"/>
      <c r="DT48" s="739"/>
      <c r="DU48" s="739"/>
      <c r="DV48" s="739"/>
      <c r="DW48" s="739"/>
      <c r="DX48" s="739"/>
      <c r="DY48" s="739"/>
      <c r="DZ48" s="739"/>
      <c r="EA48" s="739"/>
      <c r="EB48" s="739"/>
      <c r="EC48" s="739"/>
      <c r="ED48" s="739"/>
      <c r="EE48" s="2748"/>
      <c r="EG48" s="2281">
        <v>2030</v>
      </c>
      <c r="EH48" s="2416"/>
      <c r="EI48" s="2416">
        <f ca="1">FE48/FE47</f>
        <v>1.0445648849732616</v>
      </c>
      <c r="EJ48" s="739"/>
      <c r="EK48" s="739"/>
      <c r="EL48" s="739"/>
      <c r="EM48" s="739"/>
      <c r="EN48" s="739"/>
      <c r="EO48" s="739"/>
      <c r="EP48" s="739"/>
      <c r="EQ48" s="739"/>
      <c r="ER48" s="739"/>
      <c r="ES48" s="739"/>
      <c r="ET48" s="739"/>
      <c r="EU48" s="739"/>
      <c r="EV48" s="739"/>
      <c r="EW48" s="739"/>
      <c r="FC48" s="2281">
        <v>2030</v>
      </c>
      <c r="FD48" s="2137"/>
      <c r="FE48" s="1966">
        <f ca="1">СЧЁТ!CG41</f>
        <v>3.897849847568744</v>
      </c>
      <c r="FF48" s="739"/>
      <c r="FG48" s="739"/>
      <c r="FH48" s="739"/>
      <c r="FI48" s="739"/>
      <c r="FJ48" s="739"/>
      <c r="FK48" s="739"/>
      <c r="FL48" s="739"/>
      <c r="FM48" s="739"/>
      <c r="FN48" s="739"/>
      <c r="FO48" s="739"/>
      <c r="FP48" s="739"/>
      <c r="FQ48" s="739"/>
      <c r="FR48" s="739"/>
      <c r="FS48" s="739"/>
      <c r="FY48" s="2281">
        <v>2030</v>
      </c>
      <c r="FZ48" s="2136"/>
      <c r="GA48" s="2416">
        <f t="shared" ca="1" si="14"/>
        <v>1.0385001251320654</v>
      </c>
      <c r="GB48" s="739"/>
      <c r="GC48" s="739"/>
      <c r="GD48" s="739"/>
      <c r="GE48" s="739"/>
      <c r="GF48" s="739"/>
      <c r="GG48" s="739"/>
      <c r="GH48" s="739"/>
      <c r="GI48" s="739"/>
      <c r="GJ48" s="739"/>
      <c r="GK48" s="739"/>
      <c r="GL48" s="739"/>
      <c r="GM48" s="739"/>
      <c r="GN48" s="739"/>
      <c r="GO48" s="739"/>
      <c r="GT48" s="2029"/>
      <c r="GU48" s="2281">
        <v>2030</v>
      </c>
      <c r="GV48" s="2137"/>
      <c r="GW48" s="2509">
        <f t="shared" si="1"/>
        <v>2.4484588522954773</v>
      </c>
      <c r="GX48" s="1255">
        <f ca="1">СЧЁТ!CN41</f>
        <v>5.6870976781136333</v>
      </c>
      <c r="GY48" s="739"/>
      <c r="GZ48" s="739"/>
      <c r="HA48" s="739"/>
      <c r="HB48" s="739"/>
      <c r="HC48" s="739"/>
      <c r="HD48" s="739"/>
      <c r="HE48" s="739"/>
      <c r="HF48" s="739"/>
      <c r="HG48" s="739"/>
      <c r="HH48" s="739"/>
      <c r="HI48" s="739"/>
      <c r="HJ48" s="739"/>
      <c r="HK48" s="739"/>
      <c r="HR48" s="2281">
        <v>2030</v>
      </c>
      <c r="HS48" s="2121">
        <v>0.24484588522954773</v>
      </c>
      <c r="HT48" s="1794"/>
      <c r="HU48" s="739"/>
      <c r="HV48" s="739"/>
      <c r="HW48" s="739"/>
      <c r="HX48" s="739"/>
      <c r="HY48" s="739"/>
      <c r="HZ48" s="739"/>
      <c r="IA48" s="739"/>
      <c r="IB48" s="739"/>
      <c r="IC48" s="739"/>
      <c r="ID48" s="739"/>
      <c r="IE48" s="739"/>
      <c r="IF48" s="739"/>
      <c r="IG48" s="739"/>
      <c r="IH48" s="739"/>
      <c r="IL48" s="2029"/>
      <c r="IN48" s="2281">
        <v>2030</v>
      </c>
      <c r="IO48" s="2137"/>
      <c r="IP48" s="765"/>
      <c r="IQ48" s="1794"/>
      <c r="IR48" s="739"/>
      <c r="IS48" s="739"/>
      <c r="IT48" s="739"/>
      <c r="IU48" s="739"/>
      <c r="IV48" s="739"/>
      <c r="IW48" s="739"/>
      <c r="IX48" s="739"/>
      <c r="IY48" s="739"/>
      <c r="IZ48" s="739"/>
      <c r="JA48" s="739"/>
      <c r="JJ48" s="2748"/>
      <c r="JL48" s="2281">
        <v>2030</v>
      </c>
      <c r="JM48" s="2136"/>
      <c r="JN48" s="1966">
        <f t="shared" ca="1" si="16"/>
        <v>1.0448256840545502</v>
      </c>
      <c r="JO48" s="739"/>
      <c r="JP48" s="739"/>
      <c r="JQ48" s="739"/>
      <c r="JR48" s="739"/>
      <c r="JS48" s="739"/>
      <c r="JT48" s="739"/>
      <c r="JU48" s="739"/>
      <c r="JV48" s="739"/>
      <c r="JW48" s="739"/>
      <c r="JX48" s="739"/>
      <c r="JY48" s="739"/>
      <c r="JZ48" s="739"/>
      <c r="KA48" s="739"/>
      <c r="KB48" s="739"/>
      <c r="KF48" s="2029"/>
      <c r="KH48" s="2281">
        <v>2030</v>
      </c>
      <c r="KI48" s="2137"/>
      <c r="KJ48" s="765"/>
      <c r="KK48" s="1966">
        <f ca="1">СЧЁТ!CJ41</f>
        <v>4.4503420355599346</v>
      </c>
      <c r="KL48" s="739"/>
      <c r="KM48" s="739"/>
      <c r="KN48" s="739"/>
      <c r="KO48" s="739"/>
      <c r="KP48" s="739"/>
      <c r="KQ48" s="739"/>
      <c r="KR48" s="739"/>
      <c r="KS48" s="739"/>
      <c r="KT48" s="739"/>
      <c r="KU48" s="739"/>
      <c r="KV48" s="739"/>
      <c r="KW48" s="739"/>
      <c r="KX48" s="739"/>
      <c r="KY48" s="739"/>
      <c r="LE48" s="2281">
        <v>2030</v>
      </c>
      <c r="LF48" s="2136"/>
      <c r="LG48" s="1382">
        <f ca="1"/>
        <v>80.775076420358346</v>
      </c>
      <c r="LH48" s="2136"/>
      <c r="LI48" s="1035">
        <f ca="1"/>
        <v>-4.6595420400787333</v>
      </c>
      <c r="LJ48" s="739"/>
      <c r="LK48" s="739"/>
      <c r="LL48" s="739"/>
      <c r="LM48" s="739"/>
      <c r="LN48" s="739"/>
      <c r="LO48" s="739"/>
      <c r="LP48" s="739"/>
      <c r="LQ48" s="739"/>
      <c r="LR48" s="739"/>
      <c r="LS48" s="739"/>
      <c r="LT48" s="739"/>
      <c r="LU48" s="739"/>
      <c r="LV48" s="739"/>
      <c r="MB48" s="2281">
        <v>2030</v>
      </c>
      <c r="MC48" s="2485"/>
      <c r="MD48" s="2131">
        <f ca="1">СЧЁТ!CE41</f>
        <v>8591.8241359283202</v>
      </c>
      <c r="ME48" s="739"/>
      <c r="MF48" s="739"/>
      <c r="MG48" s="739"/>
      <c r="MH48" s="739"/>
      <c r="MI48" s="739"/>
      <c r="MJ48" s="739"/>
      <c r="MK48" s="739"/>
      <c r="ML48" s="739"/>
      <c r="MM48" s="739"/>
      <c r="MN48" s="739"/>
      <c r="MO48" s="739"/>
      <c r="MP48" s="739"/>
      <c r="MQ48" s="739"/>
      <c r="MY48" s="2281">
        <v>2030</v>
      </c>
      <c r="MZ48" s="2136"/>
      <c r="NA48" s="1597">
        <f>СЧЁТ!CB41</f>
        <v>90.284902002720656</v>
      </c>
      <c r="NB48" s="739"/>
      <c r="NC48" s="739"/>
      <c r="ND48" s="739"/>
      <c r="NE48" s="739"/>
      <c r="NF48" s="739"/>
      <c r="NG48" s="739"/>
      <c r="NH48" s="739"/>
      <c r="NI48" s="739"/>
      <c r="NJ48" s="739"/>
      <c r="NK48" s="739"/>
      <c r="NL48" s="739"/>
      <c r="NM48" s="739"/>
      <c r="NN48" s="739"/>
      <c r="NO48" s="739"/>
      <c r="NV48" s="2281">
        <v>2030</v>
      </c>
      <c r="NW48" s="2137"/>
      <c r="NX48" s="765"/>
      <c r="NY48" s="765"/>
      <c r="NZ48" s="1794"/>
      <c r="OA48" s="739"/>
      <c r="OB48" s="739"/>
      <c r="OC48" s="739"/>
      <c r="OD48" s="739"/>
      <c r="OE48" s="739"/>
      <c r="OF48" s="739"/>
      <c r="OG48" s="739"/>
      <c r="OH48" s="739"/>
      <c r="OI48" s="739"/>
      <c r="OJ48" s="739"/>
      <c r="OK48" s="739"/>
      <c r="OS48" s="2748"/>
      <c r="OU48" s="2281">
        <v>2030</v>
      </c>
      <c r="OV48" s="2136"/>
      <c r="OW48" s="2594">
        <f t="shared" ca="1" si="15"/>
        <v>1.04219586651164</v>
      </c>
      <c r="OX48" s="739"/>
      <c r="OY48" s="739"/>
      <c r="OZ48" s="739"/>
      <c r="PA48" s="739"/>
      <c r="PB48" s="739"/>
      <c r="PC48" s="739"/>
      <c r="PD48" s="739"/>
      <c r="PE48" s="739"/>
      <c r="PF48" s="739"/>
      <c r="PG48" s="739"/>
      <c r="PH48" s="739"/>
      <c r="PI48" s="739"/>
      <c r="PJ48" s="739"/>
      <c r="PK48" s="739"/>
      <c r="PO48" s="2029"/>
      <c r="PQ48" s="2281">
        <v>2030</v>
      </c>
      <c r="PR48" s="2137"/>
      <c r="PS48" s="1966">
        <f ca="1">СЧЁТ!CI41</f>
        <v>2.0874318063378641</v>
      </c>
      <c r="PT48" s="739"/>
      <c r="PU48" s="739"/>
      <c r="PV48" s="739"/>
      <c r="PW48" s="739"/>
      <c r="PX48" s="739"/>
      <c r="PY48" s="739"/>
      <c r="PZ48" s="739"/>
      <c r="QA48" s="739"/>
      <c r="QB48" s="739"/>
      <c r="QC48" s="739"/>
      <c r="QD48" s="739"/>
      <c r="QE48" s="739"/>
      <c r="QF48" s="739"/>
      <c r="QG48" s="739"/>
      <c r="QM48" s="2281">
        <v>2030</v>
      </c>
      <c r="QN48" s="2136"/>
      <c r="QO48" s="1794"/>
      <c r="QP48" s="739"/>
      <c r="QQ48" s="739"/>
      <c r="QR48" s="739"/>
      <c r="QS48" s="739"/>
      <c r="QT48" s="739"/>
      <c r="QU48" s="739"/>
      <c r="QV48" s="739"/>
      <c r="QW48" s="739"/>
      <c r="QX48" s="739"/>
      <c r="QY48" s="739"/>
      <c r="QZ48" s="739"/>
      <c r="RA48" s="739"/>
      <c r="RB48" s="739"/>
      <c r="RC48" s="739"/>
      <c r="RG48" s="2029"/>
      <c r="RI48" s="943">
        <v>36</v>
      </c>
      <c r="RJ48" s="2281">
        <v>2030</v>
      </c>
      <c r="RK48" s="2137"/>
      <c r="RL48" s="1786"/>
      <c r="RM48" s="2489">
        <f>НАСТРОЙКА!IB40</f>
        <v>14808.82788562779</v>
      </c>
      <c r="RN48" s="739"/>
      <c r="RO48" s="739"/>
      <c r="RP48" s="739"/>
      <c r="RQ48" s="739"/>
      <c r="RR48" s="739"/>
      <c r="RS48" s="739"/>
      <c r="RT48" s="739"/>
      <c r="RU48" s="739"/>
      <c r="RV48" s="739"/>
      <c r="RW48" s="739"/>
      <c r="RX48" s="739"/>
      <c r="RY48" s="739"/>
      <c r="RZ48" s="739"/>
      <c r="SA48" s="739"/>
      <c r="SG48" s="2281">
        <v>2030</v>
      </c>
      <c r="SH48" s="2136"/>
      <c r="SI48" s="1966">
        <f t="shared" ca="1" si="17"/>
        <v>0.58018259124118976</v>
      </c>
      <c r="SJ48" s="739"/>
      <c r="SK48" s="739"/>
      <c r="SL48" s="739"/>
      <c r="SM48" s="739"/>
      <c r="SN48" s="739"/>
      <c r="SO48" s="739"/>
      <c r="SP48" s="739"/>
      <c r="SQ48" s="739"/>
      <c r="SR48" s="739"/>
      <c r="SS48" s="739"/>
      <c r="ST48" s="739"/>
      <c r="SU48" s="739"/>
      <c r="SV48" s="739"/>
      <c r="SW48" s="739"/>
      <c r="TC48" s="2281">
        <v>2030</v>
      </c>
      <c r="TD48" s="2137"/>
      <c r="TE48" s="1794"/>
      <c r="TF48" s="739"/>
      <c r="TG48" s="739"/>
      <c r="TH48" s="739"/>
      <c r="TI48" s="739"/>
      <c r="TJ48" s="739"/>
      <c r="TK48" s="739"/>
      <c r="TL48" s="739"/>
      <c r="TM48" s="739"/>
      <c r="TN48" s="739"/>
      <c r="TO48" s="739"/>
      <c r="TP48" s="739"/>
      <c r="TQ48" s="739"/>
      <c r="TX48" s="2748"/>
      <c r="TZ48" s="2281">
        <v>2030</v>
      </c>
      <c r="UA48" s="2136"/>
      <c r="UB48" s="555"/>
      <c r="UC48" s="1966">
        <f t="shared" si="18"/>
        <v>1.017200691885475</v>
      </c>
      <c r="UD48" s="739"/>
      <c r="UE48" s="739"/>
      <c r="UF48" s="739"/>
      <c r="UG48" s="739"/>
      <c r="UH48" s="739"/>
      <c r="UI48" s="739"/>
      <c r="UJ48" s="739"/>
      <c r="UK48" s="739"/>
      <c r="UL48" s="739"/>
      <c r="UM48" s="739"/>
      <c r="UN48" s="739"/>
      <c r="UO48" s="739"/>
      <c r="UP48" s="739"/>
      <c r="UQ48" s="739"/>
      <c r="UU48" s="2029"/>
      <c r="UW48" s="2281">
        <v>2030</v>
      </c>
      <c r="UX48" s="2137"/>
      <c r="UY48" s="1966">
        <f>ОТЧЁТ!EX171</f>
        <v>0.90133567812594884</v>
      </c>
      <c r="UZ48" s="739"/>
      <c r="VA48" s="739"/>
      <c r="VB48" s="739"/>
      <c r="VC48" s="739"/>
      <c r="VD48" s="739"/>
      <c r="VE48" s="739"/>
      <c r="VF48" s="739"/>
      <c r="VG48" s="739"/>
      <c r="VH48" s="739"/>
      <c r="VI48" s="739"/>
      <c r="VJ48" s="739"/>
      <c r="VK48" s="739"/>
      <c r="VL48" s="739"/>
      <c r="VM48" s="739"/>
      <c r="VS48" s="2281">
        <v>2030</v>
      </c>
      <c r="VT48" s="2136"/>
      <c r="VU48" s="1794"/>
      <c r="VV48" s="739"/>
      <c r="VW48" s="739"/>
      <c r="VX48" s="739"/>
      <c r="VY48" s="739"/>
      <c r="VZ48" s="739"/>
      <c r="WA48" s="739"/>
      <c r="WB48" s="739"/>
      <c r="WC48" s="739"/>
      <c r="WD48" s="739"/>
      <c r="WE48" s="739"/>
      <c r="WF48" s="739"/>
      <c r="WG48" s="739"/>
      <c r="WH48" s="739"/>
      <c r="WI48" s="739"/>
      <c r="WM48" s="2029"/>
      <c r="WO48" s="2281">
        <v>2030</v>
      </c>
      <c r="WP48" s="2485"/>
      <c r="WQ48" s="1786">
        <f t="shared" si="11"/>
        <v>11980.341759472883</v>
      </c>
      <c r="WR48" s="2131">
        <v>6836.960134007385</v>
      </c>
      <c r="WS48" s="739"/>
      <c r="WT48" s="739"/>
      <c r="WU48" s="739"/>
      <c r="WV48" s="739"/>
      <c r="WW48" s="739"/>
      <c r="WX48" s="739"/>
      <c r="WY48" s="739"/>
      <c r="WZ48" s="739"/>
      <c r="XA48" s="739"/>
      <c r="XB48" s="739"/>
      <c r="XC48" s="739"/>
      <c r="XD48" s="739"/>
      <c r="XE48" s="739"/>
      <c r="XF48" s="739"/>
      <c r="XK48" s="2492">
        <v>2030</v>
      </c>
      <c r="XL48" s="2136"/>
      <c r="XM48" s="2416">
        <f t="shared" si="19"/>
        <v>0.57068156078280363</v>
      </c>
      <c r="XN48" s="739"/>
      <c r="XO48" s="739"/>
      <c r="XP48" s="739"/>
      <c r="XQ48" s="739"/>
      <c r="XR48" s="739"/>
      <c r="XS48" s="739"/>
      <c r="XT48" s="739"/>
      <c r="XU48" s="739"/>
      <c r="XV48" s="739"/>
      <c r="XW48" s="739"/>
      <c r="XX48" s="739"/>
      <c r="XY48" s="739"/>
      <c r="XZ48" s="739"/>
      <c r="YA48" s="739"/>
      <c r="YE48" s="2029"/>
      <c r="YG48" s="2281">
        <v>2030</v>
      </c>
      <c r="YH48" s="2137"/>
      <c r="YI48" s="1794"/>
      <c r="YJ48" s="739"/>
      <c r="YK48" s="739"/>
      <c r="YL48" s="739"/>
      <c r="YM48" s="739"/>
      <c r="YN48" s="739"/>
      <c r="YO48" s="739"/>
      <c r="YP48" s="739"/>
      <c r="YQ48" s="739"/>
      <c r="YR48" s="739"/>
      <c r="YS48" s="739"/>
      <c r="YT48" s="739"/>
      <c r="YU48" s="739"/>
      <c r="ZE48" s="2587" t="s">
        <v>2189</v>
      </c>
      <c r="ZF48" s="765"/>
      <c r="ZG48" s="765"/>
      <c r="ZH48" s="765"/>
      <c r="ZI48" s="765"/>
      <c r="ZJ48" s="765"/>
      <c r="ZK48" s="765"/>
      <c r="ZL48" s="765"/>
      <c r="ZM48" s="765"/>
      <c r="ZN48" s="765"/>
      <c r="ZO48" s="765"/>
      <c r="ZP48" s="777"/>
    </row>
    <row r="49" spans="7:692" ht="21">
      <c r="G49" s="2281">
        <v>2031</v>
      </c>
      <c r="H49" s="2595"/>
      <c r="I49" s="2594">
        <f ca="1">AG49/AG48</f>
        <v>1.0324851053006443</v>
      </c>
      <c r="K49" s="739"/>
      <c r="L49" s="739"/>
      <c r="M49" s="739"/>
      <c r="N49" s="739"/>
      <c r="O49" s="739"/>
      <c r="P49" s="739"/>
      <c r="Q49" s="739"/>
      <c r="R49" s="739"/>
      <c r="S49" s="739"/>
      <c r="T49" s="739"/>
      <c r="U49" s="739"/>
      <c r="V49" s="739"/>
      <c r="W49" s="739"/>
      <c r="X49" s="739"/>
      <c r="AD49" s="2281">
        <v>2031</v>
      </c>
      <c r="AE49" s="2137"/>
      <c r="AF49" s="765"/>
      <c r="AG49" s="1966">
        <f ca="1"/>
        <v>2.966812653656985</v>
      </c>
      <c r="AH49" s="739"/>
      <c r="AI49" s="739"/>
      <c r="AJ49" s="739"/>
      <c r="AK49" s="739"/>
      <c r="AL49" s="739"/>
      <c r="AM49" s="739"/>
      <c r="AN49" s="739"/>
      <c r="AO49" s="739"/>
      <c r="AP49" s="739"/>
      <c r="AQ49" s="739"/>
      <c r="AR49" s="739"/>
      <c r="AS49" s="739"/>
      <c r="AT49" s="739"/>
      <c r="AU49" s="739"/>
      <c r="BA49" s="2281">
        <v>2031</v>
      </c>
      <c r="BB49" s="2595"/>
      <c r="BC49" s="1255">
        <v>68.383043230789013</v>
      </c>
      <c r="BD49" s="739"/>
      <c r="BE49" s="739"/>
      <c r="BF49" s="739"/>
      <c r="BG49" s="739"/>
      <c r="BH49" s="739"/>
      <c r="BI49" s="739"/>
      <c r="BJ49" s="739"/>
      <c r="BK49" s="739"/>
      <c r="BL49" s="739"/>
      <c r="BM49" s="739"/>
      <c r="BN49" s="739"/>
      <c r="BO49" s="739"/>
      <c r="BP49" s="739"/>
      <c r="BQ49" s="739"/>
      <c r="BW49" s="2281">
        <v>2031</v>
      </c>
      <c r="BX49" s="2137"/>
      <c r="BY49" s="765"/>
      <c r="BZ49" s="1966">
        <v>2.6684310180345325</v>
      </c>
      <c r="CA49" s="739"/>
      <c r="CB49" s="739"/>
      <c r="CC49" s="739"/>
      <c r="CD49" s="739"/>
      <c r="CE49" s="739"/>
      <c r="CF49" s="739"/>
      <c r="CG49" s="739"/>
      <c r="CH49" s="739"/>
      <c r="CI49" s="739"/>
      <c r="CJ49" s="739"/>
      <c r="CK49" s="739"/>
      <c r="CL49" s="739"/>
      <c r="CM49" s="739"/>
      <c r="CN49" s="739"/>
      <c r="CT49" s="2281">
        <v>2031</v>
      </c>
      <c r="CU49" s="2136"/>
      <c r="CV49" s="1794"/>
      <c r="CW49" s="739"/>
      <c r="CX49" s="739"/>
      <c r="CY49" s="739"/>
      <c r="CZ49" s="739"/>
      <c r="DA49" s="739"/>
      <c r="DB49" s="739"/>
      <c r="DC49" s="739"/>
      <c r="DD49" s="739"/>
      <c r="DE49" s="739"/>
      <c r="DF49" s="739"/>
      <c r="DG49" s="739"/>
      <c r="DH49" s="739"/>
      <c r="DI49" s="739"/>
      <c r="DJ49" s="739"/>
      <c r="DO49" s="2281">
        <v>2031</v>
      </c>
      <c r="DP49" s="2137"/>
      <c r="DQ49" s="765"/>
      <c r="DR49" s="1794"/>
      <c r="DS49" s="739"/>
      <c r="DT49" s="739"/>
      <c r="DU49" s="739"/>
      <c r="DV49" s="739"/>
      <c r="DW49" s="739"/>
      <c r="DX49" s="739"/>
      <c r="DY49" s="739"/>
      <c r="DZ49" s="739"/>
      <c r="EA49" s="739"/>
      <c r="EB49" s="739"/>
      <c r="EC49" s="739"/>
      <c r="ED49" s="739"/>
      <c r="EE49" s="2748"/>
      <c r="EG49" s="2281">
        <v>2031</v>
      </c>
      <c r="EH49" s="2416"/>
      <c r="EI49" s="2416">
        <f ca="1">FE49/FE48</f>
        <v>1.0447401535127507</v>
      </c>
      <c r="EJ49" s="739"/>
      <c r="EK49" s="739"/>
      <c r="EL49" s="739"/>
      <c r="EM49" s="739"/>
      <c r="EN49" s="739"/>
      <c r="EO49" s="739"/>
      <c r="EP49" s="739"/>
      <c r="EQ49" s="739"/>
      <c r="ER49" s="739"/>
      <c r="ES49" s="739"/>
      <c r="ET49" s="739"/>
      <c r="EU49" s="739"/>
      <c r="EV49" s="739"/>
      <c r="EW49" s="739"/>
      <c r="FC49" s="2281">
        <v>2031</v>
      </c>
      <c r="FD49" s="2137"/>
      <c r="FE49" s="1966">
        <f ca="1">СЧЁТ!CG42</f>
        <v>4.0722402481186215</v>
      </c>
      <c r="FF49" s="739"/>
      <c r="FG49" s="739"/>
      <c r="FH49" s="739"/>
      <c r="FI49" s="739"/>
      <c r="FJ49" s="739"/>
      <c r="FK49" s="739"/>
      <c r="FL49" s="739"/>
      <c r="FM49" s="739"/>
      <c r="FN49" s="739"/>
      <c r="FO49" s="739"/>
      <c r="FP49" s="739"/>
      <c r="FQ49" s="739"/>
      <c r="FR49" s="739"/>
      <c r="FS49" s="739"/>
      <c r="FY49" s="2281">
        <v>2031</v>
      </c>
      <c r="FZ49" s="2136"/>
      <c r="GA49" s="2416">
        <f t="shared" ca="1" si="14"/>
        <v>1.0389622119732294</v>
      </c>
      <c r="GB49" s="739"/>
      <c r="GC49" s="739"/>
      <c r="GD49" s="739"/>
      <c r="GE49" s="739"/>
      <c r="GF49" s="739"/>
      <c r="GG49" s="739"/>
      <c r="GH49" s="739"/>
      <c r="GI49" s="739"/>
      <c r="GJ49" s="739"/>
      <c r="GK49" s="739"/>
      <c r="GL49" s="739"/>
      <c r="GM49" s="739"/>
      <c r="GN49" s="739"/>
      <c r="GO49" s="739"/>
      <c r="GT49" s="2029"/>
      <c r="GU49" s="2281">
        <v>2031</v>
      </c>
      <c r="GV49" s="2137"/>
      <c r="GW49" s="2509">
        <f t="shared" si="1"/>
        <v>2.4584588522954771</v>
      </c>
      <c r="GX49" s="1255">
        <f ca="1">СЧЁТ!CN42</f>
        <v>5.9086795833607573</v>
      </c>
      <c r="GY49" s="739"/>
      <c r="GZ49" s="739"/>
      <c r="HA49" s="739"/>
      <c r="HB49" s="739"/>
      <c r="HC49" s="739"/>
      <c r="HD49" s="739"/>
      <c r="HE49" s="739"/>
      <c r="HF49" s="739"/>
      <c r="HG49" s="739"/>
      <c r="HH49" s="739"/>
      <c r="HI49" s="739"/>
      <c r="HJ49" s="739"/>
      <c r="HK49" s="739"/>
      <c r="HR49" s="2281">
        <v>2031</v>
      </c>
      <c r="HS49" s="2121">
        <v>0.24584588522954773</v>
      </c>
      <c r="HT49" s="1794"/>
      <c r="HU49" s="739"/>
      <c r="HV49" s="739"/>
      <c r="HW49" s="739"/>
      <c r="HX49" s="739"/>
      <c r="HY49" s="739"/>
      <c r="HZ49" s="739"/>
      <c r="IA49" s="739"/>
      <c r="IB49" s="739"/>
      <c r="IC49" s="739"/>
      <c r="ID49" s="739"/>
      <c r="IE49" s="739"/>
      <c r="IF49" s="739"/>
      <c r="IG49" s="739"/>
      <c r="IH49" s="739"/>
      <c r="IL49" s="2029"/>
      <c r="IN49" s="2281">
        <v>2031</v>
      </c>
      <c r="IO49" s="2137"/>
      <c r="IP49" s="765"/>
      <c r="IQ49" s="1794"/>
      <c r="IR49" s="739"/>
      <c r="IS49" s="739"/>
      <c r="IT49" s="739"/>
      <c r="IU49" s="739"/>
      <c r="IV49" s="739"/>
      <c r="IW49" s="739"/>
      <c r="IX49" s="739"/>
      <c r="IY49" s="739"/>
      <c r="IZ49" s="739"/>
      <c r="JA49" s="739"/>
      <c r="JJ49" s="2748"/>
      <c r="JL49" s="2281">
        <v>2031</v>
      </c>
      <c r="JM49" s="2136"/>
      <c r="JN49" s="1966">
        <f t="shared" ca="1" si="16"/>
        <v>1.0450034629561806</v>
      </c>
      <c r="JO49" s="739"/>
      <c r="JP49" s="739"/>
      <c r="JQ49" s="739"/>
      <c r="JR49" s="739"/>
      <c r="JS49" s="739"/>
      <c r="JT49" s="739"/>
      <c r="JU49" s="739"/>
      <c r="JV49" s="739"/>
      <c r="JW49" s="739"/>
      <c r="JX49" s="739"/>
      <c r="JY49" s="739"/>
      <c r="JZ49" s="739"/>
      <c r="KA49" s="739"/>
      <c r="KB49" s="739"/>
      <c r="KF49" s="2029"/>
      <c r="KH49" s="2281">
        <v>2031</v>
      </c>
      <c r="KI49" s="2137"/>
      <c r="KJ49" s="765"/>
      <c r="KK49" s="1966">
        <f ca="1">СЧЁТ!CJ42</f>
        <v>4.6506228384995891</v>
      </c>
      <c r="KL49" s="739"/>
      <c r="KM49" s="739"/>
      <c r="KN49" s="739"/>
      <c r="KO49" s="739"/>
      <c r="KP49" s="739"/>
      <c r="KQ49" s="739"/>
      <c r="KR49" s="739"/>
      <c r="KS49" s="739"/>
      <c r="KT49" s="739"/>
      <c r="KU49" s="739"/>
      <c r="KV49" s="739"/>
      <c r="KW49" s="739"/>
      <c r="KX49" s="739"/>
      <c r="KY49" s="739"/>
      <c r="LE49" s="2281">
        <v>2031</v>
      </c>
      <c r="LF49" s="2136"/>
      <c r="LG49" s="1382">
        <f ca="1"/>
        <v>81.679142040078716</v>
      </c>
      <c r="LH49" s="2136"/>
      <c r="LI49" s="1035">
        <f ca="1"/>
        <v>-5.701692563147617</v>
      </c>
      <c r="LJ49" s="739"/>
      <c r="LK49" s="739"/>
      <c r="LL49" s="739"/>
      <c r="LM49" s="739"/>
      <c r="LN49" s="739"/>
      <c r="LO49" s="739"/>
      <c r="LP49" s="739"/>
      <c r="LQ49" s="739"/>
      <c r="LR49" s="739"/>
      <c r="LS49" s="739"/>
      <c r="LT49" s="739"/>
      <c r="LU49" s="739"/>
      <c r="LV49" s="739"/>
      <c r="MB49" s="2281">
        <v>2031</v>
      </c>
      <c r="MC49" s="2485"/>
      <c r="MD49" s="2131">
        <f ca="1">СЧЁТ!CE42</f>
        <v>8890.2709487257744</v>
      </c>
      <c r="ME49" s="739"/>
      <c r="MF49" s="739"/>
      <c r="MG49" s="739"/>
      <c r="MH49" s="739"/>
      <c r="MI49" s="739"/>
      <c r="MJ49" s="739"/>
      <c r="MK49" s="739"/>
      <c r="ML49" s="739"/>
      <c r="MM49" s="739"/>
      <c r="MN49" s="739"/>
      <c r="MO49" s="739"/>
      <c r="MP49" s="739"/>
      <c r="MQ49" s="739"/>
      <c r="MY49" s="2281">
        <v>2031</v>
      </c>
      <c r="MZ49" s="2136"/>
      <c r="NA49" s="1597">
        <f>СЧЁТ!CB42</f>
        <v>91.402777074367563</v>
      </c>
      <c r="NB49" s="739"/>
      <c r="NC49" s="739"/>
      <c r="ND49" s="739"/>
      <c r="NE49" s="739"/>
      <c r="NF49" s="739"/>
      <c r="NG49" s="739"/>
      <c r="NH49" s="739"/>
      <c r="NI49" s="739"/>
      <c r="NJ49" s="739"/>
      <c r="NK49" s="739"/>
      <c r="NL49" s="739"/>
      <c r="NM49" s="739"/>
      <c r="NN49" s="739"/>
      <c r="NO49" s="739"/>
      <c r="NV49" s="2281">
        <v>2031</v>
      </c>
      <c r="NW49" s="2137"/>
      <c r="NX49" s="765"/>
      <c r="NY49" s="765"/>
      <c r="NZ49" s="1794"/>
      <c r="OA49" s="739"/>
      <c r="OB49" s="739"/>
      <c r="OC49" s="739"/>
      <c r="OD49" s="739"/>
      <c r="OE49" s="739"/>
      <c r="OF49" s="739"/>
      <c r="OG49" s="739"/>
      <c r="OH49" s="739"/>
      <c r="OI49" s="739"/>
      <c r="OJ49" s="739"/>
      <c r="OK49" s="739"/>
      <c r="OS49" s="2748"/>
      <c r="OU49" s="2281">
        <v>2031</v>
      </c>
      <c r="OV49" s="2136"/>
      <c r="OW49" s="2594">
        <f t="shared" ca="1" si="15"/>
        <v>1.0425123720286593</v>
      </c>
      <c r="OX49" s="739"/>
      <c r="OY49" s="739"/>
      <c r="OZ49" s="739"/>
      <c r="PA49" s="739"/>
      <c r="PB49" s="739"/>
      <c r="PC49" s="739"/>
      <c r="PD49" s="739"/>
      <c r="PE49" s="739"/>
      <c r="PF49" s="739"/>
      <c r="PG49" s="739"/>
      <c r="PH49" s="739"/>
      <c r="PI49" s="739"/>
      <c r="PJ49" s="739"/>
      <c r="PK49" s="739"/>
      <c r="PO49" s="2029"/>
      <c r="PQ49" s="2281">
        <v>2031</v>
      </c>
      <c r="PR49" s="2137"/>
      <c r="PS49" s="1966">
        <f ca="1">СЧЁТ!CI42</f>
        <v>2.1761734838733555</v>
      </c>
      <c r="PT49" s="739"/>
      <c r="PU49" s="739"/>
      <c r="PV49" s="739"/>
      <c r="PW49" s="739"/>
      <c r="PX49" s="739"/>
      <c r="PY49" s="739"/>
      <c r="PZ49" s="739"/>
      <c r="QA49" s="739"/>
      <c r="QB49" s="739"/>
      <c r="QC49" s="739"/>
      <c r="QD49" s="739"/>
      <c r="QE49" s="739"/>
      <c r="QF49" s="739"/>
      <c r="QG49" s="739"/>
      <c r="QM49" s="2281">
        <v>2031</v>
      </c>
      <c r="QN49" s="2136"/>
      <c r="QO49" s="1794"/>
      <c r="QP49" s="739"/>
      <c r="QQ49" s="739"/>
      <c r="QR49" s="739"/>
      <c r="QS49" s="739"/>
      <c r="QT49" s="739"/>
      <c r="QU49" s="739"/>
      <c r="QV49" s="739"/>
      <c r="QW49" s="739"/>
      <c r="QX49" s="739"/>
      <c r="QY49" s="739"/>
      <c r="QZ49" s="739"/>
      <c r="RA49" s="739"/>
      <c r="RB49" s="739"/>
      <c r="RC49" s="739"/>
      <c r="RG49" s="2029"/>
      <c r="RI49" s="943">
        <v>37</v>
      </c>
      <c r="RJ49" s="2281">
        <v>2031</v>
      </c>
      <c r="RK49" s="2137"/>
      <c r="RL49" s="1786"/>
      <c r="RM49" s="2489">
        <f>НАСТРОЙКА!IB41</f>
        <v>15458.237424001558</v>
      </c>
      <c r="RN49" s="739"/>
      <c r="RO49" s="739"/>
      <c r="RP49" s="739"/>
      <c r="RQ49" s="739"/>
      <c r="RR49" s="739"/>
      <c r="RS49" s="739"/>
      <c r="RT49" s="739"/>
      <c r="RU49" s="739"/>
      <c r="RV49" s="739"/>
      <c r="RW49" s="739"/>
      <c r="RX49" s="739"/>
      <c r="RY49" s="739"/>
      <c r="RZ49" s="739"/>
      <c r="SA49" s="739"/>
      <c r="SG49" s="2281">
        <v>2031</v>
      </c>
      <c r="SH49" s="2136"/>
      <c r="SI49" s="1966">
        <f t="shared" ca="1" si="17"/>
        <v>0.57511543553614386</v>
      </c>
      <c r="SJ49" s="739"/>
      <c r="SK49" s="739"/>
      <c r="SL49" s="739"/>
      <c r="SM49" s="739"/>
      <c r="SN49" s="739"/>
      <c r="SO49" s="739"/>
      <c r="SP49" s="739"/>
      <c r="SQ49" s="739"/>
      <c r="SR49" s="739"/>
      <c r="SS49" s="739"/>
      <c r="ST49" s="739"/>
      <c r="SU49" s="739"/>
      <c r="SV49" s="739"/>
      <c r="SW49" s="739"/>
      <c r="TC49" s="2281">
        <v>2031</v>
      </c>
      <c r="TD49" s="2137"/>
      <c r="TE49" s="1794"/>
      <c r="TF49" s="739"/>
      <c r="TG49" s="739"/>
      <c r="TH49" s="739"/>
      <c r="TI49" s="739"/>
      <c r="TJ49" s="739"/>
      <c r="TK49" s="739"/>
      <c r="TL49" s="739"/>
      <c r="TM49" s="739"/>
      <c r="TN49" s="739"/>
      <c r="TO49" s="739"/>
      <c r="TP49" s="739"/>
      <c r="TQ49" s="739"/>
      <c r="TX49" s="2748"/>
      <c r="TZ49" s="2281">
        <v>2031</v>
      </c>
      <c r="UA49" s="2136"/>
      <c r="UB49" s="555"/>
      <c r="UC49" s="1966">
        <f t="shared" si="18"/>
        <v>1.0160643395364903</v>
      </c>
      <c r="UD49" s="739"/>
      <c r="UE49" s="739"/>
      <c r="UF49" s="739"/>
      <c r="UG49" s="739"/>
      <c r="UH49" s="739"/>
      <c r="UI49" s="739"/>
      <c r="UJ49" s="739"/>
      <c r="UK49" s="739"/>
      <c r="UL49" s="739"/>
      <c r="UM49" s="739"/>
      <c r="UN49" s="739"/>
      <c r="UO49" s="739"/>
      <c r="UP49" s="739"/>
      <c r="UQ49" s="739"/>
      <c r="UU49" s="2029"/>
      <c r="UW49" s="2281">
        <v>2031</v>
      </c>
      <c r="UX49" s="2137"/>
      <c r="UY49" s="1966">
        <f>ОТЧЁТ!EX172</f>
        <v>0.91581504049571694</v>
      </c>
      <c r="UZ49" s="739"/>
      <c r="VA49" s="739"/>
      <c r="VB49" s="739"/>
      <c r="VC49" s="739"/>
      <c r="VD49" s="739"/>
      <c r="VE49" s="739"/>
      <c r="VF49" s="739"/>
      <c r="VG49" s="739"/>
      <c r="VH49" s="739"/>
      <c r="VI49" s="739"/>
      <c r="VJ49" s="739"/>
      <c r="VK49" s="739"/>
      <c r="VL49" s="739"/>
      <c r="VM49" s="739"/>
      <c r="VS49" s="2281">
        <v>2031</v>
      </c>
      <c r="VT49" s="2136"/>
      <c r="VU49" s="1794"/>
      <c r="VV49" s="739"/>
      <c r="VW49" s="739"/>
      <c r="VX49" s="739"/>
      <c r="VY49" s="739"/>
      <c r="VZ49" s="739"/>
      <c r="WA49" s="739"/>
      <c r="WB49" s="739"/>
      <c r="WC49" s="739"/>
      <c r="WD49" s="739"/>
      <c r="WE49" s="739"/>
      <c r="WF49" s="739"/>
      <c r="WG49" s="739"/>
      <c r="WH49" s="739"/>
      <c r="WI49" s="739"/>
      <c r="WM49" s="2029"/>
      <c r="WO49" s="2281">
        <v>2031</v>
      </c>
      <c r="WP49" s="2485"/>
      <c r="WQ49" s="1786">
        <f t="shared" si="11"/>
        <v>12505.714076017261</v>
      </c>
      <c r="WR49" s="2131">
        <v>6952.8563297610699</v>
      </c>
      <c r="WS49" s="739"/>
      <c r="WT49" s="739"/>
      <c r="WU49" s="739"/>
      <c r="WV49" s="739"/>
      <c r="WW49" s="739"/>
      <c r="WX49" s="739"/>
      <c r="WY49" s="739"/>
      <c r="WZ49" s="739"/>
      <c r="XA49" s="739"/>
      <c r="XB49" s="739"/>
      <c r="XC49" s="739"/>
      <c r="XD49" s="739"/>
      <c r="XE49" s="739"/>
      <c r="XF49" s="739"/>
      <c r="XK49" s="2492">
        <v>2031</v>
      </c>
      <c r="XL49" s="2136"/>
      <c r="XM49" s="2416">
        <f t="shared" si="19"/>
        <v>0.55597435600217815</v>
      </c>
      <c r="XN49" s="739"/>
      <c r="XO49" s="739"/>
      <c r="XP49" s="739"/>
      <c r="XQ49" s="739"/>
      <c r="XR49" s="739"/>
      <c r="XS49" s="739"/>
      <c r="XT49" s="739"/>
      <c r="XU49" s="739"/>
      <c r="XV49" s="739"/>
      <c r="XW49" s="739"/>
      <c r="XX49" s="739"/>
      <c r="XY49" s="739"/>
      <c r="XZ49" s="739"/>
      <c r="YA49" s="739"/>
      <c r="YE49" s="2029"/>
      <c r="YG49" s="2281">
        <v>2031</v>
      </c>
      <c r="YH49" s="2137"/>
      <c r="YI49" s="1794"/>
      <c r="YJ49" s="739"/>
      <c r="YK49" s="739"/>
      <c r="YL49" s="739"/>
      <c r="YM49" s="739"/>
      <c r="YN49" s="739"/>
      <c r="YO49" s="739"/>
      <c r="YP49" s="739"/>
      <c r="YQ49" s="739"/>
      <c r="YR49" s="739"/>
      <c r="YS49" s="739"/>
      <c r="YT49" s="739"/>
      <c r="YU49" s="739"/>
      <c r="ZE49" s="2587" t="s">
        <v>2190</v>
      </c>
      <c r="ZF49" s="765"/>
      <c r="ZG49" s="765"/>
      <c r="ZH49" s="765"/>
      <c r="ZI49" s="765"/>
      <c r="ZJ49" s="765"/>
      <c r="ZK49" s="765"/>
      <c r="ZL49" s="765"/>
      <c r="ZM49" s="765"/>
      <c r="ZN49" s="765"/>
      <c r="ZO49" s="765"/>
      <c r="ZP49" s="777"/>
    </row>
    <row r="50" spans="7:692" ht="22.8">
      <c r="G50" s="2281">
        <v>2032</v>
      </c>
      <c r="H50" s="2595"/>
      <c r="I50" s="2594">
        <f ca="1">AG50/AG49</f>
        <v>1.0329609310272501</v>
      </c>
      <c r="K50" s="739"/>
      <c r="L50" s="739"/>
      <c r="M50" s="739"/>
      <c r="N50" s="739"/>
      <c r="O50" s="739"/>
      <c r="P50" s="739"/>
      <c r="Q50" s="739"/>
      <c r="R50" s="739"/>
      <c r="S50" s="739"/>
      <c r="T50" s="739"/>
      <c r="U50" s="739"/>
      <c r="V50" s="739"/>
      <c r="W50" s="739"/>
      <c r="X50" s="739"/>
      <c r="AD50" s="2281">
        <v>2032</v>
      </c>
      <c r="AE50" s="2137"/>
      <c r="AF50" s="765"/>
      <c r="AG50" s="1966">
        <f ca="1"/>
        <v>3.0646015609049457</v>
      </c>
      <c r="AH50" s="739"/>
      <c r="AI50" s="739"/>
      <c r="AJ50" s="739"/>
      <c r="AK50" s="739"/>
      <c r="AL50" s="739"/>
      <c r="AM50" s="739"/>
      <c r="AN50" s="739"/>
      <c r="AO50" s="739"/>
      <c r="AP50" s="739"/>
      <c r="AQ50" s="739"/>
      <c r="AR50" s="739"/>
      <c r="AS50" s="739"/>
      <c r="AT50" s="739"/>
      <c r="AU50" s="739"/>
      <c r="BA50" s="2281">
        <v>2032</v>
      </c>
      <c r="BB50" s="2595"/>
      <c r="BC50" s="1255">
        <v>73.932796003844885</v>
      </c>
      <c r="BD50" s="739"/>
      <c r="BE50" s="739"/>
      <c r="BF50" s="739"/>
      <c r="BG50" s="739"/>
      <c r="BH50" s="739"/>
      <c r="BI50" s="739"/>
      <c r="BJ50" s="739"/>
      <c r="BK50" s="739"/>
      <c r="BL50" s="739"/>
      <c r="BM50" s="739"/>
      <c r="BN50" s="739"/>
      <c r="BO50" s="739"/>
      <c r="BP50" s="739"/>
      <c r="BQ50" s="739"/>
      <c r="BW50" s="2281">
        <v>2032</v>
      </c>
      <c r="BX50" s="2137"/>
      <c r="BY50" s="765"/>
      <c r="BZ50" s="1966">
        <v>2.6684966142261008</v>
      </c>
      <c r="CA50" s="739"/>
      <c r="CB50" s="739"/>
      <c r="CC50" s="739"/>
      <c r="CD50" s="739"/>
      <c r="CE50" s="739"/>
      <c r="CF50" s="739"/>
      <c r="CG50" s="739"/>
      <c r="CH50" s="739"/>
      <c r="CI50" s="739"/>
      <c r="CJ50" s="739"/>
      <c r="CK50" s="739"/>
      <c r="CL50" s="739"/>
      <c r="CM50" s="739"/>
      <c r="CN50" s="739"/>
      <c r="CT50" s="2281">
        <v>2032</v>
      </c>
      <c r="CU50" s="2136"/>
      <c r="CV50" s="1794"/>
      <c r="CW50" s="739"/>
      <c r="CX50" s="739"/>
      <c r="CY50" s="739"/>
      <c r="CZ50" s="739"/>
      <c r="DA50" s="739"/>
      <c r="DB50" s="739"/>
      <c r="DC50" s="739"/>
      <c r="DD50" s="739"/>
      <c r="DE50" s="739"/>
      <c r="DF50" s="739"/>
      <c r="DG50" s="739"/>
      <c r="DH50" s="739"/>
      <c r="DI50" s="739"/>
      <c r="DJ50" s="739"/>
      <c r="DO50" s="2281">
        <v>2032</v>
      </c>
      <c r="DP50" s="2137"/>
      <c r="DQ50" s="765"/>
      <c r="DR50" s="1794"/>
      <c r="DS50" s="739"/>
      <c r="DT50" s="739"/>
      <c r="DU50" s="739"/>
      <c r="DV50" s="739"/>
      <c r="DW50" s="739"/>
      <c r="DX50" s="739"/>
      <c r="DY50" s="739"/>
      <c r="DZ50" s="739"/>
      <c r="EA50" s="739"/>
      <c r="EB50" s="739"/>
      <c r="EC50" s="739"/>
      <c r="ED50" s="739"/>
      <c r="EE50" s="2748"/>
      <c r="EG50" s="2281">
        <v>2032</v>
      </c>
      <c r="EH50" s="2416"/>
      <c r="EI50" s="2416">
        <f ca="1">FE50/FE49</f>
        <v>1.0449263353819387</v>
      </c>
      <c r="EJ50" s="739"/>
      <c r="EK50" s="739"/>
      <c r="EL50" s="739"/>
      <c r="EM50" s="739"/>
      <c r="EN50" s="739"/>
      <c r="EO50" s="739"/>
      <c r="EP50" s="739"/>
      <c r="EQ50" s="739"/>
      <c r="ER50" s="739"/>
      <c r="ES50" s="739"/>
      <c r="ET50" s="739"/>
      <c r="EU50" s="739"/>
      <c r="EV50" s="739"/>
      <c r="EW50" s="739"/>
      <c r="FC50" s="2281">
        <v>2032</v>
      </c>
      <c r="FD50" s="2137"/>
      <c r="FE50" s="1966">
        <f ca="1">СЧЁТ!CG43</f>
        <v>4.2551910792614294</v>
      </c>
      <c r="FF50" s="739"/>
      <c r="FG50" s="739"/>
      <c r="FH50" s="739"/>
      <c r="FI50" s="739"/>
      <c r="FJ50" s="739"/>
      <c r="FK50" s="739"/>
      <c r="FL50" s="739"/>
      <c r="FM50" s="739"/>
      <c r="FN50" s="739"/>
      <c r="FO50" s="739"/>
      <c r="FP50" s="739"/>
      <c r="FQ50" s="739"/>
      <c r="FR50" s="739"/>
      <c r="FS50" s="739"/>
      <c r="FY50" s="2281">
        <v>2032</v>
      </c>
      <c r="FZ50" s="2136"/>
      <c r="GA50" s="2416">
        <f t="shared" ca="1" si="14"/>
        <v>1.0394287656011758</v>
      </c>
      <c r="GB50" s="739"/>
      <c r="GC50" s="739"/>
      <c r="GD50" s="739"/>
      <c r="GE50" s="739"/>
      <c r="GF50" s="739"/>
      <c r="GG50" s="739"/>
      <c r="GH50" s="739"/>
      <c r="GI50" s="739"/>
      <c r="GJ50" s="739"/>
      <c r="GK50" s="739"/>
      <c r="GL50" s="739"/>
      <c r="GM50" s="739"/>
      <c r="GN50" s="739"/>
      <c r="GO50" s="739"/>
      <c r="GT50" s="2029"/>
      <c r="GU50" s="2281">
        <v>2032</v>
      </c>
      <c r="GV50" s="2137"/>
      <c r="GW50" s="2509">
        <f t="shared" si="1"/>
        <v>2.4684588522954773</v>
      </c>
      <c r="GX50" s="1255">
        <f ca="1">СЧЁТ!CN43</f>
        <v>6.1416515256655435</v>
      </c>
      <c r="GY50" s="739"/>
      <c r="GZ50" s="739"/>
      <c r="HA50" s="739"/>
      <c r="HB50" s="739"/>
      <c r="HC50" s="739"/>
      <c r="HD50" s="739"/>
      <c r="HE50" s="739"/>
      <c r="HF50" s="739"/>
      <c r="HG50" s="739"/>
      <c r="HH50" s="739"/>
      <c r="HI50" s="739"/>
      <c r="HJ50" s="739"/>
      <c r="HK50" s="739"/>
      <c r="HR50" s="2281">
        <v>2032</v>
      </c>
      <c r="HS50" s="2121">
        <v>0.24684588522954773</v>
      </c>
      <c r="HT50" s="1794"/>
      <c r="HU50" s="739"/>
      <c r="HV50" s="739"/>
      <c r="HW50" s="739"/>
      <c r="HX50" s="739"/>
      <c r="HY50" s="739"/>
      <c r="HZ50" s="739"/>
      <c r="IA50" s="739"/>
      <c r="IB50" s="739"/>
      <c r="IC50" s="739"/>
      <c r="ID50" s="739"/>
      <c r="IE50" s="739"/>
      <c r="IF50" s="739"/>
      <c r="IG50" s="739"/>
      <c r="IH50" s="739"/>
      <c r="IL50" s="2029"/>
      <c r="IN50" s="2281">
        <v>2032</v>
      </c>
      <c r="IO50" s="2137"/>
      <c r="IP50" s="765"/>
      <c r="IQ50" s="1794"/>
      <c r="IR50" s="739"/>
      <c r="IS50" s="739"/>
      <c r="IT50" s="739"/>
      <c r="IU50" s="739"/>
      <c r="IV50" s="739"/>
      <c r="IW50" s="739"/>
      <c r="IX50" s="739"/>
      <c r="IY50" s="739"/>
      <c r="IZ50" s="739"/>
      <c r="JA50" s="739"/>
      <c r="JJ50" s="2748"/>
      <c r="JL50" s="2281">
        <v>2032</v>
      </c>
      <c r="JM50" s="2136"/>
      <c r="JN50" s="1966">
        <f t="shared" ca="1" si="16"/>
        <v>1.0451869111912724</v>
      </c>
      <c r="JO50" s="739"/>
      <c r="JP50" s="739"/>
      <c r="JQ50" s="739"/>
      <c r="JR50" s="739"/>
      <c r="JS50" s="739"/>
      <c r="JT50" s="739"/>
      <c r="JU50" s="739"/>
      <c r="JV50" s="739"/>
      <c r="JW50" s="739"/>
      <c r="JX50" s="739"/>
      <c r="JY50" s="739"/>
      <c r="JZ50" s="739"/>
      <c r="KA50" s="739"/>
      <c r="KB50" s="739"/>
      <c r="KF50" s="2029"/>
      <c r="KH50" s="2281">
        <v>2032</v>
      </c>
      <c r="KI50" s="2137"/>
      <c r="KJ50" s="765"/>
      <c r="KK50" s="1966">
        <f ca="1">СЧЁТ!CJ43</f>
        <v>4.8607701196869728</v>
      </c>
      <c r="KL50" s="739"/>
      <c r="KM50" s="739"/>
      <c r="KN50" s="739"/>
      <c r="KO50" s="739"/>
      <c r="KP50" s="739"/>
      <c r="KQ50" s="739"/>
      <c r="KR50" s="739"/>
      <c r="KS50" s="739"/>
      <c r="KT50" s="739"/>
      <c r="KU50" s="739"/>
      <c r="KV50" s="739"/>
      <c r="KW50" s="739"/>
      <c r="KX50" s="739"/>
      <c r="KY50" s="739"/>
      <c r="LE50" s="2281">
        <v>2032</v>
      </c>
      <c r="LF50" s="2136"/>
      <c r="LG50" s="1382">
        <f ca="1"/>
        <v>82.625892563147602</v>
      </c>
      <c r="LH50" s="2136"/>
      <c r="LI50" s="1035">
        <f ca="1"/>
        <v>-6.7889163974699329</v>
      </c>
      <c r="LJ50" s="739"/>
      <c r="LK50" s="739"/>
      <c r="LL50" s="739"/>
      <c r="LM50" s="739"/>
      <c r="LN50" s="739"/>
      <c r="LO50" s="739"/>
      <c r="LP50" s="739"/>
      <c r="LQ50" s="739"/>
      <c r="LR50" s="739"/>
      <c r="LS50" s="739"/>
      <c r="LT50" s="739"/>
      <c r="LU50" s="739"/>
      <c r="LV50" s="739"/>
      <c r="MB50" s="2281">
        <v>2032</v>
      </c>
      <c r="MC50" s="2485"/>
      <c r="MD50" s="2131">
        <f ca="1">СЧЁТ!CE43</f>
        <v>9203.3678409919248</v>
      </c>
      <c r="ME50" s="739"/>
      <c r="MF50" s="739"/>
      <c r="MG50" s="739"/>
      <c r="MH50" s="739"/>
      <c r="MI50" s="739"/>
      <c r="MJ50" s="739"/>
      <c r="MK50" s="739"/>
      <c r="ML50" s="739"/>
      <c r="MM50" s="739"/>
      <c r="MN50" s="739"/>
      <c r="MO50" s="739"/>
      <c r="MP50" s="739"/>
      <c r="MQ50" s="739"/>
      <c r="MY50" s="2281">
        <v>2032</v>
      </c>
      <c r="MZ50" s="2136"/>
      <c r="NA50" s="1597">
        <f>СЧЁТ!CB43</f>
        <v>92.533280829697134</v>
      </c>
      <c r="NB50" s="739"/>
      <c r="NC50" s="739"/>
      <c r="ND50" s="739"/>
      <c r="NE50" s="739"/>
      <c r="NF50" s="739"/>
      <c r="NG50" s="739"/>
      <c r="NH50" s="739"/>
      <c r="NI50" s="739"/>
      <c r="NJ50" s="739"/>
      <c r="NK50" s="739"/>
      <c r="NL50" s="739"/>
      <c r="NM50" s="739"/>
      <c r="NN50" s="739"/>
      <c r="NO50" s="739"/>
      <c r="NV50" s="2281">
        <v>2032</v>
      </c>
      <c r="NW50" s="2137"/>
      <c r="NX50" s="765"/>
      <c r="NY50" s="765"/>
      <c r="NZ50" s="1794"/>
      <c r="OA50" s="739"/>
      <c r="OB50" s="739"/>
      <c r="OC50" s="739"/>
      <c r="OD50" s="739"/>
      <c r="OE50" s="739"/>
      <c r="OF50" s="739"/>
      <c r="OG50" s="739"/>
      <c r="OH50" s="739"/>
      <c r="OI50" s="739"/>
      <c r="OJ50" s="739"/>
      <c r="OK50" s="739"/>
      <c r="OS50" s="2748"/>
      <c r="OU50" s="2281">
        <v>2032</v>
      </c>
      <c r="OV50" s="2136"/>
      <c r="OW50" s="2594">
        <f t="shared" ca="1" si="15"/>
        <v>1.0428266706703946</v>
      </c>
      <c r="OX50" s="739"/>
      <c r="OY50" s="739"/>
      <c r="OZ50" s="739"/>
      <c r="PA50" s="739"/>
      <c r="PB50" s="739"/>
      <c r="PC50" s="739"/>
      <c r="PD50" s="739"/>
      <c r="PE50" s="739"/>
      <c r="PF50" s="739"/>
      <c r="PG50" s="739"/>
      <c r="PH50" s="739"/>
      <c r="PI50" s="739"/>
      <c r="PJ50" s="739"/>
      <c r="PK50" s="739"/>
      <c r="PO50" s="2029"/>
      <c r="PQ50" s="2281">
        <v>2032</v>
      </c>
      <c r="PR50" s="2137"/>
      <c r="PS50" s="1966">
        <f ca="1">СЧЁТ!CI43</f>
        <v>2.2693717489888452</v>
      </c>
      <c r="PT50" s="739"/>
      <c r="PU50" s="739"/>
      <c r="PV50" s="739"/>
      <c r="PW50" s="739"/>
      <c r="PX50" s="739"/>
      <c r="PY50" s="739"/>
      <c r="PZ50" s="739"/>
      <c r="QA50" s="739"/>
      <c r="QB50" s="739"/>
      <c r="QC50" s="739"/>
      <c r="QD50" s="739"/>
      <c r="QE50" s="739"/>
      <c r="QF50" s="739"/>
      <c r="QG50" s="739"/>
      <c r="QM50" s="2281">
        <v>2032</v>
      </c>
      <c r="QN50" s="2136"/>
      <c r="QO50" s="1794"/>
      <c r="QP50" s="739"/>
      <c r="QQ50" s="739"/>
      <c r="QR50" s="739"/>
      <c r="QS50" s="739"/>
      <c r="QT50" s="739"/>
      <c r="QU50" s="739"/>
      <c r="QV50" s="739"/>
      <c r="QW50" s="739"/>
      <c r="QX50" s="739"/>
      <c r="QY50" s="739"/>
      <c r="QZ50" s="739"/>
      <c r="RA50" s="739"/>
      <c r="RB50" s="739"/>
      <c r="RC50" s="739"/>
      <c r="RG50" s="2029"/>
      <c r="RI50" s="943">
        <v>38</v>
      </c>
      <c r="RJ50" s="2281">
        <v>2032</v>
      </c>
      <c r="RK50" s="2137"/>
      <c r="RL50" s="1786"/>
      <c r="RM50" s="2489">
        <f>НАСТРОЙКА!IB42</f>
        <v>16134.564868588497</v>
      </c>
      <c r="RN50" s="739"/>
      <c r="RO50" s="739"/>
      <c r="RP50" s="739"/>
      <c r="RQ50" s="2495"/>
      <c r="RR50" s="739"/>
      <c r="RS50" s="739"/>
      <c r="RT50" s="739"/>
      <c r="RU50" s="739"/>
      <c r="RV50" s="739"/>
      <c r="RW50" s="739"/>
      <c r="RX50" s="739"/>
      <c r="RY50" s="739"/>
      <c r="RZ50" s="739"/>
      <c r="SA50" s="739"/>
      <c r="SG50" s="2281">
        <v>2032</v>
      </c>
      <c r="SH50" s="2136"/>
      <c r="SI50" s="1966">
        <f t="shared" ca="1" si="17"/>
        <v>0.57041314196885839</v>
      </c>
      <c r="SJ50" s="739"/>
      <c r="SK50" s="739"/>
      <c r="SL50" s="739"/>
      <c r="SM50" s="739"/>
      <c r="SN50" s="739"/>
      <c r="SO50" s="739"/>
      <c r="SP50" s="739"/>
      <c r="SQ50" s="739"/>
      <c r="SR50" s="739"/>
      <c r="SS50" s="739"/>
      <c r="ST50" s="739"/>
      <c r="SU50" s="739"/>
      <c r="SV50" s="739"/>
      <c r="SW50" s="739"/>
      <c r="TC50" s="2281">
        <v>2032</v>
      </c>
      <c r="TD50" s="2137"/>
      <c r="TE50" s="1794"/>
      <c r="TF50" s="739"/>
      <c r="TG50" s="739"/>
      <c r="TH50" s="739"/>
      <c r="TI50" s="739"/>
      <c r="TJ50" s="739"/>
      <c r="TK50" s="739"/>
      <c r="TL50" s="739"/>
      <c r="TM50" s="739"/>
      <c r="TN50" s="739"/>
      <c r="TO50" s="739"/>
      <c r="TP50" s="739"/>
      <c r="TQ50" s="739"/>
      <c r="TX50" s="2748"/>
      <c r="TZ50" s="2281">
        <v>2032</v>
      </c>
      <c r="UA50" s="2136"/>
      <c r="UB50" s="555"/>
      <c r="UC50" s="1966">
        <f t="shared" si="18"/>
        <v>1.0150198387698832</v>
      </c>
      <c r="UD50" s="739"/>
      <c r="UE50" s="739"/>
      <c r="UF50" s="739"/>
      <c r="UG50" s="739"/>
      <c r="UH50" s="739"/>
      <c r="UI50" s="739"/>
      <c r="UJ50" s="739"/>
      <c r="UK50" s="739"/>
      <c r="UL50" s="739"/>
      <c r="UM50" s="739"/>
      <c r="UN50" s="739"/>
      <c r="UO50" s="739"/>
      <c r="UP50" s="739"/>
      <c r="UQ50" s="739"/>
      <c r="UU50" s="2029"/>
      <c r="UW50" s="2281">
        <v>2032</v>
      </c>
      <c r="UX50" s="2137"/>
      <c r="UY50" s="1966">
        <f>ОТЧЁТ!EX173</f>
        <v>0.92957043474699663</v>
      </c>
      <c r="UZ50" s="739"/>
      <c r="VA50" s="739"/>
      <c r="VB50" s="739"/>
      <c r="VC50" s="739"/>
      <c r="VD50" s="739"/>
      <c r="VE50" s="739"/>
      <c r="VF50" s="739"/>
      <c r="VG50" s="739"/>
      <c r="VH50" s="739"/>
      <c r="VI50" s="739"/>
      <c r="VJ50" s="739"/>
      <c r="VK50" s="739"/>
      <c r="VL50" s="739"/>
      <c r="VM50" s="739"/>
      <c r="VS50" s="2281">
        <v>2032</v>
      </c>
      <c r="VT50" s="2136"/>
      <c r="VU50" s="1794"/>
      <c r="VV50" s="739"/>
      <c r="VW50" s="739"/>
      <c r="VX50" s="739"/>
      <c r="VY50" s="739"/>
      <c r="VZ50" s="739"/>
      <c r="WA50" s="739"/>
      <c r="WB50" s="739"/>
      <c r="WC50" s="739"/>
      <c r="WD50" s="739"/>
      <c r="WE50" s="739"/>
      <c r="WF50" s="739"/>
      <c r="WG50" s="739"/>
      <c r="WH50" s="739"/>
      <c r="WI50" s="739"/>
      <c r="WM50" s="2029"/>
      <c r="WO50" s="2281">
        <v>2032</v>
      </c>
      <c r="WP50" s="2485"/>
      <c r="WQ50" s="1786">
        <f t="shared" si="11"/>
        <v>13052.862978688096</v>
      </c>
      <c r="WR50" s="2131">
        <v>7071.0375344150143</v>
      </c>
      <c r="WS50" s="739"/>
      <c r="WT50" s="739"/>
      <c r="WU50" s="739"/>
      <c r="WV50" s="739"/>
      <c r="WW50" s="739"/>
      <c r="WX50" s="739"/>
      <c r="WY50" s="739"/>
      <c r="WZ50" s="739"/>
      <c r="XA50" s="739"/>
      <c r="XB50" s="739"/>
      <c r="XC50" s="739"/>
      <c r="XD50" s="739"/>
      <c r="XE50" s="739"/>
      <c r="XF50" s="739"/>
      <c r="XK50" s="2492">
        <v>2032</v>
      </c>
      <c r="XL50" s="2136"/>
      <c r="XM50" s="2416">
        <f t="shared" si="19"/>
        <v>0.54172311055131472</v>
      </c>
      <c r="XN50" s="739"/>
      <c r="XO50" s="739"/>
      <c r="XP50" s="739"/>
      <c r="XQ50" s="739"/>
      <c r="XR50" s="739"/>
      <c r="XS50" s="739"/>
      <c r="XT50" s="739"/>
      <c r="XU50" s="739"/>
      <c r="XV50" s="739"/>
      <c r="XW50" s="739"/>
      <c r="XX50" s="739"/>
      <c r="XY50" s="739"/>
      <c r="XZ50" s="739"/>
      <c r="YA50" s="739"/>
      <c r="YE50" s="2029"/>
      <c r="YG50" s="2281">
        <v>2032</v>
      </c>
      <c r="YH50" s="2137"/>
      <c r="YI50" s="1794"/>
      <c r="YJ50" s="739"/>
      <c r="YK50" s="739"/>
      <c r="YL50" s="739"/>
      <c r="YM50" s="739"/>
      <c r="YN50" s="739"/>
      <c r="YO50" s="739"/>
      <c r="YP50" s="739"/>
      <c r="YQ50" s="739"/>
      <c r="YR50" s="739"/>
      <c r="YS50" s="739"/>
      <c r="YT50" s="739"/>
      <c r="YU50" s="739"/>
      <c r="ZE50" s="2587" t="s">
        <v>2191</v>
      </c>
      <c r="ZF50" s="765"/>
      <c r="ZG50" s="765"/>
      <c r="ZH50" s="765"/>
      <c r="ZI50" s="765"/>
      <c r="ZJ50" s="765"/>
      <c r="ZK50" s="765"/>
      <c r="ZL50" s="765"/>
      <c r="ZM50" s="765"/>
      <c r="ZN50" s="765"/>
      <c r="ZO50" s="765"/>
      <c r="ZP50" s="777"/>
    </row>
    <row r="51" spans="7:692" ht="21">
      <c r="G51" s="2281">
        <v>2033</v>
      </c>
      <c r="H51" s="2595"/>
      <c r="I51" s="2594">
        <f ca="1">AG51/AG50</f>
        <v>1.0334350628752269</v>
      </c>
      <c r="K51" s="739"/>
      <c r="L51" s="739"/>
      <c r="M51" s="739"/>
      <c r="N51" s="739"/>
      <c r="O51" s="739"/>
      <c r="P51" s="739"/>
      <c r="Q51" s="739"/>
      <c r="R51" s="739"/>
      <c r="S51" s="739"/>
      <c r="T51" s="739"/>
      <c r="U51" s="739"/>
      <c r="V51" s="739"/>
      <c r="W51" s="739"/>
      <c r="X51" s="739"/>
      <c r="AD51" s="2281">
        <v>2033</v>
      </c>
      <c r="AE51" s="2137"/>
      <c r="AF51" s="765"/>
      <c r="AG51" s="1966">
        <f ca="1"/>
        <v>3.1670667067813212</v>
      </c>
      <c r="AH51" s="739"/>
      <c r="AI51" s="739"/>
      <c r="AJ51" s="739"/>
      <c r="AK51" s="739"/>
      <c r="AL51" s="739"/>
      <c r="AM51" s="739"/>
      <c r="AN51" s="739"/>
      <c r="AO51" s="739"/>
      <c r="AP51" s="739"/>
      <c r="AQ51" s="739"/>
      <c r="AR51" s="739"/>
      <c r="AS51" s="739"/>
      <c r="AT51" s="739"/>
      <c r="AU51" s="739"/>
      <c r="BA51" s="2281">
        <v>2033</v>
      </c>
      <c r="BB51" s="2595"/>
      <c r="BC51" s="1255">
        <v>79.983096978233959</v>
      </c>
      <c r="BD51" s="739"/>
      <c r="BE51" s="739"/>
      <c r="BF51" s="739"/>
      <c r="BG51" s="739"/>
      <c r="BH51" s="739"/>
      <c r="BI51" s="739"/>
      <c r="BJ51" s="739"/>
      <c r="BK51" s="739"/>
      <c r="BL51" s="739"/>
      <c r="BM51" s="739"/>
      <c r="BN51" s="739"/>
      <c r="BO51" s="739"/>
      <c r="BP51" s="739"/>
      <c r="BQ51" s="739"/>
      <c r="BW51" s="2281">
        <v>2033</v>
      </c>
      <c r="BX51" s="2137"/>
      <c r="BY51" s="765"/>
      <c r="BZ51" s="1966">
        <v>2.6685359719410418</v>
      </c>
      <c r="CA51" s="739"/>
      <c r="CB51" s="739"/>
      <c r="CC51" s="739"/>
      <c r="CD51" s="739"/>
      <c r="CE51" s="739"/>
      <c r="CF51" s="739"/>
      <c r="CG51" s="739"/>
      <c r="CH51" s="739"/>
      <c r="CI51" s="739"/>
      <c r="CJ51" s="739"/>
      <c r="CK51" s="739"/>
      <c r="CL51" s="739"/>
      <c r="CM51" s="739"/>
      <c r="CN51" s="739"/>
      <c r="CT51" s="2281">
        <v>2033</v>
      </c>
      <c r="CU51" s="2136"/>
      <c r="CV51" s="1794"/>
      <c r="CW51" s="739"/>
      <c r="CX51" s="739"/>
      <c r="CY51" s="739"/>
      <c r="CZ51" s="739"/>
      <c r="DA51" s="739"/>
      <c r="DB51" s="739"/>
      <c r="DC51" s="739"/>
      <c r="DD51" s="739"/>
      <c r="DE51" s="739"/>
      <c r="DF51" s="739"/>
      <c r="DG51" s="739"/>
      <c r="DH51" s="739"/>
      <c r="DI51" s="739"/>
      <c r="DJ51" s="739"/>
      <c r="DO51" s="2281">
        <v>2033</v>
      </c>
      <c r="DP51" s="2137"/>
      <c r="DQ51" s="765"/>
      <c r="DR51" s="1794"/>
      <c r="DS51" s="739"/>
      <c r="DT51" s="739"/>
      <c r="DU51" s="739"/>
      <c r="DV51" s="739"/>
      <c r="DW51" s="739"/>
      <c r="DX51" s="739"/>
      <c r="DY51" s="739"/>
      <c r="DZ51" s="739"/>
      <c r="EA51" s="739"/>
      <c r="EB51" s="739"/>
      <c r="EC51" s="739"/>
      <c r="ED51" s="739"/>
      <c r="EG51" s="2281">
        <v>2033</v>
      </c>
      <c r="EH51" s="2416"/>
      <c r="EI51" s="2416">
        <f ca="1">FE51/FE50</f>
        <v>1.0451156977627611</v>
      </c>
      <c r="EJ51" s="739"/>
      <c r="EK51" s="739"/>
      <c r="EL51" s="739"/>
      <c r="EM51" s="739"/>
      <c r="EN51" s="739"/>
      <c r="EO51" s="739"/>
      <c r="EP51" s="739"/>
      <c r="EQ51" s="739"/>
      <c r="ER51" s="739"/>
      <c r="ES51" s="739"/>
      <c r="ET51" s="739"/>
      <c r="EU51" s="739"/>
      <c r="EV51" s="739"/>
      <c r="EW51" s="739"/>
      <c r="FC51" s="2281">
        <v>2033</v>
      </c>
      <c r="FD51" s="2137"/>
      <c r="FE51" s="1966">
        <f ca="1">СЧЁТ!CG44</f>
        <v>4.4471669939161851</v>
      </c>
      <c r="FF51" s="739"/>
      <c r="FG51" s="739"/>
      <c r="FH51" s="739"/>
      <c r="FI51" s="739"/>
      <c r="FJ51" s="739"/>
      <c r="FK51" s="739"/>
      <c r="FL51" s="739"/>
      <c r="FM51" s="739"/>
      <c r="FN51" s="739"/>
      <c r="FO51" s="739"/>
      <c r="FP51" s="739"/>
      <c r="FQ51" s="739"/>
      <c r="FR51" s="739"/>
      <c r="FS51" s="739"/>
      <c r="FY51" s="2281">
        <v>2033</v>
      </c>
      <c r="FZ51" s="2136"/>
      <c r="GA51" s="2416">
        <f t="shared" ca="1" si="14"/>
        <v>1.0398937643622386</v>
      </c>
      <c r="GB51" s="739"/>
      <c r="GC51" s="739"/>
      <c r="GD51" s="739"/>
      <c r="GE51" s="739"/>
      <c r="GF51" s="739"/>
      <c r="GG51" s="739"/>
      <c r="GH51" s="739"/>
      <c r="GI51" s="739"/>
      <c r="GJ51" s="739"/>
      <c r="GK51" s="739"/>
      <c r="GL51" s="739"/>
      <c r="GM51" s="739"/>
      <c r="GN51" s="739"/>
      <c r="GO51" s="739"/>
      <c r="GT51" s="2029"/>
      <c r="GU51" s="2281">
        <v>2033</v>
      </c>
      <c r="GV51" s="2137"/>
      <c r="GW51" s="2509">
        <f t="shared" si="1"/>
        <v>2.4784588522954771</v>
      </c>
      <c r="GX51" s="1255">
        <f ca="1">СЧЁТ!CN44</f>
        <v>6.386665124425428</v>
      </c>
      <c r="GY51" s="739"/>
      <c r="GZ51" s="739"/>
      <c r="HA51" s="739"/>
      <c r="HB51" s="739"/>
      <c r="HC51" s="739"/>
      <c r="HD51" s="739"/>
      <c r="HE51" s="739"/>
      <c r="HF51" s="739"/>
      <c r="HG51" s="739"/>
      <c r="HH51" s="739"/>
      <c r="HI51" s="739"/>
      <c r="HJ51" s="739"/>
      <c r="HK51" s="739"/>
      <c r="HR51" s="2281">
        <v>2033</v>
      </c>
      <c r="HS51" s="2121">
        <v>0.24784588522954773</v>
      </c>
      <c r="HT51" s="1794"/>
      <c r="HU51" s="739"/>
      <c r="HV51" s="739"/>
      <c r="HW51" s="739"/>
      <c r="HX51" s="739"/>
      <c r="HY51" s="739"/>
      <c r="HZ51" s="739"/>
      <c r="IA51" s="739"/>
      <c r="IB51" s="739"/>
      <c r="IC51" s="739"/>
      <c r="ID51" s="739"/>
      <c r="IE51" s="739"/>
      <c r="IF51" s="739"/>
      <c r="IG51" s="739"/>
      <c r="IH51" s="739"/>
      <c r="IL51" s="2029"/>
      <c r="IN51" s="2281">
        <v>2033</v>
      </c>
      <c r="IO51" s="2137"/>
      <c r="IP51" s="765"/>
      <c r="IQ51" s="1794"/>
      <c r="IR51" s="739"/>
      <c r="IS51" s="739"/>
      <c r="IT51" s="739"/>
      <c r="IU51" s="739"/>
      <c r="IV51" s="739"/>
      <c r="IW51" s="739"/>
      <c r="IX51" s="739"/>
      <c r="IY51" s="739"/>
      <c r="IZ51" s="739"/>
      <c r="JA51" s="739"/>
      <c r="JJ51" s="2748"/>
      <c r="JL51" s="2281">
        <v>2033</v>
      </c>
      <c r="JM51" s="2136"/>
      <c r="JN51" s="1966">
        <f t="shared" ca="1" si="16"/>
        <v>1.0453705311442951</v>
      </c>
      <c r="JO51" s="739"/>
      <c r="JP51" s="739"/>
      <c r="JQ51" s="739"/>
      <c r="JR51" s="739"/>
      <c r="JS51" s="739"/>
      <c r="JT51" s="739"/>
      <c r="JU51" s="739"/>
      <c r="JV51" s="739"/>
      <c r="JW51" s="739"/>
      <c r="JX51" s="739"/>
      <c r="JY51" s="739"/>
      <c r="JZ51" s="739"/>
      <c r="KA51" s="739"/>
      <c r="KB51" s="739"/>
      <c r="KF51" s="2029"/>
      <c r="KH51" s="2281">
        <v>2033</v>
      </c>
      <c r="KI51" s="2137"/>
      <c r="KJ51" s="765"/>
      <c r="KK51" s="1966">
        <f ca="1">СЧЁТ!CJ44</f>
        <v>5.0813058417874899</v>
      </c>
      <c r="KL51" s="739"/>
      <c r="KM51" s="739"/>
      <c r="KN51" s="739"/>
      <c r="KO51" s="739"/>
      <c r="KP51" s="739"/>
      <c r="KQ51" s="739"/>
      <c r="KR51" s="739"/>
      <c r="KS51" s="739"/>
      <c r="KT51" s="739"/>
      <c r="KU51" s="739"/>
      <c r="KV51" s="739"/>
      <c r="KW51" s="739"/>
      <c r="KX51" s="739"/>
      <c r="KY51" s="739"/>
      <c r="LE51" s="2281">
        <v>2033</v>
      </c>
      <c r="LF51" s="2136"/>
      <c r="LG51" s="1382">
        <f ca="1"/>
        <v>83.617716397469906</v>
      </c>
      <c r="LH51" s="2136"/>
      <c r="LI51" s="1035">
        <f ca="1"/>
        <v>-7.9341689745521791</v>
      </c>
      <c r="LJ51" s="739"/>
      <c r="LK51" s="739"/>
      <c r="LL51" s="739"/>
      <c r="LM51" s="739"/>
      <c r="LN51" s="739"/>
      <c r="LO51" s="739"/>
      <c r="LP51" s="739"/>
      <c r="LQ51" s="739"/>
      <c r="LR51" s="739"/>
      <c r="LS51" s="739"/>
      <c r="LT51" s="739"/>
      <c r="LU51" s="739"/>
      <c r="LV51" s="739"/>
      <c r="MB51" s="2281">
        <v>2033</v>
      </c>
      <c r="MC51" s="2485"/>
      <c r="MD51" s="2131">
        <f ca="1">СЧЁТ!CE44</f>
        <v>9531.9100066267929</v>
      </c>
      <c r="ME51" s="739"/>
      <c r="MF51" s="739"/>
      <c r="MG51" s="739"/>
      <c r="MH51" s="739"/>
      <c r="MI51" s="739"/>
      <c r="MJ51" s="739"/>
      <c r="MK51" s="739"/>
      <c r="ML51" s="739"/>
      <c r="MM51" s="739"/>
      <c r="MN51" s="739"/>
      <c r="MO51" s="739"/>
      <c r="MP51" s="739"/>
      <c r="MQ51" s="739"/>
      <c r="MY51" s="2281">
        <v>2033</v>
      </c>
      <c r="MZ51" s="2136"/>
      <c r="NA51" s="1597">
        <f>СЧЁТ!CB44</f>
        <v>93.675415150025771</v>
      </c>
      <c r="NB51" s="739"/>
      <c r="NC51" s="739"/>
      <c r="ND51" s="739"/>
      <c r="NE51" s="739"/>
      <c r="NF51" s="739"/>
      <c r="NG51" s="739"/>
      <c r="NH51" s="739"/>
      <c r="NI51" s="739"/>
      <c r="NJ51" s="739"/>
      <c r="NK51" s="739"/>
      <c r="NL51" s="739"/>
      <c r="NM51" s="739"/>
      <c r="NN51" s="739"/>
      <c r="NO51" s="739"/>
      <c r="NV51" s="2281">
        <v>2033</v>
      </c>
      <c r="NW51" s="2137"/>
      <c r="NX51" s="765"/>
      <c r="NY51" s="765"/>
      <c r="NZ51" s="1794"/>
      <c r="OA51" s="739"/>
      <c r="OB51" s="739"/>
      <c r="OC51" s="739"/>
      <c r="OD51" s="739"/>
      <c r="OE51" s="739"/>
      <c r="OF51" s="739"/>
      <c r="OG51" s="739"/>
      <c r="OH51" s="739"/>
      <c r="OI51" s="739"/>
      <c r="OJ51" s="739"/>
      <c r="OK51" s="739"/>
      <c r="OS51" s="2748"/>
      <c r="OU51" s="2281">
        <v>2033</v>
      </c>
      <c r="OV51" s="2136"/>
      <c r="OW51" s="2594">
        <f t="shared" ca="1" si="15"/>
        <v>1.0431337783551911</v>
      </c>
      <c r="OX51" s="739"/>
      <c r="OY51" s="739"/>
      <c r="OZ51" s="739"/>
      <c r="PA51" s="739"/>
      <c r="PB51" s="739"/>
      <c r="PC51" s="739"/>
      <c r="PD51" s="739"/>
      <c r="PE51" s="739"/>
      <c r="PF51" s="739"/>
      <c r="PG51" s="739"/>
      <c r="PH51" s="739"/>
      <c r="PI51" s="739"/>
      <c r="PJ51" s="739"/>
      <c r="PK51" s="739"/>
      <c r="PO51" s="2029"/>
      <c r="PQ51" s="2281">
        <v>2033</v>
      </c>
      <c r="PR51" s="2137"/>
      <c r="PS51" s="1966">
        <f ca="1">СЧЁТ!CI44</f>
        <v>2.3672583270152621</v>
      </c>
      <c r="PT51" s="739"/>
      <c r="PU51" s="739"/>
      <c r="PV51" s="739"/>
      <c r="PW51" s="739"/>
      <c r="PX51" s="739"/>
      <c r="PY51" s="739"/>
      <c r="PZ51" s="739"/>
      <c r="QA51" s="739"/>
      <c r="QB51" s="739"/>
      <c r="QC51" s="739"/>
      <c r="QD51" s="739"/>
      <c r="QE51" s="739"/>
      <c r="QF51" s="739"/>
      <c r="QG51" s="739"/>
      <c r="QM51" s="2281">
        <v>2033</v>
      </c>
      <c r="QN51" s="2136"/>
      <c r="QO51" s="1794"/>
      <c r="QP51" s="739"/>
      <c r="QQ51" s="739"/>
      <c r="QR51" s="739"/>
      <c r="QS51" s="739"/>
      <c r="QT51" s="739"/>
      <c r="QU51" s="739"/>
      <c r="QV51" s="739"/>
      <c r="QW51" s="739"/>
      <c r="QX51" s="739"/>
      <c r="QY51" s="739"/>
      <c r="QZ51" s="739"/>
      <c r="RA51" s="739"/>
      <c r="RB51" s="739"/>
      <c r="RC51" s="739"/>
      <c r="RG51" s="2029"/>
      <c r="RI51" s="943">
        <v>39</v>
      </c>
      <c r="RJ51" s="2281">
        <v>2033</v>
      </c>
      <c r="RK51" s="2137"/>
      <c r="RL51" s="1786"/>
      <c r="RM51" s="2489">
        <f>НАСТРОЙКА!IB43</f>
        <v>16838.310389353599</v>
      </c>
      <c r="RN51" s="739"/>
      <c r="RO51" s="739"/>
      <c r="RP51" s="739"/>
      <c r="RQ51" s="739"/>
      <c r="RR51" s="739"/>
      <c r="RS51" s="739"/>
      <c r="RT51" s="943"/>
      <c r="RU51" s="739"/>
      <c r="RV51" s="739"/>
      <c r="RW51" s="739"/>
      <c r="RX51" s="739"/>
      <c r="RY51" s="739"/>
      <c r="RZ51" s="739"/>
      <c r="SA51" s="739"/>
      <c r="SG51" s="2281">
        <v>2033</v>
      </c>
      <c r="SH51" s="2136"/>
      <c r="SI51" s="1966">
        <f t="shared" ca="1" si="17"/>
        <v>0.56608470720753301</v>
      </c>
      <c r="SJ51" s="739"/>
      <c r="SK51" s="739"/>
      <c r="SL51" s="739"/>
      <c r="SM51" s="739"/>
      <c r="SN51" s="739"/>
      <c r="SO51" s="739"/>
      <c r="SP51" s="739"/>
      <c r="SQ51" s="739"/>
      <c r="SR51" s="739"/>
      <c r="SS51" s="739"/>
      <c r="ST51" s="739"/>
      <c r="SU51" s="739"/>
      <c r="SV51" s="739"/>
      <c r="SW51" s="739"/>
      <c r="TC51" s="2281">
        <v>2033</v>
      </c>
      <c r="TD51" s="2137"/>
      <c r="TE51" s="1794"/>
      <c r="TF51" s="739"/>
      <c r="TG51" s="739"/>
      <c r="TH51" s="739"/>
      <c r="TI51" s="739"/>
      <c r="TJ51" s="739"/>
      <c r="TK51" s="739"/>
      <c r="TL51" s="739"/>
      <c r="TM51" s="739"/>
      <c r="TN51" s="739"/>
      <c r="TO51" s="739"/>
      <c r="TP51" s="739"/>
      <c r="TQ51" s="739"/>
      <c r="TX51" s="2748"/>
      <c r="TZ51" s="2281">
        <v>2033</v>
      </c>
      <c r="UA51" s="2136"/>
      <c r="UB51" s="555"/>
      <c r="UC51" s="1966">
        <f t="shared" si="18"/>
        <v>1.0140577024077495</v>
      </c>
      <c r="UD51" s="739"/>
      <c r="UE51" s="739"/>
      <c r="UF51" s="739"/>
      <c r="UG51" s="739"/>
      <c r="UH51" s="739"/>
      <c r="UI51" s="739"/>
      <c r="UJ51" s="739"/>
      <c r="UK51" s="739"/>
      <c r="UL51" s="739"/>
      <c r="UM51" s="739"/>
      <c r="UN51" s="739"/>
      <c r="UO51" s="739"/>
      <c r="UP51" s="739"/>
      <c r="UQ51" s="739"/>
      <c r="UU51" s="2029"/>
      <c r="UW51" s="2281">
        <v>2033</v>
      </c>
      <c r="UX51" s="2137"/>
      <c r="UY51" s="1966">
        <f>ОТЧЁТ!EX174</f>
        <v>0.94263805928571232</v>
      </c>
      <c r="UZ51" s="739"/>
      <c r="VA51" s="739"/>
      <c r="VB51" s="739"/>
      <c r="VC51" s="739"/>
      <c r="VD51" s="739"/>
      <c r="VE51" s="739"/>
      <c r="VF51" s="739"/>
      <c r="VG51" s="739"/>
      <c r="VH51" s="739"/>
      <c r="VI51" s="739"/>
      <c r="VJ51" s="739"/>
      <c r="VK51" s="739"/>
      <c r="VL51" s="739"/>
      <c r="VM51" s="739"/>
      <c r="VS51" s="2281">
        <v>2033</v>
      </c>
      <c r="VT51" s="2136"/>
      <c r="VU51" s="1794"/>
      <c r="VV51" s="739"/>
      <c r="VW51" s="739"/>
      <c r="VX51" s="739"/>
      <c r="VY51" s="739"/>
      <c r="VZ51" s="739"/>
      <c r="WA51" s="739"/>
      <c r="WB51" s="739"/>
      <c r="WC51" s="739"/>
      <c r="WD51" s="739"/>
      <c r="WE51" s="739"/>
      <c r="WF51" s="739"/>
      <c r="WG51" s="739"/>
      <c r="WH51" s="739"/>
      <c r="WI51" s="739"/>
      <c r="WM51" s="2029"/>
      <c r="WO51" s="2281">
        <v>2033</v>
      </c>
      <c r="WP51" s="2485"/>
      <c r="WQ51" s="1786">
        <f t="shared" si="11"/>
        <v>13622.193104987062</v>
      </c>
      <c r="WR51" s="2131">
        <v>7191.4338763837186</v>
      </c>
      <c r="WS51" s="739"/>
      <c r="WT51" s="739"/>
      <c r="WU51" s="739"/>
      <c r="WV51" s="739"/>
      <c r="WW51" s="739"/>
      <c r="WX51" s="739"/>
      <c r="WY51" s="739"/>
      <c r="WZ51" s="739"/>
      <c r="XA51" s="739"/>
      <c r="XB51" s="739"/>
      <c r="XC51" s="739"/>
      <c r="XD51" s="739"/>
      <c r="XE51" s="739"/>
      <c r="XF51" s="739"/>
      <c r="XK51" s="2492">
        <v>2033</v>
      </c>
      <c r="XL51" s="2136"/>
      <c r="XM51" s="2416">
        <f t="shared" si="19"/>
        <v>0.52792041787683563</v>
      </c>
      <c r="XN51" s="739"/>
      <c r="XO51" s="739"/>
      <c r="XP51" s="739"/>
      <c r="XQ51" s="739"/>
      <c r="XR51" s="739"/>
      <c r="XS51" s="739"/>
      <c r="XT51" s="739"/>
      <c r="XU51" s="739"/>
      <c r="XV51" s="739"/>
      <c r="XW51" s="739"/>
      <c r="XX51" s="739"/>
      <c r="XY51" s="739"/>
      <c r="XZ51" s="739"/>
      <c r="YA51" s="739"/>
      <c r="YE51" s="2029"/>
      <c r="YG51" s="2281">
        <v>2033</v>
      </c>
      <c r="YH51" s="2137"/>
      <c r="YI51" s="1794"/>
      <c r="YJ51" s="739"/>
      <c r="YK51" s="739"/>
      <c r="YL51" s="739"/>
      <c r="YM51" s="739"/>
      <c r="YN51" s="739"/>
      <c r="YO51" s="739"/>
      <c r="YP51" s="739"/>
      <c r="YQ51" s="739"/>
      <c r="YR51" s="739"/>
      <c r="YS51" s="739"/>
      <c r="YT51" s="739"/>
      <c r="YU51" s="739"/>
      <c r="ZE51" s="2588" t="s">
        <v>2192</v>
      </c>
      <c r="ZF51" s="557"/>
      <c r="ZG51" s="557"/>
      <c r="ZH51" s="557"/>
      <c r="ZI51" s="557"/>
      <c r="ZJ51" s="557"/>
      <c r="ZK51" s="557"/>
      <c r="ZL51" s="557"/>
      <c r="ZM51" s="557"/>
      <c r="ZN51" s="557"/>
      <c r="ZO51" s="557"/>
      <c r="ZP51" s="796"/>
    </row>
    <row r="52" spans="7:692" ht="21">
      <c r="G52" s="2281">
        <v>2034</v>
      </c>
      <c r="H52" s="2595"/>
      <c r="I52" s="2594">
        <f ca="1">AG52/AG51</f>
        <v>1.0339038477250333</v>
      </c>
      <c r="K52" s="739"/>
      <c r="L52" s="739"/>
      <c r="M52" s="739"/>
      <c r="N52" s="739"/>
      <c r="O52" s="739"/>
      <c r="P52" s="739"/>
      <c r="Q52" s="739"/>
      <c r="R52" s="739"/>
      <c r="S52" s="739"/>
      <c r="T52" s="739"/>
      <c r="U52" s="739"/>
      <c r="V52" s="739"/>
      <c r="W52" s="739"/>
      <c r="X52" s="739"/>
      <c r="AD52" s="2281">
        <v>2034</v>
      </c>
      <c r="AE52" s="2137"/>
      <c r="AF52" s="765"/>
      <c r="AG52" s="1966">
        <f ca="1"/>
        <v>3.2744424541430575</v>
      </c>
      <c r="AH52" s="739"/>
      <c r="AI52" s="739"/>
      <c r="AJ52" s="739"/>
      <c r="AK52" s="739"/>
      <c r="AL52" s="739"/>
      <c r="AM52" s="739"/>
      <c r="AN52" s="739"/>
      <c r="AO52" s="739"/>
      <c r="AP52" s="739"/>
      <c r="AQ52" s="739"/>
      <c r="AR52" s="739"/>
      <c r="AS52" s="739"/>
      <c r="AT52" s="739"/>
      <c r="AU52" s="739"/>
      <c r="BA52" s="2281">
        <v>2034</v>
      </c>
      <c r="BB52" s="2595"/>
      <c r="BC52" s="1255">
        <v>86.581837271697665</v>
      </c>
      <c r="BD52" s="739"/>
      <c r="BE52" s="739"/>
      <c r="BF52" s="739"/>
      <c r="BG52" s="739"/>
      <c r="BH52" s="739"/>
      <c r="BI52" s="739"/>
      <c r="BJ52" s="739"/>
      <c r="BK52" s="739"/>
      <c r="BL52" s="739"/>
      <c r="BM52" s="739"/>
      <c r="BN52" s="739"/>
      <c r="BO52" s="739"/>
      <c r="BP52" s="739"/>
      <c r="BQ52" s="739"/>
      <c r="BW52" s="2281">
        <v>2034</v>
      </c>
      <c r="BX52" s="2137"/>
      <c r="BY52" s="765"/>
      <c r="BZ52" s="1966">
        <v>2.6685595865700065</v>
      </c>
      <c r="CA52" s="739"/>
      <c r="CB52" s="739"/>
      <c r="CC52" s="739"/>
      <c r="CD52" s="739"/>
      <c r="CE52" s="739"/>
      <c r="CF52" s="739"/>
      <c r="CG52" s="739"/>
      <c r="CH52" s="739"/>
      <c r="CI52" s="739"/>
      <c r="CJ52" s="739"/>
      <c r="CK52" s="739"/>
      <c r="CL52" s="739"/>
      <c r="CM52" s="739"/>
      <c r="CN52" s="739"/>
      <c r="CT52" s="2281">
        <v>2034</v>
      </c>
      <c r="CU52" s="2136"/>
      <c r="CV52" s="1794"/>
      <c r="CW52" s="739"/>
      <c r="CX52" s="739"/>
      <c r="CY52" s="739"/>
      <c r="CZ52" s="739"/>
      <c r="DA52" s="739"/>
      <c r="DB52" s="739"/>
      <c r="DC52" s="739"/>
      <c r="DD52" s="739"/>
      <c r="DE52" s="739"/>
      <c r="DF52" s="739"/>
      <c r="DG52" s="739"/>
      <c r="DH52" s="739"/>
      <c r="DI52" s="739"/>
      <c r="DJ52" s="739"/>
      <c r="DO52" s="2281">
        <v>2034</v>
      </c>
      <c r="DP52" s="2137"/>
      <c r="DQ52" s="765"/>
      <c r="DR52" s="1794"/>
      <c r="DS52" s="739"/>
      <c r="DT52" s="739"/>
      <c r="DU52" s="739"/>
      <c r="DV52" s="739"/>
      <c r="DW52" s="739"/>
      <c r="DX52" s="739"/>
      <c r="DY52" s="739"/>
      <c r="DZ52" s="739"/>
      <c r="EA52" s="739"/>
      <c r="EB52" s="739"/>
      <c r="EC52" s="739"/>
      <c r="ED52" s="739"/>
      <c r="EG52" s="2281">
        <v>2034</v>
      </c>
      <c r="EH52" s="2416"/>
      <c r="EI52" s="2416">
        <f ca="1">FE52/FE51</f>
        <v>1.0453037816167496</v>
      </c>
      <c r="EJ52" s="739"/>
      <c r="EK52" s="739"/>
      <c r="EL52" s="739"/>
      <c r="EM52" s="739"/>
      <c r="EN52" s="739"/>
      <c r="EO52" s="739"/>
      <c r="EP52" s="739"/>
      <c r="EQ52" s="739"/>
      <c r="ER52" s="739"/>
      <c r="ES52" s="739"/>
      <c r="ET52" s="739"/>
      <c r="EU52" s="739"/>
      <c r="EV52" s="739"/>
      <c r="EW52" s="739"/>
      <c r="FC52" s="2281">
        <v>2034</v>
      </c>
      <c r="FD52" s="2137"/>
      <c r="FE52" s="1966">
        <f ca="1">СЧЁТ!CG45</f>
        <v>4.6486404762217797</v>
      </c>
      <c r="FF52" s="739"/>
      <c r="FG52" s="739"/>
      <c r="FH52" s="739"/>
      <c r="FI52" s="739"/>
      <c r="FJ52" s="739"/>
      <c r="FK52" s="739"/>
      <c r="FL52" s="739"/>
      <c r="FM52" s="739"/>
      <c r="FN52" s="739"/>
      <c r="FO52" s="739"/>
      <c r="FP52" s="739"/>
      <c r="FQ52" s="739"/>
      <c r="FR52" s="739"/>
      <c r="FS52" s="739"/>
      <c r="FY52" s="2281">
        <v>2034</v>
      </c>
      <c r="FZ52" s="2136"/>
      <c r="GA52" s="2416">
        <f t="shared" ca="1" si="14"/>
        <v>1.0403535310843175</v>
      </c>
      <c r="GB52" s="739"/>
      <c r="GC52" s="739"/>
      <c r="GD52" s="739"/>
      <c r="GE52" s="739"/>
      <c r="GF52" s="739"/>
      <c r="GG52" s="739"/>
      <c r="GH52" s="739"/>
      <c r="GI52" s="739"/>
      <c r="GJ52" s="739"/>
      <c r="GK52" s="739"/>
      <c r="GL52" s="739"/>
      <c r="GM52" s="739"/>
      <c r="GN52" s="739"/>
      <c r="GO52" s="739"/>
      <c r="GT52" s="2029"/>
      <c r="GU52" s="2281">
        <v>2034</v>
      </c>
      <c r="GV52" s="2137"/>
      <c r="GW52" s="2509">
        <f t="shared" si="1"/>
        <v>2.4884588522954774</v>
      </c>
      <c r="GX52" s="1255">
        <f ca="1">СЧЁТ!CN45</f>
        <v>6.6443896140490546</v>
      </c>
      <c r="GY52" s="739"/>
      <c r="GZ52" s="739"/>
      <c r="HA52" s="739"/>
      <c r="HB52" s="739"/>
      <c r="HC52" s="739"/>
      <c r="HD52" s="739"/>
      <c r="HE52" s="739"/>
      <c r="HF52" s="739"/>
      <c r="HG52" s="739"/>
      <c r="HH52" s="739"/>
      <c r="HI52" s="739"/>
      <c r="HJ52" s="739"/>
      <c r="HK52" s="739"/>
      <c r="HR52" s="2281">
        <v>2034</v>
      </c>
      <c r="HS52" s="2121">
        <v>0.24884588522954773</v>
      </c>
      <c r="HT52" s="1794"/>
      <c r="HU52" s="739"/>
      <c r="HV52" s="739"/>
      <c r="HW52" s="739"/>
      <c r="HX52" s="739"/>
      <c r="HY52" s="739"/>
      <c r="HZ52" s="739"/>
      <c r="IA52" s="739"/>
      <c r="IB52" s="739"/>
      <c r="IC52" s="739"/>
      <c r="ID52" s="739"/>
      <c r="IE52" s="739"/>
      <c r="IF52" s="739"/>
      <c r="IG52" s="739"/>
      <c r="IH52" s="739"/>
      <c r="IL52" s="2029"/>
      <c r="IN52" s="2281">
        <v>2034</v>
      </c>
      <c r="IO52" s="2137"/>
      <c r="IP52" s="765"/>
      <c r="IQ52" s="1794"/>
      <c r="IR52" s="739"/>
      <c r="IT52" s="739"/>
      <c r="IU52" s="739"/>
      <c r="IV52" s="739"/>
      <c r="IW52" s="739"/>
      <c r="IX52" s="739"/>
      <c r="IY52" s="739"/>
      <c r="IZ52" s="739"/>
      <c r="JA52" s="739"/>
      <c r="JJ52" s="2748"/>
      <c r="JL52" s="2281">
        <v>2034</v>
      </c>
      <c r="JM52" s="2136"/>
      <c r="JN52" s="1966">
        <f t="shared" ca="1" si="16"/>
        <v>1.0455511604641088</v>
      </c>
      <c r="JO52" s="739"/>
      <c r="JP52" s="739"/>
      <c r="JQ52" s="739"/>
      <c r="JR52" s="739"/>
      <c r="JS52" s="739"/>
      <c r="JT52" s="739"/>
      <c r="JU52" s="739"/>
      <c r="JV52" s="739"/>
      <c r="JW52" s="739"/>
      <c r="JX52" s="739"/>
      <c r="JY52" s="739"/>
      <c r="JZ52" s="739"/>
      <c r="KA52" s="739"/>
      <c r="KB52" s="739"/>
      <c r="KF52" s="2029"/>
      <c r="KH52" s="2281">
        <v>2034</v>
      </c>
      <c r="KI52" s="2137"/>
      <c r="KJ52" s="765"/>
      <c r="KK52" s="1966">
        <f ca="1">СЧЁТ!CJ45</f>
        <v>5.312765219553965</v>
      </c>
      <c r="KL52" s="739"/>
      <c r="KM52" s="739"/>
      <c r="KN52" s="739"/>
      <c r="KO52" s="739"/>
      <c r="KP52" s="739"/>
      <c r="KQ52" s="739"/>
      <c r="KR52" s="739"/>
      <c r="KS52" s="739"/>
      <c r="KT52" s="739"/>
      <c r="KU52" s="739"/>
      <c r="KV52" s="739"/>
      <c r="KW52" s="739"/>
      <c r="KX52" s="739"/>
      <c r="KY52" s="739"/>
      <c r="LE52" s="2281">
        <v>2034</v>
      </c>
      <c r="LF52" s="2136"/>
      <c r="LG52" s="1382">
        <f ca="1"/>
        <v>84.656968974552157</v>
      </c>
      <c r="LH52" s="2136"/>
      <c r="LI52" s="1035">
        <f ca="1"/>
        <v>-9.1186273192936227</v>
      </c>
      <c r="LJ52" s="739"/>
      <c r="LK52" s="739"/>
      <c r="LL52" s="739"/>
      <c r="LM52" s="739"/>
      <c r="LN52" s="739"/>
      <c r="LO52" s="739"/>
      <c r="LP52" s="739"/>
      <c r="LQ52" s="739"/>
      <c r="LR52" s="739"/>
      <c r="LS52" s="739"/>
      <c r="LT52" s="739"/>
      <c r="LU52" s="739"/>
      <c r="LV52" s="739"/>
      <c r="MB52" s="2281">
        <v>2034</v>
      </c>
      <c r="MC52" s="2485"/>
      <c r="MD52" s="2131">
        <f ca="1">СЧЁТ!CE45</f>
        <v>9876.7060416591885</v>
      </c>
      <c r="ME52" s="739"/>
      <c r="MF52" s="739"/>
      <c r="MG52" s="739"/>
      <c r="MH52" s="739"/>
      <c r="MI52" s="739"/>
      <c r="MJ52" s="739"/>
      <c r="MK52" s="739"/>
      <c r="ML52" s="739"/>
      <c r="MM52" s="739"/>
      <c r="MN52" s="739"/>
      <c r="MO52" s="739"/>
      <c r="MP52" s="739"/>
      <c r="MQ52" s="739"/>
      <c r="MY52" s="2281">
        <v>2034</v>
      </c>
      <c r="MZ52" s="2136"/>
      <c r="NA52" s="1597">
        <f>СЧЁТ!CB45</f>
        <v>94.828180685442121</v>
      </c>
      <c r="NB52" s="739"/>
      <c r="NC52" s="739"/>
      <c r="ND52" s="739"/>
      <c r="NE52" s="739"/>
      <c r="NF52" s="739"/>
      <c r="NG52" s="739"/>
      <c r="NH52" s="739"/>
      <c r="NI52" s="739"/>
      <c r="NJ52" s="739"/>
      <c r="NK52" s="739"/>
      <c r="NL52" s="739"/>
      <c r="NM52" s="739"/>
      <c r="NN52" s="739"/>
      <c r="NO52" s="739"/>
      <c r="NV52" s="2281">
        <v>2034</v>
      </c>
      <c r="NW52" s="2137"/>
      <c r="NX52" s="765"/>
      <c r="NY52" s="765"/>
      <c r="NZ52" s="1794"/>
      <c r="OA52" s="739"/>
      <c r="OB52" s="739"/>
      <c r="OC52" s="739"/>
      <c r="OD52" s="739"/>
      <c r="OE52" s="739"/>
      <c r="OF52" s="739"/>
      <c r="OG52" s="739"/>
      <c r="OH52" s="739"/>
      <c r="OI52" s="739"/>
      <c r="OJ52" s="739"/>
      <c r="OK52" s="739"/>
      <c r="OS52" s="2748"/>
      <c r="OU52" s="2281">
        <v>2034</v>
      </c>
      <c r="OV52" s="2136"/>
      <c r="OW52" s="2594">
        <f t="shared" ca="1" si="15"/>
        <v>1.043430998379602</v>
      </c>
      <c r="OX52" s="739"/>
      <c r="OY52" s="739"/>
      <c r="OZ52" s="739"/>
      <c r="PA52" s="739"/>
      <c r="PB52" s="739"/>
      <c r="PC52" s="739"/>
      <c r="PD52" s="739"/>
      <c r="PE52" s="739"/>
      <c r="PF52" s="739"/>
      <c r="PG52" s="739"/>
      <c r="PH52" s="739"/>
      <c r="PI52" s="739"/>
      <c r="PJ52" s="739"/>
      <c r="PK52" s="739"/>
      <c r="PO52" s="2029"/>
      <c r="PQ52" s="2281">
        <v>2034</v>
      </c>
      <c r="PR52" s="2137"/>
      <c r="PS52" s="1966">
        <f ca="1">СЧЁТ!CI45</f>
        <v>2.4700707195799612</v>
      </c>
      <c r="PT52" s="739"/>
      <c r="PU52" s="739"/>
      <c r="PV52" s="739"/>
      <c r="PW52" s="739"/>
      <c r="PX52" s="739"/>
      <c r="PY52" s="739"/>
      <c r="PZ52" s="739"/>
      <c r="QA52" s="739"/>
      <c r="QB52" s="739"/>
      <c r="QC52" s="739"/>
      <c r="QD52" s="739"/>
      <c r="QE52" s="739"/>
      <c r="QF52" s="739"/>
      <c r="QG52" s="739"/>
      <c r="QM52" s="2281">
        <v>2034</v>
      </c>
      <c r="QN52" s="2136"/>
      <c r="QO52" s="1794"/>
      <c r="QP52" s="739"/>
      <c r="QQ52" s="739"/>
      <c r="QR52" s="739"/>
      <c r="QS52" s="739"/>
      <c r="QT52" s="739"/>
      <c r="QU52" s="739"/>
      <c r="QV52" s="739"/>
      <c r="QW52" s="739"/>
      <c r="QX52" s="739"/>
      <c r="QY52" s="739"/>
      <c r="QZ52" s="739"/>
      <c r="RA52" s="739"/>
      <c r="RB52" s="739"/>
      <c r="RC52" s="739"/>
      <c r="RG52" s="2029"/>
      <c r="RI52" s="943">
        <v>40</v>
      </c>
      <c r="RJ52" s="2281">
        <v>2034</v>
      </c>
      <c r="RK52" s="2137"/>
      <c r="RL52" s="1786"/>
      <c r="RM52" s="2489">
        <f>НАСТРОЙКА!IB44</f>
        <v>17569.97036030794</v>
      </c>
      <c r="RN52" s="739"/>
      <c r="RO52" s="739"/>
      <c r="RP52" s="739"/>
      <c r="RQ52" s="739"/>
      <c r="RR52" s="739"/>
      <c r="RS52" s="739"/>
      <c r="RT52" s="739"/>
      <c r="RU52" s="739"/>
      <c r="RV52" s="739"/>
      <c r="RW52" s="739"/>
      <c r="RX52" s="739"/>
      <c r="RY52" s="739"/>
      <c r="RZ52" s="739"/>
      <c r="SA52" s="739"/>
      <c r="SG52" s="2281">
        <v>2034</v>
      </c>
      <c r="SH52" s="2136"/>
      <c r="SI52" s="1966">
        <f t="shared" ca="1" si="17"/>
        <v>0.56213561201967133</v>
      </c>
      <c r="SJ52" s="739"/>
      <c r="SK52" s="739"/>
      <c r="SL52" s="739"/>
      <c r="SM52" s="739"/>
      <c r="SN52" s="739"/>
      <c r="SO52" s="739"/>
      <c r="SP52" s="739"/>
      <c r="SQ52" s="739"/>
      <c r="SR52" s="739"/>
      <c r="SS52" s="739"/>
      <c r="ST52" s="739"/>
      <c r="SU52" s="739"/>
      <c r="SV52" s="739"/>
      <c r="SW52" s="739"/>
      <c r="TC52" s="2281">
        <v>2034</v>
      </c>
      <c r="TD52" s="2137"/>
      <c r="TE52" s="1794"/>
      <c r="TF52" s="739"/>
      <c r="TG52" s="739"/>
      <c r="TH52" s="739"/>
      <c r="TI52" s="739"/>
      <c r="TJ52" s="739"/>
      <c r="TK52" s="739"/>
      <c r="TL52" s="739"/>
      <c r="TM52" s="739"/>
      <c r="TN52" s="739"/>
      <c r="TO52" s="739"/>
      <c r="TP52" s="739"/>
      <c r="TQ52" s="739"/>
      <c r="TX52" s="2748"/>
      <c r="TZ52" s="2281">
        <v>2034</v>
      </c>
      <c r="UA52" s="2136"/>
      <c r="UB52" s="555"/>
      <c r="UC52" s="1966">
        <f t="shared" si="18"/>
        <v>1.0131696818195381</v>
      </c>
      <c r="UD52" s="739"/>
      <c r="UE52" s="739"/>
      <c r="UF52" s="739"/>
      <c r="UG52" s="739"/>
      <c r="UH52" s="739"/>
      <c r="UI52" s="739"/>
      <c r="UJ52" s="739"/>
      <c r="UK52" s="739"/>
      <c r="UL52" s="739"/>
      <c r="UM52" s="739"/>
      <c r="UN52" s="739"/>
      <c r="UO52" s="739"/>
      <c r="UP52" s="739"/>
      <c r="UQ52" s="739"/>
      <c r="UU52" s="2029"/>
      <c r="UW52" s="2281">
        <v>2034</v>
      </c>
      <c r="UX52" s="2137"/>
      <c r="UY52" s="1966">
        <f>ОТЧЁТ!EX175</f>
        <v>0.95505230259749219</v>
      </c>
      <c r="UZ52" s="739"/>
      <c r="VA52" s="739"/>
      <c r="VB52" s="739"/>
      <c r="VC52" s="739"/>
      <c r="VD52" s="739"/>
      <c r="VE52" s="739"/>
      <c r="VF52" s="739"/>
      <c r="VG52" s="739"/>
      <c r="VH52" s="739"/>
      <c r="VI52" s="739"/>
      <c r="VJ52" s="739"/>
      <c r="VK52" s="739"/>
      <c r="VL52" s="739"/>
      <c r="VM52" s="739"/>
      <c r="VS52" s="2281">
        <v>2034</v>
      </c>
      <c r="VT52" s="2136"/>
      <c r="VU52" s="1794"/>
      <c r="VV52" s="739"/>
      <c r="VW52" s="739"/>
      <c r="VX52" s="739"/>
      <c r="VY52" s="739"/>
      <c r="VZ52" s="739"/>
      <c r="WA52" s="739"/>
      <c r="WB52" s="739"/>
      <c r="WC52" s="739"/>
      <c r="WD52" s="739"/>
      <c r="WE52" s="739"/>
      <c r="WF52" s="739"/>
      <c r="WG52" s="739"/>
      <c r="WH52" s="739"/>
      <c r="WI52" s="739"/>
      <c r="WM52" s="2029"/>
      <c r="WO52" s="2281">
        <v>2034</v>
      </c>
      <c r="WP52" s="2485"/>
      <c r="WQ52" s="1786">
        <f t="shared" si="11"/>
        <v>14214.106021489124</v>
      </c>
      <c r="WR52" s="2131">
        <v>7313.9722543336802</v>
      </c>
      <c r="WS52" s="739"/>
      <c r="WT52" s="739"/>
      <c r="WU52" s="739"/>
      <c r="WV52" s="739"/>
      <c r="WW52" s="739"/>
      <c r="WX52" s="739"/>
      <c r="WY52" s="739"/>
      <c r="WZ52" s="739"/>
      <c r="XA52" s="739"/>
      <c r="XB52" s="739"/>
      <c r="XC52" s="739"/>
      <c r="XD52" s="739"/>
      <c r="XE52" s="739"/>
      <c r="XF52" s="739"/>
      <c r="XK52" s="2492">
        <v>2034</v>
      </c>
      <c r="XL52" s="2136"/>
      <c r="XM52" s="2416">
        <f t="shared" si="19"/>
        <v>0.51455731674410576</v>
      </c>
      <c r="XN52" s="739"/>
      <c r="XO52" s="739"/>
      <c r="XP52" s="739"/>
      <c r="XQ52" s="739"/>
      <c r="XR52" s="739"/>
      <c r="XS52" s="739"/>
      <c r="XT52" s="739"/>
      <c r="XU52" s="739"/>
      <c r="XV52" s="739"/>
      <c r="XW52" s="739"/>
      <c r="XX52" s="739"/>
      <c r="XY52" s="739"/>
      <c r="XZ52" s="739"/>
      <c r="YA52" s="739"/>
      <c r="YE52" s="2029"/>
      <c r="YG52" s="2281">
        <v>2034</v>
      </c>
      <c r="YH52" s="2137"/>
      <c r="YI52" s="1794"/>
      <c r="YJ52" s="739"/>
      <c r="YK52" s="739"/>
      <c r="YL52" s="739"/>
      <c r="YM52" s="739"/>
      <c r="YN52" s="739"/>
      <c r="YO52" s="739"/>
      <c r="YP52" s="739"/>
      <c r="YQ52" s="739"/>
      <c r="YR52" s="739"/>
      <c r="YS52" s="739"/>
      <c r="YT52" s="739"/>
      <c r="YU52" s="739"/>
    </row>
    <row r="53" spans="7:692" ht="21">
      <c r="G53" s="1596">
        <v>2035</v>
      </c>
      <c r="H53" s="2596"/>
      <c r="I53" s="2597">
        <f ca="1">AG53/AG52</f>
        <v>1.0343650315354116</v>
      </c>
      <c r="K53" s="739"/>
      <c r="L53" s="739"/>
      <c r="M53" s="739"/>
      <c r="N53" s="739"/>
      <c r="O53" s="739"/>
      <c r="P53" s="739"/>
      <c r="Q53" s="739"/>
      <c r="R53" s="739"/>
      <c r="S53" s="739"/>
      <c r="T53" s="739"/>
      <c r="U53" s="739"/>
      <c r="V53" s="739"/>
      <c r="W53" s="739"/>
      <c r="X53" s="739"/>
      <c r="AD53" s="1596">
        <v>2035</v>
      </c>
      <c r="AE53" s="1776"/>
      <c r="AF53" s="557"/>
      <c r="AG53" s="2607">
        <f ca="1"/>
        <v>3.3869687723405741</v>
      </c>
      <c r="AH53" s="739"/>
      <c r="AI53" s="739"/>
      <c r="AJ53" s="739"/>
      <c r="AK53" s="739"/>
      <c r="AL53" s="739"/>
      <c r="AM53" s="739"/>
      <c r="AN53" s="739"/>
      <c r="AO53" s="739"/>
      <c r="AP53" s="739"/>
      <c r="AQ53" s="739"/>
      <c r="AR53" s="739"/>
      <c r="AS53" s="739"/>
      <c r="AT53" s="739"/>
      <c r="AU53" s="739"/>
      <c r="BA53" s="1596">
        <v>2035</v>
      </c>
      <c r="BB53" s="2596"/>
      <c r="BC53" s="1256">
        <v>93.781646087901152</v>
      </c>
      <c r="BD53" s="739"/>
      <c r="BE53" s="739"/>
      <c r="BF53" s="739"/>
      <c r="BG53" s="739"/>
      <c r="BH53" s="739"/>
      <c r="BI53" s="739"/>
      <c r="BJ53" s="739"/>
      <c r="BK53" s="739"/>
      <c r="BL53" s="739"/>
      <c r="BM53" s="739"/>
      <c r="BN53" s="739"/>
      <c r="BO53" s="739"/>
      <c r="BP53" s="739"/>
      <c r="BQ53" s="739"/>
      <c r="BW53" s="1596">
        <v>2035</v>
      </c>
      <c r="BX53" s="1776"/>
      <c r="BY53" s="557"/>
      <c r="BZ53" s="2607">
        <v>2.6685737553473854</v>
      </c>
      <c r="CA53" s="739"/>
      <c r="CB53" s="739"/>
      <c r="CC53" s="739"/>
      <c r="CD53" s="739"/>
      <c r="CE53" s="739"/>
      <c r="CF53" s="739"/>
      <c r="CG53" s="739"/>
      <c r="CH53" s="739"/>
      <c r="CI53" s="739"/>
      <c r="CJ53" s="739"/>
      <c r="CK53" s="739"/>
      <c r="CL53" s="739"/>
      <c r="CM53" s="739"/>
      <c r="CN53" s="739"/>
      <c r="CT53" s="1596">
        <v>2035</v>
      </c>
      <c r="CU53" s="2484"/>
      <c r="CV53" s="1795"/>
      <c r="CW53" s="739"/>
      <c r="CX53" s="739"/>
      <c r="CY53" s="739"/>
      <c r="CZ53" s="739"/>
      <c r="DA53" s="739"/>
      <c r="DB53" s="739"/>
      <c r="DC53" s="739"/>
      <c r="DD53" s="739"/>
      <c r="DE53" s="739"/>
      <c r="DF53" s="739"/>
      <c r="DG53" s="739"/>
      <c r="DH53" s="739"/>
      <c r="DI53" s="739"/>
      <c r="DJ53" s="739"/>
      <c r="DO53" s="1596">
        <v>2035</v>
      </c>
      <c r="DP53" s="1776"/>
      <c r="DQ53" s="557"/>
      <c r="DR53" s="1795"/>
      <c r="DS53" s="739"/>
      <c r="DT53" s="739"/>
      <c r="DU53" s="739"/>
      <c r="DV53" s="739"/>
      <c r="DW53" s="739"/>
      <c r="DX53" s="739"/>
      <c r="DY53" s="739"/>
      <c r="DZ53" s="739"/>
      <c r="EA53" s="739"/>
      <c r="EB53" s="739"/>
      <c r="EC53" s="739"/>
      <c r="ED53" s="739"/>
      <c r="EG53" s="1596">
        <v>2035</v>
      </c>
      <c r="EH53" s="2686"/>
      <c r="EI53" s="2621">
        <f ca="1">FE53/FE52</f>
        <v>1.0454880507740918</v>
      </c>
      <c r="EJ53" s="739"/>
      <c r="EK53" s="739"/>
      <c r="EL53" s="739"/>
      <c r="EM53" s="739"/>
      <c r="EN53" s="739"/>
      <c r="EO53" s="739"/>
      <c r="EP53" s="739"/>
      <c r="EQ53" s="739"/>
      <c r="ER53" s="739"/>
      <c r="ES53" s="739"/>
      <c r="ET53" s="739"/>
      <c r="EU53" s="739"/>
      <c r="EV53" s="739"/>
      <c r="EW53" s="739"/>
      <c r="FC53" s="1596">
        <v>2035</v>
      </c>
      <c r="FD53" s="1776"/>
      <c r="FE53" s="2607">
        <f ca="1">СЧЁТ!CG46</f>
        <v>4.8600980702346552</v>
      </c>
      <c r="FF53" s="739"/>
      <c r="FG53" s="739"/>
      <c r="FH53" s="739"/>
      <c r="FI53" s="739"/>
      <c r="FJ53" s="739"/>
      <c r="FK53" s="739"/>
      <c r="FL53" s="739"/>
      <c r="FM53" s="739"/>
      <c r="FN53" s="739"/>
      <c r="FO53" s="739"/>
      <c r="FP53" s="739"/>
      <c r="FQ53" s="739"/>
      <c r="FR53" s="739"/>
      <c r="FS53" s="739"/>
      <c r="FY53" s="1596">
        <v>2035</v>
      </c>
      <c r="FZ53" s="2484"/>
      <c r="GA53" s="2621">
        <f t="shared" ca="1" si="14"/>
        <v>1.0408057965759674</v>
      </c>
      <c r="GB53" s="739"/>
      <c r="GC53" s="739"/>
      <c r="GD53" s="739"/>
      <c r="GE53" s="739"/>
      <c r="GF53" s="739"/>
      <c r="GG53" s="739"/>
      <c r="GH53" s="739"/>
      <c r="GI53" s="739"/>
      <c r="GJ53" s="739"/>
      <c r="GK53" s="739"/>
      <c r="GL53" s="739"/>
      <c r="GM53" s="739"/>
      <c r="GN53" s="739"/>
      <c r="GO53" s="739"/>
      <c r="GT53" s="2029"/>
      <c r="GU53" s="1596">
        <v>2035</v>
      </c>
      <c r="GV53" s="1776"/>
      <c r="GW53" s="1251">
        <f t="shared" si="1"/>
        <v>2.4984588522954772</v>
      </c>
      <c r="GX53" s="1256">
        <f ca="1">СЧЁТ!CN46</f>
        <v>6.9155192250114128</v>
      </c>
      <c r="GY53" s="739"/>
      <c r="GZ53" s="739"/>
      <c r="HA53" s="739"/>
      <c r="HB53" s="739"/>
      <c r="HC53" s="739"/>
      <c r="HD53" s="739"/>
      <c r="HE53" s="739"/>
      <c r="HF53" s="739"/>
      <c r="HG53" s="739"/>
      <c r="HH53" s="739"/>
      <c r="HI53" s="739"/>
      <c r="HJ53" s="739"/>
      <c r="HK53" s="739"/>
      <c r="HR53" s="1596">
        <v>2035</v>
      </c>
      <c r="HS53" s="2121">
        <v>0.24984588522954773</v>
      </c>
      <c r="HT53" s="1795"/>
      <c r="HU53" s="739"/>
      <c r="HV53" s="739"/>
      <c r="HW53" s="739"/>
      <c r="HX53" s="739"/>
      <c r="HY53" s="739"/>
      <c r="HZ53" s="739"/>
      <c r="IA53" s="739"/>
      <c r="IB53" s="739"/>
      <c r="IC53" s="739"/>
      <c r="ID53" s="739"/>
      <c r="IE53" s="739"/>
      <c r="IF53" s="739"/>
      <c r="IG53" s="739"/>
      <c r="IH53" s="739"/>
      <c r="IL53" s="2029"/>
      <c r="IN53" s="1596">
        <v>2035</v>
      </c>
      <c r="IO53" s="1776"/>
      <c r="IP53" s="557"/>
      <c r="IQ53" s="1795"/>
      <c r="IR53" s="739"/>
      <c r="IS53" s="739"/>
      <c r="IT53" s="739"/>
      <c r="IU53" s="739"/>
      <c r="IV53" s="739"/>
      <c r="IW53" s="739"/>
      <c r="IX53" s="739"/>
      <c r="IY53" s="739"/>
      <c r="IZ53" s="739"/>
      <c r="JA53" s="739"/>
      <c r="JL53" s="1596">
        <v>2035</v>
      </c>
      <c r="JM53" s="2484"/>
      <c r="JN53" s="2607">
        <f t="shared" ca="1" si="16"/>
        <v>1.0457270192257595</v>
      </c>
      <c r="JO53" s="739"/>
      <c r="JP53" s="739"/>
      <c r="JQ53" s="739"/>
      <c r="JR53" s="739"/>
      <c r="JS53" s="739"/>
      <c r="JT53" s="739"/>
      <c r="JU53" s="739"/>
      <c r="JV53" s="739"/>
      <c r="JW53" s="739"/>
      <c r="JX53" s="739"/>
      <c r="JY53" s="739"/>
      <c r="JZ53" s="739"/>
      <c r="KA53" s="739"/>
      <c r="KB53" s="739"/>
      <c r="KF53" s="2029"/>
      <c r="KH53" s="1596">
        <v>2035</v>
      </c>
      <c r="KI53" s="1776"/>
      <c r="KJ53" s="557"/>
      <c r="KK53" s="2607">
        <f ca="1">СЧЁТ!CJ46</f>
        <v>5.5557021368904556</v>
      </c>
      <c r="KL53" s="739"/>
      <c r="KM53" s="739"/>
      <c r="KN53" s="739"/>
      <c r="KO53" s="739"/>
      <c r="KP53" s="739"/>
      <c r="KQ53" s="739"/>
      <c r="KR53" s="739"/>
      <c r="KS53" s="739"/>
      <c r="KT53" s="739"/>
      <c r="KU53" s="739"/>
      <c r="KV53" s="739"/>
      <c r="KW53" s="739"/>
      <c r="KX53" s="739"/>
      <c r="KY53" s="739"/>
      <c r="LE53" s="1596">
        <v>2035</v>
      </c>
      <c r="LF53" s="2484"/>
      <c r="LG53" s="1984">
        <f ca="1"/>
        <v>85.746027319293603</v>
      </c>
      <c r="LH53" s="2484"/>
      <c r="LI53" s="1808">
        <f ca="1"/>
        <v>-10.355325320444564</v>
      </c>
      <c r="LJ53" s="739"/>
      <c r="LK53" s="739"/>
      <c r="LL53" s="739"/>
      <c r="LM53" s="739"/>
      <c r="LN53" s="739"/>
      <c r="LO53" s="739"/>
      <c r="LP53" s="739"/>
      <c r="LQ53" s="739"/>
      <c r="LR53" s="739"/>
      <c r="LS53" s="739"/>
      <c r="LT53" s="739"/>
      <c r="LU53" s="739"/>
      <c r="LV53" s="739"/>
      <c r="MB53" s="1596">
        <v>2035</v>
      </c>
      <c r="MC53" s="2486"/>
      <c r="MD53" s="2623">
        <f ca="1">СЧЁТ!CE46</f>
        <v>10238.588603864273</v>
      </c>
      <c r="ME53" s="739"/>
      <c r="MF53" s="739"/>
      <c r="MG53" s="739"/>
      <c r="MH53" s="739"/>
      <c r="MI53" s="739"/>
      <c r="MJ53" s="739"/>
      <c r="MK53" s="739"/>
      <c r="ML53" s="739"/>
      <c r="MM53" s="739"/>
      <c r="MN53" s="739"/>
      <c r="MO53" s="739"/>
      <c r="MP53" s="739"/>
      <c r="MQ53" s="739"/>
      <c r="MY53" s="1596">
        <v>2035</v>
      </c>
      <c r="MZ53" s="2484"/>
      <c r="NA53" s="1597">
        <f>СЧЁТ!CB46</f>
        <v>95.990577305453172</v>
      </c>
      <c r="NB53" s="739"/>
      <c r="NC53" s="739"/>
      <c r="ND53" s="739"/>
      <c r="NE53" s="739"/>
      <c r="NF53" s="739"/>
      <c r="NG53" s="739"/>
      <c r="NH53" s="739"/>
      <c r="NI53" s="739"/>
      <c r="NJ53" s="739"/>
      <c r="NK53" s="739"/>
      <c r="NL53" s="739"/>
      <c r="NM53" s="739"/>
      <c r="NN53" s="739"/>
      <c r="NO53" s="739"/>
      <c r="NV53" s="1596">
        <v>2035</v>
      </c>
      <c r="NW53" s="1776"/>
      <c r="NX53" s="557"/>
      <c r="NY53" s="557"/>
      <c r="NZ53" s="1795"/>
      <c r="OA53" s="739"/>
      <c r="OB53" s="739"/>
      <c r="OC53" s="739"/>
      <c r="OD53" s="739"/>
      <c r="OE53" s="739"/>
      <c r="OF53" s="739"/>
      <c r="OG53" s="739"/>
      <c r="OH53" s="739"/>
      <c r="OI53" s="739"/>
      <c r="OJ53" s="739"/>
      <c r="OK53" s="739"/>
      <c r="OU53" s="1596">
        <v>2035</v>
      </c>
      <c r="OV53" s="2484"/>
      <c r="OW53" s="2597">
        <f t="shared" ca="1" si="15"/>
        <v>1.0437169779090312</v>
      </c>
      <c r="OX53" s="739"/>
      <c r="OY53" s="739"/>
      <c r="OZ53" s="739"/>
      <c r="PA53" s="739"/>
      <c r="PB53" s="739"/>
      <c r="PC53" s="739"/>
      <c r="PD53" s="739"/>
      <c r="PE53" s="739"/>
      <c r="PF53" s="739"/>
      <c r="PG53" s="739"/>
      <c r="PH53" s="739"/>
      <c r="PI53" s="739"/>
      <c r="PJ53" s="739"/>
      <c r="PK53" s="739"/>
      <c r="PO53" s="2029"/>
      <c r="PQ53" s="1596">
        <v>2035</v>
      </c>
      <c r="PR53" s="1776"/>
      <c r="PS53" s="2607">
        <f ca="1">СЧЁТ!CI46</f>
        <v>2.5780547466615831</v>
      </c>
      <c r="PT53" s="739"/>
      <c r="PU53" s="739"/>
      <c r="PV53" s="739"/>
      <c r="PW53" s="739"/>
      <c r="PX53" s="739"/>
      <c r="PY53" s="739"/>
      <c r="PZ53" s="739"/>
      <c r="QA53" s="739"/>
      <c r="QB53" s="739"/>
      <c r="QC53" s="739"/>
      <c r="QD53" s="739"/>
      <c r="QE53" s="739"/>
      <c r="QF53" s="739"/>
      <c r="QG53" s="739"/>
      <c r="QM53" s="1596">
        <v>2035</v>
      </c>
      <c r="QN53" s="2484"/>
      <c r="QO53" s="1795"/>
      <c r="QP53" s="739"/>
      <c r="QQ53" s="739"/>
      <c r="QR53" s="739"/>
      <c r="QS53" s="739"/>
      <c r="QT53" s="739"/>
      <c r="QU53" s="739"/>
      <c r="QV53" s="739"/>
      <c r="QW53" s="739"/>
      <c r="QX53" s="739"/>
      <c r="QY53" s="739"/>
      <c r="QZ53" s="739"/>
      <c r="RA53" s="739"/>
      <c r="RB53" s="739"/>
      <c r="RC53" s="739"/>
      <c r="RG53" s="2029"/>
      <c r="RI53" s="943">
        <v>41</v>
      </c>
      <c r="RJ53" s="2281">
        <v>2035</v>
      </c>
      <c r="RK53" s="1776"/>
      <c r="RL53" s="2497"/>
      <c r="RM53" s="2489">
        <f>НАСТРОЙКА!IB45</f>
        <v>18330.033333654035</v>
      </c>
      <c r="RN53" s="739"/>
      <c r="RO53" s="739"/>
      <c r="RP53" s="739"/>
      <c r="RQ53" s="739"/>
      <c r="RR53" s="739"/>
      <c r="RS53" s="739"/>
      <c r="RT53" s="739"/>
      <c r="RU53" s="739"/>
      <c r="RV53" s="739"/>
      <c r="RW53" s="739"/>
      <c r="RX53" s="739"/>
      <c r="RY53" s="739"/>
      <c r="RZ53" s="739"/>
      <c r="SA53" s="739"/>
      <c r="SG53" s="1596">
        <v>2035</v>
      </c>
      <c r="SH53" s="2484"/>
      <c r="SI53" s="2607">
        <f t="shared" ca="1" si="17"/>
        <v>0.55856901171402518</v>
      </c>
      <c r="SJ53" s="739"/>
      <c r="SK53" s="739"/>
      <c r="SL53" s="739"/>
      <c r="SM53" s="739"/>
      <c r="SN53" s="739"/>
      <c r="SO53" s="739"/>
      <c r="SP53" s="739"/>
      <c r="SQ53" s="739"/>
      <c r="SR53" s="739"/>
      <c r="SS53" s="739"/>
      <c r="ST53" s="739"/>
      <c r="SU53" s="739"/>
      <c r="SV53" s="739"/>
      <c r="SW53" s="739"/>
      <c r="TC53" s="1596">
        <v>2035</v>
      </c>
      <c r="TD53" s="1776"/>
      <c r="TE53" s="1795"/>
      <c r="TF53" s="739"/>
      <c r="TG53" s="739"/>
      <c r="TH53" s="739"/>
      <c r="TI53" s="739"/>
      <c r="TJ53" s="739"/>
      <c r="TK53" s="739"/>
      <c r="TL53" s="739"/>
      <c r="TM53" s="739"/>
      <c r="TN53" s="739"/>
      <c r="TO53" s="739"/>
      <c r="TP53" s="739"/>
      <c r="TQ53" s="739"/>
      <c r="TX53" s="2748"/>
      <c r="TZ53" s="1596">
        <v>2035</v>
      </c>
      <c r="UA53" s="2484"/>
      <c r="UB53" s="557"/>
      <c r="UC53" s="2607">
        <f t="shared" si="18"/>
        <v>1.012348570977857</v>
      </c>
      <c r="UD53" s="739"/>
      <c r="UE53" s="739"/>
      <c r="UF53" s="739"/>
      <c r="UG53" s="739"/>
      <c r="UH53" s="739"/>
      <c r="UI53" s="739"/>
      <c r="UJ53" s="739"/>
      <c r="UK53" s="739"/>
      <c r="UL53" s="739"/>
      <c r="UM53" s="739"/>
      <c r="UN53" s="739"/>
      <c r="UO53" s="739"/>
      <c r="UP53" s="739"/>
      <c r="UQ53" s="739"/>
      <c r="UU53" s="2029"/>
      <c r="UW53" s="1596">
        <v>2035</v>
      </c>
      <c r="UX53" s="1776"/>
      <c r="UY53" s="2607">
        <f>ОТЧЁТ!EX176</f>
        <v>0.96684583374368305</v>
      </c>
      <c r="UZ53" s="739"/>
      <c r="VA53" s="739"/>
      <c r="VB53" s="739"/>
      <c r="VC53" s="739"/>
      <c r="VD53" s="739"/>
      <c r="VE53" s="739"/>
      <c r="VF53" s="739"/>
      <c r="VG53" s="739"/>
      <c r="VH53" s="739"/>
      <c r="VI53" s="739"/>
      <c r="VJ53" s="739"/>
      <c r="VK53" s="739"/>
      <c r="VL53" s="739"/>
      <c r="VM53" s="739"/>
      <c r="VS53" s="1596">
        <v>2035</v>
      </c>
      <c r="VT53" s="2484"/>
      <c r="VU53" s="1795"/>
      <c r="VV53" s="739"/>
      <c r="VW53" s="739"/>
      <c r="VX53" s="739"/>
      <c r="VY53" s="739"/>
      <c r="VZ53" s="739"/>
      <c r="WA53" s="739"/>
      <c r="WB53" s="739"/>
      <c r="WC53" s="739"/>
      <c r="WD53" s="739"/>
      <c r="WE53" s="739"/>
      <c r="WF53" s="739"/>
      <c r="WG53" s="739"/>
      <c r="WH53" s="739"/>
      <c r="WI53" s="739"/>
      <c r="WM53" s="2029"/>
      <c r="WO53" s="1596">
        <v>2035</v>
      </c>
      <c r="WP53" s="2486"/>
      <c r="WQ53" s="2623">
        <f t="shared" si="11"/>
        <v>14828.996966926115</v>
      </c>
      <c r="WR53" s="2623">
        <v>7438.5761977500297</v>
      </c>
      <c r="WS53" s="739"/>
      <c r="WT53" s="739"/>
      <c r="WU53" s="739"/>
      <c r="WV53" s="739"/>
      <c r="WW53" s="739"/>
      <c r="WX53" s="739"/>
      <c r="WY53" s="739"/>
      <c r="WZ53" s="739"/>
      <c r="XA53" s="739"/>
      <c r="XB53" s="739"/>
      <c r="XC53" s="739"/>
      <c r="XD53" s="739"/>
      <c r="XE53" s="739"/>
      <c r="XF53" s="739"/>
      <c r="XK53" s="2493">
        <v>2035</v>
      </c>
      <c r="XL53" s="2484"/>
      <c r="XM53" s="2621">
        <f t="shared" si="19"/>
        <v>0.50162369136231355</v>
      </c>
      <c r="XN53" s="739"/>
      <c r="XO53" s="739"/>
      <c r="XP53" s="739"/>
      <c r="XQ53" s="739"/>
      <c r="XR53" s="739"/>
      <c r="XS53" s="739"/>
      <c r="XT53" s="739"/>
      <c r="XU53" s="739"/>
      <c r="XV53" s="739"/>
      <c r="XW53" s="739"/>
      <c r="XX53" s="739"/>
      <c r="XY53" s="739"/>
      <c r="XZ53" s="739"/>
      <c r="YA53" s="739"/>
      <c r="YE53" s="2029"/>
      <c r="YG53" s="1596">
        <v>2035</v>
      </c>
      <c r="YH53" s="1776"/>
      <c r="YI53" s="1795"/>
      <c r="YJ53" s="739"/>
      <c r="YK53" s="739"/>
      <c r="YL53" s="739"/>
      <c r="YM53" s="739"/>
      <c r="YN53" s="739"/>
      <c r="YO53" s="739"/>
      <c r="YP53" s="739"/>
      <c r="YQ53" s="739"/>
      <c r="YR53" s="739"/>
      <c r="YS53" s="739"/>
      <c r="YT53" s="739"/>
      <c r="YU53" s="739"/>
    </row>
    <row r="54" spans="7:692" ht="15.6">
      <c r="K54" s="739"/>
      <c r="L54" s="739"/>
      <c r="M54" s="739"/>
      <c r="N54" s="739"/>
      <c r="O54" s="739"/>
      <c r="P54" s="739"/>
      <c r="Q54" s="739"/>
      <c r="R54" s="739"/>
      <c r="S54" s="739"/>
      <c r="T54" s="739"/>
      <c r="U54" s="739"/>
      <c r="V54" s="739"/>
      <c r="W54" s="739"/>
      <c r="X54" s="739"/>
      <c r="BC54" s="739"/>
      <c r="BD54" s="739"/>
      <c r="BE54" s="739"/>
      <c r="BF54" s="739"/>
      <c r="BG54" s="739"/>
      <c r="BH54" s="739"/>
      <c r="BI54" s="739"/>
      <c r="BJ54" s="739"/>
      <c r="BK54" s="739"/>
      <c r="BL54" s="739"/>
      <c r="BM54" s="739"/>
      <c r="BN54" s="739"/>
      <c r="BO54" s="739"/>
      <c r="BP54" s="739"/>
      <c r="CU54" s="739"/>
      <c r="CV54" s="739"/>
      <c r="CW54" s="739"/>
      <c r="CX54" s="739"/>
      <c r="CY54" s="739"/>
      <c r="CZ54" s="739"/>
      <c r="DA54" s="739"/>
      <c r="DB54" s="739"/>
      <c r="DC54" s="739"/>
      <c r="DD54" s="739"/>
      <c r="DE54" s="739"/>
      <c r="DF54" s="739"/>
      <c r="DG54" s="739"/>
      <c r="DH54" s="739"/>
    </row>
    <row r="55" spans="7:692">
      <c r="H55" s="20"/>
      <c r="I55" s="2092"/>
      <c r="J55" s="2092"/>
      <c r="AZ55" s="20"/>
      <c r="BA55" s="2092"/>
      <c r="BB55" s="2092"/>
      <c r="CR55" s="20"/>
      <c r="CS55" s="2092"/>
      <c r="CT55" s="2092"/>
    </row>
    <row r="58" spans="7:692">
      <c r="EF58" s="359"/>
      <c r="EG58" s="359"/>
      <c r="EH58" s="359"/>
      <c r="EI58" s="359"/>
      <c r="EJ58" s="359"/>
    </row>
    <row r="59" spans="7:692" ht="15.6">
      <c r="EB59" s="1767"/>
      <c r="EC59" s="1767"/>
      <c r="ED59" s="1767"/>
      <c r="EE59" s="359"/>
      <c r="EF59" s="359"/>
      <c r="EG59" s="359"/>
      <c r="EH59" s="359"/>
      <c r="EI59" s="359"/>
      <c r="EJ59" s="359"/>
    </row>
    <row r="60" spans="7:692" ht="15.6">
      <c r="EB60" s="1767"/>
      <c r="EC60" s="1767"/>
      <c r="ED60" s="1767"/>
      <c r="EE60" s="359"/>
      <c r="EF60" s="359"/>
      <c r="EG60" s="359"/>
      <c r="EH60" s="359"/>
      <c r="EI60" s="359"/>
      <c r="EJ60" s="359"/>
    </row>
    <row r="61" spans="7:692" ht="15.6">
      <c r="EB61" s="1767"/>
      <c r="EC61" s="1767"/>
      <c r="ED61" s="1767"/>
      <c r="EE61" s="359"/>
      <c r="EF61" s="359"/>
      <c r="EG61" s="359"/>
      <c r="EH61" s="359"/>
      <c r="EI61" s="359"/>
      <c r="EJ61" s="359"/>
    </row>
    <row r="62" spans="7:692" ht="15.6">
      <c r="EB62" s="1767"/>
      <c r="EC62" s="1767"/>
      <c r="ED62" s="1767"/>
      <c r="EE62" s="359"/>
      <c r="EF62" s="359"/>
      <c r="EG62" s="359"/>
      <c r="EH62" s="359"/>
      <c r="EI62" s="359"/>
      <c r="EJ62" s="359"/>
    </row>
    <row r="63" spans="7:692" ht="15.6">
      <c r="EB63" s="1767"/>
      <c r="EC63" s="1767"/>
      <c r="ED63" s="1767"/>
      <c r="EE63" s="359"/>
      <c r="EF63" s="359"/>
      <c r="EG63" s="359"/>
      <c r="EH63" s="359"/>
      <c r="EI63" s="359"/>
      <c r="EJ63" s="359"/>
    </row>
    <row r="64" spans="7:692" ht="15.6">
      <c r="DW64" t="s">
        <v>306</v>
      </c>
      <c r="EB64" s="1767"/>
      <c r="EC64" s="1767"/>
      <c r="ED64" s="1767"/>
      <c r="EE64" s="359"/>
      <c r="EF64" s="359"/>
      <c r="EG64" s="359"/>
      <c r="EH64" s="359"/>
      <c r="EI64" s="359"/>
      <c r="EJ64" s="359"/>
    </row>
    <row r="65" spans="132:140" ht="15.6">
      <c r="EB65" s="1767"/>
      <c r="EC65" s="1767"/>
      <c r="ED65" s="1767"/>
      <c r="EE65" s="359"/>
      <c r="EF65" s="359"/>
      <c r="EG65" s="359"/>
      <c r="EH65" s="359"/>
      <c r="EI65" s="359"/>
      <c r="EJ65" s="359"/>
    </row>
    <row r="66" spans="132:140" ht="15.6">
      <c r="EB66" s="1767"/>
      <c r="EC66" s="1767"/>
      <c r="ED66" s="1767"/>
      <c r="EE66" s="359"/>
      <c r="EF66" s="359"/>
      <c r="EG66" s="359"/>
      <c r="EH66" s="359"/>
      <c r="EI66" s="359"/>
      <c r="EJ66" s="359"/>
    </row>
    <row r="67" spans="132:140" ht="15.6">
      <c r="EB67" s="1767"/>
      <c r="EC67" s="1767"/>
      <c r="ED67" s="1767"/>
      <c r="EE67" s="359"/>
      <c r="EF67" s="359"/>
      <c r="EG67" s="359"/>
      <c r="EH67" s="359"/>
      <c r="EI67" s="359"/>
      <c r="EJ67" s="359"/>
    </row>
    <row r="68" spans="132:140" ht="15.6">
      <c r="EB68" s="1767"/>
      <c r="EC68" s="1767"/>
      <c r="ED68" s="1767"/>
      <c r="EE68" s="359"/>
      <c r="EF68" s="359"/>
      <c r="EG68" s="359"/>
      <c r="EH68" s="359"/>
      <c r="EI68" s="359"/>
      <c r="EJ68" s="359"/>
    </row>
    <row r="69" spans="132:140" ht="15.6">
      <c r="EB69" s="1767"/>
      <c r="EC69" s="1767"/>
      <c r="ED69" s="1767"/>
      <c r="EE69" s="359"/>
      <c r="EF69" s="359"/>
      <c r="EG69" s="359"/>
      <c r="EH69" s="359"/>
      <c r="EI69" s="359"/>
      <c r="EJ69" s="359"/>
    </row>
    <row r="70" spans="132:140" ht="15.6">
      <c r="EB70" s="1767"/>
      <c r="EC70" s="1767"/>
      <c r="ED70" s="1767"/>
      <c r="EE70" s="359"/>
      <c r="EF70" s="359"/>
      <c r="EG70" s="359"/>
      <c r="EH70" s="359"/>
      <c r="EI70" s="359"/>
      <c r="EJ70" s="359"/>
    </row>
    <row r="71" spans="132:140" ht="15.6">
      <c r="EB71" s="1767"/>
      <c r="EC71" s="1767"/>
      <c r="ED71" s="1767"/>
      <c r="EE71" s="359"/>
      <c r="EF71" s="359"/>
      <c r="EG71" s="359"/>
      <c r="EH71" s="359"/>
      <c r="EI71" s="359"/>
      <c r="EJ71" s="359"/>
    </row>
    <row r="72" spans="132:140" ht="15.6">
      <c r="EB72" s="1767"/>
      <c r="EC72" s="1767"/>
      <c r="ED72" s="1767"/>
      <c r="EE72" s="359"/>
      <c r="EF72" s="359"/>
      <c r="EG72" s="359"/>
      <c r="EH72" s="359"/>
      <c r="EI72" s="359"/>
      <c r="EJ72" s="359"/>
    </row>
    <row r="73" spans="132:140" ht="15.6">
      <c r="EB73" s="1767"/>
      <c r="EC73" s="1767"/>
      <c r="ED73" s="1767"/>
      <c r="EE73" s="359"/>
      <c r="EF73" s="359"/>
      <c r="EG73" s="359"/>
      <c r="EH73" s="359"/>
      <c r="EI73" s="359"/>
      <c r="EJ73" s="359"/>
    </row>
    <row r="74" spans="132:140" ht="15.6">
      <c r="EB74" s="1767"/>
      <c r="EC74" s="1767"/>
      <c r="ED74" s="1767"/>
      <c r="EE74" s="359"/>
      <c r="EF74" s="359"/>
      <c r="EG74" s="359"/>
      <c r="EH74" s="359"/>
      <c r="EI74" s="359"/>
      <c r="EJ74" s="359"/>
    </row>
    <row r="75" spans="132:140" ht="15.6">
      <c r="EB75" s="1767"/>
      <c r="EC75" s="1767"/>
      <c r="ED75" s="1767"/>
      <c r="EE75" s="359"/>
      <c r="EF75" s="359"/>
      <c r="EG75" s="359"/>
      <c r="EH75" s="359"/>
      <c r="EI75" s="359"/>
      <c r="EJ75" s="359"/>
    </row>
    <row r="76" spans="132:140" ht="15.6">
      <c r="EB76" s="1767"/>
      <c r="EC76" s="1767"/>
      <c r="ED76" s="1767"/>
      <c r="EE76" s="359"/>
      <c r="EF76" s="359"/>
      <c r="EG76" s="359"/>
      <c r="EH76" s="359"/>
      <c r="EI76" s="359"/>
      <c r="EJ76" s="359"/>
    </row>
    <row r="77" spans="132:140" ht="15.6">
      <c r="EB77" s="1767"/>
      <c r="EC77" s="1767"/>
      <c r="ED77" s="1767"/>
      <c r="EE77" s="359"/>
      <c r="EF77" s="359"/>
      <c r="EG77" s="359"/>
      <c r="EH77" s="359"/>
      <c r="EI77" s="359"/>
      <c r="EJ77" s="359"/>
    </row>
    <row r="78" spans="132:140" ht="15.6">
      <c r="EB78" s="1767"/>
      <c r="EC78" s="1767"/>
      <c r="ED78" s="1767"/>
      <c r="EE78" s="359"/>
      <c r="EF78" s="359"/>
      <c r="EG78" s="359"/>
      <c r="EH78" s="359"/>
      <c r="EI78" s="359"/>
      <c r="EJ78" s="359"/>
    </row>
    <row r="79" spans="132:140" ht="15.6">
      <c r="EB79" s="1767"/>
      <c r="EC79" s="1767"/>
      <c r="ED79" s="1767"/>
      <c r="EE79" s="359"/>
      <c r="EF79" s="359"/>
      <c r="EG79" s="359"/>
      <c r="EH79" s="359"/>
      <c r="EI79" s="359"/>
      <c r="EJ79" s="359"/>
    </row>
    <row r="80" spans="132:140" ht="15.6">
      <c r="EB80" s="1767"/>
      <c r="EC80" s="1767"/>
      <c r="ED80" s="1767"/>
      <c r="EE80" s="359"/>
      <c r="EF80" s="359"/>
      <c r="EG80" s="359"/>
      <c r="EH80" s="359"/>
      <c r="EI80" s="359"/>
      <c r="EJ80" s="359"/>
    </row>
    <row r="81" spans="132:140" ht="15.6">
      <c r="EB81" s="1767"/>
      <c r="EC81" s="1767"/>
      <c r="ED81" s="1767"/>
      <c r="EE81" s="359"/>
      <c r="EF81" s="359"/>
      <c r="EG81" s="359"/>
      <c r="EH81" s="359"/>
      <c r="EI81" s="359"/>
      <c r="EJ81" s="359"/>
    </row>
    <row r="82" spans="132:140" ht="15.6">
      <c r="EB82" s="739"/>
      <c r="EC82" s="739"/>
      <c r="ED82" s="739"/>
    </row>
    <row r="83" spans="132:140" ht="15.6">
      <c r="EB83" s="739"/>
      <c r="EC83" s="739"/>
      <c r="ED83" s="739"/>
    </row>
    <row r="84" spans="132:140" ht="15.6">
      <c r="EB84" s="739"/>
      <c r="EC84" s="739"/>
      <c r="ED84" s="739"/>
    </row>
    <row r="85" spans="132:140" ht="15.6">
      <c r="EB85" s="739"/>
      <c r="EC85" s="739"/>
      <c r="ED85" s="739"/>
    </row>
    <row r="86" spans="132:140" ht="15.6">
      <c r="EB86" s="739"/>
      <c r="EC86" s="739"/>
      <c r="ED86" s="739"/>
    </row>
    <row r="87" spans="132:140" ht="15.6">
      <c r="EB87" s="739"/>
      <c r="EC87" s="739"/>
      <c r="ED87" s="739"/>
    </row>
    <row r="88" spans="132:140" ht="15.6">
      <c r="EB88" s="739"/>
      <c r="EC88" s="739"/>
      <c r="ED88" s="739"/>
    </row>
    <row r="89" spans="132:140" ht="15.6">
      <c r="EB89" s="739"/>
      <c r="EC89" s="739"/>
      <c r="ED89" s="739"/>
    </row>
    <row r="90" spans="132:140" ht="15.6">
      <c r="EB90" s="739"/>
      <c r="EC90" s="739"/>
      <c r="ED90" s="739"/>
    </row>
    <row r="91" spans="132:140" ht="15.6">
      <c r="EB91" s="739"/>
      <c r="EC91" s="739"/>
      <c r="ED91" s="739"/>
    </row>
    <row r="92" spans="132:140" ht="15.6">
      <c r="EB92" s="739"/>
      <c r="EC92" s="739"/>
      <c r="ED92" s="739"/>
    </row>
    <row r="93" spans="132:140" ht="15.6">
      <c r="EB93" s="739"/>
      <c r="EC93" s="739"/>
      <c r="ED93" s="739"/>
    </row>
    <row r="94" spans="132:140" ht="15.6">
      <c r="EB94" s="739"/>
      <c r="EC94" s="739"/>
      <c r="ED94" s="739"/>
    </row>
    <row r="95" spans="132:140" ht="15.6">
      <c r="EB95" s="739"/>
      <c r="EC95" s="739"/>
      <c r="ED95" s="739"/>
    </row>
    <row r="96" spans="132:140" ht="15.6">
      <c r="EB96" s="739"/>
      <c r="EC96" s="739"/>
      <c r="ED96" s="739"/>
    </row>
    <row r="97" spans="11:134" ht="15.6">
      <c r="EB97" s="739"/>
      <c r="EC97" s="739"/>
      <c r="ED97" s="739"/>
    </row>
    <row r="98" spans="11:134" ht="15.6">
      <c r="EB98" s="739"/>
      <c r="EC98" s="739"/>
      <c r="ED98" s="739"/>
    </row>
    <row r="100" spans="11:134" ht="15.6">
      <c r="K100" s="739"/>
      <c r="L100" s="739"/>
      <c r="M100" s="739"/>
      <c r="N100" s="739"/>
      <c r="O100" s="739"/>
      <c r="P100" s="739"/>
      <c r="Q100" s="739"/>
      <c r="R100" s="739"/>
      <c r="S100" s="739"/>
      <c r="T100" s="739"/>
      <c r="U100" s="739"/>
      <c r="V100" s="739"/>
      <c r="W100" s="739"/>
      <c r="X100" s="739"/>
      <c r="BC100" s="739"/>
      <c r="BD100" s="739"/>
      <c r="BE100" s="739"/>
      <c r="BF100" s="739"/>
      <c r="BG100" s="739"/>
      <c r="BH100" s="739"/>
      <c r="BI100" s="739"/>
      <c r="BJ100" s="739"/>
      <c r="BK100" s="739"/>
      <c r="BL100" s="739"/>
      <c r="BM100" s="739"/>
      <c r="BN100" s="739"/>
      <c r="BO100" s="739"/>
      <c r="BP100" s="739"/>
      <c r="CU100" s="739"/>
      <c r="CV100" s="739"/>
      <c r="CW100" s="739"/>
      <c r="CX100" s="739"/>
      <c r="CY100" s="739"/>
      <c r="CZ100" s="739"/>
      <c r="DA100" s="739"/>
      <c r="DB100" s="739"/>
      <c r="DC100" s="739"/>
      <c r="DD100" s="739"/>
      <c r="DE100" s="739"/>
      <c r="DF100" s="739"/>
      <c r="DG100" s="739"/>
      <c r="DH100" s="739"/>
    </row>
    <row r="104" spans="11:134" ht="15.6">
      <c r="ED104" s="739"/>
    </row>
    <row r="105" spans="11:134" ht="15.6">
      <c r="ED105" s="739"/>
    </row>
    <row r="106" spans="11:134" ht="15.6">
      <c r="ED106" s="739"/>
    </row>
    <row r="107" spans="11:134" ht="15.6">
      <c r="ED107" s="739"/>
    </row>
    <row r="108" spans="11:134" ht="15.6">
      <c r="ED108" s="739"/>
    </row>
    <row r="109" spans="11:134" ht="15.6">
      <c r="ED109" s="739"/>
    </row>
    <row r="110" spans="11:134" ht="15.6">
      <c r="ED110" s="739"/>
    </row>
    <row r="111" spans="11:134" ht="15.6">
      <c r="ED111" s="739"/>
    </row>
    <row r="112" spans="11:134" ht="15.6">
      <c r="ED112" s="739"/>
    </row>
    <row r="113" spans="134:134" ht="15.6">
      <c r="ED113" s="739"/>
    </row>
    <row r="114" spans="134:134" ht="15.6">
      <c r="ED114" s="739"/>
    </row>
    <row r="115" spans="134:134" ht="15.6">
      <c r="ED115" s="739"/>
    </row>
    <row r="116" spans="134:134" ht="15.6">
      <c r="ED116" s="739"/>
    </row>
    <row r="117" spans="134:134" ht="15.6">
      <c r="ED117" s="739"/>
    </row>
    <row r="118" spans="134:134" ht="15.6">
      <c r="ED118" s="739"/>
    </row>
    <row r="119" spans="134:134" ht="15.6">
      <c r="ED119" s="739"/>
    </row>
    <row r="120" spans="134:134" ht="15.6">
      <c r="ED120" s="739"/>
    </row>
    <row r="121" spans="134:134" ht="15.6">
      <c r="ED121" s="739"/>
    </row>
    <row r="122" spans="134:134" ht="15.6">
      <c r="ED122" s="739"/>
    </row>
    <row r="123" spans="134:134" ht="15.6">
      <c r="ED123" s="739"/>
    </row>
    <row r="124" spans="134:134" ht="15.6">
      <c r="ED124" s="739"/>
    </row>
    <row r="125" spans="134:134" ht="15.6">
      <c r="ED125" s="739"/>
    </row>
    <row r="126" spans="134:134" ht="15.6">
      <c r="ED126" s="739"/>
    </row>
    <row r="127" spans="134:134" ht="15.6">
      <c r="ED127" s="739"/>
    </row>
    <row r="128" spans="134:134" ht="15.6">
      <c r="ED128" s="739"/>
    </row>
    <row r="129" spans="87:134" ht="15.6">
      <c r="ED129" s="739"/>
    </row>
    <row r="130" spans="87:134" ht="15.6">
      <c r="ED130" s="739"/>
    </row>
    <row r="131" spans="87:134" ht="15.6">
      <c r="ED131" s="739"/>
    </row>
    <row r="132" spans="87:134" ht="15.6">
      <c r="ED132" s="739"/>
    </row>
    <row r="133" spans="87:134" ht="15.6">
      <c r="ED133" s="739"/>
    </row>
    <row r="134" spans="87:134" ht="15.6">
      <c r="ED134" s="739"/>
    </row>
    <row r="135" spans="87:134" ht="15.6">
      <c r="ED135" s="739"/>
    </row>
    <row r="136" spans="87:134" ht="15.6">
      <c r="ED136" s="739"/>
    </row>
    <row r="137" spans="87:134" ht="15.6">
      <c r="ED137" s="739"/>
    </row>
    <row r="138" spans="87:134" ht="15.6">
      <c r="ED138" s="739"/>
    </row>
    <row r="139" spans="87:134" ht="15.6">
      <c r="ED139" s="739"/>
    </row>
    <row r="140" spans="87:134" ht="15.6">
      <c r="ED140" s="739"/>
    </row>
    <row r="141" spans="87:134" ht="15.6">
      <c r="ED141" s="739"/>
    </row>
    <row r="142" spans="87:134" ht="15.6">
      <c r="ED142" s="739"/>
    </row>
    <row r="143" spans="87:134" ht="15.6">
      <c r="ED143" s="739"/>
    </row>
    <row r="144" spans="87:134" ht="15.6">
      <c r="CI144" s="739"/>
      <c r="CJ144" s="739"/>
      <c r="CK144" s="739"/>
      <c r="CL144" s="739"/>
    </row>
    <row r="145" spans="87:134" ht="15.6">
      <c r="CI145" s="739"/>
      <c r="CJ145" s="739"/>
      <c r="CK145" s="739"/>
      <c r="CL145" s="739"/>
    </row>
    <row r="148" spans="87:134" ht="15.6">
      <c r="EC148" s="739"/>
      <c r="ED148" s="739"/>
    </row>
    <row r="149" spans="87:134" ht="15.6">
      <c r="EC149" s="739"/>
      <c r="ED149" s="739"/>
    </row>
    <row r="150" spans="87:134" ht="15.6">
      <c r="EC150" s="739"/>
      <c r="ED150" s="739"/>
    </row>
    <row r="151" spans="87:134" ht="15.6">
      <c r="EC151" s="739"/>
      <c r="ED151" s="739"/>
    </row>
    <row r="152" spans="87:134" ht="15.6">
      <c r="EC152" s="739"/>
      <c r="ED152" s="739"/>
    </row>
    <row r="153" spans="87:134" ht="15.6">
      <c r="EC153" s="739"/>
      <c r="ED153" s="739"/>
    </row>
    <row r="154" spans="87:134" ht="15.6">
      <c r="EC154" s="739"/>
      <c r="ED154" s="739"/>
    </row>
    <row r="155" spans="87:134" ht="15.6">
      <c r="EC155" s="739"/>
      <c r="ED155" s="739"/>
    </row>
    <row r="156" spans="87:134" ht="15.6">
      <c r="EC156" s="739"/>
      <c r="ED156" s="739"/>
    </row>
    <row r="157" spans="87:134" ht="15.6">
      <c r="EC157" s="739"/>
      <c r="ED157" s="739"/>
    </row>
    <row r="158" spans="87:134" ht="15.6">
      <c r="EC158" s="739"/>
      <c r="ED158" s="739"/>
    </row>
    <row r="159" spans="87:134" ht="15.6">
      <c r="EC159" s="739"/>
      <c r="ED159" s="739"/>
    </row>
    <row r="160" spans="87:134" ht="15.6">
      <c r="EC160" s="739"/>
      <c r="ED160" s="739"/>
    </row>
    <row r="161" spans="133:134" ht="15.6">
      <c r="EC161" s="739"/>
      <c r="ED161" s="739"/>
    </row>
    <row r="162" spans="133:134" ht="15.6">
      <c r="EC162" s="739"/>
      <c r="ED162" s="739"/>
    </row>
    <row r="163" spans="133:134" ht="15.6">
      <c r="EC163" s="739"/>
      <c r="ED163" s="739"/>
    </row>
    <row r="164" spans="133:134" ht="15.6">
      <c r="EC164" s="739"/>
      <c r="ED164" s="739"/>
    </row>
    <row r="165" spans="133:134" ht="15.6">
      <c r="EC165" s="739"/>
      <c r="ED165" s="739"/>
    </row>
    <row r="166" spans="133:134" ht="15.6">
      <c r="EC166" s="739"/>
      <c r="ED166" s="739"/>
    </row>
    <row r="167" spans="133:134" ht="15.6">
      <c r="EC167" s="739"/>
      <c r="ED167" s="739"/>
    </row>
    <row r="168" spans="133:134" ht="15.6">
      <c r="EC168" s="739"/>
      <c r="ED168" s="739"/>
    </row>
    <row r="169" spans="133:134" ht="15.6">
      <c r="EC169" s="739"/>
      <c r="ED169" s="739"/>
    </row>
    <row r="170" spans="133:134" ht="15.6">
      <c r="EC170" s="739"/>
      <c r="ED170" s="739"/>
    </row>
    <row r="171" spans="133:134" ht="15.6">
      <c r="EC171" s="739"/>
      <c r="ED171" s="739"/>
    </row>
    <row r="172" spans="133:134" ht="15.6">
      <c r="EC172" s="739"/>
      <c r="ED172" s="739"/>
    </row>
    <row r="173" spans="133:134" ht="15.6">
      <c r="EC173" s="739"/>
      <c r="ED173" s="739"/>
    </row>
    <row r="174" spans="133:134" ht="15.6">
      <c r="EC174" s="739"/>
      <c r="ED174" s="739"/>
    </row>
    <row r="175" spans="133:134" ht="15.6">
      <c r="EC175" s="739"/>
      <c r="ED175" s="739"/>
    </row>
    <row r="176" spans="133:134" ht="15.6">
      <c r="EC176" s="739"/>
      <c r="ED176" s="739"/>
    </row>
    <row r="177" spans="133:134" ht="15.6">
      <c r="EC177" s="739"/>
      <c r="ED177" s="739"/>
    </row>
    <row r="178" spans="133:134" ht="15.6">
      <c r="EC178" s="739"/>
      <c r="ED178" s="739"/>
    </row>
    <row r="179" spans="133:134" ht="15.6">
      <c r="EC179" s="739"/>
      <c r="ED179" s="739"/>
    </row>
    <row r="180" spans="133:134" ht="15.6">
      <c r="EC180" s="739"/>
      <c r="ED180" s="739"/>
    </row>
    <row r="181" spans="133:134" ht="15.6">
      <c r="EC181" s="739"/>
      <c r="ED181" s="739"/>
    </row>
    <row r="182" spans="133:134" ht="15.6">
      <c r="EC182" s="739"/>
      <c r="ED182" s="739"/>
    </row>
    <row r="183" spans="133:134" ht="15.6">
      <c r="EC183" s="739"/>
      <c r="ED183" s="739"/>
    </row>
    <row r="184" spans="133:134" ht="15.6">
      <c r="EC184" s="739"/>
      <c r="ED184" s="739"/>
    </row>
    <row r="185" spans="133:134" ht="15.6">
      <c r="EC185" s="739"/>
      <c r="ED185" s="739"/>
    </row>
    <row r="186" spans="133:134" ht="15.6">
      <c r="EC186" s="739"/>
      <c r="ED186" s="739"/>
    </row>
    <row r="187" spans="133:134" ht="15.6">
      <c r="EC187" s="739"/>
      <c r="ED187" s="739"/>
    </row>
    <row r="188" spans="133:134" ht="15.6">
      <c r="EC188" s="739"/>
      <c r="ED188" s="739"/>
    </row>
    <row r="195" spans="133:134" ht="15.6">
      <c r="EC195" s="739"/>
      <c r="ED195" s="739"/>
    </row>
    <row r="196" spans="133:134" ht="15.6">
      <c r="EC196" s="739"/>
      <c r="ED196" s="739"/>
    </row>
    <row r="197" spans="133:134" ht="15.6">
      <c r="EC197" s="739"/>
      <c r="ED197" s="739"/>
    </row>
    <row r="198" spans="133:134" ht="15.6">
      <c r="EC198" s="739"/>
      <c r="ED198" s="739"/>
    </row>
    <row r="199" spans="133:134" ht="15.6">
      <c r="EC199" s="739"/>
      <c r="ED199" s="739"/>
    </row>
    <row r="200" spans="133:134" ht="15.6">
      <c r="EC200" s="739"/>
      <c r="ED200" s="739"/>
    </row>
    <row r="201" spans="133:134" ht="15.6">
      <c r="EC201" s="739"/>
      <c r="ED201" s="739"/>
    </row>
    <row r="202" spans="133:134" ht="15.6">
      <c r="EC202" s="739"/>
      <c r="ED202" s="739"/>
    </row>
    <row r="203" spans="133:134" ht="15.6">
      <c r="EC203" s="739"/>
      <c r="ED203" s="739"/>
    </row>
    <row r="204" spans="133:134" ht="15.6">
      <c r="EC204" s="739"/>
      <c r="ED204" s="739"/>
    </row>
    <row r="205" spans="133:134" ht="15.6">
      <c r="EC205" s="739"/>
      <c r="ED205" s="739"/>
    </row>
    <row r="206" spans="133:134" ht="15.6">
      <c r="EC206" s="739"/>
      <c r="ED206" s="739"/>
    </row>
    <row r="207" spans="133:134" ht="15.6">
      <c r="EC207" s="739"/>
      <c r="ED207" s="739"/>
    </row>
    <row r="208" spans="133:134" ht="15.6">
      <c r="EC208" s="739"/>
      <c r="ED208" s="739"/>
    </row>
    <row r="209" spans="133:134" ht="15.6">
      <c r="EC209" s="739"/>
      <c r="ED209" s="739"/>
    </row>
    <row r="210" spans="133:134" ht="15.6">
      <c r="EC210" s="739"/>
      <c r="ED210" s="739"/>
    </row>
    <row r="211" spans="133:134" ht="15.6">
      <c r="EC211" s="739"/>
      <c r="ED211" s="739"/>
    </row>
    <row r="212" spans="133:134" ht="15.6">
      <c r="EC212" s="739"/>
      <c r="ED212" s="739"/>
    </row>
    <row r="213" spans="133:134" ht="15.6">
      <c r="EC213" s="739"/>
      <c r="ED213" s="739"/>
    </row>
    <row r="214" spans="133:134" ht="15.6">
      <c r="EC214" s="739"/>
      <c r="ED214" s="739"/>
    </row>
    <row r="215" spans="133:134" ht="15.6">
      <c r="EC215" s="739"/>
      <c r="ED215" s="739"/>
    </row>
    <row r="216" spans="133:134" ht="15.6">
      <c r="EC216" s="739"/>
      <c r="ED216" s="739"/>
    </row>
    <row r="217" spans="133:134" ht="15.6">
      <c r="EC217" s="739"/>
      <c r="ED217" s="739"/>
    </row>
    <row r="218" spans="133:134" ht="15.6">
      <c r="EC218" s="739"/>
      <c r="ED218" s="739"/>
    </row>
    <row r="219" spans="133:134" ht="15.6">
      <c r="EC219" s="739"/>
      <c r="ED219" s="739"/>
    </row>
    <row r="220" spans="133:134" ht="15.6">
      <c r="EC220" s="739"/>
      <c r="ED220" s="739"/>
    </row>
    <row r="221" spans="133:134" ht="15.6">
      <c r="EC221" s="739"/>
      <c r="ED221" s="739"/>
    </row>
    <row r="222" spans="133:134" ht="15.6">
      <c r="EC222" s="739"/>
      <c r="ED222" s="739"/>
    </row>
    <row r="223" spans="133:134" ht="15.6">
      <c r="EC223" s="739"/>
      <c r="ED223" s="739"/>
    </row>
    <row r="224" spans="133:134" ht="15.6">
      <c r="EC224" s="739"/>
      <c r="ED224" s="739"/>
    </row>
    <row r="225" spans="53:134" ht="15.6">
      <c r="EC225" s="739"/>
      <c r="ED225" s="739"/>
    </row>
    <row r="226" spans="53:134" ht="15.6">
      <c r="EC226" s="739"/>
      <c r="ED226" s="739"/>
    </row>
    <row r="227" spans="53:134" ht="15.6">
      <c r="EC227" s="739"/>
      <c r="ED227" s="739"/>
    </row>
    <row r="228" spans="53:134" ht="15.6">
      <c r="EC228" s="739"/>
      <c r="ED228" s="739"/>
    </row>
    <row r="229" spans="53:134" ht="15.6">
      <c r="EC229" s="739"/>
      <c r="ED229" s="739"/>
    </row>
    <row r="230" spans="53:134" ht="15.6">
      <c r="EC230" s="739"/>
      <c r="ED230" s="739"/>
    </row>
    <row r="231" spans="53:134" ht="15.6">
      <c r="EC231" s="739"/>
      <c r="ED231" s="739"/>
    </row>
    <row r="232" spans="53:134" ht="15.6">
      <c r="EC232" s="739"/>
      <c r="ED232" s="739"/>
    </row>
    <row r="233" spans="53:134" ht="15.6">
      <c r="EC233" s="739"/>
      <c r="ED233" s="739"/>
    </row>
    <row r="235" spans="53:134" ht="15.6">
      <c r="BA235" s="96"/>
      <c r="BB235" s="111"/>
    </row>
    <row r="481" spans="81:81">
      <c r="CC481" s="30">
        <f>РЕЗУЛЬТАТЫ!AB37</f>
        <v>0</v>
      </c>
    </row>
  </sheetData>
  <phoneticPr fontId="46" type="noConversion"/>
  <pageMargins left="0.70866141732283472" right="0.70866141732283472" top="0.74803149606299213" bottom="0.74803149606299213" header="0.31496062992125984" footer="0.31496062992125984"/>
  <pageSetup paperSize="9" scale="55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D934"/>
  <sheetViews>
    <sheetView topLeftCell="A47" zoomScale="70" zoomScaleNormal="70" workbookViewId="0">
      <selection activeCell="H60" sqref="H60"/>
    </sheetView>
  </sheetViews>
  <sheetFormatPr defaultColWidth="9.109375" defaultRowHeight="15.6"/>
  <cols>
    <col min="1" max="9" width="9.109375" style="739"/>
    <col min="10" max="10" width="9.6640625" style="739" customWidth="1"/>
    <col min="11" max="14" width="9.109375" style="739"/>
    <col min="15" max="15" width="11.44140625" style="739" customWidth="1"/>
    <col min="16" max="16" width="9.33203125" style="739" bestFit="1" customWidth="1"/>
    <col min="17" max="17" width="9.44140625" style="739" bestFit="1" customWidth="1"/>
    <col min="18" max="18" width="12.6640625" style="739" bestFit="1" customWidth="1"/>
    <col min="19" max="19" width="9.44140625" style="739" bestFit="1" customWidth="1"/>
    <col min="20" max="20" width="10.44140625" style="739" bestFit="1" customWidth="1"/>
    <col min="21" max="21" width="11" style="739" customWidth="1"/>
    <col min="22" max="22" width="10.88671875" style="739" customWidth="1"/>
    <col min="23" max="23" width="10.5546875" style="739" customWidth="1"/>
    <col min="24" max="24" width="10.109375" style="739" customWidth="1"/>
    <col min="25" max="25" width="10.44140625" style="739" customWidth="1"/>
    <col min="26" max="26" width="11.33203125" style="739" customWidth="1"/>
    <col min="27" max="28" width="10.5546875" style="739" customWidth="1"/>
    <col min="29" max="29" width="11" style="739" customWidth="1"/>
    <col min="30" max="33" width="12" style="739" bestFit="1" customWidth="1"/>
    <col min="34" max="34" width="10.5546875" style="739" customWidth="1"/>
    <col min="35" max="35" width="11.33203125" style="739" customWidth="1"/>
    <col min="36" max="36" width="10.44140625" style="739" customWidth="1"/>
    <col min="37" max="37" width="10.5546875" style="739" customWidth="1"/>
    <col min="38" max="38" width="10.44140625" style="739" customWidth="1"/>
    <col min="39" max="39" width="9.88671875" style="739" customWidth="1"/>
    <col min="40" max="40" width="10.44140625" style="739" customWidth="1"/>
    <col min="41" max="41" width="10" style="739" customWidth="1"/>
    <col min="42" max="42" width="9.88671875" style="739" customWidth="1"/>
    <col min="43" max="43" width="11" style="739" customWidth="1"/>
    <col min="44" max="44" width="9.88671875" style="739" customWidth="1"/>
    <col min="45" max="45" width="9.5546875" style="739" customWidth="1"/>
    <col min="46" max="46" width="10.88671875" style="739" customWidth="1"/>
    <col min="47" max="47" width="11.109375" style="739" customWidth="1"/>
    <col min="48" max="48" width="10.88671875" style="739" customWidth="1"/>
    <col min="49" max="49" width="11" style="739" customWidth="1"/>
    <col min="50" max="50" width="10.33203125" style="739" customWidth="1"/>
    <col min="51" max="51" width="11.6640625" style="739" customWidth="1"/>
    <col min="52" max="52" width="10.88671875" style="739" customWidth="1"/>
    <col min="53" max="53" width="11.44140625" style="739" customWidth="1"/>
    <col min="54" max="55" width="11.6640625" style="739" customWidth="1"/>
    <col min="56" max="56" width="12" style="739" customWidth="1"/>
    <col min="57" max="57" width="10.6640625" style="739" customWidth="1"/>
    <col min="58" max="58" width="10.109375" style="739" customWidth="1"/>
    <col min="59" max="59" width="10.44140625" style="739" customWidth="1"/>
    <col min="60" max="60" width="10.88671875" style="739" customWidth="1"/>
    <col min="61" max="62" width="11" style="739" customWidth="1"/>
    <col min="63" max="63" width="11.109375" style="739" customWidth="1"/>
    <col min="64" max="64" width="10.6640625" style="739" customWidth="1"/>
    <col min="65" max="65" width="10.5546875" style="739" customWidth="1"/>
    <col min="66" max="66" width="10.33203125" style="739" customWidth="1"/>
    <col min="67" max="67" width="10.44140625" style="739" customWidth="1"/>
    <col min="68" max="68" width="10.6640625" style="739" customWidth="1"/>
    <col min="69" max="69" width="10" style="739" customWidth="1"/>
    <col min="70" max="70" width="13" style="739" bestFit="1" customWidth="1"/>
    <col min="71" max="71" width="11" style="739" customWidth="1"/>
    <col min="72" max="72" width="9.33203125" style="739" bestFit="1" customWidth="1"/>
    <col min="73" max="73" width="9.88671875" style="739" bestFit="1" customWidth="1"/>
    <col min="74" max="75" width="9.33203125" style="739" bestFit="1" customWidth="1"/>
    <col min="76" max="76" width="10.6640625" style="739" customWidth="1"/>
    <col min="77" max="78" width="9.33203125" style="739" bestFit="1" customWidth="1"/>
    <col min="79" max="79" width="10.88671875" style="739" bestFit="1" customWidth="1"/>
    <col min="80" max="81" width="9.33203125" style="739" bestFit="1" customWidth="1"/>
    <col min="82" max="82" width="11" style="739" customWidth="1"/>
    <col min="83" max="83" width="11.88671875" style="739" customWidth="1"/>
    <col min="84" max="84" width="12.33203125" style="739" customWidth="1"/>
    <col min="85" max="86" width="11.33203125" style="739" customWidth="1"/>
    <col min="87" max="87" width="11" style="739" customWidth="1"/>
    <col min="88" max="88" width="12.44140625" style="739" customWidth="1"/>
    <col min="89" max="89" width="12.6640625" style="739" bestFit="1" customWidth="1"/>
    <col min="90" max="91" width="13" style="739" bestFit="1" customWidth="1"/>
    <col min="92" max="92" width="13.109375" style="739" customWidth="1"/>
    <col min="93" max="93" width="12.33203125" style="739" customWidth="1"/>
    <col min="94" max="94" width="12.5546875" style="739" customWidth="1"/>
    <col min="95" max="95" width="10" style="739" customWidth="1"/>
    <col min="96" max="96" width="10.6640625" style="739" customWidth="1"/>
    <col min="97" max="97" width="9.6640625" style="739" customWidth="1"/>
    <col min="98" max="98" width="10.5546875" style="739" customWidth="1"/>
    <col min="99" max="99" width="10.6640625" style="739" customWidth="1"/>
    <col min="100" max="101" width="11" style="739" customWidth="1"/>
    <col min="102" max="102" width="12" style="739" customWidth="1"/>
    <col min="103" max="103" width="11.44140625" style="739" customWidth="1"/>
    <col min="104" max="104" width="10.33203125" style="739" customWidth="1"/>
    <col min="105" max="105" width="12.6640625" style="739" bestFit="1" customWidth="1"/>
    <col min="106" max="106" width="11.44140625" style="739" bestFit="1" customWidth="1"/>
    <col min="107" max="107" width="11.109375" style="739" customWidth="1"/>
    <col min="108" max="108" width="12.6640625" style="739" customWidth="1"/>
    <col min="109" max="109" width="13" style="739" bestFit="1" customWidth="1"/>
    <col min="110" max="110" width="12.33203125" style="739" customWidth="1"/>
    <col min="111" max="111" width="10.6640625" style="739" customWidth="1"/>
    <col min="112" max="112" width="11" style="739" customWidth="1"/>
    <col min="113" max="113" width="10.109375" style="739" customWidth="1"/>
    <col min="114" max="114" width="10.33203125" style="739" customWidth="1"/>
    <col min="115" max="115" width="11.33203125" style="739" customWidth="1"/>
    <col min="116" max="116" width="10" style="739" customWidth="1"/>
    <col min="117" max="117" width="10.33203125" style="739" customWidth="1"/>
    <col min="118" max="118" width="10.44140625" style="739" customWidth="1"/>
    <col min="119" max="119" width="10" style="739" customWidth="1"/>
    <col min="120" max="120" width="12.5546875" style="739" bestFit="1" customWidth="1"/>
    <col min="121" max="121" width="9.88671875" style="739" customWidth="1"/>
    <col min="122" max="122" width="9.109375" style="739"/>
    <col min="123" max="123" width="10.33203125" style="739" customWidth="1"/>
    <col min="124" max="124" width="10.88671875" style="739" customWidth="1"/>
    <col min="125" max="125" width="9.109375" style="739"/>
    <col min="126" max="126" width="10.33203125" style="739" customWidth="1"/>
    <col min="127" max="127" width="9.109375" style="739"/>
    <col min="128" max="128" width="10.6640625" style="739" bestFit="1" customWidth="1"/>
    <col min="129" max="129" width="10.6640625" style="739" customWidth="1"/>
    <col min="130" max="130" width="13.44140625" style="739" customWidth="1"/>
    <col min="131" max="131" width="11.5546875" style="739" customWidth="1"/>
    <col min="132" max="132" width="12" style="739" customWidth="1"/>
    <col min="133" max="133" width="9.88671875" style="739" bestFit="1" customWidth="1"/>
    <col min="134" max="134" width="12.5546875" style="739" bestFit="1" customWidth="1"/>
    <col min="135" max="135" width="10.33203125" style="739" customWidth="1"/>
    <col min="136" max="136" width="10.6640625" style="739" customWidth="1"/>
    <col min="137" max="137" width="10" style="739" customWidth="1"/>
    <col min="138" max="138" width="10.44140625" style="739" customWidth="1"/>
    <col min="139" max="139" width="11" style="739" customWidth="1"/>
    <col min="140" max="140" width="10.33203125" style="739" customWidth="1"/>
    <col min="141" max="141" width="10" style="739" bestFit="1" customWidth="1"/>
    <col min="142" max="143" width="10.5546875" style="739" customWidth="1"/>
    <col min="144" max="144" width="9.109375" style="739"/>
    <col min="145" max="145" width="10.88671875" style="739" customWidth="1"/>
    <col min="146" max="146" width="12.5546875" style="739" bestFit="1" customWidth="1"/>
    <col min="147" max="147" width="9.109375" style="739"/>
    <col min="148" max="148" width="10.5546875" style="739" customWidth="1"/>
    <col min="149" max="149" width="10.109375" style="739" customWidth="1"/>
    <col min="150" max="150" width="10.88671875" style="739" customWidth="1"/>
    <col min="151" max="151" width="10.33203125" style="739" bestFit="1" customWidth="1"/>
    <col min="152" max="152" width="10.109375" style="739" customWidth="1"/>
    <col min="153" max="155" width="9.109375" style="739"/>
    <col min="156" max="156" width="12.5546875" style="739" bestFit="1" customWidth="1"/>
    <col min="157" max="158" width="9.109375" style="739"/>
    <col min="159" max="159" width="9.5546875" style="739" customWidth="1"/>
    <col min="160" max="160" width="9.88671875" style="739" customWidth="1"/>
    <col min="161" max="161" width="10.33203125" style="739" customWidth="1"/>
    <col min="162" max="162" width="9.109375" style="739"/>
    <col min="163" max="163" width="9.88671875" style="739" customWidth="1"/>
    <col min="164" max="164" width="10.5546875" style="739" customWidth="1"/>
    <col min="165" max="180" width="9.109375" style="739"/>
    <col min="181" max="181" width="10.109375" style="739" bestFit="1" customWidth="1"/>
    <col min="182" max="187" width="9.109375" style="739"/>
    <col min="188" max="188" width="10.44140625" style="739" customWidth="1"/>
    <col min="189" max="202" width="9.109375" style="739"/>
    <col min="203" max="203" width="9.33203125" style="739" bestFit="1" customWidth="1"/>
    <col min="204" max="204" width="9.88671875" style="739" bestFit="1" customWidth="1"/>
    <col min="205" max="205" width="10.5546875" style="739" customWidth="1"/>
    <col min="206" max="207" width="9.33203125" style="739" bestFit="1" customWidth="1"/>
    <col min="208" max="208" width="12.109375" style="739" bestFit="1" customWidth="1"/>
    <col min="209" max="209" width="10" style="739" customWidth="1"/>
    <col min="210" max="210" width="10.33203125" style="739" customWidth="1"/>
    <col min="211" max="211" width="10.5546875" style="739" customWidth="1"/>
    <col min="212" max="223" width="9.109375" style="739"/>
    <col min="224" max="224" width="11.109375" style="739" customWidth="1"/>
    <col min="225" max="225" width="11.5546875" style="739" bestFit="1" customWidth="1"/>
    <col min="226" max="226" width="10.33203125" style="739" customWidth="1"/>
    <col min="227" max="228" width="9.33203125" style="739" bestFit="1" customWidth="1"/>
    <col min="229" max="231" width="9.109375" style="739"/>
    <col min="232" max="234" width="9.33203125" style="739" bestFit="1" customWidth="1"/>
    <col min="235" max="243" width="9.109375" style="739"/>
    <col min="244" max="244" width="11.5546875" style="739" bestFit="1" customWidth="1"/>
    <col min="245" max="247" width="9.33203125" style="739" bestFit="1" customWidth="1"/>
    <col min="248" max="16384" width="9.109375" style="739"/>
  </cols>
  <sheetData>
    <row r="1" spans="23:141">
      <c r="AP1" s="1968"/>
      <c r="AQ1" s="1969"/>
      <c r="AR1" s="1969"/>
      <c r="AS1" s="1969"/>
      <c r="AT1" s="1969"/>
      <c r="AU1" s="1969"/>
      <c r="AV1" s="1969"/>
      <c r="AW1" s="1969"/>
      <c r="AX1" s="1970"/>
    </row>
    <row r="2" spans="23:141">
      <c r="X2" s="1623" t="s">
        <v>351</v>
      </c>
      <c r="Y2" s="2103">
        <v>43707</v>
      </c>
      <c r="Z2" s="1624" t="s">
        <v>1442</v>
      </c>
      <c r="AA2" s="1625"/>
      <c r="AB2" s="1625"/>
      <c r="AC2" s="1625"/>
      <c r="AD2" s="1625"/>
      <c r="AE2" s="1625"/>
      <c r="AF2" s="1625"/>
      <c r="AG2" s="1625"/>
      <c r="AH2" s="1624"/>
      <c r="AI2" s="1624"/>
      <c r="AJ2" s="1624"/>
      <c r="AK2" s="1624"/>
      <c r="AL2" s="1624"/>
      <c r="AM2" s="1626"/>
      <c r="AN2" s="1626"/>
      <c r="AO2" s="1624"/>
      <c r="AP2" s="1645"/>
      <c r="AQ2" s="1644" t="s">
        <v>1214</v>
      </c>
      <c r="AR2" s="1644"/>
      <c r="AS2" s="1644"/>
      <c r="AT2" s="1644"/>
      <c r="AU2" s="830"/>
      <c r="AV2" s="830"/>
      <c r="AW2" s="830"/>
      <c r="AX2" s="831"/>
    </row>
    <row r="3" spans="23:141">
      <c r="X3" s="4" t="s">
        <v>799</v>
      </c>
      <c r="Y3" s="5"/>
      <c r="Z3" s="5"/>
      <c r="AA3" s="1627"/>
      <c r="AB3" s="5"/>
      <c r="AC3" s="5" t="s">
        <v>1204</v>
      </c>
      <c r="AD3" s="5"/>
      <c r="AE3" s="5"/>
      <c r="AF3" s="5"/>
      <c r="AG3" s="5"/>
      <c r="AH3" s="5"/>
      <c r="AI3" s="5"/>
      <c r="AJ3" s="5"/>
      <c r="AK3" s="5"/>
      <c r="AL3" s="5"/>
      <c r="AM3" s="1426"/>
      <c r="AN3" s="1426"/>
      <c r="AO3" s="5"/>
      <c r="AP3" s="1645"/>
      <c r="AQ3" s="1644" t="s">
        <v>750</v>
      </c>
      <c r="AR3" s="830"/>
      <c r="AS3" s="830"/>
      <c r="AT3" s="830"/>
      <c r="AU3" s="830"/>
      <c r="AV3" s="830"/>
      <c r="AW3" s="830"/>
      <c r="AX3" s="831"/>
    </row>
    <row r="4" spans="23:141">
      <c r="X4" s="8"/>
      <c r="Y4" s="9"/>
      <c r="Z4" s="9"/>
      <c r="AA4" s="1628"/>
      <c r="AB4" s="9"/>
      <c r="AC4" s="9" t="s">
        <v>352</v>
      </c>
      <c r="AD4" s="9"/>
      <c r="AE4" s="9"/>
      <c r="AF4" s="9"/>
      <c r="AG4" s="9"/>
      <c r="AH4" s="9"/>
      <c r="AI4" s="9"/>
      <c r="AJ4" s="9"/>
      <c r="AK4" s="9"/>
      <c r="AL4" s="9"/>
      <c r="AM4" s="1426"/>
      <c r="AN4" s="1426"/>
      <c r="AO4" s="9"/>
      <c r="AP4" s="1645"/>
      <c r="AQ4" s="1644" t="s">
        <v>1215</v>
      </c>
      <c r="AR4" s="830"/>
      <c r="AS4" s="830"/>
      <c r="AT4" s="830"/>
      <c r="AU4" s="830"/>
      <c r="AV4" s="830"/>
      <c r="AW4" s="830"/>
      <c r="AX4" s="831"/>
    </row>
    <row r="5" spans="23:141">
      <c r="X5" s="8" t="s">
        <v>800</v>
      </c>
      <c r="Y5" s="9"/>
      <c r="Z5" s="9"/>
      <c r="AA5" s="1628"/>
      <c r="AB5" s="9"/>
      <c r="AC5" s="9" t="s">
        <v>1825</v>
      </c>
      <c r="AD5" s="9"/>
      <c r="AE5" s="9"/>
      <c r="AF5" s="9"/>
      <c r="AG5" s="9" t="s">
        <v>1568</v>
      </c>
      <c r="AH5" s="9"/>
      <c r="AI5" s="9"/>
      <c r="AJ5" s="9"/>
      <c r="AK5" s="9"/>
      <c r="AL5" s="9"/>
      <c r="AM5" s="1426"/>
      <c r="AN5" s="1426"/>
      <c r="AO5" s="9"/>
      <c r="AP5" s="1645"/>
      <c r="AQ5" s="1644" t="s">
        <v>365</v>
      </c>
      <c r="AR5" s="830"/>
      <c r="AS5" s="830"/>
      <c r="AT5" s="1644" t="s">
        <v>1221</v>
      </c>
      <c r="AU5" s="830"/>
      <c r="AV5" s="830"/>
      <c r="AW5" s="1644" t="s">
        <v>1222</v>
      </c>
      <c r="AX5" s="831"/>
    </row>
    <row r="6" spans="23:141" ht="16.2" thickBot="1">
      <c r="X6" s="8"/>
      <c r="Y6" s="9"/>
      <c r="Z6" s="9"/>
      <c r="AA6" s="1628"/>
      <c r="AB6" s="9"/>
      <c r="AC6" s="9" t="s">
        <v>353</v>
      </c>
      <c r="AD6" s="9"/>
      <c r="AE6" s="9"/>
      <c r="AF6" s="9"/>
      <c r="AG6" s="9"/>
      <c r="AH6" s="9"/>
      <c r="AI6" s="9"/>
      <c r="AJ6" s="9"/>
      <c r="AK6" s="9"/>
      <c r="AL6" s="9"/>
      <c r="AM6" s="1426"/>
      <c r="AN6" s="1426"/>
      <c r="AO6" s="9"/>
      <c r="AP6" s="1645"/>
      <c r="AQ6" s="1644" t="s">
        <v>1220</v>
      </c>
      <c r="AR6" s="1644"/>
      <c r="AS6" s="830"/>
      <c r="AT6" s="830"/>
      <c r="AU6" s="830"/>
      <c r="AV6" s="830"/>
      <c r="AW6" s="830"/>
      <c r="AX6" s="831"/>
      <c r="CS6" s="784"/>
      <c r="CT6" s="784"/>
      <c r="CU6" s="784"/>
      <c r="CW6" s="784"/>
      <c r="CX6" s="784"/>
      <c r="CY6" s="784"/>
      <c r="CZ6" s="784"/>
      <c r="DA6" s="784"/>
      <c r="DB6" s="784"/>
      <c r="DC6" s="784"/>
      <c r="DD6" s="784"/>
      <c r="DE6" s="784"/>
      <c r="DF6" s="784"/>
      <c r="DG6" s="784"/>
      <c r="DH6" s="784"/>
      <c r="DI6" s="784"/>
      <c r="DJ6" s="784"/>
      <c r="DK6" s="784"/>
      <c r="DL6" s="784"/>
      <c r="DS6" s="784"/>
    </row>
    <row r="7" spans="23:141" ht="17.399999999999999">
      <c r="X7" s="8"/>
      <c r="Y7" s="9"/>
      <c r="Z7" s="9"/>
      <c r="AA7" s="1628"/>
      <c r="AB7" s="9"/>
      <c r="AC7" s="9" t="s">
        <v>1377</v>
      </c>
      <c r="AD7" s="9"/>
      <c r="AE7" s="9"/>
      <c r="AF7" s="9"/>
      <c r="AG7" s="9"/>
      <c r="AH7" s="9"/>
      <c r="AI7" s="9"/>
      <c r="AJ7" s="9"/>
      <c r="AK7" s="9"/>
      <c r="AL7" s="9"/>
      <c r="AM7" s="1426"/>
      <c r="AN7" s="1426"/>
      <c r="AO7" s="9"/>
      <c r="AP7" s="1645"/>
      <c r="AQ7" s="1644" t="s">
        <v>1216</v>
      </c>
      <c r="AR7" s="1644"/>
      <c r="AS7" s="830"/>
      <c r="AT7" s="830"/>
      <c r="AU7" s="830"/>
      <c r="AV7" s="830"/>
      <c r="AW7" s="830"/>
      <c r="AX7" s="831"/>
      <c r="CT7" s="1602" t="s">
        <v>351</v>
      </c>
      <c r="CU7" s="1600" t="s">
        <v>494</v>
      </c>
      <c r="CV7" s="2128" t="s">
        <v>425</v>
      </c>
      <c r="CW7" s="1603" t="s">
        <v>1621</v>
      </c>
      <c r="CX7" s="1603" t="s">
        <v>1622</v>
      </c>
      <c r="CY7" s="784"/>
      <c r="CZ7" s="784"/>
      <c r="DA7" s="784"/>
      <c r="DB7" s="784"/>
      <c r="DC7" s="784"/>
      <c r="DD7" s="784"/>
      <c r="DE7" s="784"/>
      <c r="DF7" s="784"/>
      <c r="DG7" s="784"/>
      <c r="DH7" s="784"/>
      <c r="DI7" s="784"/>
      <c r="DJ7" s="784"/>
      <c r="DK7" s="784"/>
      <c r="DL7" s="1602" t="s">
        <v>351</v>
      </c>
      <c r="DM7" s="1591" t="s">
        <v>1268</v>
      </c>
      <c r="DN7" s="1591" t="s">
        <v>1278</v>
      </c>
      <c r="DO7" s="1591" t="s">
        <v>1453</v>
      </c>
      <c r="EE7" s="1602" t="s">
        <v>351</v>
      </c>
      <c r="EF7" s="2135" t="s">
        <v>1202</v>
      </c>
      <c r="EG7" s="1591" t="s">
        <v>1453</v>
      </c>
      <c r="EH7" s="1591" t="s">
        <v>80</v>
      </c>
      <c r="EI7" s="1798" t="s">
        <v>913</v>
      </c>
      <c r="EJ7" s="1591" t="s">
        <v>1837</v>
      </c>
      <c r="EK7" s="1604" t="s">
        <v>1838</v>
      </c>
    </row>
    <row r="8" spans="23:141" ht="16.2" thickBot="1">
      <c r="X8" s="8" t="s">
        <v>1413</v>
      </c>
      <c r="Y8" s="9"/>
      <c r="Z8" s="9"/>
      <c r="AA8" s="1628"/>
      <c r="AB8" s="9"/>
      <c r="AC8" s="9" t="s">
        <v>1826</v>
      </c>
      <c r="AD8" s="9"/>
      <c r="AE8" s="9"/>
      <c r="AF8" s="9"/>
      <c r="AG8" s="9"/>
      <c r="AH8" s="9"/>
      <c r="AI8" s="9"/>
      <c r="AJ8" s="9"/>
      <c r="AK8" s="9"/>
      <c r="AL8" s="9"/>
      <c r="AM8" s="1426"/>
      <c r="AN8" s="1426"/>
      <c r="AO8" s="9"/>
      <c r="AP8" s="1645"/>
      <c r="AQ8" s="1644" t="s">
        <v>1217</v>
      </c>
      <c r="AR8" s="1644"/>
      <c r="AS8" s="1644"/>
      <c r="AT8" s="1644"/>
      <c r="AU8" s="830"/>
      <c r="AV8" s="830"/>
      <c r="AW8" s="830"/>
      <c r="AX8" s="831"/>
      <c r="CT8" s="720">
        <v>43770</v>
      </c>
      <c r="CU8" s="1880" t="s">
        <v>46</v>
      </c>
      <c r="CV8" s="1880" t="s">
        <v>46</v>
      </c>
      <c r="CW8" s="1880"/>
      <c r="CX8" s="1629"/>
      <c r="CY8" s="784"/>
      <c r="CZ8" s="784"/>
      <c r="DA8" s="784"/>
      <c r="DB8" s="784"/>
      <c r="DC8" s="784"/>
      <c r="DD8" s="784"/>
      <c r="DE8" s="784"/>
      <c r="DF8" s="784"/>
      <c r="DG8" s="784"/>
      <c r="DH8" s="784"/>
      <c r="DI8" s="784"/>
      <c r="DJ8" s="784"/>
      <c r="DK8" s="784"/>
      <c r="DL8" s="720">
        <v>43663</v>
      </c>
      <c r="DM8" s="1822" t="s">
        <v>46</v>
      </c>
      <c r="DN8" s="1822" t="s">
        <v>46</v>
      </c>
      <c r="DO8" s="1822" t="s">
        <v>46</v>
      </c>
      <c r="EE8" s="1981">
        <v>43924</v>
      </c>
      <c r="EF8" s="2427" t="s">
        <v>1623</v>
      </c>
      <c r="EG8" s="1822" t="s">
        <v>46</v>
      </c>
      <c r="EH8" s="1593" t="s">
        <v>1623</v>
      </c>
      <c r="EI8" s="1593" t="s">
        <v>1623</v>
      </c>
      <c r="EJ8" s="1822" t="s">
        <v>46</v>
      </c>
      <c r="EK8" s="1823" t="s">
        <v>46</v>
      </c>
    </row>
    <row r="9" spans="23:141" ht="17.399999999999999">
      <c r="W9" s="784"/>
      <c r="X9" s="8"/>
      <c r="Y9" s="9"/>
      <c r="Z9" s="9"/>
      <c r="AA9" s="1628"/>
      <c r="AB9" s="9"/>
      <c r="AC9" s="9" t="s">
        <v>1563</v>
      </c>
      <c r="AD9" s="9"/>
      <c r="AE9" s="9"/>
      <c r="AF9" s="9"/>
      <c r="AG9" s="9"/>
      <c r="AH9" s="9" t="s">
        <v>1414</v>
      </c>
      <c r="AI9" s="9" t="s">
        <v>1415</v>
      </c>
      <c r="AJ9" s="9"/>
      <c r="AK9" s="9"/>
      <c r="AL9" s="9"/>
      <c r="AM9" s="1426"/>
      <c r="AN9" s="1426"/>
      <c r="AO9" s="9"/>
      <c r="AP9" s="1645"/>
      <c r="AQ9" s="1644" t="s">
        <v>1218</v>
      </c>
      <c r="AR9" s="1644"/>
      <c r="AS9" s="1644"/>
      <c r="AT9" s="1644"/>
      <c r="AU9" s="830"/>
      <c r="AV9" s="830"/>
      <c r="AW9" s="830"/>
      <c r="AX9" s="831"/>
      <c r="CT9" s="1608">
        <v>1995</v>
      </c>
      <c r="CU9" s="2089">
        <f t="array" ref="CU9:CU32">TRANSPOSE(U103:AR103)</f>
        <v>437</v>
      </c>
      <c r="CV9" s="2129">
        <f t="array" ref="CV9:CV32">TRANSPOSE(U67:AR67)</f>
        <v>1428.5209</v>
      </c>
      <c r="CW9" s="2129">
        <f>CU9</f>
        <v>437</v>
      </c>
      <c r="CX9" s="1630"/>
      <c r="CY9" s="784"/>
      <c r="CZ9" s="784"/>
      <c r="DA9" s="784"/>
      <c r="DB9" s="784"/>
      <c r="DC9" s="784"/>
      <c r="DD9" s="784"/>
      <c r="DE9" s="784"/>
      <c r="DF9" s="784"/>
      <c r="DG9" s="784"/>
      <c r="DH9" s="784"/>
      <c r="DI9" s="784"/>
      <c r="DJ9" s="784"/>
      <c r="DK9" s="784"/>
      <c r="DL9" s="2281">
        <v>1995</v>
      </c>
      <c r="DM9" s="1874">
        <f t="array" ref="DM9:DM32">TRANSPOSE(U69:AR69)</f>
        <v>719.79349999999999</v>
      </c>
      <c r="DN9" s="1874"/>
      <c r="DO9" s="1494">
        <f t="array" ref="DO9:DO32">TRANSPOSE(U89:AR89)</f>
        <v>910.9</v>
      </c>
      <c r="EE9" s="2097">
        <v>1995</v>
      </c>
      <c r="EF9" s="1799">
        <f t="array" ref="EF9:EF32">TRANSPOSE(U159:AR159)</f>
        <v>1</v>
      </c>
      <c r="EG9" s="1200">
        <v>910.9</v>
      </c>
      <c r="EH9" s="1799">
        <v>1</v>
      </c>
      <c r="EI9" s="1799"/>
      <c r="EJ9" s="1799">
        <f>EK9/1000</f>
        <v>0.91089999999999993</v>
      </c>
      <c r="EK9" s="1494">
        <f>EG9</f>
        <v>910.9</v>
      </c>
    </row>
    <row r="10" spans="23:141" ht="17.399999999999999">
      <c r="X10" s="8"/>
      <c r="Y10" s="9"/>
      <c r="Z10" s="9"/>
      <c r="AA10" s="1628"/>
      <c r="AB10" s="9"/>
      <c r="AC10" s="9" t="s">
        <v>1783</v>
      </c>
      <c r="AD10" s="9"/>
      <c r="AE10" s="9"/>
      <c r="AF10" s="9"/>
      <c r="AG10" s="9"/>
      <c r="AH10" s="9"/>
      <c r="AI10" s="9"/>
      <c r="AJ10" s="9"/>
      <c r="AK10" s="9"/>
      <c r="AL10" s="9"/>
      <c r="AM10" s="1426"/>
      <c r="AN10" s="1426"/>
      <c r="AO10" s="9"/>
      <c r="AP10" s="1645"/>
      <c r="AQ10" s="1644" t="s">
        <v>1219</v>
      </c>
      <c r="AR10" s="830"/>
      <c r="AS10" s="830"/>
      <c r="AT10" s="830"/>
      <c r="AU10" s="830"/>
      <c r="AV10" s="830"/>
      <c r="AW10" s="830"/>
      <c r="AX10" s="831"/>
      <c r="CT10" s="1608">
        <v>1996</v>
      </c>
      <c r="CU10" s="2089">
        <v>558.5</v>
      </c>
      <c r="CV10" s="2089">
        <v>2007.8252000000002</v>
      </c>
      <c r="CW10" s="2089">
        <f>CU10</f>
        <v>558.5</v>
      </c>
      <c r="CX10" s="1619"/>
      <c r="CY10" s="784"/>
      <c r="CZ10" s="784"/>
      <c r="DA10" s="784"/>
      <c r="DB10" s="784"/>
      <c r="DC10" s="784"/>
      <c r="DD10" s="784"/>
      <c r="DE10" s="784"/>
      <c r="DF10" s="784"/>
      <c r="DG10" s="784"/>
      <c r="DH10" s="784"/>
      <c r="DI10" s="784"/>
      <c r="DJ10" s="784"/>
      <c r="DK10" s="784"/>
      <c r="DL10" s="2281">
        <v>1996</v>
      </c>
      <c r="DM10" s="2132">
        <v>1007.827</v>
      </c>
      <c r="DN10" s="2132"/>
      <c r="DO10" s="1495">
        <v>1357.1</v>
      </c>
      <c r="EE10" s="2281">
        <v>1996</v>
      </c>
      <c r="EF10" s="2119">
        <v>0.95099999999999996</v>
      </c>
      <c r="EG10" s="1201">
        <v>1357.1</v>
      </c>
      <c r="EH10" s="2119">
        <f>НАСТРОЙКА!DR137</f>
        <v>1.218</v>
      </c>
      <c r="EI10" s="2136">
        <f>EH10/EH9</f>
        <v>1.218</v>
      </c>
      <c r="EJ10" s="2119">
        <f>EK10/1000</f>
        <v>1.1142036124794745</v>
      </c>
      <c r="EK10" s="1495">
        <f t="shared" ref="EK10:EK32" si="0">EG10/EH10</f>
        <v>1114.2036124794745</v>
      </c>
    </row>
    <row r="11" spans="23:141" ht="17.399999999999999">
      <c r="X11" s="8"/>
      <c r="Y11" s="9"/>
      <c r="Z11" s="9"/>
      <c r="AA11" s="1628"/>
      <c r="AB11" s="9"/>
      <c r="AC11" s="9" t="s">
        <v>1827</v>
      </c>
      <c r="AD11" s="9"/>
      <c r="AE11" s="9"/>
      <c r="AF11" s="9"/>
      <c r="AG11" s="9"/>
      <c r="AH11" s="9"/>
      <c r="AI11" s="9"/>
      <c r="AJ11" s="9"/>
      <c r="AK11" s="9"/>
      <c r="AL11" s="9"/>
      <c r="AM11" s="1426"/>
      <c r="AN11" s="1426"/>
      <c r="AO11" s="9"/>
      <c r="AP11" s="1645"/>
      <c r="AQ11" s="1644" t="s">
        <v>1234</v>
      </c>
      <c r="AR11" s="830"/>
      <c r="AS11" s="830"/>
      <c r="AT11" s="830"/>
      <c r="AU11" s="830"/>
      <c r="AV11" s="830"/>
      <c r="AW11" s="830"/>
      <c r="AX11" s="831"/>
      <c r="CT11" s="1608">
        <v>1997</v>
      </c>
      <c r="CU11" s="2089">
        <v>711.6</v>
      </c>
      <c r="CV11" s="2089">
        <v>2342.5137</v>
      </c>
      <c r="CW11" s="2089">
        <f t="shared" ref="CW11:CW29" si="1">CU11</f>
        <v>711.6</v>
      </c>
      <c r="CX11" s="1619"/>
      <c r="CY11" s="784"/>
      <c r="CZ11" s="784"/>
      <c r="DA11" s="784"/>
      <c r="DB11" s="784"/>
      <c r="DC11" s="784"/>
      <c r="DD11" s="784"/>
      <c r="DE11" s="784"/>
      <c r="DF11" s="784"/>
      <c r="DG11" s="784"/>
      <c r="DH11" s="784"/>
      <c r="DI11" s="784"/>
      <c r="DJ11" s="784"/>
      <c r="DK11" s="784"/>
      <c r="DL11" s="2281">
        <v>1997</v>
      </c>
      <c r="DM11" s="2132">
        <v>1235.2137</v>
      </c>
      <c r="DN11" s="2132"/>
      <c r="DO11" s="1495">
        <v>1656.4</v>
      </c>
      <c r="EE11" s="2281">
        <v>1997</v>
      </c>
      <c r="EF11" s="2119">
        <v>0.99855000000000005</v>
      </c>
      <c r="EG11" s="1201">
        <v>1656.4</v>
      </c>
      <c r="EH11" s="2119">
        <f>НАСТРОЙКА!DR138</f>
        <v>1.3519800000000002</v>
      </c>
      <c r="EI11" s="2136">
        <f t="shared" ref="EI11:EI30" si="2">EH11/EH10</f>
        <v>1.1100000000000001</v>
      </c>
      <c r="EJ11" s="2119">
        <f t="shared" ref="EJ11:EJ32" si="3">EK11/1000</f>
        <v>1.2251660527522594</v>
      </c>
      <c r="EK11" s="1495">
        <f t="shared" si="0"/>
        <v>1225.1660527522595</v>
      </c>
    </row>
    <row r="12" spans="23:141" ht="17.399999999999999">
      <c r="X12" s="8"/>
      <c r="Y12" s="9"/>
      <c r="Z12" s="9"/>
      <c r="AA12" s="1628"/>
      <c r="AB12" s="9"/>
      <c r="AD12" s="9"/>
      <c r="AE12" s="9"/>
      <c r="AF12" s="9"/>
      <c r="AG12" s="9"/>
      <c r="AH12" s="9"/>
      <c r="AI12" s="9"/>
      <c r="AJ12" s="9"/>
      <c r="AK12" s="9"/>
      <c r="AL12" s="9"/>
      <c r="AM12" s="1426"/>
      <c r="AN12" s="1426"/>
      <c r="AO12" s="9"/>
      <c r="AP12" s="1645"/>
      <c r="AQ12" s="1644" t="s">
        <v>1229</v>
      </c>
      <c r="AR12" s="830"/>
      <c r="AS12" s="830"/>
      <c r="AT12" s="830"/>
      <c r="AU12" s="830"/>
      <c r="AV12" s="830"/>
      <c r="AW12" s="830"/>
      <c r="AX12" s="831"/>
      <c r="CT12" s="1608">
        <v>1998</v>
      </c>
      <c r="CU12" s="2089">
        <v>686.8</v>
      </c>
      <c r="CV12" s="2089">
        <v>2629.6228999999998</v>
      </c>
      <c r="CW12" s="2089">
        <f t="shared" si="1"/>
        <v>686.8</v>
      </c>
      <c r="CX12" s="1619"/>
      <c r="CY12" s="784"/>
      <c r="CZ12" s="784"/>
      <c r="DA12" s="784"/>
      <c r="DB12" s="784"/>
      <c r="DC12" s="784"/>
      <c r="DD12" s="784"/>
      <c r="DE12" s="784"/>
      <c r="DF12" s="784"/>
      <c r="DG12" s="784"/>
      <c r="DH12" s="784"/>
      <c r="DI12" s="784"/>
      <c r="DJ12" s="784"/>
      <c r="DK12" s="784"/>
      <c r="DL12" s="2281">
        <v>1998</v>
      </c>
      <c r="DM12" s="2132">
        <v>1462.2840000000001</v>
      </c>
      <c r="DN12" s="2132"/>
      <c r="DO12" s="1495">
        <v>1776</v>
      </c>
      <c r="EE12" s="2281">
        <v>1998</v>
      </c>
      <c r="EF12" s="2119">
        <v>0.96459930000000005</v>
      </c>
      <c r="EG12" s="1201">
        <v>1776</v>
      </c>
      <c r="EH12" s="2119">
        <f>НАСТРОЙКА!DR139</f>
        <v>2.4930511200000005</v>
      </c>
      <c r="EI12" s="2136">
        <f t="shared" si="2"/>
        <v>1.8440000000000001</v>
      </c>
      <c r="EJ12" s="2119">
        <f t="shared" si="3"/>
        <v>0.71238009752483511</v>
      </c>
      <c r="EK12" s="1495">
        <f t="shared" si="0"/>
        <v>712.38009752483515</v>
      </c>
    </row>
    <row r="13" spans="23:141" ht="17.399999999999999">
      <c r="X13" s="8" t="s">
        <v>1441</v>
      </c>
      <c r="Y13" s="9"/>
      <c r="Z13" s="9"/>
      <c r="AA13" s="1628"/>
      <c r="AB13" s="9"/>
      <c r="AC13" s="9" t="s">
        <v>354</v>
      </c>
      <c r="AD13" s="9"/>
      <c r="AE13" s="9"/>
      <c r="AF13" s="9"/>
      <c r="AG13" s="9"/>
      <c r="AH13" s="9"/>
      <c r="AI13" s="9"/>
      <c r="AJ13" s="9"/>
      <c r="AK13" s="9"/>
      <c r="AL13" s="9"/>
      <c r="AM13" s="1426"/>
      <c r="AN13" s="1426"/>
      <c r="AO13" s="1756"/>
      <c r="AP13" s="1645"/>
      <c r="AQ13" s="1644" t="s">
        <v>776</v>
      </c>
      <c r="AR13" s="830"/>
      <c r="AS13" s="830"/>
      <c r="AT13" s="830"/>
      <c r="AU13" s="830"/>
      <c r="AV13" s="830"/>
      <c r="AW13" s="830"/>
      <c r="AX13" s="831"/>
      <c r="CT13" s="1608">
        <v>1999</v>
      </c>
      <c r="CU13" s="2089">
        <v>1213.5999999999999</v>
      </c>
      <c r="CV13" s="2089">
        <v>4823.2329</v>
      </c>
      <c r="CW13" s="2089">
        <f t="shared" si="1"/>
        <v>1213.5999999999999</v>
      </c>
      <c r="CX13" s="1619"/>
      <c r="CY13" s="784"/>
      <c r="CZ13" s="784"/>
      <c r="DA13" s="784"/>
      <c r="DB13" s="784"/>
      <c r="DC13" s="784"/>
      <c r="DD13" s="784"/>
      <c r="DE13" s="784"/>
      <c r="DF13" s="784"/>
      <c r="DG13" s="784"/>
      <c r="DH13" s="784"/>
      <c r="DI13" s="784"/>
      <c r="DJ13" s="784"/>
      <c r="DK13" s="784"/>
      <c r="DL13" s="2281">
        <v>1999</v>
      </c>
      <c r="DM13" s="2132">
        <v>2526.1678999999999</v>
      </c>
      <c r="DN13" s="2132"/>
      <c r="DO13" s="1495">
        <v>2908.1</v>
      </c>
      <c r="EE13" s="2281">
        <v>1999</v>
      </c>
      <c r="EF13" s="2119">
        <v>0.94144891679999998</v>
      </c>
      <c r="EG13" s="1201">
        <v>2908.1</v>
      </c>
      <c r="EH13" s="2119">
        <f>НАСТРОЙКА!DR140</f>
        <v>3.4030147788000007</v>
      </c>
      <c r="EI13" s="2136">
        <f t="shared" si="2"/>
        <v>1.365</v>
      </c>
      <c r="EJ13" s="2119">
        <f t="shared" si="3"/>
        <v>0.85456578623072521</v>
      </c>
      <c r="EK13" s="1495">
        <f t="shared" si="0"/>
        <v>854.56578623072517</v>
      </c>
    </row>
    <row r="14" spans="23:141" ht="16.5" customHeight="1">
      <c r="X14" s="8"/>
      <c r="Y14" s="9"/>
      <c r="Z14" s="9"/>
      <c r="AA14" s="1628"/>
      <c r="AB14" s="9"/>
      <c r="AC14" s="9" t="s">
        <v>355</v>
      </c>
      <c r="AD14" s="9"/>
      <c r="AE14" s="9"/>
      <c r="AF14" s="9"/>
      <c r="AG14" s="9" t="s">
        <v>356</v>
      </c>
      <c r="AH14" s="9"/>
      <c r="AI14" s="9"/>
      <c r="AJ14" s="9"/>
      <c r="AK14" s="9"/>
      <c r="AL14" s="9"/>
      <c r="AM14" s="1426"/>
      <c r="AN14" s="1426"/>
      <c r="AO14" s="9"/>
      <c r="AP14" s="1645"/>
      <c r="AQ14" s="1644" t="s">
        <v>774</v>
      </c>
      <c r="AR14" s="830"/>
      <c r="AS14" s="830"/>
      <c r="AT14" s="830"/>
      <c r="AU14" s="830"/>
      <c r="AV14" s="830"/>
      <c r="AW14" s="830"/>
      <c r="AX14" s="831"/>
      <c r="CT14" s="1608">
        <v>2000</v>
      </c>
      <c r="CU14" s="2089">
        <v>2097.6999999999998</v>
      </c>
      <c r="CV14" s="2089">
        <v>7305.6466</v>
      </c>
      <c r="CW14" s="2089">
        <f t="shared" si="1"/>
        <v>2097.6999999999998</v>
      </c>
      <c r="CX14" s="1619"/>
      <c r="CY14" s="784"/>
      <c r="CZ14" s="784"/>
      <c r="DA14" s="784"/>
      <c r="DB14" s="784"/>
      <c r="DC14" s="784"/>
      <c r="DD14" s="784"/>
      <c r="DE14" s="784"/>
      <c r="DF14" s="784"/>
      <c r="DG14" s="784"/>
      <c r="DH14" s="784"/>
      <c r="DI14" s="784"/>
      <c r="DJ14" s="784"/>
      <c r="DK14" s="784"/>
      <c r="DL14" s="2281">
        <v>2000</v>
      </c>
      <c r="DM14" s="2132">
        <v>3295.2372999999998</v>
      </c>
      <c r="DN14" s="2132"/>
      <c r="DO14" s="1495">
        <v>3983.9</v>
      </c>
      <c r="EE14" s="2281">
        <v>2000</v>
      </c>
      <c r="EF14" s="2119">
        <v>0.99699440289119989</v>
      </c>
      <c r="EG14" s="1201">
        <v>3983.9</v>
      </c>
      <c r="EH14" s="2119">
        <f>НАСТРОЙКА!DR141</f>
        <v>4.0904237641176007</v>
      </c>
      <c r="EI14" s="2136">
        <f t="shared" si="2"/>
        <v>1.202</v>
      </c>
      <c r="EJ14" s="2119">
        <f t="shared" si="3"/>
        <v>0.97395776812855961</v>
      </c>
      <c r="EK14" s="1495">
        <f t="shared" si="0"/>
        <v>973.95776812855956</v>
      </c>
    </row>
    <row r="15" spans="23:141" ht="17.399999999999999">
      <c r="X15" s="8"/>
      <c r="Y15" s="9"/>
      <c r="Z15" s="9"/>
      <c r="AA15" s="1628"/>
      <c r="AB15" s="9"/>
      <c r="AC15" s="9"/>
      <c r="AD15" s="9"/>
      <c r="AE15" s="9"/>
      <c r="AF15" s="9"/>
      <c r="AG15" s="9" t="s">
        <v>357</v>
      </c>
      <c r="AH15" s="9"/>
      <c r="AI15" s="9"/>
      <c r="AJ15" s="9"/>
      <c r="AK15" s="9"/>
      <c r="AL15" s="9"/>
      <c r="AM15" s="1426"/>
      <c r="AN15" s="1426"/>
      <c r="AO15" s="9"/>
      <c r="AP15" s="1645"/>
      <c r="AQ15" s="1644" t="s">
        <v>1230</v>
      </c>
      <c r="AR15" s="830"/>
      <c r="AS15" s="830"/>
      <c r="AT15" s="830"/>
      <c r="AU15" s="830"/>
      <c r="AV15" s="830"/>
      <c r="AW15" s="830"/>
      <c r="AX15" s="831"/>
      <c r="CT15" s="1608">
        <v>2001</v>
      </c>
      <c r="CU15" s="2089">
        <v>2683.7</v>
      </c>
      <c r="CV15" s="2089">
        <v>8943.5825999999997</v>
      </c>
      <c r="CW15" s="2089">
        <f t="shared" si="1"/>
        <v>2683.7</v>
      </c>
      <c r="CX15" s="1619"/>
      <c r="CY15" s="784"/>
      <c r="CZ15" s="784"/>
      <c r="DA15" s="784"/>
      <c r="DB15" s="784"/>
      <c r="DC15" s="784"/>
      <c r="DD15" s="784"/>
      <c r="DE15" s="784"/>
      <c r="DF15" s="784"/>
      <c r="DG15" s="784"/>
      <c r="DH15" s="784"/>
      <c r="DI15" s="784"/>
      <c r="DJ15" s="784"/>
      <c r="DK15" s="784"/>
      <c r="DL15" s="2281">
        <v>2001</v>
      </c>
      <c r="DM15" s="2132">
        <v>4318.1211000000003</v>
      </c>
      <c r="DN15" s="2132"/>
      <c r="DO15" s="1495">
        <v>5325.8</v>
      </c>
      <c r="EE15" s="2281">
        <v>2001</v>
      </c>
      <c r="EF15" s="2119">
        <v>1.0787479439282783</v>
      </c>
      <c r="EG15" s="1201">
        <v>5325.8</v>
      </c>
      <c r="EH15" s="2119">
        <f>НАСТРОЙКА!DR142</f>
        <v>4.8512425842434741</v>
      </c>
      <c r="EI15" s="2136">
        <f t="shared" si="2"/>
        <v>1.1859999999999999</v>
      </c>
      <c r="EJ15" s="2119">
        <f t="shared" si="3"/>
        <v>1.0978218276071905</v>
      </c>
      <c r="EK15" s="1495">
        <f t="shared" si="0"/>
        <v>1097.8218276071905</v>
      </c>
    </row>
    <row r="16" spans="23:141" ht="17.399999999999999">
      <c r="X16" s="8"/>
      <c r="Y16" s="9"/>
      <c r="Z16" s="9"/>
      <c r="AA16" s="1628"/>
      <c r="AB16" s="9"/>
      <c r="AC16" s="9"/>
      <c r="AD16" s="9"/>
      <c r="AE16" s="9"/>
      <c r="AF16" s="9"/>
      <c r="AG16" s="9" t="s">
        <v>1299</v>
      </c>
      <c r="AH16" s="9"/>
      <c r="AI16" s="9"/>
      <c r="AJ16" s="9"/>
      <c r="AK16" s="9"/>
      <c r="AL16" s="9"/>
      <c r="AM16" s="1426"/>
      <c r="AN16" s="1426"/>
      <c r="AO16" s="1633"/>
      <c r="AP16" s="1645"/>
      <c r="AQ16" s="1644" t="s">
        <v>1225</v>
      </c>
      <c r="AR16" s="830"/>
      <c r="AS16" s="830"/>
      <c r="AT16" s="830"/>
      <c r="AU16" s="830"/>
      <c r="AV16" s="830"/>
      <c r="AW16" s="830"/>
      <c r="AX16" s="831"/>
      <c r="CT16" s="1608">
        <v>2002</v>
      </c>
      <c r="CU16" s="2089">
        <v>3519.2</v>
      </c>
      <c r="CV16" s="2089">
        <v>10819.270899999998</v>
      </c>
      <c r="CW16" s="2089">
        <f t="shared" si="1"/>
        <v>3519.2</v>
      </c>
      <c r="CX16" s="1619"/>
      <c r="CY16" s="784"/>
      <c r="CZ16" s="784"/>
      <c r="DA16" s="784"/>
      <c r="DB16" s="784"/>
      <c r="DC16" s="784"/>
      <c r="DD16" s="784"/>
      <c r="DE16" s="784"/>
      <c r="DF16" s="784"/>
      <c r="DG16" s="784"/>
      <c r="DH16" s="784"/>
      <c r="DI16" s="784"/>
      <c r="DJ16" s="784"/>
      <c r="DK16" s="784"/>
      <c r="DL16" s="2281">
        <v>2002</v>
      </c>
      <c r="DM16" s="2132">
        <v>5409.1576999999997</v>
      </c>
      <c r="DN16" s="2132"/>
      <c r="DO16" s="1495">
        <v>6831</v>
      </c>
      <c r="EE16" s="2281">
        <v>2002</v>
      </c>
      <c r="EF16" s="2119">
        <v>1.1618115356107557</v>
      </c>
      <c r="EG16" s="1201">
        <v>6831</v>
      </c>
      <c r="EH16" s="2119">
        <f>НАСТРОЙКА!DR143</f>
        <v>5.5837802144642392</v>
      </c>
      <c r="EI16" s="2136">
        <f t="shared" si="2"/>
        <v>1.151</v>
      </c>
      <c r="EJ16" s="2119">
        <f t="shared" si="3"/>
        <v>1.2233647703942498</v>
      </c>
      <c r="EK16" s="1495">
        <f t="shared" si="0"/>
        <v>1223.3647703942499</v>
      </c>
    </row>
    <row r="17" spans="9:141" ht="17.399999999999999">
      <c r="X17" s="8" t="s">
        <v>801</v>
      </c>
      <c r="Y17" s="9"/>
      <c r="Z17" s="10"/>
      <c r="AA17" s="1628"/>
      <c r="AB17" s="9" t="s">
        <v>358</v>
      </c>
      <c r="AD17" s="9"/>
      <c r="AE17" s="9"/>
      <c r="AF17" s="9"/>
      <c r="AG17" s="22" t="s">
        <v>359</v>
      </c>
      <c r="AH17" s="1426"/>
      <c r="AI17" s="1426"/>
      <c r="AJ17" s="1426"/>
      <c r="AK17" s="9"/>
      <c r="AN17" s="1426"/>
      <c r="AO17" s="1633"/>
      <c r="AP17" s="1645"/>
      <c r="AQ17" s="1644" t="s">
        <v>1235</v>
      </c>
      <c r="AR17" s="830"/>
      <c r="AS17" s="830"/>
      <c r="AT17" s="830"/>
      <c r="AU17" s="830"/>
      <c r="AV17" s="830"/>
      <c r="AW17" s="830"/>
      <c r="AX17" s="831"/>
      <c r="CT17" s="1608">
        <v>2003</v>
      </c>
      <c r="CU17" s="2089">
        <v>4138.7</v>
      </c>
      <c r="CV17" s="2089">
        <v>13208.250299999998</v>
      </c>
      <c r="CW17" s="2089">
        <f t="shared" si="1"/>
        <v>4138.7</v>
      </c>
      <c r="CX17" s="1619"/>
      <c r="CY17" s="784"/>
      <c r="CZ17" s="784"/>
      <c r="DA17" s="784"/>
      <c r="DB17" s="784"/>
      <c r="DC17" s="784"/>
      <c r="DD17" s="784"/>
      <c r="DE17" s="784"/>
      <c r="DF17" s="784"/>
      <c r="DG17" s="784"/>
      <c r="DH17" s="784"/>
      <c r="DI17" s="784"/>
      <c r="DJ17" s="784"/>
      <c r="DK17" s="784"/>
      <c r="DL17" s="2281">
        <v>2003</v>
      </c>
      <c r="DM17" s="2132">
        <v>6537.4014999999999</v>
      </c>
      <c r="DN17" s="2132"/>
      <c r="DO17" s="1495">
        <v>8900.5</v>
      </c>
      <c r="EE17" s="2281">
        <v>2003</v>
      </c>
      <c r="EF17" s="2119">
        <v>1.2512710238527838</v>
      </c>
      <c r="EG17" s="1201">
        <v>8900.5</v>
      </c>
      <c r="EH17" s="2119">
        <f>НАСТРОЙКА!DR144</f>
        <v>6.2538338401999489</v>
      </c>
      <c r="EI17" s="2136">
        <f t="shared" si="2"/>
        <v>1.1200000000000001</v>
      </c>
      <c r="EJ17" s="2119">
        <f t="shared" si="3"/>
        <v>1.4232069842961212</v>
      </c>
      <c r="EK17" s="1495">
        <f t="shared" si="0"/>
        <v>1423.2069842961212</v>
      </c>
    </row>
    <row r="18" spans="9:141" ht="17.399999999999999">
      <c r="W18" s="751"/>
      <c r="X18" s="8"/>
      <c r="Y18" s="9"/>
      <c r="Z18" s="9"/>
      <c r="AA18" s="1628"/>
      <c r="AB18" s="9" t="s">
        <v>360</v>
      </c>
      <c r="AC18" s="9"/>
      <c r="AD18" s="9"/>
      <c r="AE18" s="9"/>
      <c r="AF18" s="9"/>
      <c r="AG18" s="9" t="s">
        <v>361</v>
      </c>
      <c r="AH18" s="9"/>
      <c r="AI18" s="9"/>
      <c r="AJ18" s="9"/>
      <c r="AK18" s="9"/>
      <c r="AL18" s="9"/>
      <c r="AM18" s="1426"/>
      <c r="AO18" s="9"/>
      <c r="AP18" s="1645"/>
      <c r="AQ18" s="830"/>
      <c r="AR18" s="830"/>
      <c r="AS18" s="830"/>
      <c r="AT18" s="830"/>
      <c r="AU18" s="830"/>
      <c r="AV18" s="830"/>
      <c r="AW18" s="830"/>
      <c r="AX18" s="831"/>
      <c r="CT18" s="1608">
        <v>2004</v>
      </c>
      <c r="CU18" s="2089">
        <v>5429.9</v>
      </c>
      <c r="CV18" s="2089">
        <v>17027.166999999998</v>
      </c>
      <c r="CW18" s="2089">
        <f t="shared" si="1"/>
        <v>5429.9</v>
      </c>
      <c r="CX18" s="1619"/>
      <c r="CY18" s="784"/>
      <c r="CZ18" s="784"/>
      <c r="DA18" s="784"/>
      <c r="DB18" s="784"/>
      <c r="DC18" s="784"/>
      <c r="DD18" s="784"/>
      <c r="DE18" s="784"/>
      <c r="DF18" s="784"/>
      <c r="DG18" s="784"/>
      <c r="DH18" s="784"/>
      <c r="DI18" s="784"/>
      <c r="DJ18" s="784"/>
      <c r="DK18" s="784"/>
      <c r="DL18" s="2281">
        <v>2004</v>
      </c>
      <c r="DM18" s="2132">
        <v>8438.4840999999997</v>
      </c>
      <c r="DN18" s="2132"/>
      <c r="DO18" s="1495">
        <v>10976.3</v>
      </c>
      <c r="EE18" s="2281">
        <v>2004</v>
      </c>
      <c r="EF18" s="2119">
        <v>1.4076799018343817</v>
      </c>
      <c r="EG18" s="1201">
        <v>10976.3</v>
      </c>
      <c r="EH18" s="2119">
        <f>НАСТРОЙКА!DR145</f>
        <v>6.9855323995033425</v>
      </c>
      <c r="EI18" s="2136">
        <f t="shared" si="2"/>
        <v>1.117</v>
      </c>
      <c r="EJ18" s="2119">
        <f t="shared" si="3"/>
        <v>1.5712904002535859</v>
      </c>
      <c r="EK18" s="1495">
        <f t="shared" si="0"/>
        <v>1571.2904002535859</v>
      </c>
    </row>
    <row r="19" spans="9:141" ht="18" thickBot="1">
      <c r="X19" s="1632"/>
      <c r="Y19" s="1633"/>
      <c r="Z19" s="1633"/>
      <c r="AA19" s="1628"/>
      <c r="AB19" s="9" t="s">
        <v>362</v>
      </c>
      <c r="AC19" s="9"/>
      <c r="AD19" s="9"/>
      <c r="AE19" s="9"/>
      <c r="AF19" s="9"/>
      <c r="AG19" s="9" t="s">
        <v>363</v>
      </c>
      <c r="AH19" s="9"/>
      <c r="AI19" s="9"/>
      <c r="AJ19" s="9"/>
      <c r="AK19" s="9"/>
      <c r="AL19" s="9"/>
      <c r="AM19" s="1426"/>
      <c r="AN19" s="1426"/>
      <c r="AO19" s="1633"/>
      <c r="AP19" s="1645"/>
      <c r="AQ19" s="1644" t="s">
        <v>1215</v>
      </c>
      <c r="AR19" s="830"/>
      <c r="AS19" s="830"/>
      <c r="AT19" s="830"/>
      <c r="AU19" s="830"/>
      <c r="AV19" s="830"/>
      <c r="AW19" s="830"/>
      <c r="AX19" s="831"/>
      <c r="CT19" s="1608">
        <v>2005</v>
      </c>
      <c r="CU19" s="2089">
        <v>8579.6</v>
      </c>
      <c r="CV19" s="2089">
        <v>21609.765799999997</v>
      </c>
      <c r="CW19" s="2089">
        <f t="shared" si="1"/>
        <v>8579.6</v>
      </c>
      <c r="CX19" s="1619"/>
      <c r="CY19" s="784"/>
      <c r="CZ19" s="784"/>
      <c r="DA19" s="784"/>
      <c r="DB19" s="784"/>
      <c r="DC19" s="784"/>
      <c r="DD19" s="784"/>
      <c r="DE19" s="784"/>
      <c r="DF19" s="784"/>
      <c r="DG19" s="784"/>
      <c r="DH19" s="784"/>
      <c r="DI19" s="784"/>
      <c r="DJ19" s="784"/>
      <c r="DK19" s="784"/>
      <c r="DL19" s="2281">
        <v>2005</v>
      </c>
      <c r="DM19" s="2132">
        <v>10652.8578</v>
      </c>
      <c r="DN19" s="2132"/>
      <c r="DO19" s="1495">
        <v>13819</v>
      </c>
      <c r="EE19" s="2281">
        <v>2005</v>
      </c>
      <c r="EF19" s="2119">
        <v>1.5794168498581764</v>
      </c>
      <c r="EG19" s="1201">
        <v>13819</v>
      </c>
      <c r="EH19" s="2119">
        <f>НАСТРОЙКА!DR146</f>
        <v>7.7469554310492068</v>
      </c>
      <c r="EI19" s="2136">
        <f t="shared" si="2"/>
        <v>1.109</v>
      </c>
      <c r="EJ19" s="2119">
        <f t="shared" si="3"/>
        <v>1.7837975347856658</v>
      </c>
      <c r="EK19" s="1495">
        <f t="shared" si="0"/>
        <v>1783.7975347856659</v>
      </c>
    </row>
    <row r="20" spans="9:141" ht="17.399999999999999">
      <c r="I20" s="1636" t="s">
        <v>686</v>
      </c>
      <c r="J20" s="1637"/>
      <c r="K20" s="1637"/>
      <c r="L20" s="1637"/>
      <c r="M20" s="1637"/>
      <c r="N20" s="1637"/>
      <c r="O20" s="1637"/>
      <c r="P20" s="1637"/>
      <c r="Q20" s="1637"/>
      <c r="R20" s="1637"/>
      <c r="S20" s="1637"/>
      <c r="T20" s="1637"/>
      <c r="U20" s="1637"/>
      <c r="V20" s="1638"/>
      <c r="X20" s="8" t="s">
        <v>802</v>
      </c>
      <c r="Y20" s="9"/>
      <c r="Z20" s="9"/>
      <c r="AA20" s="1628"/>
      <c r="AB20" s="9" t="s">
        <v>364</v>
      </c>
      <c r="AC20" s="1426"/>
      <c r="AD20" s="9"/>
      <c r="AE20" s="1426"/>
      <c r="AF20" s="1426"/>
      <c r="AG20" s="1426"/>
      <c r="AH20" s="1426"/>
      <c r="AI20" s="1426"/>
      <c r="AJ20" s="1426"/>
      <c r="AK20" s="1426"/>
      <c r="AL20" s="1426"/>
      <c r="AM20" s="1426"/>
      <c r="AN20" s="1426"/>
      <c r="AO20" s="1633"/>
      <c r="AP20" s="1645"/>
      <c r="AQ20" s="1644" t="s">
        <v>358</v>
      </c>
      <c r="AR20" s="830"/>
      <c r="AS20" s="1644"/>
      <c r="AT20" s="830"/>
      <c r="AU20" s="830"/>
      <c r="AV20" s="830"/>
      <c r="AW20" s="830"/>
      <c r="AX20" s="831"/>
      <c r="CT20" s="1608">
        <v>2006</v>
      </c>
      <c r="CU20" s="2089">
        <v>10625.8</v>
      </c>
      <c r="CV20" s="2089">
        <v>26917.203699999998</v>
      </c>
      <c r="CW20" s="2089">
        <f t="shared" si="1"/>
        <v>10625.8</v>
      </c>
      <c r="CX20" s="1619"/>
      <c r="CY20" s="784"/>
      <c r="CZ20" s="784"/>
      <c r="DA20" s="784"/>
      <c r="DB20" s="784"/>
      <c r="DC20" s="784"/>
      <c r="DD20" s="784"/>
      <c r="DE20" s="784"/>
      <c r="DF20" s="784"/>
      <c r="DG20" s="784"/>
      <c r="DH20" s="784"/>
      <c r="DI20" s="784"/>
      <c r="DJ20" s="784"/>
      <c r="DK20" s="784"/>
      <c r="DL20" s="2281">
        <v>2006</v>
      </c>
      <c r="DM20" s="2132">
        <v>12974.743399999999</v>
      </c>
      <c r="DN20" s="2132"/>
      <c r="DO20" s="1495">
        <v>17290.099999999999</v>
      </c>
      <c r="EE20" s="2281">
        <v>2006</v>
      </c>
      <c r="EF20" s="2119">
        <v>1.7721057055408742</v>
      </c>
      <c r="EG20" s="1201">
        <v>17290.099999999999</v>
      </c>
      <c r="EH20" s="2119">
        <f>НАСТРОЙКА!DR147</f>
        <v>8.4441814198436358</v>
      </c>
      <c r="EI20" s="2136">
        <f t="shared" si="2"/>
        <v>1.0900000000000001</v>
      </c>
      <c r="EJ20" s="2119">
        <f t="shared" si="3"/>
        <v>2.0475756192741965</v>
      </c>
      <c r="EK20" s="1495">
        <f t="shared" si="0"/>
        <v>2047.5756192741967</v>
      </c>
    </row>
    <row r="21" spans="9:141" ht="17.399999999999999">
      <c r="I21" s="15" t="s">
        <v>367</v>
      </c>
      <c r="J21" s="1639"/>
      <c r="K21" s="1640"/>
      <c r="L21" s="1640"/>
      <c r="M21" s="1640"/>
      <c r="N21" s="1640"/>
      <c r="O21" s="1640"/>
      <c r="P21" s="1640"/>
      <c r="Q21" s="129" t="s">
        <v>368</v>
      </c>
      <c r="R21" s="2174">
        <v>43899</v>
      </c>
      <c r="S21" s="1641" t="s">
        <v>1367</v>
      </c>
      <c r="T21" s="1641"/>
      <c r="U21" s="1641"/>
      <c r="V21" s="154"/>
      <c r="X21" s="8" t="s">
        <v>803</v>
      </c>
      <c r="Y21" s="9"/>
      <c r="Z21" s="9"/>
      <c r="AA21" s="1628"/>
      <c r="AB21" s="9" t="s">
        <v>365</v>
      </c>
      <c r="AC21" s="9"/>
      <c r="AD21" s="9"/>
      <c r="AE21" s="9"/>
      <c r="AF21" s="9"/>
      <c r="AG21" s="9" t="s">
        <v>366</v>
      </c>
      <c r="AH21" s="9"/>
      <c r="AI21" s="9"/>
      <c r="AJ21" s="9"/>
      <c r="AK21" s="9"/>
      <c r="AL21" s="1633"/>
      <c r="AM21" s="1633"/>
      <c r="AN21" s="1633"/>
      <c r="AO21" s="9"/>
      <c r="AP21" s="1645"/>
      <c r="AQ21" s="1644" t="s">
        <v>1216</v>
      </c>
      <c r="AR21" s="1644"/>
      <c r="AS21" s="830"/>
      <c r="AT21" s="830"/>
      <c r="AU21" s="830"/>
      <c r="AV21" s="830"/>
      <c r="AW21" s="830"/>
      <c r="AX21" s="831"/>
      <c r="CT21" s="1608">
        <v>2007</v>
      </c>
      <c r="CU21" s="2089">
        <v>13368.262000000001</v>
      </c>
      <c r="CV21" s="2089">
        <v>33247.513200000001</v>
      </c>
      <c r="CW21" s="2089">
        <f t="shared" si="1"/>
        <v>13368.262000000001</v>
      </c>
      <c r="CX21" s="1619"/>
      <c r="CY21" s="784"/>
      <c r="CZ21" s="784"/>
      <c r="DA21" s="784"/>
      <c r="DB21" s="784"/>
      <c r="DC21" s="784"/>
      <c r="DD21" s="784"/>
      <c r="DE21" s="784"/>
      <c r="DF21" s="784"/>
      <c r="DG21" s="784"/>
      <c r="DH21" s="784"/>
      <c r="DI21" s="784"/>
      <c r="DJ21" s="784"/>
      <c r="DK21" s="784"/>
      <c r="DL21" s="2281">
        <v>2007</v>
      </c>
      <c r="DM21" s="2132">
        <v>16031.739799999999</v>
      </c>
      <c r="DN21" s="2132">
        <f t="shared" ref="DN21:DN32" si="4">DM21</f>
        <v>16031.739799999999</v>
      </c>
      <c r="DO21" s="1495">
        <v>21311.5</v>
      </c>
      <c r="EE21" s="2281">
        <v>2007</v>
      </c>
      <c r="EF21" s="2119">
        <v>2.0255168214332193</v>
      </c>
      <c r="EG21" s="1201">
        <v>21311.5</v>
      </c>
      <c r="EH21" s="2119">
        <f>НАСТРОЙКА!DR148</f>
        <v>9.4465057543790749</v>
      </c>
      <c r="EI21" s="2136">
        <f t="shared" si="2"/>
        <v>1.1187</v>
      </c>
      <c r="EJ21" s="2119">
        <f t="shared" si="3"/>
        <v>2.2560193741607284</v>
      </c>
      <c r="EK21" s="1495">
        <f t="shared" si="0"/>
        <v>2256.0193741607286</v>
      </c>
    </row>
    <row r="22" spans="9:141" ht="17.399999999999999">
      <c r="I22" s="1148" t="s">
        <v>369</v>
      </c>
      <c r="J22" s="9" t="s">
        <v>370</v>
      </c>
      <c r="K22" s="9"/>
      <c r="L22" s="9"/>
      <c r="M22" s="9"/>
      <c r="N22" s="9"/>
      <c r="O22" s="9"/>
      <c r="P22" s="9"/>
      <c r="Q22" s="9"/>
      <c r="R22" s="9"/>
      <c r="S22" s="5"/>
      <c r="T22" s="5"/>
      <c r="U22" s="5"/>
      <c r="V22" s="7"/>
      <c r="X22" s="8" t="s">
        <v>804</v>
      </c>
      <c r="Y22" s="9"/>
      <c r="Z22" s="9"/>
      <c r="AA22" s="1628"/>
      <c r="AB22" s="718" t="s">
        <v>1565</v>
      </c>
      <c r="AC22" s="1427"/>
      <c r="AD22" s="1427"/>
      <c r="AE22" s="1427"/>
      <c r="AF22" s="1427"/>
      <c r="AG22" s="1427" t="s">
        <v>1566</v>
      </c>
      <c r="AH22" s="1427"/>
      <c r="AI22" s="1427"/>
      <c r="AJ22" s="1427"/>
      <c r="AK22" s="1427"/>
      <c r="AL22" s="1634" t="s">
        <v>1564</v>
      </c>
      <c r="AM22" s="1635"/>
      <c r="AN22" s="1426"/>
      <c r="AO22" s="9"/>
      <c r="AP22" s="1645"/>
      <c r="AQ22" s="1644" t="s">
        <v>1614</v>
      </c>
      <c r="AR22" s="1644"/>
      <c r="AS22" s="830"/>
      <c r="AT22" s="830"/>
      <c r="AU22" s="830"/>
      <c r="AV22" s="830"/>
      <c r="AW22" s="830"/>
      <c r="AX22" s="831"/>
      <c r="CT22" s="1608">
        <v>2008</v>
      </c>
      <c r="CU22" s="2089">
        <v>16003.86</v>
      </c>
      <c r="CV22" s="2089">
        <v>41276.849199999997</v>
      </c>
      <c r="CW22" s="2089">
        <f t="shared" si="1"/>
        <v>16003.86</v>
      </c>
      <c r="CX22" s="1619"/>
      <c r="CY22" s="784"/>
      <c r="CZ22" s="784"/>
      <c r="DA22" s="784"/>
      <c r="DB22" s="784"/>
      <c r="DC22" s="784"/>
      <c r="DD22" s="784"/>
      <c r="DE22" s="784"/>
      <c r="DF22" s="784"/>
      <c r="DG22" s="784"/>
      <c r="DH22" s="784"/>
      <c r="DI22" s="784"/>
      <c r="DJ22" s="784"/>
      <c r="DK22" s="784"/>
      <c r="DL22" s="2281">
        <v>2008</v>
      </c>
      <c r="DM22" s="2132">
        <v>19966.954699999998</v>
      </c>
      <c r="DN22" s="2132">
        <f t="shared" si="4"/>
        <v>19966.954699999998</v>
      </c>
      <c r="DO22" s="1495">
        <v>25244</v>
      </c>
      <c r="EE22" s="2281">
        <v>2008</v>
      </c>
      <c r="EF22" s="2119">
        <v>2.2402216045051406</v>
      </c>
      <c r="EG22" s="1201">
        <v>25244</v>
      </c>
      <c r="EH22" s="2119">
        <f>НАСТРОЙКА!DR149</f>
        <v>10.701001718560617</v>
      </c>
      <c r="EI22" s="2136">
        <f t="shared" si="2"/>
        <v>1.1328</v>
      </c>
      <c r="EJ22" s="2119">
        <f t="shared" si="3"/>
        <v>2.3590314873246792</v>
      </c>
      <c r="EK22" s="1495">
        <f t="shared" si="0"/>
        <v>2359.0314873246793</v>
      </c>
    </row>
    <row r="23" spans="9:141" ht="17.399999999999999">
      <c r="I23" s="1148" t="s">
        <v>372</v>
      </c>
      <c r="J23" s="9" t="s">
        <v>373</v>
      </c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10"/>
      <c r="AA23" s="751"/>
      <c r="AB23" s="1426"/>
      <c r="AC23" s="1426"/>
      <c r="AD23" s="1426"/>
      <c r="AE23" s="1426"/>
      <c r="AF23" s="1426"/>
      <c r="AG23" s="9" t="s">
        <v>17</v>
      </c>
      <c r="AH23" s="273" t="s">
        <v>1567</v>
      </c>
      <c r="AI23" s="273"/>
      <c r="AJ23" s="273"/>
      <c r="AK23" s="273"/>
      <c r="AL23" s="9"/>
      <c r="AM23" s="1426"/>
      <c r="AN23" s="1426"/>
      <c r="AO23" s="9"/>
      <c r="AP23" s="1645"/>
      <c r="AQ23" s="1068" t="s">
        <v>1613</v>
      </c>
      <c r="AR23" s="1068"/>
      <c r="AS23" s="830"/>
      <c r="AT23" s="830"/>
      <c r="AU23" s="830"/>
      <c r="AV23" s="830"/>
      <c r="AW23" s="830"/>
      <c r="AX23" s="831"/>
      <c r="CT23" s="1608">
        <v>2009</v>
      </c>
      <c r="CU23" s="2089">
        <v>13599.7</v>
      </c>
      <c r="CV23" s="2089">
        <v>38807.270899999996</v>
      </c>
      <c r="CW23" s="2089">
        <f t="shared" si="1"/>
        <v>13599.7</v>
      </c>
      <c r="CX23" s="1619"/>
      <c r="CY23" s="784"/>
      <c r="CZ23" s="784"/>
      <c r="DA23" s="784"/>
      <c r="DB23" s="784"/>
      <c r="DC23" s="784"/>
      <c r="DD23" s="784"/>
      <c r="DE23" s="784"/>
      <c r="DF23" s="784"/>
      <c r="DG23" s="784"/>
      <c r="DH23" s="784"/>
      <c r="DI23" s="784"/>
      <c r="DJ23" s="784"/>
      <c r="DK23" s="784"/>
      <c r="DL23" s="2281">
        <v>2009</v>
      </c>
      <c r="DM23" s="2132">
        <v>20986.036</v>
      </c>
      <c r="DN23" s="2132">
        <f t="shared" si="4"/>
        <v>20986.036</v>
      </c>
      <c r="DO23" s="1495">
        <v>28697.5</v>
      </c>
      <c r="EE23" s="2281">
        <v>2009</v>
      </c>
      <c r="EF23" s="2119">
        <v>2.1259703026753782</v>
      </c>
      <c r="EG23" s="1201">
        <v>28697.5</v>
      </c>
      <c r="EH23" s="2119">
        <f>НАСТРОЙКА!DR150</f>
        <v>11.642689869793951</v>
      </c>
      <c r="EI23" s="2136">
        <f t="shared" si="2"/>
        <v>1.0880000000000001</v>
      </c>
      <c r="EJ23" s="2119">
        <f t="shared" si="3"/>
        <v>2.4648513634682838</v>
      </c>
      <c r="EK23" s="1495">
        <f t="shared" si="0"/>
        <v>2464.851363468284</v>
      </c>
    </row>
    <row r="24" spans="9:141" ht="17.399999999999999">
      <c r="I24" s="1148" t="s">
        <v>374</v>
      </c>
      <c r="J24" s="9" t="s">
        <v>375</v>
      </c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10"/>
      <c r="X24" s="8" t="s">
        <v>805</v>
      </c>
      <c r="Y24" s="9"/>
      <c r="Z24" s="9"/>
      <c r="AA24" s="1628"/>
      <c r="AB24" s="9" t="s">
        <v>371</v>
      </c>
      <c r="AC24" s="9"/>
      <c r="AD24" s="9"/>
      <c r="AE24" s="1426"/>
      <c r="AF24" s="1426"/>
      <c r="AG24" s="22" t="s">
        <v>1417</v>
      </c>
      <c r="AH24" s="1426"/>
      <c r="AI24" s="1426"/>
      <c r="AJ24" s="1426"/>
      <c r="AK24" s="1426"/>
      <c r="AL24" s="1426"/>
      <c r="AM24" s="1426"/>
      <c r="AN24" s="1426"/>
      <c r="AO24" s="1633"/>
      <c r="AP24" s="1645"/>
      <c r="AQ24" s="830"/>
      <c r="AR24" s="830"/>
      <c r="AS24" s="830"/>
      <c r="AT24" s="830"/>
      <c r="AU24" s="830"/>
      <c r="AV24" s="830"/>
      <c r="AW24" s="830"/>
      <c r="AX24" s="831"/>
      <c r="CT24" s="1608">
        <v>2010</v>
      </c>
      <c r="CU24" s="2089">
        <v>16031.9</v>
      </c>
      <c r="CV24" s="2089">
        <v>46308.53100000001</v>
      </c>
      <c r="CW24" s="2089">
        <f t="shared" si="1"/>
        <v>16031.9</v>
      </c>
      <c r="CX24" s="1619"/>
      <c r="CY24" s="784"/>
      <c r="CZ24" s="784"/>
      <c r="DA24" s="784"/>
      <c r="DB24" s="784"/>
      <c r="DC24" s="784"/>
      <c r="DD24" s="784"/>
      <c r="DE24" s="784"/>
      <c r="DF24" s="784"/>
      <c r="DG24" s="784"/>
      <c r="DH24" s="784"/>
      <c r="DI24" s="784"/>
      <c r="DJ24" s="784"/>
      <c r="DK24" s="784"/>
      <c r="DL24" s="2281">
        <v>2010</v>
      </c>
      <c r="DM24" s="2132">
        <v>23617.623</v>
      </c>
      <c r="DN24" s="2132">
        <f t="shared" si="4"/>
        <v>23617.623</v>
      </c>
      <c r="DO24" s="1495">
        <v>32498.3</v>
      </c>
      <c r="EE24" s="2281">
        <v>2010</v>
      </c>
      <c r="EF24" s="2119">
        <v>2.2428986693225239</v>
      </c>
      <c r="EG24" s="1201">
        <v>32498.3</v>
      </c>
      <c r="EH24" s="2119">
        <f>НАСТРОЙКА!DR151</f>
        <v>12.664918040361862</v>
      </c>
      <c r="EI24" s="2136">
        <f t="shared" si="2"/>
        <v>1.0878000000000001</v>
      </c>
      <c r="EJ24" s="2119">
        <f t="shared" si="3"/>
        <v>2.5660094993454421</v>
      </c>
      <c r="EK24" s="1495">
        <f t="shared" si="0"/>
        <v>2566.0094993454422</v>
      </c>
    </row>
    <row r="25" spans="9:141" ht="17.399999999999999">
      <c r="I25" s="1148" t="s">
        <v>378</v>
      </c>
      <c r="J25" s="9" t="s">
        <v>379</v>
      </c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10"/>
      <c r="X25" s="8" t="s">
        <v>1418</v>
      </c>
      <c r="Y25" s="1633"/>
      <c r="Z25" s="1633"/>
      <c r="AA25" s="1628"/>
      <c r="AB25" s="22" t="s">
        <v>1416</v>
      </c>
      <c r="AC25" s="22"/>
      <c r="AD25" s="1426"/>
      <c r="AE25" s="1426"/>
      <c r="AF25" s="1426"/>
      <c r="AG25" s="1426"/>
      <c r="AH25" s="1426"/>
      <c r="AI25" s="1426"/>
      <c r="AJ25" s="1426"/>
      <c r="AK25" s="1426"/>
      <c r="AL25" s="1426"/>
      <c r="AM25" s="1426"/>
      <c r="AN25" s="1426"/>
      <c r="AO25" s="1633"/>
      <c r="AP25" s="1645"/>
      <c r="AQ25" s="830"/>
      <c r="AR25" s="830"/>
      <c r="AS25" s="830"/>
      <c r="AT25" s="830"/>
      <c r="AU25" s="830"/>
      <c r="AV25" s="830"/>
      <c r="AW25" s="830"/>
      <c r="AX25" s="831"/>
      <c r="CT25" s="1608">
        <v>2011</v>
      </c>
      <c r="CU25" s="2089">
        <v>20855</v>
      </c>
      <c r="CV25" s="2089">
        <v>60282.540400000005</v>
      </c>
      <c r="CW25" s="2089">
        <f t="shared" si="1"/>
        <v>20855</v>
      </c>
      <c r="CX25" s="1619"/>
      <c r="CY25" s="784"/>
      <c r="CZ25" s="784"/>
      <c r="DA25" s="784"/>
      <c r="DB25" s="784"/>
      <c r="DC25" s="784"/>
      <c r="DD25" s="784"/>
      <c r="DE25" s="784"/>
      <c r="DF25" s="784"/>
      <c r="DG25" s="784"/>
      <c r="DH25" s="784"/>
      <c r="DI25" s="784"/>
      <c r="DJ25" s="784"/>
      <c r="DK25" s="784"/>
      <c r="DL25" s="2281">
        <v>2011</v>
      </c>
      <c r="DM25" s="2132">
        <v>29939.463500000002</v>
      </c>
      <c r="DN25" s="2132">
        <f t="shared" si="4"/>
        <v>29939.463500000002</v>
      </c>
      <c r="DO25" s="1495">
        <v>35648.699999999997</v>
      </c>
      <c r="EE25" s="2281">
        <v>2011</v>
      </c>
      <c r="EF25" s="2119">
        <v>2.3954157788364556</v>
      </c>
      <c r="EG25" s="1201">
        <v>35648.699999999997</v>
      </c>
      <c r="EH25" s="2119">
        <f>НАСТРОЙКА!DR152</f>
        <v>13.437478040823935</v>
      </c>
      <c r="EI25" s="2136">
        <f t="shared" si="2"/>
        <v>1.0609999999999999</v>
      </c>
      <c r="EJ25" s="2119">
        <f t="shared" si="3"/>
        <v>2.6529308469712043</v>
      </c>
      <c r="EK25" s="1495">
        <f t="shared" si="0"/>
        <v>2652.9308469712041</v>
      </c>
    </row>
    <row r="26" spans="9:141" ht="17.399999999999999">
      <c r="I26" s="1148" t="s">
        <v>380</v>
      </c>
      <c r="J26" s="9" t="s">
        <v>381</v>
      </c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10"/>
      <c r="X26" s="8" t="s">
        <v>376</v>
      </c>
      <c r="Y26" s="9"/>
      <c r="Z26" s="9"/>
      <c r="AA26" s="1628"/>
      <c r="AB26" s="9" t="s">
        <v>377</v>
      </c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1426"/>
      <c r="AN26" s="1426"/>
      <c r="AO26" s="1633"/>
      <c r="AP26" s="1645"/>
      <c r="AQ26" s="1644" t="s">
        <v>1572</v>
      </c>
      <c r="AR26" s="830"/>
      <c r="AS26" s="830"/>
      <c r="AT26" s="830"/>
      <c r="AU26" s="830"/>
      <c r="AV26" s="830"/>
      <c r="AW26" s="830"/>
      <c r="AX26" s="831"/>
      <c r="CT26" s="1608">
        <v>2012</v>
      </c>
      <c r="CU26" s="2089">
        <v>23435</v>
      </c>
      <c r="CV26" s="2089">
        <v>68163.883100000006</v>
      </c>
      <c r="CW26" s="2089">
        <f t="shared" si="1"/>
        <v>23435</v>
      </c>
      <c r="CX26" s="1619"/>
      <c r="CY26" s="784"/>
      <c r="CZ26" s="784"/>
      <c r="DA26" s="784"/>
      <c r="DB26" s="784"/>
      <c r="DC26" s="784"/>
      <c r="DD26" s="784"/>
      <c r="DE26" s="784"/>
      <c r="DF26" s="784"/>
      <c r="DG26" s="784"/>
      <c r="DH26" s="784"/>
      <c r="DI26" s="784"/>
      <c r="DJ26" s="784"/>
      <c r="DK26" s="784"/>
      <c r="DL26" s="2281">
        <v>2012</v>
      </c>
      <c r="DM26" s="2132">
        <v>34492.361700000001</v>
      </c>
      <c r="DN26" s="2132">
        <f t="shared" si="4"/>
        <v>34492.361700000001</v>
      </c>
      <c r="DO26" s="1495">
        <v>39904</v>
      </c>
      <c r="EE26" s="2281">
        <v>2012</v>
      </c>
      <c r="EF26" s="2119">
        <v>2.5846536253645356</v>
      </c>
      <c r="EG26" s="1201">
        <v>39904</v>
      </c>
      <c r="EH26" s="2119">
        <f>НАСТРОЙКА!DR153</f>
        <v>14.321664095910151</v>
      </c>
      <c r="EI26" s="2136">
        <f t="shared" si="2"/>
        <v>1.0658000000000001</v>
      </c>
      <c r="EJ26" s="2119">
        <f t="shared" si="3"/>
        <v>2.7862683926091671</v>
      </c>
      <c r="EK26" s="1495">
        <f t="shared" si="0"/>
        <v>2786.2683926091672</v>
      </c>
    </row>
    <row r="27" spans="9:141" ht="16.5" customHeight="1">
      <c r="I27" s="1148" t="s">
        <v>383</v>
      </c>
      <c r="J27" s="9" t="s">
        <v>384</v>
      </c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10"/>
      <c r="X27" s="8" t="s">
        <v>11</v>
      </c>
      <c r="Y27" s="9"/>
      <c r="Z27" s="9"/>
      <c r="AA27" s="1628"/>
      <c r="AB27" s="22" t="s">
        <v>1411</v>
      </c>
      <c r="AC27" s="22"/>
      <c r="AD27" s="22"/>
      <c r="AE27" s="9"/>
      <c r="AF27" s="9"/>
      <c r="AG27" s="9" t="s">
        <v>13</v>
      </c>
      <c r="AH27" s="9"/>
      <c r="AI27" s="9"/>
      <c r="AJ27" s="9"/>
      <c r="AK27" s="9"/>
      <c r="AL27" s="9"/>
      <c r="AM27" s="22"/>
      <c r="AN27" s="22"/>
      <c r="AO27" s="9"/>
      <c r="AP27" s="1645"/>
      <c r="AQ27" s="1644" t="s">
        <v>1573</v>
      </c>
      <c r="AR27" s="1644"/>
      <c r="AS27" s="1644"/>
      <c r="AT27" s="830"/>
      <c r="AU27" s="830"/>
      <c r="AV27" s="830"/>
      <c r="AW27" s="830"/>
      <c r="AX27" s="831"/>
      <c r="CT27" s="1608">
        <v>2013</v>
      </c>
      <c r="CU27" s="2089">
        <v>24442</v>
      </c>
      <c r="CV27" s="2089">
        <v>73133.89509999998</v>
      </c>
      <c r="CW27" s="2089">
        <f t="shared" si="1"/>
        <v>24442</v>
      </c>
      <c r="CX27" s="1619"/>
      <c r="CY27" s="784"/>
      <c r="CZ27" s="784"/>
      <c r="DA27" s="784"/>
      <c r="DB27" s="784"/>
      <c r="DC27" s="784"/>
      <c r="DD27" s="784"/>
      <c r="DE27" s="784"/>
      <c r="DF27" s="784"/>
      <c r="DG27" s="784"/>
      <c r="DH27" s="784"/>
      <c r="DI27" s="784"/>
      <c r="DJ27" s="784"/>
      <c r="DK27" s="784"/>
      <c r="DL27" s="2281">
        <v>2013</v>
      </c>
      <c r="DM27" s="2132">
        <v>38465.140799999994</v>
      </c>
      <c r="DN27" s="2132">
        <f t="shared" si="4"/>
        <v>38465.140799999994</v>
      </c>
      <c r="DO27" s="1495">
        <v>44650</v>
      </c>
      <c r="EE27" s="2281">
        <v>2013</v>
      </c>
      <c r="EF27" s="2119">
        <v>2.7190556138834916</v>
      </c>
      <c r="EG27" s="1201">
        <v>44650</v>
      </c>
      <c r="EH27" s="2119">
        <f>НАСТРОЙКА!DR154</f>
        <v>15.245411430096356</v>
      </c>
      <c r="EI27" s="2136">
        <f t="shared" si="2"/>
        <v>1.0645</v>
      </c>
      <c r="EJ27" s="2119">
        <f t="shared" si="3"/>
        <v>2.9287500835730347</v>
      </c>
      <c r="EK27" s="1495">
        <f t="shared" si="0"/>
        <v>2928.7500835730348</v>
      </c>
    </row>
    <row r="28" spans="9:141" ht="17.399999999999999">
      <c r="I28" s="1148" t="s">
        <v>387</v>
      </c>
      <c r="J28" s="9" t="s">
        <v>388</v>
      </c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10"/>
      <c r="X28" s="8" t="s">
        <v>12</v>
      </c>
      <c r="Y28" s="9"/>
      <c r="Z28" s="9"/>
      <c r="AA28" s="1628"/>
      <c r="AB28" s="22" t="s">
        <v>1412</v>
      </c>
      <c r="AC28" s="22"/>
      <c r="AD28" s="22"/>
      <c r="AE28" s="1426"/>
      <c r="AF28" s="1426"/>
      <c r="AG28" s="1426"/>
      <c r="AH28" s="1426"/>
      <c r="AI28" s="1426"/>
      <c r="AJ28" s="1426"/>
      <c r="AK28" s="1426"/>
      <c r="AL28" s="1426"/>
      <c r="AM28" s="1426"/>
      <c r="AN28" s="22"/>
      <c r="AO28" s="1633"/>
      <c r="AP28" s="1645"/>
      <c r="AQ28" s="1644" t="s">
        <v>1239</v>
      </c>
      <c r="AR28" s="1644"/>
      <c r="AS28" s="1644"/>
      <c r="AT28" s="1644"/>
      <c r="AU28" s="1644"/>
      <c r="AV28" s="1644"/>
      <c r="AW28" s="830"/>
      <c r="AX28" s="831"/>
      <c r="CT28" s="1608">
        <v>2014</v>
      </c>
      <c r="CU28" s="2089">
        <v>26766</v>
      </c>
      <c r="CV28" s="2089">
        <v>79058</v>
      </c>
      <c r="CW28" s="2089">
        <f t="shared" si="1"/>
        <v>26766</v>
      </c>
      <c r="CX28" s="1619"/>
      <c r="CY28" s="784"/>
      <c r="CZ28" s="784"/>
      <c r="DA28" s="784"/>
      <c r="DB28" s="784"/>
      <c r="DC28" s="784"/>
      <c r="DD28" s="784"/>
      <c r="DE28" s="784"/>
      <c r="DF28" s="784"/>
      <c r="DG28" s="784"/>
      <c r="DH28" s="784"/>
      <c r="DI28" s="784"/>
      <c r="DJ28" s="784"/>
      <c r="DK28" s="784"/>
      <c r="DL28" s="2281">
        <v>2014</v>
      </c>
      <c r="DM28" s="2132">
        <v>41954.83</v>
      </c>
      <c r="DN28" s="2132">
        <f t="shared" si="4"/>
        <v>41954.83</v>
      </c>
      <c r="DO28" s="1495">
        <v>47921</v>
      </c>
      <c r="EE28" s="2281">
        <v>2014</v>
      </c>
      <c r="EF28" s="2119">
        <v>2.7734367261611617</v>
      </c>
      <c r="EG28" s="1201">
        <v>47921</v>
      </c>
      <c r="EH28" s="2119">
        <f>НАСТРОЙКА!DR155</f>
        <v>17.318787384589459</v>
      </c>
      <c r="EI28" s="2136">
        <f t="shared" si="2"/>
        <v>1.1359999999999999</v>
      </c>
      <c r="EJ28" s="2119">
        <f t="shared" si="3"/>
        <v>2.766995109752366</v>
      </c>
      <c r="EK28" s="1495">
        <f t="shared" si="0"/>
        <v>2766.9951097523658</v>
      </c>
    </row>
    <row r="29" spans="9:141" ht="17.399999999999999">
      <c r="I29" s="1148" t="s">
        <v>83</v>
      </c>
      <c r="J29" s="9" t="s">
        <v>130</v>
      </c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10"/>
      <c r="X29" s="8" t="s">
        <v>14</v>
      </c>
      <c r="Y29" s="9"/>
      <c r="Z29" s="9"/>
      <c r="AA29" s="1628"/>
      <c r="AB29" s="22" t="s">
        <v>16</v>
      </c>
      <c r="AC29" s="1426"/>
      <c r="AD29" s="1426"/>
      <c r="AE29" s="1426"/>
      <c r="AF29" s="1426"/>
      <c r="AG29" s="1426"/>
      <c r="AH29" s="1426"/>
      <c r="AI29" s="1426"/>
      <c r="AJ29" s="1426"/>
      <c r="AK29" s="1426"/>
      <c r="AL29" s="1426"/>
      <c r="AM29" s="1426"/>
      <c r="AN29" s="1426"/>
      <c r="AO29" s="9"/>
      <c r="AP29" s="1645"/>
      <c r="AQ29" s="1644" t="s">
        <v>1227</v>
      </c>
      <c r="AR29" s="830"/>
      <c r="AS29" s="830"/>
      <c r="AT29" s="830"/>
      <c r="AU29" s="830"/>
      <c r="AV29" s="830"/>
      <c r="AW29" s="830"/>
      <c r="AX29" s="831"/>
      <c r="CT29" s="1608">
        <v>2015</v>
      </c>
      <c r="CU29" s="2089">
        <v>26922</v>
      </c>
      <c r="CV29" s="2089">
        <v>83094</v>
      </c>
      <c r="CW29" s="2089">
        <f t="shared" si="1"/>
        <v>26922</v>
      </c>
      <c r="CX29" s="1619"/>
      <c r="CY29" s="784"/>
      <c r="CZ29" s="784"/>
      <c r="DA29" s="784"/>
      <c r="DB29" s="784"/>
      <c r="DC29" s="784"/>
      <c r="DD29" s="784"/>
      <c r="DE29" s="784"/>
      <c r="DF29" s="784"/>
      <c r="DG29" s="784"/>
      <c r="DH29" s="784"/>
      <c r="DI29" s="784"/>
      <c r="DJ29" s="784"/>
      <c r="DK29" s="784"/>
      <c r="DL29" s="2281">
        <v>2015</v>
      </c>
      <c r="DM29" s="2132">
        <v>43242.32</v>
      </c>
      <c r="DN29" s="2132">
        <f t="shared" si="4"/>
        <v>43242.32</v>
      </c>
      <c r="DO29" s="1495">
        <v>53526</v>
      </c>
      <c r="EE29" s="2281">
        <v>2015</v>
      </c>
      <c r="EF29" s="2119">
        <v>2.5127336739020127</v>
      </c>
      <c r="EG29" s="1201">
        <v>53526</v>
      </c>
      <c r="EH29" s="2119">
        <f>НАСТРОЙКА!DR156</f>
        <v>19.552910957201501</v>
      </c>
      <c r="EI29" s="2136">
        <f t="shared" si="2"/>
        <v>1.129</v>
      </c>
      <c r="EJ29" s="2119">
        <f t="shared" si="3"/>
        <v>2.7374952055558728</v>
      </c>
      <c r="EK29" s="1495">
        <f t="shared" si="0"/>
        <v>2737.4952055558729</v>
      </c>
    </row>
    <row r="30" spans="9:141" ht="17.399999999999999">
      <c r="I30" s="1148" t="s">
        <v>292</v>
      </c>
      <c r="J30" s="9" t="s">
        <v>293</v>
      </c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10"/>
      <c r="X30" s="8" t="s">
        <v>382</v>
      </c>
      <c r="Y30" s="9"/>
      <c r="Z30" s="9"/>
      <c r="AA30" s="1628"/>
      <c r="AB30" s="22" t="s">
        <v>1419</v>
      </c>
      <c r="AC30" s="22"/>
      <c r="AD30" s="22"/>
      <c r="AE30" s="22"/>
      <c r="AF30" s="22"/>
      <c r="AG30" s="22"/>
      <c r="AH30" s="22"/>
      <c r="AI30" s="22"/>
      <c r="AJ30" s="22"/>
      <c r="AK30" s="22"/>
      <c r="AL30" s="22"/>
      <c r="AM30" s="22"/>
      <c r="AN30" s="1426"/>
      <c r="AO30" s="9"/>
      <c r="AP30" s="1645"/>
      <c r="AQ30" s="1644" t="s">
        <v>1231</v>
      </c>
      <c r="AR30" s="830"/>
      <c r="AS30" s="830"/>
      <c r="AT30" s="830"/>
      <c r="AU30" s="830"/>
      <c r="AV30" s="830"/>
      <c r="AW30" s="830"/>
      <c r="AX30" s="831"/>
      <c r="CT30" s="1608">
        <v>2016</v>
      </c>
      <c r="CU30" s="2089">
        <v>28182</v>
      </c>
      <c r="CV30" s="2089">
        <v>86014</v>
      </c>
      <c r="CW30" s="1619"/>
      <c r="CX30" s="2089">
        <f>CU30</f>
        <v>28182</v>
      </c>
      <c r="CY30" s="784"/>
      <c r="CZ30" s="784"/>
      <c r="DA30" s="784"/>
      <c r="DB30" s="784"/>
      <c r="DC30" s="784"/>
      <c r="DD30" s="784"/>
      <c r="DE30" s="784"/>
      <c r="DF30" s="784"/>
      <c r="DG30" s="784"/>
      <c r="DH30" s="784"/>
      <c r="DI30" s="784"/>
      <c r="DJ30" s="784"/>
      <c r="DK30" s="784"/>
      <c r="DL30" s="2281">
        <v>2016</v>
      </c>
      <c r="DM30" s="2132">
        <v>45317.05</v>
      </c>
      <c r="DN30" s="2132">
        <f t="shared" si="4"/>
        <v>45317.05</v>
      </c>
      <c r="DO30" s="1495">
        <v>54117</v>
      </c>
      <c r="EE30" s="2281">
        <v>2016</v>
      </c>
      <c r="EF30" s="2119">
        <v>2.4649917340978744</v>
      </c>
      <c r="EG30" s="1201">
        <v>54102</v>
      </c>
      <c r="EH30" s="2119">
        <f>НАСТРОЙКА!DR157</f>
        <v>20.606812857794662</v>
      </c>
      <c r="EI30" s="2136">
        <f t="shared" si="2"/>
        <v>1.0539000000000001</v>
      </c>
      <c r="EJ30" s="2119">
        <f t="shared" si="3"/>
        <v>2.625442390016929</v>
      </c>
      <c r="EK30" s="1495">
        <f t="shared" si="0"/>
        <v>2625.442390016929</v>
      </c>
    </row>
    <row r="31" spans="9:141" ht="18">
      <c r="I31" s="1148" t="s">
        <v>1121</v>
      </c>
      <c r="J31" s="9" t="s">
        <v>1123</v>
      </c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10"/>
      <c r="X31" s="8" t="s">
        <v>15</v>
      </c>
      <c r="Y31" s="9"/>
      <c r="Z31" s="9"/>
      <c r="AA31" s="1628"/>
      <c r="AB31" s="22" t="s">
        <v>1205</v>
      </c>
      <c r="AC31" s="1426"/>
      <c r="AD31" s="1426"/>
      <c r="AE31" s="1426"/>
      <c r="AF31" s="1426"/>
      <c r="AG31" s="1426"/>
      <c r="AH31" s="1426"/>
      <c r="AI31" s="1426"/>
      <c r="AJ31" s="1426"/>
      <c r="AK31" s="1426"/>
      <c r="AL31" s="1426"/>
      <c r="AM31" s="1426"/>
      <c r="AN31" s="1426"/>
      <c r="AO31" s="9"/>
      <c r="AP31" s="1645"/>
      <c r="AQ31" s="1644" t="s">
        <v>1232</v>
      </c>
      <c r="AR31" s="830"/>
      <c r="AS31" s="830"/>
      <c r="AT31" s="830"/>
      <c r="AU31" s="830"/>
      <c r="AV31" s="830"/>
      <c r="AW31" s="830"/>
      <c r="AX31" s="831"/>
      <c r="CT31" s="1608">
        <v>2017</v>
      </c>
      <c r="CU31" s="2089">
        <v>31047</v>
      </c>
      <c r="CV31" s="2089">
        <v>92101</v>
      </c>
      <c r="CW31" s="1619"/>
      <c r="CX31" s="2089">
        <f>CU31</f>
        <v>31047</v>
      </c>
      <c r="CY31" s="784"/>
      <c r="CZ31" s="784"/>
      <c r="DA31" s="784"/>
      <c r="DB31" s="784"/>
      <c r="DC31" s="784"/>
      <c r="DD31" s="784"/>
      <c r="DE31" s="784"/>
      <c r="DF31" s="784"/>
      <c r="DG31" s="784"/>
      <c r="DH31" s="784"/>
      <c r="DI31" s="784"/>
      <c r="DJ31" s="784"/>
      <c r="DK31" s="784"/>
      <c r="DL31" s="2281">
        <v>2017</v>
      </c>
      <c r="DM31" s="2120">
        <v>48135.66</v>
      </c>
      <c r="DN31" s="2132">
        <f t="shared" si="4"/>
        <v>48135.66</v>
      </c>
      <c r="DO31" s="1794">
        <v>55368</v>
      </c>
      <c r="EE31" s="2281">
        <v>2017</v>
      </c>
      <c r="EF31" s="2119">
        <v>2.5463364613231039</v>
      </c>
      <c r="EG31" s="2421">
        <f>НАСТРОЙКА!DT117</f>
        <v>55368</v>
      </c>
      <c r="EH31" s="2119">
        <f>НАСТРОЙКА!DR158</f>
        <v>21.124043860525305</v>
      </c>
      <c r="EI31" s="1805"/>
      <c r="EJ31" s="2119">
        <f t="shared" si="3"/>
        <v>2.6210890474179847</v>
      </c>
      <c r="EK31" s="1495">
        <f t="shared" si="0"/>
        <v>2621.0890474179846</v>
      </c>
    </row>
    <row r="32" spans="9:141" ht="18">
      <c r="I32" s="1271" t="s">
        <v>1896</v>
      </c>
      <c r="J32" s="9" t="s">
        <v>1834</v>
      </c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10"/>
      <c r="X32" s="8" t="s">
        <v>385</v>
      </c>
      <c r="Y32" s="9"/>
      <c r="Z32" s="9"/>
      <c r="AA32" s="1628"/>
      <c r="AB32" s="22" t="s">
        <v>386</v>
      </c>
      <c r="AC32" s="22"/>
      <c r="AD32" s="22"/>
      <c r="AE32" s="22"/>
      <c r="AF32" s="22"/>
      <c r="AG32" s="22"/>
      <c r="AH32" s="22"/>
      <c r="AI32" s="22"/>
      <c r="AJ32" s="22"/>
      <c r="AK32" s="22"/>
      <c r="AL32" s="22"/>
      <c r="AM32" s="22"/>
      <c r="AN32" s="22"/>
      <c r="AO32" s="9"/>
      <c r="AP32" s="1645"/>
      <c r="AQ32" s="1644" t="s">
        <v>745</v>
      </c>
      <c r="AR32" s="830"/>
      <c r="AS32" s="830"/>
      <c r="AT32" s="830"/>
      <c r="AU32" s="830"/>
      <c r="AV32" s="830"/>
      <c r="AW32" s="830"/>
      <c r="AX32" s="831"/>
      <c r="CT32" s="1608">
        <v>2018</v>
      </c>
      <c r="CU32" s="2089">
        <v>37320</v>
      </c>
      <c r="CV32" s="2089">
        <v>103876</v>
      </c>
      <c r="CW32" s="1619"/>
      <c r="CX32" s="2089">
        <f>CU32</f>
        <v>37320</v>
      </c>
      <c r="CY32" s="784"/>
      <c r="CZ32" s="784"/>
      <c r="DA32" s="784"/>
      <c r="DB32" s="784"/>
      <c r="DC32" s="784"/>
      <c r="DD32" s="784"/>
      <c r="DE32" s="784"/>
      <c r="DF32" s="784"/>
      <c r="DG32" s="784"/>
      <c r="DH32" s="784"/>
      <c r="DI32" s="784"/>
      <c r="DJ32" s="784"/>
      <c r="DK32" s="784"/>
      <c r="DL32" s="2281">
        <v>2018</v>
      </c>
      <c r="DM32" s="2120">
        <v>50851.05</v>
      </c>
      <c r="DN32" s="2132">
        <f t="shared" si="4"/>
        <v>50851.05</v>
      </c>
      <c r="DO32" s="1794">
        <v>57500</v>
      </c>
      <c r="EE32" s="2281">
        <v>2018</v>
      </c>
      <c r="EF32" s="2119">
        <v>2.6049021999335351</v>
      </c>
      <c r="EG32" s="2421">
        <f>НАСТРОЙКА!DT118</f>
        <v>57500</v>
      </c>
      <c r="EH32" s="2119">
        <f>НАСТРОЙКА!DR159</f>
        <v>22.02392812898368</v>
      </c>
      <c r="EI32" s="1805"/>
      <c r="EJ32" s="2119">
        <f t="shared" si="3"/>
        <v>2.610796750845255</v>
      </c>
      <c r="EK32" s="1495">
        <f t="shared" si="0"/>
        <v>2610.7967508452548</v>
      </c>
    </row>
    <row r="33" spans="7:141" ht="18">
      <c r="I33" s="1148" t="s">
        <v>1122</v>
      </c>
      <c r="J33" s="9" t="s">
        <v>1366</v>
      </c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10"/>
      <c r="X33" s="8" t="s">
        <v>657</v>
      </c>
      <c r="AA33" s="1628"/>
      <c r="AB33" s="9" t="s">
        <v>18</v>
      </c>
      <c r="AC33" s="9"/>
      <c r="AD33" s="9"/>
      <c r="AE33" s="9"/>
      <c r="AF33" s="22"/>
      <c r="AG33" s="1426"/>
      <c r="AH33" s="1426"/>
      <c r="AI33" s="1426"/>
      <c r="AJ33" s="1426"/>
      <c r="AK33" s="1426"/>
      <c r="AL33" s="1426"/>
      <c r="AM33" s="1426"/>
      <c r="AN33" s="1426"/>
      <c r="AO33" s="9"/>
      <c r="AP33" s="1645"/>
      <c r="AQ33" s="1644" t="s">
        <v>1233</v>
      </c>
      <c r="AR33" s="830"/>
      <c r="AS33" s="830"/>
      <c r="AT33" s="830"/>
      <c r="AU33" s="830"/>
      <c r="AV33" s="830"/>
      <c r="AW33" s="830"/>
      <c r="AX33" s="831"/>
      <c r="CT33" s="1608">
        <v>2019</v>
      </c>
      <c r="CU33" s="1642"/>
      <c r="CV33" s="1618"/>
      <c r="CW33" s="1618"/>
      <c r="CX33" s="1618"/>
      <c r="CY33" s="784"/>
      <c r="CZ33" s="784"/>
      <c r="DA33" s="784"/>
      <c r="DB33" s="784"/>
      <c r="DC33" s="784"/>
      <c r="DD33" s="784"/>
      <c r="DE33" s="784"/>
      <c r="DF33" s="784"/>
      <c r="DG33" s="784"/>
      <c r="DH33" s="784"/>
      <c r="DI33" s="784"/>
      <c r="DJ33" s="784"/>
      <c r="DK33" s="784"/>
      <c r="DL33" s="2281">
        <v>2019</v>
      </c>
      <c r="DM33" s="2137"/>
      <c r="DN33" s="2137"/>
      <c r="DO33" s="1794"/>
      <c r="EE33" s="2281">
        <v>2019</v>
      </c>
      <c r="EF33" s="2137"/>
      <c r="EG33" s="1805"/>
      <c r="EH33" s="2119">
        <f>НАСТРОЙКА!DR160</f>
        <v>22.693455544104783</v>
      </c>
      <c r="EI33" s="1805"/>
      <c r="EJ33" s="1805"/>
      <c r="EK33" s="1794"/>
    </row>
    <row r="34" spans="7:141" ht="18">
      <c r="I34" s="1148" t="s">
        <v>1408</v>
      </c>
      <c r="J34" s="9" t="s">
        <v>1410</v>
      </c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10"/>
      <c r="X34" s="8" t="s">
        <v>389</v>
      </c>
      <c r="Y34" s="9"/>
      <c r="Z34" s="9"/>
      <c r="AA34" s="1628"/>
      <c r="AB34" s="9" t="s">
        <v>685</v>
      </c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22"/>
      <c r="AN34" s="22"/>
      <c r="AO34" s="9"/>
      <c r="AP34" s="1645"/>
      <c r="AQ34" s="830"/>
      <c r="AR34" s="830"/>
      <c r="AS34" s="830"/>
      <c r="AT34" s="830"/>
      <c r="AU34" s="830"/>
      <c r="AV34" s="830"/>
      <c r="AW34" s="830"/>
      <c r="AX34" s="831"/>
      <c r="CT34" s="1608">
        <v>2020</v>
      </c>
      <c r="CU34" s="1642"/>
      <c r="CV34" s="1618"/>
      <c r="CW34" s="1618"/>
      <c r="CX34" s="1618"/>
      <c r="CY34" s="784"/>
      <c r="CZ34" s="784"/>
      <c r="DA34" s="784"/>
      <c r="DB34" s="784"/>
      <c r="DC34" s="784"/>
      <c r="DD34" s="784"/>
      <c r="DE34" s="784"/>
      <c r="DF34" s="784"/>
      <c r="DG34" s="784"/>
      <c r="DH34" s="784"/>
      <c r="DI34" s="784"/>
      <c r="DJ34" s="784"/>
      <c r="DK34" s="784"/>
      <c r="DL34" s="2281">
        <v>2020</v>
      </c>
      <c r="DM34" s="2137"/>
      <c r="DN34" s="2137"/>
      <c r="DO34" s="1794"/>
      <c r="EE34" s="2281">
        <v>2020</v>
      </c>
      <c r="EF34" s="2138"/>
      <c r="EG34" s="1805"/>
      <c r="EH34" s="2119">
        <f>НАСТРОЙКА!DR161</f>
        <v>23.807704211320324</v>
      </c>
      <c r="EI34" s="1805"/>
      <c r="EJ34" s="1805"/>
      <c r="EK34" s="1794"/>
    </row>
    <row r="35" spans="7:141" ht="18">
      <c r="I35" s="1148" t="s">
        <v>1409</v>
      </c>
      <c r="J35" s="9" t="s">
        <v>1587</v>
      </c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10"/>
      <c r="X35" s="8" t="s">
        <v>19</v>
      </c>
      <c r="Y35" s="9"/>
      <c r="Z35" s="9"/>
      <c r="AA35" s="751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22"/>
      <c r="AN35" s="22"/>
      <c r="AO35" s="9"/>
      <c r="AP35" s="1645"/>
      <c r="AQ35" s="1644" t="s">
        <v>1199</v>
      </c>
      <c r="AR35" s="830"/>
      <c r="AS35" s="830"/>
      <c r="AT35" s="830"/>
      <c r="AU35" s="830"/>
      <c r="AV35" s="830"/>
      <c r="AW35" s="830"/>
      <c r="AX35" s="831"/>
      <c r="CT35" s="1608">
        <v>2021</v>
      </c>
      <c r="CU35" s="1642"/>
      <c r="CV35" s="1618"/>
      <c r="CW35" s="1618"/>
      <c r="CX35" s="1618"/>
      <c r="CY35" s="784"/>
      <c r="CZ35" s="784"/>
      <c r="DA35" s="784"/>
      <c r="DB35" s="784"/>
      <c r="DC35" s="784"/>
      <c r="DD35" s="784"/>
      <c r="DE35" s="784"/>
      <c r="DF35" s="784"/>
      <c r="DG35" s="784"/>
      <c r="DH35" s="784"/>
      <c r="DI35" s="784"/>
      <c r="DJ35" s="784"/>
      <c r="DK35" s="784"/>
      <c r="DL35" s="2281">
        <v>2021</v>
      </c>
      <c r="DM35" s="2137"/>
      <c r="DN35" s="2137"/>
      <c r="DO35" s="1794"/>
      <c r="EE35" s="2281">
        <v>2021</v>
      </c>
      <c r="EF35" s="2138"/>
      <c r="EG35" s="1805"/>
      <c r="EH35" s="2119">
        <f>НАСТРОЙКА!DR162</f>
        <v>24.998089421886341</v>
      </c>
      <c r="EI35" s="1805"/>
      <c r="EJ35" s="1805"/>
      <c r="EK35" s="1794"/>
    </row>
    <row r="36" spans="7:141" ht="18">
      <c r="G36" s="1068"/>
      <c r="H36" s="1068"/>
      <c r="I36" s="1148" t="s">
        <v>1425</v>
      </c>
      <c r="J36" s="1068" t="s">
        <v>1424</v>
      </c>
      <c r="K36" s="1068"/>
      <c r="L36" s="1068"/>
      <c r="M36" s="1068"/>
      <c r="N36" s="1068"/>
      <c r="O36" s="1068"/>
      <c r="P36" s="1068"/>
      <c r="Q36" s="1068"/>
      <c r="R36" s="1068"/>
      <c r="S36" s="1644"/>
      <c r="T36" s="1644"/>
      <c r="U36" s="830"/>
      <c r="V36" s="831"/>
      <c r="X36" s="8" t="s">
        <v>806</v>
      </c>
      <c r="Y36" s="9"/>
      <c r="Z36" s="9"/>
      <c r="AA36" s="1628"/>
      <c r="AB36" s="9" t="s">
        <v>795</v>
      </c>
      <c r="AC36" s="9"/>
      <c r="AD36" s="1633"/>
      <c r="AE36" s="9"/>
      <c r="AF36" s="9"/>
      <c r="AG36" s="9" t="s">
        <v>8</v>
      </c>
      <c r="AH36" s="9"/>
      <c r="AI36" s="22" t="s">
        <v>797</v>
      </c>
      <c r="AJ36" s="22"/>
      <c r="AK36" s="22"/>
      <c r="AL36" s="9"/>
      <c r="AM36" s="22"/>
      <c r="AN36" s="22"/>
      <c r="AO36" s="9"/>
      <c r="AP36" s="1645"/>
      <c r="AQ36" s="1644" t="s">
        <v>1224</v>
      </c>
      <c r="AR36" s="830"/>
      <c r="AS36" s="830"/>
      <c r="AT36" s="830"/>
      <c r="AU36" s="830"/>
      <c r="AV36" s="830"/>
      <c r="AW36" s="830"/>
      <c r="AX36" s="831"/>
      <c r="CT36" s="1608">
        <v>2022</v>
      </c>
      <c r="CU36" s="1642"/>
      <c r="CV36" s="1618"/>
      <c r="CW36" s="1618"/>
      <c r="CX36" s="1618"/>
      <c r="CY36" s="784"/>
      <c r="CZ36" s="784"/>
      <c r="DA36" s="784"/>
      <c r="DB36" s="784"/>
      <c r="DC36" s="784"/>
      <c r="DD36" s="784"/>
      <c r="DE36" s="784"/>
      <c r="DF36" s="784"/>
      <c r="DG36" s="784"/>
      <c r="DH36" s="784"/>
      <c r="DI36" s="784"/>
      <c r="DJ36" s="784"/>
      <c r="DK36" s="784"/>
      <c r="DL36" s="2281">
        <v>2022</v>
      </c>
      <c r="DM36" s="2137"/>
      <c r="DN36" s="2137"/>
      <c r="DO36" s="1794"/>
      <c r="EE36" s="2281">
        <v>2022</v>
      </c>
      <c r="EF36" s="2138"/>
      <c r="EG36" s="1805"/>
      <c r="EH36" s="2119">
        <f>НАСТРОЙКА!DR163</f>
        <v>26.247993892980659</v>
      </c>
      <c r="EI36" s="1805"/>
      <c r="EJ36" s="1805"/>
      <c r="EK36" s="1794"/>
    </row>
    <row r="37" spans="7:141" ht="18">
      <c r="I37" s="1148" t="s">
        <v>1843</v>
      </c>
      <c r="J37" s="9" t="s">
        <v>1847</v>
      </c>
      <c r="K37" s="9"/>
      <c r="L37" s="9"/>
      <c r="M37" s="9"/>
      <c r="N37" s="9"/>
      <c r="O37" s="9"/>
      <c r="P37" s="9"/>
      <c r="Q37" s="9"/>
      <c r="R37" s="9"/>
      <c r="S37" s="1068"/>
      <c r="T37" s="1068"/>
      <c r="U37" s="1644"/>
      <c r="V37" s="831"/>
      <c r="X37" s="8" t="s">
        <v>807</v>
      </c>
      <c r="Y37" s="9"/>
      <c r="Z37" s="9"/>
      <c r="AA37" s="1628"/>
      <c r="AB37" s="22" t="s">
        <v>796</v>
      </c>
      <c r="AC37" s="1426"/>
      <c r="AD37" s="1426"/>
      <c r="AE37" s="9"/>
      <c r="AF37" s="9"/>
      <c r="AG37" s="9" t="s">
        <v>717</v>
      </c>
      <c r="AH37" s="9"/>
      <c r="AI37" s="22" t="s">
        <v>798</v>
      </c>
      <c r="AJ37" s="22"/>
      <c r="AK37" s="22"/>
      <c r="AL37" s="9"/>
      <c r="AM37" s="22"/>
      <c r="AN37" s="22"/>
      <c r="AO37" s="9"/>
      <c r="AP37" s="1645"/>
      <c r="AQ37" s="1644" t="s">
        <v>1226</v>
      </c>
      <c r="AR37" s="830"/>
      <c r="AS37" s="830"/>
      <c r="AT37" s="1644"/>
      <c r="AU37" s="830"/>
      <c r="AV37" s="830"/>
      <c r="AW37" s="830"/>
      <c r="AX37" s="831"/>
      <c r="CT37" s="1608">
        <v>2023</v>
      </c>
      <c r="CU37" s="1642"/>
      <c r="CV37" s="1618"/>
      <c r="CW37" s="1618"/>
      <c r="CX37" s="1618"/>
      <c r="CY37" s="784"/>
      <c r="CZ37" s="784"/>
      <c r="DA37" s="784"/>
      <c r="DB37" s="784"/>
      <c r="DC37" s="784"/>
      <c r="DD37" s="784"/>
      <c r="DE37" s="784"/>
      <c r="DF37" s="784"/>
      <c r="DG37" s="784"/>
      <c r="DH37" s="784"/>
      <c r="DI37" s="784"/>
      <c r="DJ37" s="784"/>
      <c r="DK37" s="784"/>
      <c r="DL37" s="2281">
        <v>2023</v>
      </c>
      <c r="DM37" s="2137"/>
      <c r="DN37" s="2137"/>
      <c r="DO37" s="1794"/>
      <c r="EE37" s="2281">
        <v>2023</v>
      </c>
      <c r="EF37" s="2138"/>
      <c r="EG37" s="1805"/>
      <c r="EH37" s="2119">
        <f>НАСТРОЙКА!DR164</f>
        <v>27.560393587629694</v>
      </c>
      <c r="EI37" s="1805"/>
      <c r="EJ37" s="1805"/>
      <c r="EK37" s="1794"/>
    </row>
    <row r="38" spans="7:141" ht="18">
      <c r="I38" s="1148" t="s">
        <v>1844</v>
      </c>
      <c r="J38" s="9" t="s">
        <v>1848</v>
      </c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10"/>
      <c r="X38" s="8" t="s">
        <v>7</v>
      </c>
      <c r="Y38" s="9"/>
      <c r="Z38" s="9"/>
      <c r="AA38" s="1628"/>
      <c r="AB38" s="22" t="s">
        <v>1571</v>
      </c>
      <c r="AC38" s="22"/>
      <c r="AD38" s="1426"/>
      <c r="AE38" s="1426"/>
      <c r="AF38" s="9"/>
      <c r="AG38" s="9"/>
      <c r="AH38" s="9"/>
      <c r="AI38" s="9"/>
      <c r="AJ38" s="9"/>
      <c r="AK38" s="9"/>
      <c r="AL38" s="9"/>
      <c r="AM38" s="22"/>
      <c r="AN38" s="22"/>
      <c r="AO38" s="9"/>
      <c r="AP38" s="1645"/>
      <c r="AQ38" s="1644" t="s">
        <v>1236</v>
      </c>
      <c r="AR38" s="830"/>
      <c r="AS38" s="830"/>
      <c r="AT38" s="830"/>
      <c r="AU38" s="830"/>
      <c r="AV38" s="830"/>
      <c r="AW38" s="830"/>
      <c r="AX38" s="831"/>
      <c r="CT38" s="1608">
        <v>2024</v>
      </c>
      <c r="CU38" s="1642"/>
      <c r="CV38" s="1618"/>
      <c r="CW38" s="1618"/>
      <c r="CX38" s="1618"/>
      <c r="CY38" s="784"/>
      <c r="CZ38" s="784"/>
      <c r="DA38" s="784"/>
      <c r="DB38" s="784"/>
      <c r="DC38" s="784"/>
      <c r="DD38" s="784"/>
      <c r="DE38" s="784"/>
      <c r="DF38" s="784"/>
      <c r="DG38" s="784"/>
      <c r="DH38" s="784"/>
      <c r="DI38" s="784"/>
      <c r="DJ38" s="784"/>
      <c r="DK38" s="784"/>
      <c r="DL38" s="2281">
        <v>2024</v>
      </c>
      <c r="DM38" s="2137"/>
      <c r="DN38" s="2137"/>
      <c r="DO38" s="1794"/>
      <c r="EE38" s="2281">
        <v>2024</v>
      </c>
      <c r="EF38" s="2138"/>
      <c r="EG38" s="1805"/>
      <c r="EH38" s="2119">
        <f>НАСТРОЙКА!DR165</f>
        <v>28.938413267011178</v>
      </c>
      <c r="EI38" s="1805"/>
      <c r="EJ38" s="1805"/>
      <c r="EK38" s="1794"/>
    </row>
    <row r="39" spans="7:141" ht="18">
      <c r="I39" s="1148" t="s">
        <v>1845</v>
      </c>
      <c r="J39" s="9" t="s">
        <v>1895</v>
      </c>
      <c r="K39" s="9"/>
      <c r="L39" s="9"/>
      <c r="M39" s="9"/>
      <c r="N39" s="9"/>
      <c r="O39" s="9"/>
      <c r="P39" s="9"/>
      <c r="Q39" s="9"/>
      <c r="R39" s="9"/>
      <c r="S39" s="830"/>
      <c r="T39" s="830"/>
      <c r="U39" s="830"/>
      <c r="V39" s="831"/>
      <c r="X39" s="8" t="s">
        <v>1206</v>
      </c>
      <c r="Y39" s="9"/>
      <c r="Z39" s="9"/>
      <c r="AA39" s="1628"/>
      <c r="AB39" s="22" t="s">
        <v>1207</v>
      </c>
      <c r="AC39" s="22"/>
      <c r="AD39" s="1643"/>
      <c r="AE39" s="1643"/>
      <c r="AF39" s="9"/>
      <c r="AG39" s="1426"/>
      <c r="AH39" s="1426"/>
      <c r="AI39" s="1426"/>
      <c r="AJ39" s="1426"/>
      <c r="AK39" s="1426"/>
      <c r="AL39" s="1426"/>
      <c r="AM39" s="22"/>
      <c r="AN39" s="22"/>
      <c r="AO39" s="9"/>
      <c r="AP39" s="1645"/>
      <c r="AQ39" s="1644" t="s">
        <v>1237</v>
      </c>
      <c r="AR39" s="830"/>
      <c r="AS39" s="830"/>
      <c r="AT39" s="830"/>
      <c r="AU39" s="830"/>
      <c r="AV39" s="830"/>
      <c r="AW39" s="830"/>
      <c r="AX39" s="831"/>
      <c r="CT39" s="1608">
        <v>2025</v>
      </c>
      <c r="CU39" s="1642"/>
      <c r="CV39" s="1618"/>
      <c r="CW39" s="1618"/>
      <c r="CX39" s="1618"/>
      <c r="CY39" s="784"/>
      <c r="CZ39" s="784"/>
      <c r="DA39" s="784"/>
      <c r="DB39" s="784"/>
      <c r="DC39" s="784"/>
      <c r="DD39" s="784"/>
      <c r="DE39" s="784"/>
      <c r="DF39" s="784"/>
      <c r="DG39" s="784"/>
      <c r="DH39" s="784"/>
      <c r="DI39" s="784"/>
      <c r="DJ39" s="784"/>
      <c r="DK39" s="784"/>
      <c r="DL39" s="2281">
        <v>2025</v>
      </c>
      <c r="DM39" s="2137"/>
      <c r="DN39" s="2137"/>
      <c r="DO39" s="1794"/>
      <c r="EE39" s="2281">
        <v>2025</v>
      </c>
      <c r="EF39" s="2138"/>
      <c r="EG39" s="1805"/>
      <c r="EH39" s="2119">
        <f>НАСТРОЙКА!DR166</f>
        <v>30.385333930361739</v>
      </c>
      <c r="EI39" s="1805"/>
      <c r="EJ39" s="1805"/>
      <c r="EK39" s="1794"/>
    </row>
    <row r="40" spans="7:141" ht="18">
      <c r="I40" s="1148" t="s">
        <v>1846</v>
      </c>
      <c r="J40" s="830"/>
      <c r="K40" s="830"/>
      <c r="L40" s="830"/>
      <c r="M40" s="830"/>
      <c r="N40" s="830"/>
      <c r="O40" s="830"/>
      <c r="P40" s="830"/>
      <c r="Q40" s="830"/>
      <c r="R40" s="830"/>
      <c r="S40" s="830"/>
      <c r="T40" s="830"/>
      <c r="U40" s="830"/>
      <c r="V40" s="831"/>
      <c r="X40" s="8" t="s">
        <v>1208</v>
      </c>
      <c r="Y40" s="9"/>
      <c r="Z40" s="9"/>
      <c r="AA40" s="1628"/>
      <c r="AB40" s="22" t="s">
        <v>1209</v>
      </c>
      <c r="AC40" s="22"/>
      <c r="AD40" s="1643"/>
      <c r="AE40" s="1643"/>
      <c r="AF40" s="9"/>
      <c r="AG40" s="1426"/>
      <c r="AH40" s="1426"/>
      <c r="AI40" s="1426"/>
      <c r="AJ40" s="1426"/>
      <c r="AK40" s="1426"/>
      <c r="AL40" s="1426"/>
      <c r="AM40" s="22"/>
      <c r="AN40" s="22"/>
      <c r="AO40" s="9"/>
      <c r="AP40" s="1645"/>
      <c r="AQ40" s="1644" t="s">
        <v>1238</v>
      </c>
      <c r="AR40" s="830"/>
      <c r="AS40" s="830"/>
      <c r="AT40" s="830"/>
      <c r="AU40" s="830"/>
      <c r="AV40" s="830"/>
      <c r="AW40" s="830"/>
      <c r="AX40" s="831"/>
      <c r="CT40" s="1608">
        <v>2026</v>
      </c>
      <c r="CU40" s="1642"/>
      <c r="CV40" s="1618"/>
      <c r="CW40" s="1618"/>
      <c r="CX40" s="1618"/>
      <c r="CY40" s="784"/>
      <c r="CZ40" s="784"/>
      <c r="DA40" s="784"/>
      <c r="DB40" s="784"/>
      <c r="DC40" s="784"/>
      <c r="DD40" s="784"/>
      <c r="DE40" s="784"/>
      <c r="DF40" s="784"/>
      <c r="DG40" s="784"/>
      <c r="DH40" s="784"/>
      <c r="DI40" s="784"/>
      <c r="DJ40" s="784"/>
      <c r="DK40" s="784"/>
      <c r="DL40" s="2281">
        <v>2026</v>
      </c>
      <c r="DM40" s="2137"/>
      <c r="DN40" s="2137"/>
      <c r="DO40" s="1794"/>
      <c r="EE40" s="2281">
        <v>2026</v>
      </c>
      <c r="EF40" s="2138"/>
      <c r="EG40" s="1805"/>
      <c r="EH40" s="2119">
        <f>НАСТРОЙКА!DR167</f>
        <v>31.904600626879827</v>
      </c>
      <c r="EI40" s="1805"/>
      <c r="EJ40" s="1805"/>
      <c r="EK40" s="1794"/>
    </row>
    <row r="41" spans="7:141" ht="18">
      <c r="I41" s="1148" t="s">
        <v>1897</v>
      </c>
      <c r="J41" s="830"/>
      <c r="K41" s="830"/>
      <c r="L41" s="830"/>
      <c r="M41" s="830"/>
      <c r="N41" s="830"/>
      <c r="O41" s="830"/>
      <c r="P41" s="830"/>
      <c r="Q41" s="830"/>
      <c r="R41" s="830"/>
      <c r="S41" s="830"/>
      <c r="T41" s="830"/>
      <c r="U41" s="830"/>
      <c r="V41" s="831"/>
      <c r="X41" s="8" t="s">
        <v>10</v>
      </c>
      <c r="Y41" s="9"/>
      <c r="Z41" s="9"/>
      <c r="AA41" s="1628"/>
      <c r="AB41" s="22" t="s">
        <v>9</v>
      </c>
      <c r="AC41" s="22"/>
      <c r="AD41" s="22"/>
      <c r="AE41" s="1643"/>
      <c r="AF41" s="9"/>
      <c r="AG41" s="9"/>
      <c r="AH41" s="9"/>
      <c r="AI41" s="9"/>
      <c r="AJ41" s="9"/>
      <c r="AK41" s="9"/>
      <c r="AL41" s="9"/>
      <c r="AM41" s="22"/>
      <c r="AN41" s="22"/>
      <c r="AO41" s="9"/>
      <c r="AP41" s="1645"/>
      <c r="AQ41" s="830"/>
      <c r="AR41" s="830"/>
      <c r="AS41" s="830"/>
      <c r="AT41" s="830"/>
      <c r="AU41" s="830"/>
      <c r="AV41" s="830"/>
      <c r="AW41" s="830"/>
      <c r="AX41" s="831"/>
      <c r="CT41" s="1608">
        <v>2027</v>
      </c>
      <c r="CU41" s="1642"/>
      <c r="CV41" s="1618"/>
      <c r="CW41" s="1618"/>
      <c r="CX41" s="1618"/>
      <c r="CY41" s="784"/>
      <c r="CZ41" s="784"/>
      <c r="DA41" s="784"/>
      <c r="DB41" s="784"/>
      <c r="DC41" s="784"/>
      <c r="DD41" s="784"/>
      <c r="DE41" s="784"/>
      <c r="DF41" s="784"/>
      <c r="DG41" s="784"/>
      <c r="DH41" s="784"/>
      <c r="DI41" s="784"/>
      <c r="DJ41" s="784"/>
      <c r="DK41" s="784"/>
      <c r="DL41" s="2281">
        <v>2027</v>
      </c>
      <c r="DM41" s="2137"/>
      <c r="DN41" s="2137"/>
      <c r="DO41" s="1794"/>
      <c r="EE41" s="2281">
        <v>2027</v>
      </c>
      <c r="EF41" s="2138"/>
      <c r="EG41" s="1805"/>
      <c r="EH41" s="2119">
        <f>НАСТРОЙКА!DR168</f>
        <v>33.499830658223821</v>
      </c>
      <c r="EI41" s="1805"/>
      <c r="EJ41" s="1805"/>
      <c r="EK41" s="1794"/>
    </row>
    <row r="42" spans="7:141" ht="18">
      <c r="I42" s="1148" t="s">
        <v>1898</v>
      </c>
      <c r="J42" s="830"/>
      <c r="K42" s="830"/>
      <c r="L42" s="830"/>
      <c r="M42" s="830"/>
      <c r="N42" s="830"/>
      <c r="O42" s="830"/>
      <c r="P42" s="830"/>
      <c r="Q42" s="830"/>
      <c r="R42" s="830"/>
      <c r="S42" s="830"/>
      <c r="T42" s="830"/>
      <c r="U42" s="830"/>
      <c r="V42" s="831"/>
      <c r="X42" s="8" t="s">
        <v>158</v>
      </c>
      <c r="Y42" s="9"/>
      <c r="Z42" s="9"/>
      <c r="AA42" s="1628"/>
      <c r="AB42" s="22" t="s">
        <v>1569</v>
      </c>
      <c r="AC42" s="22"/>
      <c r="AD42" s="22"/>
      <c r="AE42" s="22"/>
      <c r="AF42" s="9"/>
      <c r="AG42" s="9"/>
      <c r="AH42" s="9"/>
      <c r="AI42" s="9"/>
      <c r="AJ42" s="9"/>
      <c r="AK42" s="9"/>
      <c r="AL42" s="9"/>
      <c r="AM42" s="22"/>
      <c r="AN42" s="22"/>
      <c r="AO42" s="9"/>
      <c r="AP42" s="1645"/>
      <c r="AQ42" s="1644"/>
      <c r="AR42" s="1644"/>
      <c r="AS42" s="830"/>
      <c r="AT42" s="830"/>
      <c r="AU42" s="830"/>
      <c r="AV42" s="830"/>
      <c r="AW42" s="830"/>
      <c r="AX42" s="831"/>
      <c r="CT42" s="1608">
        <v>2028</v>
      </c>
      <c r="CU42" s="1642"/>
      <c r="CV42" s="1618"/>
      <c r="CW42" s="1618"/>
      <c r="CX42" s="1618"/>
      <c r="CY42" s="784"/>
      <c r="CZ42" s="784"/>
      <c r="DA42" s="784"/>
      <c r="DB42" s="784"/>
      <c r="DC42" s="784"/>
      <c r="DD42" s="784"/>
      <c r="DE42" s="784"/>
      <c r="DF42" s="784"/>
      <c r="DG42" s="784"/>
      <c r="DH42" s="784"/>
      <c r="DI42" s="784"/>
      <c r="DJ42" s="784"/>
      <c r="DK42" s="784"/>
      <c r="DL42" s="2281">
        <v>2028</v>
      </c>
      <c r="DM42" s="2137"/>
      <c r="DN42" s="2137"/>
      <c r="DO42" s="1794"/>
      <c r="EE42" s="2281">
        <v>2028</v>
      </c>
      <c r="EF42" s="2138"/>
      <c r="EG42" s="1805"/>
      <c r="EH42" s="2119">
        <f>НАСТРОЙКА!DR169</f>
        <v>35.174822191135014</v>
      </c>
      <c r="EI42" s="1805"/>
      <c r="EJ42" s="1805"/>
      <c r="EK42" s="1794"/>
    </row>
    <row r="43" spans="7:141" ht="18">
      <c r="I43" s="1148" t="s">
        <v>1899</v>
      </c>
      <c r="J43" s="830"/>
      <c r="K43" s="830"/>
      <c r="L43" s="830"/>
      <c r="M43" s="830"/>
      <c r="N43" s="830"/>
      <c r="O43" s="830"/>
      <c r="P43" s="830"/>
      <c r="Q43" s="830"/>
      <c r="R43" s="830"/>
      <c r="S43" s="830"/>
      <c r="T43" s="830"/>
      <c r="U43" s="830"/>
      <c r="V43" s="831"/>
      <c r="X43" s="8"/>
      <c r="Y43" s="9"/>
      <c r="Z43" s="9"/>
      <c r="AA43" s="1628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22"/>
      <c r="AN43" s="22"/>
      <c r="AO43" s="9"/>
      <c r="AP43" s="1645"/>
      <c r="AQ43" s="1644"/>
      <c r="AR43" s="1644"/>
      <c r="AS43" s="830"/>
      <c r="AT43" s="830"/>
      <c r="AU43" s="830"/>
      <c r="AV43" s="830"/>
      <c r="AW43" s="830"/>
      <c r="AX43" s="831"/>
      <c r="CT43" s="1608">
        <v>2029</v>
      </c>
      <c r="CU43" s="1642"/>
      <c r="CV43" s="1618"/>
      <c r="CW43" s="1618"/>
      <c r="CX43" s="1618"/>
      <c r="CY43" s="784"/>
      <c r="CZ43" s="784"/>
      <c r="DA43" s="784"/>
      <c r="DB43" s="784"/>
      <c r="DC43" s="784"/>
      <c r="DD43" s="784"/>
      <c r="DE43" s="784"/>
      <c r="DF43" s="784"/>
      <c r="DG43" s="784"/>
      <c r="DH43" s="784"/>
      <c r="DI43" s="784"/>
      <c r="DJ43" s="784"/>
      <c r="DK43" s="784"/>
      <c r="DL43" s="2281">
        <v>2029</v>
      </c>
      <c r="DM43" s="2137"/>
      <c r="DN43" s="2137"/>
      <c r="DO43" s="1794"/>
      <c r="EE43" s="2281">
        <v>2029</v>
      </c>
      <c r="EF43" s="2138"/>
      <c r="EG43" s="1805"/>
      <c r="EH43" s="2119">
        <f>НАСТРОЙКА!DR170</f>
        <v>36.933563300691766</v>
      </c>
      <c r="EI43" s="1805"/>
      <c r="EJ43" s="1805"/>
      <c r="EK43" s="1794"/>
    </row>
    <row r="44" spans="7:141" ht="18">
      <c r="I44" s="791"/>
      <c r="J44" s="1646"/>
      <c r="K44" s="1646"/>
      <c r="L44" s="1646"/>
      <c r="M44" s="1646"/>
      <c r="N44" s="1646"/>
      <c r="O44" s="1646"/>
      <c r="P44" s="1646"/>
      <c r="Q44" s="1646"/>
      <c r="R44" s="1646"/>
      <c r="S44" s="1646"/>
      <c r="T44" s="1646"/>
      <c r="U44" s="1647"/>
      <c r="V44" s="1012"/>
      <c r="X44" s="8"/>
      <c r="Y44" s="9"/>
      <c r="Z44" s="9"/>
      <c r="AA44" s="1628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22"/>
      <c r="AN44" s="22"/>
      <c r="AO44" s="9"/>
      <c r="AP44" s="1645"/>
      <c r="AQ44" s="1644" t="s">
        <v>1228</v>
      </c>
      <c r="AR44" s="1644"/>
      <c r="AS44" s="1644"/>
      <c r="AT44" s="830"/>
      <c r="AU44" s="830"/>
      <c r="AV44" s="830"/>
      <c r="AW44" s="830"/>
      <c r="AX44" s="831"/>
      <c r="CT44" s="1613">
        <v>2030</v>
      </c>
      <c r="CU44" s="1648"/>
      <c r="CV44" s="876"/>
      <c r="CW44" s="876"/>
      <c r="CX44" s="876"/>
      <c r="CY44" s="784"/>
      <c r="CZ44" s="784"/>
      <c r="DA44" s="784"/>
      <c r="DB44" s="784"/>
      <c r="DC44" s="784"/>
      <c r="DD44" s="784"/>
      <c r="DE44" s="784"/>
      <c r="DF44" s="784"/>
      <c r="DG44" s="784"/>
      <c r="DH44" s="784"/>
      <c r="DI44" s="784"/>
      <c r="DJ44" s="784"/>
      <c r="DK44" s="784"/>
      <c r="DL44" s="1596">
        <v>2030</v>
      </c>
      <c r="DM44" s="1776"/>
      <c r="DN44" s="1776"/>
      <c r="DO44" s="1795"/>
      <c r="EE44" s="1596">
        <v>2030</v>
      </c>
      <c r="EF44" s="2098"/>
      <c r="EG44" s="1777"/>
      <c r="EH44" s="2045">
        <f>НАСТРОЙКА!DR171</f>
        <v>38.780241465726355</v>
      </c>
      <c r="EI44" s="1777"/>
      <c r="EJ44" s="1777"/>
      <c r="EK44" s="1795"/>
    </row>
    <row r="45" spans="7:141">
      <c r="X45" s="1428" t="s">
        <v>1570</v>
      </c>
      <c r="Y45" s="1429"/>
      <c r="Z45" s="1429"/>
      <c r="AA45" s="1429"/>
      <c r="AB45" s="1429"/>
      <c r="AC45" s="1429"/>
      <c r="AD45" s="1429"/>
      <c r="AE45" s="1429"/>
      <c r="AF45" s="1429"/>
      <c r="AG45" s="1429"/>
      <c r="AH45" s="23"/>
      <c r="AI45" s="23"/>
      <c r="AJ45" s="23"/>
      <c r="AK45" s="23"/>
      <c r="AL45" s="23"/>
      <c r="AM45" s="23"/>
      <c r="AN45" s="23"/>
      <c r="AO45" s="23"/>
      <c r="AP45" s="1645"/>
      <c r="AQ45" s="1644" t="s">
        <v>1223</v>
      </c>
      <c r="AR45" s="830"/>
      <c r="AS45" s="830"/>
      <c r="AT45" s="830"/>
      <c r="AU45" s="830"/>
      <c r="AV45" s="830"/>
      <c r="AW45" s="830"/>
      <c r="AX45" s="831"/>
    </row>
    <row r="46" spans="7:141" ht="16.2" thickBot="1">
      <c r="I46" s="1631"/>
      <c r="J46" s="1631"/>
      <c r="K46" s="1631"/>
      <c r="L46" s="1631"/>
      <c r="M46" s="1631"/>
      <c r="N46" s="1631"/>
      <c r="O46" s="1631"/>
      <c r="P46" s="1631"/>
      <c r="Q46" s="1631"/>
      <c r="R46" s="1631"/>
      <c r="S46" s="1631"/>
      <c r="T46" s="1631"/>
      <c r="U46" s="1631"/>
      <c r="V46" s="1631"/>
      <c r="W46" s="1631"/>
      <c r="X46" s="129"/>
      <c r="Y46" s="1649"/>
      <c r="Z46" s="1649"/>
      <c r="AA46" s="1649"/>
      <c r="AB46" s="1649"/>
      <c r="AC46" s="1649"/>
      <c r="AD46" s="1649"/>
      <c r="AE46" s="1649"/>
      <c r="AF46" s="1649"/>
      <c r="AG46" s="1649"/>
      <c r="AH46" s="1649"/>
      <c r="AI46" s="1649"/>
      <c r="AJ46" s="1649"/>
      <c r="AK46" s="1649"/>
      <c r="AL46" s="1649"/>
      <c r="AM46" s="1649"/>
      <c r="AN46" s="1649"/>
      <c r="AO46" s="1649"/>
      <c r="AP46" s="1769"/>
      <c r="AQ46" s="1646"/>
      <c r="AR46" s="1646"/>
      <c r="AS46" s="1646"/>
      <c r="AT46" s="1646"/>
      <c r="AU46" s="1646"/>
      <c r="AV46" s="1646"/>
      <c r="AW46" s="1646"/>
      <c r="AX46" s="1971"/>
    </row>
    <row r="47" spans="7:141" ht="18" thickBot="1">
      <c r="I47" s="1631"/>
      <c r="J47" s="1631"/>
      <c r="K47" s="1631"/>
      <c r="L47" s="1631"/>
      <c r="M47" s="1631"/>
      <c r="N47" s="1631"/>
      <c r="O47" s="55"/>
      <c r="P47" s="1631"/>
      <c r="Q47" s="1631"/>
      <c r="R47" s="1631"/>
      <c r="S47" s="1631"/>
      <c r="T47" s="1631"/>
      <c r="U47" s="1631"/>
      <c r="V47" s="1631"/>
      <c r="W47" s="1631"/>
      <c r="DZ47" s="1602" t="s">
        <v>351</v>
      </c>
      <c r="EA47" s="2140" t="s">
        <v>1202</v>
      </c>
      <c r="EB47" s="2140" t="s">
        <v>1202</v>
      </c>
    </row>
    <row r="48" spans="7:141" ht="18" thickBot="1">
      <c r="I48" s="1631"/>
      <c r="J48" s="1631"/>
      <c r="K48" s="1631"/>
      <c r="L48" s="1631"/>
      <c r="M48" s="1631"/>
      <c r="N48" s="1631"/>
      <c r="O48" s="55"/>
      <c r="P48" s="1631"/>
      <c r="Q48" s="1631"/>
      <c r="R48" s="1631"/>
      <c r="S48" s="1631"/>
      <c r="T48" s="1631"/>
      <c r="U48" s="1650"/>
      <c r="V48" s="1650"/>
      <c r="W48" s="1650"/>
      <c r="X48" s="1174"/>
      <c r="Y48" s="1174"/>
      <c r="Z48" s="1174"/>
      <c r="AA48" s="1174"/>
      <c r="AB48" s="1174"/>
      <c r="AC48" s="1174"/>
      <c r="AD48" s="1174"/>
      <c r="AE48" s="1174"/>
      <c r="AF48" s="1174"/>
      <c r="AG48" s="1174"/>
      <c r="AH48" s="1174"/>
      <c r="AI48" s="1174"/>
      <c r="AJ48" s="1174"/>
      <c r="AK48" s="1174"/>
      <c r="AL48" s="1174"/>
      <c r="AM48" s="1174"/>
      <c r="DZ48" s="1981">
        <v>43925</v>
      </c>
      <c r="EA48" s="2139" t="s">
        <v>1623</v>
      </c>
      <c r="EB48" s="2428" t="s">
        <v>1407</v>
      </c>
    </row>
    <row r="49" spans="9:132" ht="18" thickBot="1">
      <c r="I49" s="457" t="s">
        <v>368</v>
      </c>
      <c r="J49" s="2173">
        <v>43898</v>
      </c>
      <c r="K49" s="1144" t="s">
        <v>390</v>
      </c>
      <c r="L49" s="1144"/>
      <c r="M49" s="1144"/>
      <c r="N49" s="1651"/>
      <c r="O49" s="1426"/>
      <c r="P49" s="1141" t="s">
        <v>391</v>
      </c>
      <c r="Q49" s="1142"/>
      <c r="R49" s="1142"/>
      <c r="S49" s="1142"/>
      <c r="T49" s="1143"/>
      <c r="U49" s="1652"/>
      <c r="V49" s="1652"/>
      <c r="W49" s="1652"/>
      <c r="AM49" s="1174"/>
      <c r="BN49" s="718" t="s">
        <v>368</v>
      </c>
      <c r="BO49" s="1653">
        <v>43119</v>
      </c>
      <c r="DZ49" s="2097">
        <v>1995</v>
      </c>
      <c r="EA49" s="1799">
        <v>1</v>
      </c>
      <c r="EB49" s="1804"/>
    </row>
    <row r="50" spans="9:132" ht="18" thickBot="1">
      <c r="I50" s="123" t="s">
        <v>392</v>
      </c>
      <c r="J50" s="1654" t="s">
        <v>393</v>
      </c>
      <c r="K50" s="1655" t="s">
        <v>394</v>
      </c>
      <c r="L50" s="1649"/>
      <c r="M50" s="1649"/>
      <c r="N50" s="1656"/>
      <c r="O50" s="1657" t="s">
        <v>395</v>
      </c>
      <c r="P50" s="1658">
        <v>1990</v>
      </c>
      <c r="Q50" s="1659">
        <v>1991</v>
      </c>
      <c r="R50" s="1659">
        <v>1992</v>
      </c>
      <c r="S50" s="1659">
        <v>1993</v>
      </c>
      <c r="T50" s="1660">
        <v>1994</v>
      </c>
      <c r="U50" s="1658">
        <v>1995</v>
      </c>
      <c r="V50" s="1659">
        <v>1996</v>
      </c>
      <c r="W50" s="1659">
        <v>1997</v>
      </c>
      <c r="X50" s="1659">
        <v>1998</v>
      </c>
      <c r="Y50" s="1659">
        <v>1999</v>
      </c>
      <c r="Z50" s="1658">
        <v>2000</v>
      </c>
      <c r="AA50" s="1659">
        <v>2001</v>
      </c>
      <c r="AB50" s="1659">
        <v>2002</v>
      </c>
      <c r="AC50" s="1659">
        <v>2003</v>
      </c>
      <c r="AD50" s="1659">
        <v>2004</v>
      </c>
      <c r="AE50" s="1658">
        <v>2005</v>
      </c>
      <c r="AF50" s="1659">
        <v>2006</v>
      </c>
      <c r="AG50" s="1659">
        <v>2007</v>
      </c>
      <c r="AH50" s="1659">
        <v>2008</v>
      </c>
      <c r="AI50" s="1659">
        <v>2009</v>
      </c>
      <c r="AJ50" s="1658">
        <v>2010</v>
      </c>
      <c r="AK50" s="1659">
        <v>2011</v>
      </c>
      <c r="AL50" s="1661">
        <v>2012</v>
      </c>
      <c r="AM50" s="1661">
        <v>2013</v>
      </c>
      <c r="AN50" s="1661">
        <v>2014</v>
      </c>
      <c r="AO50" s="1661">
        <v>2015</v>
      </c>
      <c r="AP50" s="1661">
        <v>2016</v>
      </c>
      <c r="AQ50" s="1661">
        <v>2017</v>
      </c>
      <c r="AR50" s="1661">
        <v>2018</v>
      </c>
      <c r="AS50" s="1661">
        <v>2019</v>
      </c>
      <c r="AT50" s="1661">
        <v>2020</v>
      </c>
      <c r="AU50" s="1661">
        <v>2021</v>
      </c>
      <c r="AV50" s="1661" t="s">
        <v>396</v>
      </c>
      <c r="AW50" s="1661">
        <v>2023</v>
      </c>
      <c r="AX50" s="1661">
        <v>2024</v>
      </c>
      <c r="AY50" s="1661">
        <v>2025</v>
      </c>
      <c r="AZ50" s="1661">
        <v>2026</v>
      </c>
      <c r="BA50" s="1661">
        <v>2027</v>
      </c>
      <c r="BB50" s="1661">
        <v>2028</v>
      </c>
      <c r="BC50" s="1661">
        <v>2029</v>
      </c>
      <c r="BD50" s="1661">
        <v>2030</v>
      </c>
      <c r="BE50" s="1661">
        <v>2031</v>
      </c>
      <c r="BF50" s="1661">
        <v>2032</v>
      </c>
      <c r="BG50" s="1661">
        <v>2033</v>
      </c>
      <c r="BH50" s="1661">
        <v>2034</v>
      </c>
      <c r="BI50" s="1661">
        <v>2035</v>
      </c>
      <c r="BJ50" s="1661">
        <v>2036</v>
      </c>
      <c r="BK50" s="1661">
        <v>2037</v>
      </c>
      <c r="BL50" s="1661">
        <v>2038</v>
      </c>
      <c r="BM50" s="1661">
        <v>2039</v>
      </c>
      <c r="BN50" s="1661">
        <v>2040</v>
      </c>
      <c r="BO50" s="1662" t="s">
        <v>396</v>
      </c>
      <c r="CT50" s="1773" t="s">
        <v>351</v>
      </c>
      <c r="CU50" s="1792" t="s">
        <v>156</v>
      </c>
      <c r="CV50" s="1592" t="s">
        <v>80</v>
      </c>
      <c r="DI50" s="1602" t="s">
        <v>351</v>
      </c>
      <c r="DJ50" s="1591" t="s">
        <v>1268</v>
      </c>
      <c r="DK50" s="1591" t="s">
        <v>1191</v>
      </c>
      <c r="DZ50" s="1594">
        <v>1996</v>
      </c>
      <c r="EA50" s="1616">
        <f t="shared" ref="EA50:EA72" si="5">EF10</f>
        <v>0.95099999999999996</v>
      </c>
      <c r="EB50" s="1035"/>
    </row>
    <row r="51" spans="9:132" ht="18" thickBot="1">
      <c r="I51" s="739" t="s">
        <v>131</v>
      </c>
      <c r="J51" s="40" t="s">
        <v>398</v>
      </c>
      <c r="K51" s="1426" t="s">
        <v>399</v>
      </c>
      <c r="L51" s="1426"/>
      <c r="M51" s="1426"/>
      <c r="N51" s="1426"/>
      <c r="O51" s="1663" t="s">
        <v>400</v>
      </c>
      <c r="P51" s="441">
        <v>1.204</v>
      </c>
      <c r="Q51" s="455">
        <v>2.6120000000000001</v>
      </c>
      <c r="R51" s="455">
        <v>39.084000000000003</v>
      </c>
      <c r="S51" s="455">
        <v>305.48099999999999</v>
      </c>
      <c r="T51" s="455">
        <v>1044.43</v>
      </c>
      <c r="U51" s="453">
        <v>2767.6205</v>
      </c>
      <c r="V51" s="454">
        <v>3799.1260000000002</v>
      </c>
      <c r="W51" s="449">
        <v>4327.5309999999999</v>
      </c>
      <c r="X51" s="449">
        <v>4573.9769999999999</v>
      </c>
      <c r="Y51" s="449">
        <v>8303.2019999999993</v>
      </c>
      <c r="Z51" s="453">
        <v>12552.212</v>
      </c>
      <c r="AA51" s="449">
        <v>15922.788</v>
      </c>
      <c r="AB51" s="449">
        <v>18973.673599999998</v>
      </c>
      <c r="AC51" s="449">
        <v>23273.089499999998</v>
      </c>
      <c r="AD51" s="449">
        <v>29490.622599999999</v>
      </c>
      <c r="AE51" s="453">
        <v>37020.601999999999</v>
      </c>
      <c r="AF51" s="449">
        <v>46223.866499999996</v>
      </c>
      <c r="AG51" s="449">
        <v>57752.1325</v>
      </c>
      <c r="AH51" s="449">
        <v>71601.657999999996</v>
      </c>
      <c r="AI51" s="449">
        <v>68116.5</v>
      </c>
      <c r="AJ51" s="439">
        <v>82054.600000000006</v>
      </c>
      <c r="AK51" s="1016">
        <v>100960.3907</v>
      </c>
      <c r="AL51" s="1016">
        <v>113092.1725</v>
      </c>
      <c r="AM51" s="1016">
        <v>123165.48509999999</v>
      </c>
      <c r="AN51" s="1016">
        <v>132844.9</v>
      </c>
      <c r="AO51" s="1145">
        <v>145956.1</v>
      </c>
      <c r="AP51" s="1016">
        <v>153856.5</v>
      </c>
      <c r="AQ51" s="1016">
        <v>166329.29999999999</v>
      </c>
      <c r="AR51" s="1016">
        <v>185534.2</v>
      </c>
      <c r="AS51" s="1016"/>
      <c r="AT51" s="2148"/>
      <c r="AV51" s="1725" t="s">
        <v>398</v>
      </c>
      <c r="BO51" s="1664" t="s">
        <v>398</v>
      </c>
      <c r="BP51" s="784" t="s">
        <v>1430</v>
      </c>
      <c r="CT51" s="1793">
        <v>43925</v>
      </c>
      <c r="CU51" s="1801" t="s">
        <v>1454</v>
      </c>
      <c r="CV51" s="1593" t="s">
        <v>1454</v>
      </c>
      <c r="DI51" s="2426">
        <v>43925</v>
      </c>
      <c r="DJ51" s="1822" t="s">
        <v>46</v>
      </c>
      <c r="DK51" s="1822" t="s">
        <v>46</v>
      </c>
      <c r="DZ51" s="1594">
        <v>1997</v>
      </c>
      <c r="EA51" s="1616">
        <f t="shared" si="5"/>
        <v>0.99855000000000005</v>
      </c>
      <c r="EB51" s="1035"/>
    </row>
    <row r="52" spans="9:132" ht="17.399999999999999">
      <c r="I52" s="739" t="s">
        <v>131</v>
      </c>
      <c r="J52" s="40" t="s">
        <v>401</v>
      </c>
      <c r="K52" s="1426" t="s">
        <v>402</v>
      </c>
      <c r="L52" s="1426"/>
      <c r="M52" s="1426"/>
      <c r="N52" s="1426"/>
      <c r="O52" s="1663" t="s">
        <v>400</v>
      </c>
      <c r="P52" s="441">
        <v>0.11559999999999999</v>
      </c>
      <c r="Q52" s="441">
        <v>0.18160000000000001</v>
      </c>
      <c r="R52" s="441">
        <v>9.173</v>
      </c>
      <c r="S52" s="441">
        <v>52.3</v>
      </c>
      <c r="T52" s="441">
        <v>141.66499999999999</v>
      </c>
      <c r="U52" s="453">
        <v>369.90269999999998</v>
      </c>
      <c r="V52" s="449">
        <v>438.69400000000002</v>
      </c>
      <c r="W52" s="449">
        <v>527.71100000000001</v>
      </c>
      <c r="X52" s="449">
        <v>645.63400000000001</v>
      </c>
      <c r="Y52" s="449">
        <v>1262.3489999999999</v>
      </c>
      <c r="Z52" s="453">
        <v>1755.8040000000001</v>
      </c>
      <c r="AA52" s="449">
        <v>2165.9279999999999</v>
      </c>
      <c r="AB52" s="449">
        <v>2646.2040000000002</v>
      </c>
      <c r="AC52" s="449">
        <v>3153.9</v>
      </c>
      <c r="AD52" s="449">
        <v>3773.9</v>
      </c>
      <c r="AE52" s="453">
        <v>4648.3</v>
      </c>
      <c r="AF52" s="449">
        <v>5653.4198999999999</v>
      </c>
      <c r="AG52" s="449">
        <v>7162.2107999999998</v>
      </c>
      <c r="AH52" s="449">
        <v>9110.9865000000009</v>
      </c>
      <c r="AI52" s="449">
        <v>7954.3271000000004</v>
      </c>
      <c r="AJ52" s="453">
        <v>9789.6139999999996</v>
      </c>
      <c r="AK52" s="1016">
        <v>12010.7569</v>
      </c>
      <c r="AL52" s="1016">
        <v>13786.8717</v>
      </c>
      <c r="AM52" s="1016">
        <v>14919.620800000001</v>
      </c>
      <c r="AN52" s="1016">
        <v>16351.5355</v>
      </c>
      <c r="AO52" s="1145">
        <v>17153.419999999998</v>
      </c>
      <c r="AP52" s="1016">
        <v>17689.044000000002</v>
      </c>
      <c r="AQ52" s="1016">
        <v>19072.95</v>
      </c>
      <c r="AR52" s="1016">
        <v>21574.3</v>
      </c>
      <c r="AS52" s="1016"/>
      <c r="AT52" s="2148"/>
      <c r="AV52" s="1725" t="str">
        <f>J52</f>
        <v>IM</v>
      </c>
      <c r="BO52" s="1664" t="str">
        <f t="shared" ref="BO52:BO87" si="6">J52</f>
        <v>IM</v>
      </c>
      <c r="BP52" s="784" t="s">
        <v>1430</v>
      </c>
      <c r="CT52" s="2281">
        <v>1995</v>
      </c>
      <c r="CU52" s="860">
        <f t="array" ref="CU52:CU75">TRANSPOSE(U184:AR184)</f>
        <v>1</v>
      </c>
      <c r="CV52" s="1804">
        <v>1</v>
      </c>
      <c r="DI52" s="2097">
        <v>1995</v>
      </c>
      <c r="DJ52" s="1874">
        <f t="array" ref="DJ52:DJ75">TRANSPOSE(U69:AR69)</f>
        <v>719.79349999999999</v>
      </c>
      <c r="DK52" s="1494">
        <f t="array" ref="DK52:DK75">TRANSPOSE(U67:AR67)</f>
        <v>1428.5209</v>
      </c>
      <c r="DZ52" s="1594">
        <v>1998</v>
      </c>
      <c r="EA52" s="1616">
        <f t="shared" si="5"/>
        <v>0.96459930000000005</v>
      </c>
      <c r="EB52" s="1035"/>
    </row>
    <row r="53" spans="9:132" ht="17.399999999999999">
      <c r="I53" s="739" t="s">
        <v>131</v>
      </c>
      <c r="J53" s="40" t="s">
        <v>403</v>
      </c>
      <c r="K53" s="1426" t="s">
        <v>404</v>
      </c>
      <c r="L53" s="1426"/>
      <c r="M53" s="1426"/>
      <c r="N53" s="1426"/>
      <c r="O53" s="1663" t="s">
        <v>400</v>
      </c>
      <c r="P53" s="441">
        <v>0.11550000000000001</v>
      </c>
      <c r="Q53" s="441">
        <v>0.1411</v>
      </c>
      <c r="R53" s="441">
        <v>3.5920000000000001</v>
      </c>
      <c r="S53" s="441">
        <v>26.027999999999999</v>
      </c>
      <c r="T53" s="441">
        <v>71.923000000000002</v>
      </c>
      <c r="U53" s="453">
        <v>184.07</v>
      </c>
      <c r="V53" s="449">
        <v>269.09500000000003</v>
      </c>
      <c r="W53" s="449">
        <v>320.25580000000002</v>
      </c>
      <c r="X53" s="449">
        <v>338.8245</v>
      </c>
      <c r="Y53" s="449">
        <v>613.8546</v>
      </c>
      <c r="Z53" s="453">
        <v>980.88040000000001</v>
      </c>
      <c r="AA53" s="449">
        <v>1268.9114</v>
      </c>
      <c r="AB53" s="449">
        <v>1415.2</v>
      </c>
      <c r="AC53" s="449">
        <v>1775.1</v>
      </c>
      <c r="AD53" s="438">
        <v>2352.1</v>
      </c>
      <c r="AE53" s="439">
        <v>3248.2</v>
      </c>
      <c r="AF53" s="449">
        <v>4090.1</v>
      </c>
      <c r="AG53" s="449">
        <v>4977.5586999999996</v>
      </c>
      <c r="AH53" s="449">
        <v>6323.8483999999999</v>
      </c>
      <c r="AI53" s="449">
        <v>5202.1328999999996</v>
      </c>
      <c r="AJ53" s="453">
        <v>6462.5680000000002</v>
      </c>
      <c r="AK53" s="1135">
        <v>8413.3219000000008</v>
      </c>
      <c r="AL53" s="1135">
        <v>9411.7981999999993</v>
      </c>
      <c r="AM53" s="1135">
        <v>9510.8578999999991</v>
      </c>
      <c r="AN53" s="1135">
        <v>10550.8478</v>
      </c>
      <c r="AO53" s="1098">
        <v>8738.4995999999992</v>
      </c>
      <c r="AP53" s="1135">
        <v>8817.2000000000007</v>
      </c>
      <c r="AQ53" s="1135">
        <v>9264.51</v>
      </c>
      <c r="AR53" s="1135">
        <v>11404.17</v>
      </c>
      <c r="AS53" s="1135"/>
      <c r="AT53" s="2148"/>
      <c r="AV53" s="1725" t="str">
        <f t="shared" ref="AV53:AV116" si="7">J53</f>
        <v>NL</v>
      </c>
      <c r="BO53" s="1664" t="str">
        <f t="shared" si="6"/>
        <v>NL</v>
      </c>
      <c r="BP53" s="784" t="s">
        <v>1430</v>
      </c>
      <c r="CT53" s="2281">
        <v>1996</v>
      </c>
      <c r="CU53" s="2424">
        <v>1.4723042021668387</v>
      </c>
      <c r="CV53" s="1035">
        <f>НАСТРОЙКА!DR137</f>
        <v>1.218</v>
      </c>
      <c r="DI53" s="2281">
        <v>1996</v>
      </c>
      <c r="DJ53" s="2132">
        <v>1007.827</v>
      </c>
      <c r="DK53" s="1495">
        <v>2007.8252000000002</v>
      </c>
      <c r="DZ53" s="1594">
        <v>1999</v>
      </c>
      <c r="EA53" s="1616">
        <f t="shared" si="5"/>
        <v>0.94144891679999998</v>
      </c>
      <c r="EB53" s="1035"/>
    </row>
    <row r="54" spans="9:132" ht="21.75" customHeight="1">
      <c r="I54" s="739" t="s">
        <v>131</v>
      </c>
      <c r="J54" s="40" t="s">
        <v>405</v>
      </c>
      <c r="K54" s="1426" t="s">
        <v>406</v>
      </c>
      <c r="L54" s="1426"/>
      <c r="M54" s="1426"/>
      <c r="N54" s="1426"/>
      <c r="O54" s="1663" t="s">
        <v>400</v>
      </c>
      <c r="P54" s="441">
        <v>-7.0900000000000005E-2</v>
      </c>
      <c r="Q54" s="441">
        <v>-0.09</v>
      </c>
      <c r="R54" s="441">
        <v>-3.2570000000000001</v>
      </c>
      <c r="S54" s="441">
        <v>-10.471</v>
      </c>
      <c r="T54" s="441">
        <v>-24.024999999999999</v>
      </c>
      <c r="U54" s="453">
        <v>-75.174400000000006</v>
      </c>
      <c r="V54" s="449">
        <v>-89.478999999999999</v>
      </c>
      <c r="W54" s="449">
        <v>-105.6611</v>
      </c>
      <c r="X54" s="449">
        <v>-92.461200000000005</v>
      </c>
      <c r="Y54" s="449">
        <v>-118.4944</v>
      </c>
      <c r="Z54" s="453">
        <v>-147.43289999999999</v>
      </c>
      <c r="AA54" s="449">
        <v>-171.4221</v>
      </c>
      <c r="AB54" s="449">
        <v>-165.9</v>
      </c>
      <c r="AC54" s="449">
        <v>-186.6</v>
      </c>
      <c r="AD54" s="449">
        <v>-183.7</v>
      </c>
      <c r="AE54" s="439">
        <v>-156.1</v>
      </c>
      <c r="AF54" s="449">
        <v>-150.24</v>
      </c>
      <c r="AG54" s="449">
        <v>-214.51669999999999</v>
      </c>
      <c r="AH54" s="449">
        <v>-229.69759999999999</v>
      </c>
      <c r="AI54" s="449">
        <v>-226.238</v>
      </c>
      <c r="AJ54" s="453">
        <v>-194.1</v>
      </c>
      <c r="AK54" s="1135">
        <v>-214.91229999999999</v>
      </c>
      <c r="AL54" s="449">
        <v>-244.14830000000001</v>
      </c>
      <c r="AM54" s="449">
        <v>-246.4127</v>
      </c>
      <c r="AN54" s="449">
        <v>-258.70179999999999</v>
      </c>
      <c r="AO54" s="1098">
        <v>-271.64</v>
      </c>
      <c r="AP54" s="449">
        <v>-278.27999999999997</v>
      </c>
      <c r="AQ54" s="449">
        <v>-318.75</v>
      </c>
      <c r="AR54" s="449">
        <v>-327.9</v>
      </c>
      <c r="AT54" s="2148"/>
      <c r="AV54" s="1725" t="str">
        <f t="shared" si="7"/>
        <v>SB</v>
      </c>
      <c r="BO54" s="1664" t="str">
        <f t="shared" si="6"/>
        <v>SB</v>
      </c>
      <c r="BP54" s="784" t="s">
        <v>1430</v>
      </c>
      <c r="CT54" s="2281">
        <v>1997</v>
      </c>
      <c r="CU54" s="2425">
        <v>1.718558670886825</v>
      </c>
      <c r="CV54" s="1035">
        <f>НАСТРОЙКА!DR138</f>
        <v>1.3519800000000002</v>
      </c>
      <c r="DI54" s="2281">
        <v>1997</v>
      </c>
      <c r="DJ54" s="2132">
        <v>1235.2137</v>
      </c>
      <c r="DK54" s="1495">
        <v>2342.5137</v>
      </c>
      <c r="DZ54" s="1594">
        <v>2000</v>
      </c>
      <c r="EA54" s="1616">
        <f t="shared" si="5"/>
        <v>0.99699440289119989</v>
      </c>
      <c r="EB54" s="1035"/>
    </row>
    <row r="55" spans="9:132" ht="17.399999999999999">
      <c r="I55" s="1651" t="s">
        <v>407</v>
      </c>
      <c r="J55" s="40" t="s">
        <v>408</v>
      </c>
      <c r="K55" s="1426" t="s">
        <v>409</v>
      </c>
      <c r="L55" s="1426"/>
      <c r="M55" s="1426"/>
      <c r="N55" s="1426"/>
      <c r="O55" s="1663" t="s">
        <v>400</v>
      </c>
      <c r="P55" s="441">
        <v>1.3641999999999999</v>
      </c>
      <c r="Q55" s="455">
        <f t="shared" ref="Q55:AR55" si="8">Q51+Q53+Q54</f>
        <v>2.6631</v>
      </c>
      <c r="R55" s="455">
        <f t="shared" si="8"/>
        <v>39.419000000000004</v>
      </c>
      <c r="S55" s="455">
        <f t="shared" si="8"/>
        <v>321.03800000000001</v>
      </c>
      <c r="T55" s="455">
        <f t="shared" si="8"/>
        <v>1092.328</v>
      </c>
      <c r="U55" s="453">
        <f t="shared" si="8"/>
        <v>2876.5161000000003</v>
      </c>
      <c r="V55" s="449">
        <f t="shared" si="8"/>
        <v>3978.7420000000006</v>
      </c>
      <c r="W55" s="449">
        <f t="shared" si="8"/>
        <v>4542.1256999999996</v>
      </c>
      <c r="X55" s="449">
        <f t="shared" si="8"/>
        <v>4820.3402999999998</v>
      </c>
      <c r="Y55" s="449">
        <f t="shared" si="8"/>
        <v>8798.5622000000003</v>
      </c>
      <c r="Z55" s="453">
        <f t="shared" si="8"/>
        <v>13385.6595</v>
      </c>
      <c r="AA55" s="455">
        <f t="shared" si="8"/>
        <v>17020.277300000002</v>
      </c>
      <c r="AB55" s="455">
        <f t="shared" si="8"/>
        <v>20222.973599999998</v>
      </c>
      <c r="AC55" s="455">
        <f t="shared" si="8"/>
        <v>24861.589499999998</v>
      </c>
      <c r="AD55" s="455">
        <f t="shared" si="8"/>
        <v>31659.022599999997</v>
      </c>
      <c r="AE55" s="453">
        <f t="shared" si="8"/>
        <v>40112.701999999997</v>
      </c>
      <c r="AF55" s="455">
        <f t="shared" si="8"/>
        <v>50163.726499999997</v>
      </c>
      <c r="AG55" s="455">
        <f t="shared" si="8"/>
        <v>62515.174500000001</v>
      </c>
      <c r="AH55" s="455">
        <f t="shared" si="8"/>
        <v>77695.808799999999</v>
      </c>
      <c r="AI55" s="455">
        <f t="shared" si="8"/>
        <v>73092.394899999999</v>
      </c>
      <c r="AJ55" s="453">
        <f t="shared" si="8"/>
        <v>88323.067999999999</v>
      </c>
      <c r="AK55" s="537">
        <f t="shared" si="8"/>
        <v>109158.8003</v>
      </c>
      <c r="AL55" s="537">
        <f t="shared" si="8"/>
        <v>122259.8224</v>
      </c>
      <c r="AM55" s="537">
        <f t="shared" si="8"/>
        <v>132429.93030000001</v>
      </c>
      <c r="AN55" s="537">
        <f t="shared" si="8"/>
        <v>143137.04599999997</v>
      </c>
      <c r="AO55" s="1098">
        <f t="shared" si="8"/>
        <v>154422.9596</v>
      </c>
      <c r="AP55" s="537">
        <f t="shared" si="8"/>
        <v>162395.42000000001</v>
      </c>
      <c r="AQ55" s="537">
        <f t="shared" si="8"/>
        <v>175275.06</v>
      </c>
      <c r="AR55" s="537">
        <f t="shared" si="8"/>
        <v>196610.47000000003</v>
      </c>
      <c r="AT55" s="2148"/>
      <c r="AV55" s="1725" t="str">
        <f t="shared" si="7"/>
        <v>X</v>
      </c>
      <c r="BO55" s="1664" t="str">
        <f t="shared" si="6"/>
        <v>X</v>
      </c>
      <c r="BP55" s="784" t="s">
        <v>407</v>
      </c>
      <c r="CT55" s="2281">
        <v>1998</v>
      </c>
      <c r="CU55" s="2425">
        <v>2.1060897046594418</v>
      </c>
      <c r="CV55" s="1035">
        <f>НАСТРОЙКА!DR139</f>
        <v>2.4930511200000005</v>
      </c>
      <c r="DI55" s="2281">
        <v>1998</v>
      </c>
      <c r="DJ55" s="2132">
        <v>1462.2840000000001</v>
      </c>
      <c r="DK55" s="1495">
        <v>2629.6228999999998</v>
      </c>
      <c r="DZ55" s="1594">
        <v>2001</v>
      </c>
      <c r="EA55" s="1616">
        <f t="shared" si="5"/>
        <v>1.0787479439282783</v>
      </c>
      <c r="EB55" s="1035"/>
    </row>
    <row r="56" spans="9:132" ht="17.399999999999999">
      <c r="I56" s="739" t="s">
        <v>131</v>
      </c>
      <c r="J56" s="40" t="s">
        <v>410</v>
      </c>
      <c r="K56" s="1426" t="s">
        <v>411</v>
      </c>
      <c r="L56" s="1426"/>
      <c r="M56" s="1426"/>
      <c r="N56" s="1426"/>
      <c r="O56" s="1663" t="s">
        <v>400</v>
      </c>
      <c r="P56" s="441">
        <v>0.6048</v>
      </c>
      <c r="Q56" s="455">
        <v>1.2649999999999999</v>
      </c>
      <c r="R56" s="455">
        <v>20.413</v>
      </c>
      <c r="S56" s="455">
        <v>149.529</v>
      </c>
      <c r="T56" s="455">
        <v>481.49</v>
      </c>
      <c r="U56" s="453">
        <v>1447.9952000000001</v>
      </c>
      <c r="V56" s="449">
        <v>1970.9168</v>
      </c>
      <c r="W56" s="449">
        <v>2199.6120000000001</v>
      </c>
      <c r="X56" s="449">
        <v>2190.7174</v>
      </c>
      <c r="Y56" s="449">
        <v>3975.3292999999999</v>
      </c>
      <c r="Z56" s="453">
        <v>6080.0128999999997</v>
      </c>
      <c r="AA56" s="449">
        <v>8076.6947</v>
      </c>
      <c r="AB56" s="449">
        <v>9403.7026999999998</v>
      </c>
      <c r="AC56" s="449">
        <v>11653.3392</v>
      </c>
      <c r="AD56" s="449">
        <v>14631.855600000001</v>
      </c>
      <c r="AE56" s="453">
        <v>18502.9362</v>
      </c>
      <c r="AF56" s="449">
        <v>23246.522799999999</v>
      </c>
      <c r="AG56" s="449">
        <v>29267.6613</v>
      </c>
      <c r="AH56" s="449">
        <v>36418.959600000002</v>
      </c>
      <c r="AI56" s="449">
        <v>34285.124000000003</v>
      </c>
      <c r="AJ56" s="453">
        <v>42014.536999999997</v>
      </c>
      <c r="AK56" s="1016">
        <v>48876.259899999997</v>
      </c>
      <c r="AL56" s="1016">
        <v>54095.939299999998</v>
      </c>
      <c r="AM56" s="1016">
        <v>59296.035200000006</v>
      </c>
      <c r="AN56" s="1016">
        <v>64078.5</v>
      </c>
      <c r="AO56" s="1145">
        <v>71328.7</v>
      </c>
      <c r="AP56" s="1016">
        <v>76381.240000000005</v>
      </c>
      <c r="AQ56" s="1016">
        <v>83173.7</v>
      </c>
      <c r="AR56" s="1016">
        <v>92734.7</v>
      </c>
      <c r="AT56" s="2148"/>
      <c r="AV56" s="1725" t="str">
        <f t="shared" si="7"/>
        <v xml:space="preserve">Zt </v>
      </c>
      <c r="BO56" s="1664" t="str">
        <f t="shared" si="6"/>
        <v xml:space="preserve">Zt </v>
      </c>
      <c r="BP56" s="784" t="s">
        <v>1430</v>
      </c>
      <c r="CT56" s="2281">
        <v>1999</v>
      </c>
      <c r="CU56" s="2425">
        <v>3.7278422973468679</v>
      </c>
      <c r="CV56" s="1035">
        <f>НАСТРОЙКА!DR140</f>
        <v>3.4030147788000007</v>
      </c>
      <c r="DI56" s="2281">
        <v>1999</v>
      </c>
      <c r="DJ56" s="2132">
        <v>2526.1678999999999</v>
      </c>
      <c r="DK56" s="1495">
        <v>4823.2329</v>
      </c>
      <c r="DZ56" s="1594">
        <v>2002</v>
      </c>
      <c r="EA56" s="1616">
        <f t="shared" si="5"/>
        <v>1.1618115356107557</v>
      </c>
      <c r="EB56" s="1035"/>
    </row>
    <row r="57" spans="9:132" ht="17.399999999999999">
      <c r="I57" s="1651" t="s">
        <v>407</v>
      </c>
      <c r="J57" s="40" t="s">
        <v>412</v>
      </c>
      <c r="K57" s="1426" t="s">
        <v>413</v>
      </c>
      <c r="L57" s="1426"/>
      <c r="M57" s="1426"/>
      <c r="N57" s="1426"/>
      <c r="O57" s="1663" t="s">
        <v>414</v>
      </c>
      <c r="P57" s="441">
        <f>P56/P55</f>
        <v>0.44333675414162149</v>
      </c>
      <c r="Q57" s="441">
        <f>Q56/Q55</f>
        <v>0.47501032631144152</v>
      </c>
      <c r="R57" s="441">
        <f t="shared" ref="R57:AJ57" si="9">R56/R55</f>
        <v>0.51784672366117857</v>
      </c>
      <c r="S57" s="441">
        <f t="shared" si="9"/>
        <v>0.46576729234545439</v>
      </c>
      <c r="T57" s="441">
        <f t="shared" si="9"/>
        <v>0.44079250920968793</v>
      </c>
      <c r="U57" s="440">
        <f t="shared" si="9"/>
        <v>0.50338504971343634</v>
      </c>
      <c r="V57" s="441">
        <f t="shared" si="9"/>
        <v>0.4953618002876285</v>
      </c>
      <c r="W57" s="441">
        <f t="shared" si="9"/>
        <v>0.48426929267941665</v>
      </c>
      <c r="X57" s="441">
        <f t="shared" si="9"/>
        <v>0.45447359805696708</v>
      </c>
      <c r="Y57" s="441">
        <f t="shared" si="9"/>
        <v>0.45181578644747206</v>
      </c>
      <c r="Z57" s="440">
        <f t="shared" si="9"/>
        <v>0.45421840440510231</v>
      </c>
      <c r="AA57" s="441">
        <f t="shared" si="9"/>
        <v>0.47453367284444886</v>
      </c>
      <c r="AB57" s="441">
        <f t="shared" si="9"/>
        <v>0.46500098778747362</v>
      </c>
      <c r="AC57" s="441">
        <f t="shared" si="9"/>
        <v>0.46872864665390768</v>
      </c>
      <c r="AD57" s="441">
        <f t="shared" si="9"/>
        <v>0.46217016187985543</v>
      </c>
      <c r="AE57" s="453">
        <f t="shared" si="9"/>
        <v>0.46127374316494563</v>
      </c>
      <c r="AF57" s="441">
        <f t="shared" si="9"/>
        <v>0.46341299624141757</v>
      </c>
      <c r="AG57" s="441">
        <f t="shared" si="9"/>
        <v>0.46816891313324255</v>
      </c>
      <c r="AH57" s="441">
        <f t="shared" si="9"/>
        <v>0.46873776285343211</v>
      </c>
      <c r="AI57" s="441">
        <f t="shared" si="9"/>
        <v>0.46906554432792302</v>
      </c>
      <c r="AJ57" s="440">
        <f t="shared" si="9"/>
        <v>0.47569154866767077</v>
      </c>
      <c r="AK57" s="441">
        <f t="shared" ref="AK57:AR57" si="10">AK56/AK55</f>
        <v>0.44775372911459155</v>
      </c>
      <c r="AL57" s="441">
        <f t="shared" si="10"/>
        <v>0.44246702013857986</v>
      </c>
      <c r="AM57" s="441">
        <f t="shared" si="10"/>
        <v>0.44775403162769772</v>
      </c>
      <c r="AN57" s="441">
        <f t="shared" si="10"/>
        <v>0.4476723656851212</v>
      </c>
      <c r="AO57" s="1099">
        <f t="shared" si="10"/>
        <v>0.46190475940081643</v>
      </c>
      <c r="AP57" s="441">
        <f t="shared" si="10"/>
        <v>0.47034109705803279</v>
      </c>
      <c r="AQ57" s="441">
        <f t="shared" si="10"/>
        <v>0.47453242920013833</v>
      </c>
      <c r="AR57" s="441">
        <f t="shared" si="10"/>
        <v>0.47166714977081325</v>
      </c>
      <c r="AT57" s="2148"/>
      <c r="AV57" s="1725" t="str">
        <f t="shared" si="7"/>
        <v>a=Z/Х</v>
      </c>
      <c r="BO57" s="1664" t="str">
        <f t="shared" si="6"/>
        <v>a=Z/Х</v>
      </c>
      <c r="BP57" s="784" t="s">
        <v>407</v>
      </c>
      <c r="CT57" s="2281">
        <v>2000</v>
      </c>
      <c r="CU57" s="2425">
        <v>4.5918326760987345</v>
      </c>
      <c r="CV57" s="1035">
        <f>НАСТРОЙКА!DR141</f>
        <v>4.0904237641176007</v>
      </c>
      <c r="DI57" s="2281">
        <v>2000</v>
      </c>
      <c r="DJ57" s="2132">
        <v>3295.2372999999998</v>
      </c>
      <c r="DK57" s="1495">
        <v>7305.6466</v>
      </c>
      <c r="DZ57" s="1594">
        <v>2003</v>
      </c>
      <c r="EA57" s="1616">
        <f t="shared" si="5"/>
        <v>1.2512710238527838</v>
      </c>
      <c r="EB57" s="1035"/>
    </row>
    <row r="58" spans="9:132" ht="17.399999999999999">
      <c r="J58" s="40" t="s">
        <v>752</v>
      </c>
      <c r="K58" s="1426" t="s">
        <v>1867</v>
      </c>
      <c r="O58" s="2243" t="s">
        <v>400</v>
      </c>
      <c r="P58" s="441"/>
      <c r="Q58" s="441"/>
      <c r="R58" s="441"/>
      <c r="S58" s="441"/>
      <c r="T58" s="441"/>
      <c r="U58" s="620">
        <f>U51-U56</f>
        <v>1319.6252999999999</v>
      </c>
      <c r="V58" s="620">
        <f t="shared" ref="V58:AR58" si="11">V51-V56</f>
        <v>1828.2092000000002</v>
      </c>
      <c r="W58" s="620">
        <f t="shared" si="11"/>
        <v>2127.9189999999999</v>
      </c>
      <c r="X58" s="620">
        <f t="shared" si="11"/>
        <v>2383.2595999999999</v>
      </c>
      <c r="Y58" s="620">
        <f t="shared" si="11"/>
        <v>4327.8726999999999</v>
      </c>
      <c r="Z58" s="620">
        <f t="shared" si="11"/>
        <v>6472.1990999999998</v>
      </c>
      <c r="AA58" s="620">
        <f t="shared" si="11"/>
        <v>7846.0933000000005</v>
      </c>
      <c r="AB58" s="620">
        <f t="shared" si="11"/>
        <v>9569.9708999999984</v>
      </c>
      <c r="AC58" s="620">
        <f t="shared" si="11"/>
        <v>11619.750299999998</v>
      </c>
      <c r="AD58" s="620">
        <f t="shared" si="11"/>
        <v>14858.766999999998</v>
      </c>
      <c r="AE58" s="620">
        <f t="shared" si="11"/>
        <v>18517.665799999999</v>
      </c>
      <c r="AF58" s="620">
        <f t="shared" si="11"/>
        <v>22977.343699999998</v>
      </c>
      <c r="AG58" s="620">
        <f t="shared" si="11"/>
        <v>28484.4712</v>
      </c>
      <c r="AH58" s="620">
        <f t="shared" si="11"/>
        <v>35182.698399999994</v>
      </c>
      <c r="AI58" s="620">
        <f t="shared" si="11"/>
        <v>33831.375999999997</v>
      </c>
      <c r="AJ58" s="620">
        <f t="shared" si="11"/>
        <v>40040.063000000009</v>
      </c>
      <c r="AK58" s="620">
        <f t="shared" si="11"/>
        <v>52084.130800000006</v>
      </c>
      <c r="AL58" s="620">
        <f t="shared" si="11"/>
        <v>58996.233200000002</v>
      </c>
      <c r="AM58" s="620">
        <f t="shared" si="11"/>
        <v>63869.449899999985</v>
      </c>
      <c r="AN58" s="620">
        <f t="shared" si="11"/>
        <v>68766.399999999994</v>
      </c>
      <c r="AO58" s="620">
        <f t="shared" si="11"/>
        <v>74627.400000000009</v>
      </c>
      <c r="AP58" s="620">
        <f t="shared" si="11"/>
        <v>77475.259999999995</v>
      </c>
      <c r="AQ58" s="620">
        <f t="shared" si="11"/>
        <v>83155.599999999991</v>
      </c>
      <c r="AR58" s="620">
        <f t="shared" si="11"/>
        <v>92799.500000000015</v>
      </c>
      <c r="AT58" s="2148"/>
      <c r="AV58" s="1725" t="str">
        <f t="shared" si="7"/>
        <v>WDC</v>
      </c>
      <c r="BO58" s="1664" t="str">
        <f t="shared" si="6"/>
        <v>WDC</v>
      </c>
      <c r="BP58" s="784"/>
      <c r="CT58" s="2281">
        <v>2001</v>
      </c>
      <c r="CU58" s="2425">
        <v>5.5611795404054956</v>
      </c>
      <c r="CV58" s="1035">
        <f>НАСТРОЙКА!DR142</f>
        <v>4.8512425842434741</v>
      </c>
      <c r="DI58" s="2281">
        <v>2001</v>
      </c>
      <c r="DJ58" s="2132">
        <v>4318.1211000000003</v>
      </c>
      <c r="DK58" s="1495">
        <v>8943.5825999999997</v>
      </c>
      <c r="DZ58" s="1594">
        <v>2004</v>
      </c>
      <c r="EA58" s="1616">
        <f t="shared" si="5"/>
        <v>1.4076799018343817</v>
      </c>
      <c r="EB58" s="1035"/>
    </row>
    <row r="59" spans="9:132" ht="17.399999999999999">
      <c r="I59" s="1651" t="s">
        <v>407</v>
      </c>
      <c r="J59" s="40" t="s">
        <v>1318</v>
      </c>
      <c r="K59" s="1671" t="s">
        <v>1317</v>
      </c>
      <c r="L59" s="1671"/>
      <c r="M59" s="1671"/>
      <c r="N59" s="1671"/>
      <c r="O59" s="2243" t="s">
        <v>400</v>
      </c>
      <c r="P59" s="441"/>
      <c r="Q59" s="441"/>
      <c r="R59" s="441"/>
      <c r="S59" s="441"/>
      <c r="T59" s="441"/>
      <c r="U59" s="453">
        <f>U51-U56</f>
        <v>1319.6252999999999</v>
      </c>
      <c r="V59" s="449">
        <f>V51-V56</f>
        <v>1828.2092000000002</v>
      </c>
      <c r="W59" s="449">
        <f t="shared" ref="W59:AB59" si="12">W51-W56</f>
        <v>2127.9189999999999</v>
      </c>
      <c r="X59" s="449">
        <f t="shared" si="12"/>
        <v>2383.2595999999999</v>
      </c>
      <c r="Y59" s="449">
        <f t="shared" si="12"/>
        <v>4327.8726999999999</v>
      </c>
      <c r="Z59" s="449">
        <f t="shared" si="12"/>
        <v>6472.1990999999998</v>
      </c>
      <c r="AA59" s="449">
        <f t="shared" si="12"/>
        <v>7846.0933000000005</v>
      </c>
      <c r="AB59" s="449">
        <f t="shared" si="12"/>
        <v>9569.9708999999984</v>
      </c>
      <c r="AC59" s="449">
        <f t="shared" ref="AC59:AR59" si="13">AC51-AC56</f>
        <v>11619.750299999998</v>
      </c>
      <c r="AD59" s="449">
        <f t="shared" si="13"/>
        <v>14858.766999999998</v>
      </c>
      <c r="AE59" s="449">
        <f t="shared" si="13"/>
        <v>18517.665799999999</v>
      </c>
      <c r="AF59" s="449">
        <f t="shared" si="13"/>
        <v>22977.343699999998</v>
      </c>
      <c r="AG59" s="449">
        <f t="shared" si="13"/>
        <v>28484.4712</v>
      </c>
      <c r="AH59" s="449">
        <f t="shared" si="13"/>
        <v>35182.698399999994</v>
      </c>
      <c r="AI59" s="449">
        <f t="shared" si="13"/>
        <v>33831.375999999997</v>
      </c>
      <c r="AJ59" s="453">
        <f t="shared" si="13"/>
        <v>40040.063000000009</v>
      </c>
      <c r="AK59" s="451">
        <f t="shared" si="13"/>
        <v>52084.130800000006</v>
      </c>
      <c r="AL59" s="451">
        <f t="shared" si="13"/>
        <v>58996.233200000002</v>
      </c>
      <c r="AM59" s="451">
        <f t="shared" si="13"/>
        <v>63869.449899999985</v>
      </c>
      <c r="AN59" s="451">
        <f t="shared" si="13"/>
        <v>68766.399999999994</v>
      </c>
      <c r="AO59" s="1145">
        <f t="shared" si="13"/>
        <v>74627.400000000009</v>
      </c>
      <c r="AP59" s="451">
        <f t="shared" si="13"/>
        <v>77475.259999999995</v>
      </c>
      <c r="AQ59" s="451">
        <f t="shared" si="13"/>
        <v>83155.599999999991</v>
      </c>
      <c r="AR59" s="451">
        <f t="shared" si="13"/>
        <v>92799.500000000015</v>
      </c>
      <c r="AT59" s="2148"/>
      <c r="AV59" s="1725" t="str">
        <f t="shared" si="7"/>
        <v>XO - Z</v>
      </c>
      <c r="BO59" s="1664" t="str">
        <f t="shared" si="6"/>
        <v>XO - Z</v>
      </c>
      <c r="BP59" s="784"/>
      <c r="CT59" s="2281">
        <v>2002</v>
      </c>
      <c r="CU59" s="2425">
        <v>6.4682386989177063</v>
      </c>
      <c r="CV59" s="1035">
        <f>НАСТРОЙКА!DR143</f>
        <v>5.5837802144642392</v>
      </c>
      <c r="DI59" s="2281">
        <v>2002</v>
      </c>
      <c r="DJ59" s="2132">
        <v>5409.1576999999997</v>
      </c>
      <c r="DK59" s="1495">
        <v>10819.270899999998</v>
      </c>
      <c r="DZ59" s="1594">
        <v>2005</v>
      </c>
      <c r="EA59" s="1616">
        <f t="shared" si="5"/>
        <v>1.5794168498581764</v>
      </c>
      <c r="EB59" s="1035"/>
    </row>
    <row r="60" spans="9:132" ht="17.399999999999999">
      <c r="I60" s="739" t="s">
        <v>131</v>
      </c>
      <c r="J60" s="40" t="s">
        <v>415</v>
      </c>
      <c r="K60" s="1426" t="s">
        <v>416</v>
      </c>
      <c r="L60" s="1426"/>
      <c r="M60" s="1426"/>
      <c r="N60" s="1426"/>
      <c r="O60" s="1663" t="s">
        <v>400</v>
      </c>
      <c r="P60" s="441">
        <f t="shared" ref="P60:AA60" si="14">P69+P70+P71</f>
        <v>0.44400000000000001</v>
      </c>
      <c r="Q60" s="441">
        <f t="shared" si="14"/>
        <v>0.85499999999999998</v>
      </c>
      <c r="R60" s="455">
        <f t="shared" si="14"/>
        <v>9.1840000000000011</v>
      </c>
      <c r="S60" s="455">
        <f t="shared" si="14"/>
        <v>106.754</v>
      </c>
      <c r="T60" s="455">
        <f t="shared" si="14"/>
        <v>422.05099999999999</v>
      </c>
      <c r="U60" s="1672">
        <f t="shared" si="14"/>
        <v>1016.5943000000001</v>
      </c>
      <c r="V60" s="1673">
        <f t="shared" si="14"/>
        <v>1435.8697999999999</v>
      </c>
      <c r="W60" s="1673">
        <f t="shared" si="14"/>
        <v>1776.1376</v>
      </c>
      <c r="X60" s="1673">
        <f t="shared" si="14"/>
        <v>2003.7901000000002</v>
      </c>
      <c r="Y60" s="1673">
        <f t="shared" si="14"/>
        <v>3285.6781000000001</v>
      </c>
      <c r="Z60" s="1672">
        <f t="shared" si="14"/>
        <v>4476.8508999999995</v>
      </c>
      <c r="AA60" s="1673">
        <f t="shared" si="14"/>
        <v>5886.8606</v>
      </c>
      <c r="AB60" s="1673">
        <v>7484.1154999999999</v>
      </c>
      <c r="AC60" s="1673">
        <v>9058.6875999999993</v>
      </c>
      <c r="AD60" s="1673">
        <v>11477.8496</v>
      </c>
      <c r="AE60" s="1672">
        <v>14438.1492</v>
      </c>
      <c r="AF60" s="1673">
        <v>17809.740699999998</v>
      </c>
      <c r="AG60" s="1673">
        <v>21968.5795</v>
      </c>
      <c r="AH60" s="1673">
        <v>27543.511399999999</v>
      </c>
      <c r="AI60" s="449">
        <v>29269.625</v>
      </c>
      <c r="AJ60" s="453">
        <v>32514.672999999999</v>
      </c>
      <c r="AK60" s="1016">
        <v>40692.217700000001</v>
      </c>
      <c r="AL60" s="1016">
        <v>46895.780100000004</v>
      </c>
      <c r="AM60" s="1016">
        <v>52274.283600000002</v>
      </c>
      <c r="AN60" s="1016">
        <v>56418.22</v>
      </c>
      <c r="AO60" s="1145">
        <v>58240.53</v>
      </c>
      <c r="AP60" s="1016">
        <v>61389.77</v>
      </c>
      <c r="AQ60" s="1016">
        <v>65165.440000000002</v>
      </c>
      <c r="AR60" s="1016">
        <v>69332.98</v>
      </c>
      <c r="AS60" s="1016"/>
      <c r="AT60" s="2148"/>
      <c r="AV60" s="1725" t="str">
        <f t="shared" si="7"/>
        <v>Y</v>
      </c>
      <c r="BO60" s="1664" t="str">
        <f t="shared" si="6"/>
        <v>Y</v>
      </c>
      <c r="BP60" s="784" t="s">
        <v>1430</v>
      </c>
      <c r="CT60" s="2281">
        <v>2003</v>
      </c>
      <c r="CU60" s="2425">
        <v>7.2584827706254744</v>
      </c>
      <c r="CV60" s="1035">
        <f>НАСТРОЙКА!DR144</f>
        <v>6.2538338401999489</v>
      </c>
      <c r="DI60" s="2281">
        <v>2003</v>
      </c>
      <c r="DJ60" s="2132">
        <v>6537.4014999999999</v>
      </c>
      <c r="DK60" s="1495">
        <v>13208.250299999998</v>
      </c>
      <c r="DZ60" s="1594">
        <v>2006</v>
      </c>
      <c r="EA60" s="1616">
        <f t="shared" si="5"/>
        <v>1.7721057055408742</v>
      </c>
      <c r="EB60" s="1035"/>
    </row>
    <row r="61" spans="9:132" ht="17.399999999999999">
      <c r="I61" s="739" t="s">
        <v>131</v>
      </c>
      <c r="J61" s="40" t="s">
        <v>417</v>
      </c>
      <c r="K61" s="1426" t="s">
        <v>418</v>
      </c>
      <c r="L61" s="1426"/>
      <c r="M61" s="1426"/>
      <c r="N61" s="1426"/>
      <c r="O61" s="1663" t="s">
        <v>400</v>
      </c>
      <c r="P61" s="441">
        <v>0.19400000000000001</v>
      </c>
      <c r="Q61" s="441">
        <v>0.50700000000000001</v>
      </c>
      <c r="R61" s="455">
        <v>6.5819999999999999</v>
      </c>
      <c r="S61" s="455">
        <v>46.317</v>
      </c>
      <c r="T61" s="455">
        <v>155.971</v>
      </c>
      <c r="U61" s="453">
        <v>363.36200000000002</v>
      </c>
      <c r="V61" s="449">
        <v>475.25639999999999</v>
      </c>
      <c r="W61" s="449">
        <v>514.80129999999997</v>
      </c>
      <c r="X61" s="449">
        <v>393.48219999999998</v>
      </c>
      <c r="Y61" s="449">
        <v>715.31949999999995</v>
      </c>
      <c r="Z61" s="453">
        <v>1365.7338</v>
      </c>
      <c r="AA61" s="449">
        <v>1963.1104</v>
      </c>
      <c r="AB61" s="449">
        <v>2169.3000000000002</v>
      </c>
      <c r="AC61" s="449">
        <v>2755</v>
      </c>
      <c r="AD61" s="449">
        <v>3558.9513999999999</v>
      </c>
      <c r="AE61" s="453">
        <v>4338.7304999999997</v>
      </c>
      <c r="AF61" s="449">
        <v>5698.7272999999996</v>
      </c>
      <c r="AG61" s="449">
        <v>8034.0982000000004</v>
      </c>
      <c r="AH61" s="449">
        <v>10526.116099999999</v>
      </c>
      <c r="AI61" s="449">
        <v>7344.7560000000003</v>
      </c>
      <c r="AJ61" s="453">
        <v>10472.629999999999</v>
      </c>
      <c r="AK61" s="1016">
        <v>14735.8874</v>
      </c>
      <c r="AL61" s="1016">
        <v>16730.202400000002</v>
      </c>
      <c r="AM61" s="1016">
        <v>16915.862100000002</v>
      </c>
      <c r="AN61" s="1016">
        <v>17883.66</v>
      </c>
      <c r="AO61" s="1145">
        <v>18603.39</v>
      </c>
      <c r="AP61" s="1016">
        <v>20242.849999999999</v>
      </c>
      <c r="AQ61" s="1016">
        <v>22189.208999999999</v>
      </c>
      <c r="AR61" s="1016">
        <v>23611.22</v>
      </c>
      <c r="AS61" s="1016"/>
      <c r="AT61" s="2148"/>
      <c r="AV61" s="1725" t="str">
        <f t="shared" si="7"/>
        <v>WN</v>
      </c>
      <c r="BO61" s="1664" t="str">
        <f t="shared" si="6"/>
        <v>WN</v>
      </c>
      <c r="BP61" s="784" t="s">
        <v>1430</v>
      </c>
      <c r="CT61" s="2281">
        <v>2004</v>
      </c>
      <c r="CU61" s="2425">
        <v>8.3282279936178867</v>
      </c>
      <c r="CV61" s="1035">
        <f>НАСТРОЙКА!DR145</f>
        <v>6.9855323995033425</v>
      </c>
      <c r="DI61" s="2281">
        <v>2004</v>
      </c>
      <c r="DJ61" s="2132">
        <v>8438.4840999999997</v>
      </c>
      <c r="DK61" s="1495">
        <v>17027.166999999998</v>
      </c>
      <c r="DZ61" s="1594">
        <v>2007</v>
      </c>
      <c r="EA61" s="1616">
        <f t="shared" si="5"/>
        <v>2.0255168214332193</v>
      </c>
      <c r="EB61" s="1035"/>
    </row>
    <row r="62" spans="9:132" ht="17.399999999999999">
      <c r="I62" s="739" t="s">
        <v>131</v>
      </c>
      <c r="J62" s="40" t="s">
        <v>419</v>
      </c>
      <c r="K62" s="1426" t="s">
        <v>420</v>
      </c>
      <c r="L62" s="1426"/>
      <c r="M62" s="1426"/>
      <c r="N62" s="1426"/>
      <c r="O62" s="1663" t="s">
        <v>400</v>
      </c>
      <c r="P62" s="441">
        <v>0.11700000000000001</v>
      </c>
      <c r="Q62" s="441">
        <v>0.18559999999999999</v>
      </c>
      <c r="R62" s="455">
        <v>11.847</v>
      </c>
      <c r="S62" s="455">
        <v>65.525000000000006</v>
      </c>
      <c r="T62" s="455">
        <v>169.53399999999999</v>
      </c>
      <c r="U62" s="453">
        <v>418.46850000000001</v>
      </c>
      <c r="V62" s="449">
        <v>523.46310000000005</v>
      </c>
      <c r="W62" s="449">
        <v>579.28650000000005</v>
      </c>
      <c r="X62" s="449">
        <v>821.04340000000002</v>
      </c>
      <c r="Y62" s="449">
        <v>2084.5850999999998</v>
      </c>
      <c r="Z62" s="453">
        <v>3218.8663000000001</v>
      </c>
      <c r="AA62" s="449">
        <v>3299.5617000000002</v>
      </c>
      <c r="AB62" s="449">
        <v>3813.7</v>
      </c>
      <c r="AC62" s="449">
        <v>4655.8802999999998</v>
      </c>
      <c r="AD62" s="449">
        <v>5860.3968999999997</v>
      </c>
      <c r="AE62" s="453">
        <v>7607.2565000000004</v>
      </c>
      <c r="AF62" s="449">
        <v>9079.2999999999993</v>
      </c>
      <c r="AG62" s="449">
        <v>10028.7621</v>
      </c>
      <c r="AH62" s="449">
        <v>12923.5537</v>
      </c>
      <c r="AI62" s="449">
        <v>10842.0262</v>
      </c>
      <c r="AJ62" s="453">
        <v>13529.311</v>
      </c>
      <c r="AK62" s="1016">
        <v>16865.192199999998</v>
      </c>
      <c r="AL62" s="1016">
        <v>18324.772300000001</v>
      </c>
      <c r="AM62" s="1016">
        <v>18863.370199999998</v>
      </c>
      <c r="AN62" s="1016">
        <v>21425.934600000001</v>
      </c>
      <c r="AO62" s="1145">
        <v>23854.05</v>
      </c>
      <c r="AP62" s="1016">
        <v>22137.648000000001</v>
      </c>
      <c r="AQ62" s="1016">
        <v>23994.3</v>
      </c>
      <c r="AR62" s="1016">
        <v>31932.55</v>
      </c>
      <c r="AS62" s="1016"/>
      <c r="AT62" s="2148"/>
      <c r="AV62" s="1725" t="str">
        <f t="shared" si="7"/>
        <v>EX</v>
      </c>
      <c r="BO62" s="1664" t="str">
        <f t="shared" si="6"/>
        <v>EX</v>
      </c>
      <c r="BP62" s="784"/>
      <c r="CT62" s="2281">
        <v>2005</v>
      </c>
      <c r="CU62" s="2425">
        <v>9.3704714639566831</v>
      </c>
      <c r="CV62" s="1035">
        <f>НАСТРОЙКА!DR146</f>
        <v>7.7469554310492068</v>
      </c>
      <c r="DI62" s="2281">
        <v>2005</v>
      </c>
      <c r="DJ62" s="2132">
        <v>10652.8578</v>
      </c>
      <c r="DK62" s="1495">
        <v>21609.765799999997</v>
      </c>
      <c r="DZ62" s="1594">
        <v>2008</v>
      </c>
      <c r="EA62" s="1616">
        <f t="shared" si="5"/>
        <v>2.2402216045051406</v>
      </c>
      <c r="EB62" s="1035"/>
    </row>
    <row r="63" spans="9:132" ht="17.399999999999999">
      <c r="I63" s="1651" t="s">
        <v>407</v>
      </c>
      <c r="J63" s="40" t="s">
        <v>421</v>
      </c>
      <c r="K63" s="1426" t="s">
        <v>422</v>
      </c>
      <c r="L63" s="1426"/>
      <c r="M63" s="1426"/>
      <c r="N63" s="1426"/>
      <c r="O63" s="1663" t="s">
        <v>400</v>
      </c>
      <c r="P63" s="441">
        <v>1.4000000000000123E-3</v>
      </c>
      <c r="Q63" s="441">
        <f t="shared" ref="Q63:AR63" si="15">Q62-Q52</f>
        <v>3.9999999999999758E-3</v>
      </c>
      <c r="R63" s="455">
        <f t="shared" si="15"/>
        <v>2.6739999999999995</v>
      </c>
      <c r="S63" s="455">
        <f t="shared" si="15"/>
        <v>13.225000000000009</v>
      </c>
      <c r="T63" s="455">
        <f t="shared" si="15"/>
        <v>27.869</v>
      </c>
      <c r="U63" s="453">
        <f t="shared" si="15"/>
        <v>48.565800000000024</v>
      </c>
      <c r="V63" s="449">
        <f t="shared" si="15"/>
        <v>84.769100000000037</v>
      </c>
      <c r="W63" s="449">
        <f t="shared" si="15"/>
        <v>51.575500000000034</v>
      </c>
      <c r="X63" s="449">
        <f t="shared" si="15"/>
        <v>175.40940000000001</v>
      </c>
      <c r="Y63" s="449">
        <f t="shared" si="15"/>
        <v>822.23609999999985</v>
      </c>
      <c r="Z63" s="453">
        <f t="shared" si="15"/>
        <v>1463.0623000000001</v>
      </c>
      <c r="AA63" s="455">
        <f t="shared" si="15"/>
        <v>1133.6337000000003</v>
      </c>
      <c r="AB63" s="455">
        <f t="shared" si="15"/>
        <v>1167.4959999999996</v>
      </c>
      <c r="AC63" s="455">
        <f t="shared" si="15"/>
        <v>1501.9802999999997</v>
      </c>
      <c r="AD63" s="455">
        <f t="shared" si="15"/>
        <v>2086.4968999999996</v>
      </c>
      <c r="AE63" s="453">
        <f t="shared" si="15"/>
        <v>2958.9565000000002</v>
      </c>
      <c r="AF63" s="455">
        <f t="shared" si="15"/>
        <v>3425.8800999999994</v>
      </c>
      <c r="AG63" s="455">
        <f t="shared" si="15"/>
        <v>2866.5513000000001</v>
      </c>
      <c r="AH63" s="455">
        <f t="shared" si="15"/>
        <v>3812.5671999999995</v>
      </c>
      <c r="AI63" s="455">
        <f t="shared" si="15"/>
        <v>2887.6990999999998</v>
      </c>
      <c r="AJ63" s="453">
        <f t="shared" si="15"/>
        <v>3739.6970000000001</v>
      </c>
      <c r="AK63" s="537">
        <f t="shared" si="15"/>
        <v>4854.4352999999974</v>
      </c>
      <c r="AL63" s="537">
        <f t="shared" si="15"/>
        <v>4537.9006000000008</v>
      </c>
      <c r="AM63" s="537">
        <f t="shared" si="15"/>
        <v>3943.749399999997</v>
      </c>
      <c r="AN63" s="537">
        <f t="shared" si="15"/>
        <v>5074.3991000000005</v>
      </c>
      <c r="AO63" s="1145">
        <f t="shared" si="15"/>
        <v>6700.630000000001</v>
      </c>
      <c r="AP63" s="537">
        <f t="shared" si="15"/>
        <v>4448.6039999999994</v>
      </c>
      <c r="AQ63" s="537">
        <f t="shared" si="15"/>
        <v>4921.3499999999985</v>
      </c>
      <c r="AR63" s="537">
        <f t="shared" si="15"/>
        <v>10358.25</v>
      </c>
      <c r="AS63" s="537"/>
      <c r="AT63" s="2148"/>
      <c r="AV63" s="1725" t="str">
        <f t="shared" si="7"/>
        <v>EX - IM</v>
      </c>
      <c r="BO63" s="1664" t="str">
        <f t="shared" si="6"/>
        <v>EX - IM</v>
      </c>
      <c r="BP63" s="784"/>
      <c r="CT63" s="2281">
        <v>2006</v>
      </c>
      <c r="CU63" s="2425">
        <v>10.171880121895711</v>
      </c>
      <c r="CV63" s="1035">
        <f>НАСТРОЙКА!DR147</f>
        <v>8.4441814198436358</v>
      </c>
      <c r="DI63" s="2281">
        <v>2006</v>
      </c>
      <c r="DJ63" s="2132">
        <v>12974.743399999999</v>
      </c>
      <c r="DK63" s="1495">
        <v>26917.203699999998</v>
      </c>
      <c r="DZ63" s="1594">
        <v>2009</v>
      </c>
      <c r="EA63" s="1616">
        <f t="shared" si="5"/>
        <v>2.1259703026753782</v>
      </c>
      <c r="EB63" s="1035"/>
    </row>
    <row r="64" spans="9:132" ht="17.399999999999999">
      <c r="I64" s="739" t="s">
        <v>131</v>
      </c>
      <c r="J64" s="40" t="s">
        <v>423</v>
      </c>
      <c r="K64" s="1426" t="s">
        <v>424</v>
      </c>
      <c r="L64" s="1426"/>
      <c r="M64" s="1426"/>
      <c r="N64" s="1426"/>
      <c r="O64" s="1663" t="s">
        <v>400</v>
      </c>
      <c r="P64" s="441">
        <v>4.3E-3</v>
      </c>
      <c r="Q64" s="441">
        <v>3.1899999999999998E-2</v>
      </c>
      <c r="R64" s="455">
        <v>0.5655</v>
      </c>
      <c r="S64" s="455">
        <v>5.2125000000000004</v>
      </c>
      <c r="T64" s="455">
        <v>4.8520000000000003</v>
      </c>
      <c r="U64" s="453">
        <v>0</v>
      </c>
      <c r="V64" s="449">
        <v>11.9298</v>
      </c>
      <c r="W64" s="449">
        <v>0</v>
      </c>
      <c r="X64" s="449">
        <v>56.941099999999999</v>
      </c>
      <c r="Y64" s="449">
        <v>0</v>
      </c>
      <c r="Z64" s="453">
        <v>0</v>
      </c>
      <c r="AA64" s="449">
        <v>-40.022599999999997</v>
      </c>
      <c r="AB64" s="449">
        <v>-1.7070000000000001</v>
      </c>
      <c r="AC64" s="449">
        <v>-107.4624</v>
      </c>
      <c r="AD64" s="449">
        <v>-96.143500000000003</v>
      </c>
      <c r="AE64" s="453">
        <v>-126.09529999999999</v>
      </c>
      <c r="AF64" s="449">
        <v>-17.179400000000001</v>
      </c>
      <c r="AG64" s="449">
        <v>378.2842</v>
      </c>
      <c r="AH64" s="449">
        <v>-605.34550000000002</v>
      </c>
      <c r="AI64" s="449">
        <v>-694.86199999999997</v>
      </c>
      <c r="AJ64" s="453">
        <v>-418.459</v>
      </c>
      <c r="AK64" s="1016">
        <v>0</v>
      </c>
      <c r="AL64" s="1016">
        <v>0</v>
      </c>
      <c r="AM64" s="1016">
        <v>0</v>
      </c>
      <c r="AN64" s="1016">
        <v>-317.8</v>
      </c>
      <c r="AO64" s="1145">
        <v>-450.2</v>
      </c>
      <c r="AP64" s="1016">
        <v>-67.02</v>
      </c>
      <c r="AQ64" s="1016">
        <v>-174.6</v>
      </c>
      <c r="AR64" s="1016">
        <v>573.33000000000004</v>
      </c>
      <c r="AS64" s="1016"/>
      <c r="AT64" s="2148"/>
      <c r="AV64" s="1725" t="str">
        <f t="shared" si="7"/>
        <v>STR</v>
      </c>
      <c r="BO64" s="1664" t="str">
        <f t="shared" si="6"/>
        <v>STR</v>
      </c>
      <c r="BP64" s="784"/>
      <c r="CT64" s="2281">
        <v>2007</v>
      </c>
      <c r="CU64" s="2425">
        <v>10.996054426330467</v>
      </c>
      <c r="CV64" s="1035">
        <f>НАСТРОЙКА!DR148</f>
        <v>9.4465057543790749</v>
      </c>
      <c r="DI64" s="2281">
        <v>2007</v>
      </c>
      <c r="DJ64" s="2132">
        <v>16031.739799999999</v>
      </c>
      <c r="DK64" s="1495">
        <v>33247.513200000001</v>
      </c>
      <c r="DZ64" s="1594">
        <v>2010</v>
      </c>
      <c r="EA64" s="1616">
        <f t="shared" si="5"/>
        <v>2.2428986693225239</v>
      </c>
      <c r="EB64" s="1035"/>
    </row>
    <row r="65" spans="9:145" ht="17.399999999999999">
      <c r="I65" s="739" t="s">
        <v>131</v>
      </c>
      <c r="J65" s="40" t="s">
        <v>741</v>
      </c>
      <c r="K65" s="1426" t="s">
        <v>426</v>
      </c>
      <c r="L65" s="1426"/>
      <c r="M65" s="1426"/>
      <c r="N65" s="1426"/>
      <c r="O65" s="1663" t="s">
        <v>400</v>
      </c>
      <c r="P65" s="441">
        <v>0.64379999999999993</v>
      </c>
      <c r="Q65" s="441">
        <v>1.3981000000000001</v>
      </c>
      <c r="R65" s="455">
        <v>19.006000000000004</v>
      </c>
      <c r="S65" s="455">
        <v>171.50900000000001</v>
      </c>
      <c r="T65" s="455">
        <v>610.83799999999997</v>
      </c>
      <c r="U65" s="1672">
        <v>1428.5209000000002</v>
      </c>
      <c r="V65" s="1673">
        <v>2007.8252000000007</v>
      </c>
      <c r="W65" s="1673">
        <v>2342.5136999999995</v>
      </c>
      <c r="X65" s="1673">
        <v>2629.6228999999998</v>
      </c>
      <c r="Y65" s="1673">
        <v>4823.2329000000009</v>
      </c>
      <c r="Z65" s="1672">
        <v>7305.6466</v>
      </c>
      <c r="AA65" s="1673">
        <v>8943.5826000000015</v>
      </c>
      <c r="AB65" s="1673">
        <v>10819.212299999999</v>
      </c>
      <c r="AC65" s="1673">
        <v>13208.2338</v>
      </c>
      <c r="AD65" s="1673">
        <v>17027.190900000001</v>
      </c>
      <c r="AE65" s="1672">
        <v>21609.765500000001</v>
      </c>
      <c r="AF65" s="1673">
        <v>26917.201400000002</v>
      </c>
      <c r="AG65" s="1673">
        <v>33247.513200000001</v>
      </c>
      <c r="AH65" s="1673">
        <v>41276.849199999997</v>
      </c>
      <c r="AI65" s="455">
        <v>38807.218999999997</v>
      </c>
      <c r="AJ65" s="453">
        <v>46308.540999999997</v>
      </c>
      <c r="AK65" s="1016">
        <v>60282.540399999998</v>
      </c>
      <c r="AL65" s="1016">
        <v>68163.883099999992</v>
      </c>
      <c r="AM65" s="1016">
        <v>73133.895099999994</v>
      </c>
      <c r="AN65" s="1016">
        <v>79058.48</v>
      </c>
      <c r="AO65" s="1145">
        <v>83094.3</v>
      </c>
      <c r="AP65" s="1016">
        <v>86014.2</v>
      </c>
      <c r="AQ65" s="1016">
        <v>92101.34</v>
      </c>
      <c r="AR65" s="1016">
        <v>103875.8</v>
      </c>
      <c r="AS65" s="1016"/>
      <c r="AT65" s="2148"/>
      <c r="AV65" s="1725" t="str">
        <f t="shared" si="7"/>
        <v>^WWP</v>
      </c>
      <c r="BO65" s="1664" t="str">
        <f t="shared" si="6"/>
        <v>^WWP</v>
      </c>
      <c r="BP65" s="784"/>
      <c r="CT65" s="2281">
        <v>2008</v>
      </c>
      <c r="CU65" s="2425">
        <v>12.382630991276981</v>
      </c>
      <c r="CV65" s="1035">
        <f>НАСТРОЙКА!DR149</f>
        <v>10.701001718560617</v>
      </c>
      <c r="DI65" s="2281">
        <v>2008</v>
      </c>
      <c r="DJ65" s="2132">
        <v>19966.954699999998</v>
      </c>
      <c r="DK65" s="1495">
        <v>41276.849199999997</v>
      </c>
      <c r="DZ65" s="1594">
        <v>2011</v>
      </c>
      <c r="EA65" s="1616">
        <f t="shared" si="5"/>
        <v>2.3954157788364556</v>
      </c>
      <c r="EB65" s="1035"/>
    </row>
    <row r="66" spans="9:145" ht="17.399999999999999">
      <c r="I66" s="1651" t="s">
        <v>407</v>
      </c>
      <c r="J66" s="40" t="s">
        <v>427</v>
      </c>
      <c r="K66" s="1426" t="s">
        <v>428</v>
      </c>
      <c r="L66" s="1426"/>
      <c r="M66" s="1426"/>
      <c r="N66" s="1426"/>
      <c r="O66" s="1663" t="s">
        <v>400</v>
      </c>
      <c r="P66" s="441">
        <f t="shared" ref="P66:AR66" si="16">P53+P54</f>
        <v>4.4600000000000001E-2</v>
      </c>
      <c r="Q66" s="441">
        <f t="shared" si="16"/>
        <v>5.1100000000000007E-2</v>
      </c>
      <c r="R66" s="455">
        <f t="shared" si="16"/>
        <v>0.33499999999999996</v>
      </c>
      <c r="S66" s="455">
        <f t="shared" si="16"/>
        <v>15.556999999999999</v>
      </c>
      <c r="T66" s="455">
        <f t="shared" si="16"/>
        <v>47.898000000000003</v>
      </c>
      <c r="U66" s="1672">
        <f t="shared" si="16"/>
        <v>108.89559999999999</v>
      </c>
      <c r="V66" s="1673">
        <f t="shared" si="16"/>
        <v>179.61600000000004</v>
      </c>
      <c r="W66" s="1673">
        <f t="shared" si="16"/>
        <v>214.59470000000002</v>
      </c>
      <c r="X66" s="1673">
        <f t="shared" si="16"/>
        <v>246.36329999999998</v>
      </c>
      <c r="Y66" s="1673">
        <f t="shared" si="16"/>
        <v>495.36020000000002</v>
      </c>
      <c r="Z66" s="1672">
        <f t="shared" si="16"/>
        <v>833.44749999999999</v>
      </c>
      <c r="AA66" s="1673">
        <f t="shared" si="16"/>
        <v>1097.4893</v>
      </c>
      <c r="AB66" s="1673">
        <f t="shared" si="16"/>
        <v>1249.3</v>
      </c>
      <c r="AC66" s="1673">
        <f t="shared" si="16"/>
        <v>1588.5</v>
      </c>
      <c r="AD66" s="1673">
        <f t="shared" si="16"/>
        <v>2168.4</v>
      </c>
      <c r="AE66" s="1672">
        <f t="shared" si="16"/>
        <v>3092.1</v>
      </c>
      <c r="AF66" s="1673">
        <f t="shared" si="16"/>
        <v>3939.8599999999997</v>
      </c>
      <c r="AG66" s="1673">
        <f t="shared" si="16"/>
        <v>4763.0419999999995</v>
      </c>
      <c r="AH66" s="1673">
        <f t="shared" si="16"/>
        <v>6094.1507999999994</v>
      </c>
      <c r="AI66" s="455">
        <f t="shared" si="16"/>
        <v>4975.8948999999993</v>
      </c>
      <c r="AJ66" s="453">
        <f t="shared" si="16"/>
        <v>6268.4679999999998</v>
      </c>
      <c r="AK66" s="537">
        <f t="shared" si="16"/>
        <v>8198.4096000000009</v>
      </c>
      <c r="AL66" s="537">
        <f t="shared" si="16"/>
        <v>9167.6498999999985</v>
      </c>
      <c r="AM66" s="537">
        <f t="shared" si="16"/>
        <v>9264.4451999999983</v>
      </c>
      <c r="AN66" s="537">
        <f t="shared" si="16"/>
        <v>10292.145999999999</v>
      </c>
      <c r="AO66" s="1145">
        <f t="shared" si="16"/>
        <v>8466.8595999999998</v>
      </c>
      <c r="AP66" s="537">
        <f t="shared" si="16"/>
        <v>8538.92</v>
      </c>
      <c r="AQ66" s="537">
        <f t="shared" si="16"/>
        <v>8945.76</v>
      </c>
      <c r="AR66" s="537">
        <f t="shared" si="16"/>
        <v>11076.27</v>
      </c>
      <c r="AT66" s="2148"/>
      <c r="AV66" s="1725" t="str">
        <f t="shared" si="7"/>
        <v>CN1</v>
      </c>
      <c r="BO66" s="1664" t="str">
        <f t="shared" si="6"/>
        <v>CN1</v>
      </c>
      <c r="BP66" s="784"/>
      <c r="CT66" s="2281">
        <v>2009</v>
      </c>
      <c r="CU66" s="2425">
        <v>13.714036448863869</v>
      </c>
      <c r="CV66" s="1035">
        <f>НАСТРОЙКА!DR150</f>
        <v>11.642689869793951</v>
      </c>
      <c r="DI66" s="2281">
        <v>2009</v>
      </c>
      <c r="DJ66" s="2132">
        <v>20986.036</v>
      </c>
      <c r="DK66" s="1495">
        <v>38807.270899999996</v>
      </c>
      <c r="DZ66" s="1594">
        <v>2012</v>
      </c>
      <c r="EA66" s="1616">
        <f t="shared" si="5"/>
        <v>2.5846536253645356</v>
      </c>
      <c r="EB66" s="1035"/>
    </row>
    <row r="67" spans="9:145" ht="17.399999999999999">
      <c r="I67" s="1651" t="s">
        <v>407</v>
      </c>
      <c r="J67" s="40" t="s">
        <v>429</v>
      </c>
      <c r="K67" s="1674"/>
      <c r="L67" s="1674"/>
      <c r="M67" s="1674"/>
      <c r="N67" s="1675" t="s">
        <v>430</v>
      </c>
      <c r="O67" s="1676" t="s">
        <v>400</v>
      </c>
      <c r="P67" s="441">
        <f>P54+P55</f>
        <v>1.2932999999999999</v>
      </c>
      <c r="Q67" s="441">
        <f t="shared" ref="Q67:AM67" si="17">Q51-Q56+Q66</f>
        <v>1.3981000000000001</v>
      </c>
      <c r="R67" s="455">
        <f t="shared" si="17"/>
        <v>19.006000000000004</v>
      </c>
      <c r="S67" s="455">
        <f t="shared" si="17"/>
        <v>171.50899999999999</v>
      </c>
      <c r="T67" s="455">
        <f t="shared" si="17"/>
        <v>610.83800000000008</v>
      </c>
      <c r="U67" s="1677">
        <f t="shared" si="17"/>
        <v>1428.5209</v>
      </c>
      <c r="V67" s="1678">
        <f t="shared" si="17"/>
        <v>2007.8252000000002</v>
      </c>
      <c r="W67" s="1678">
        <f t="shared" si="17"/>
        <v>2342.5137</v>
      </c>
      <c r="X67" s="1678">
        <f t="shared" si="17"/>
        <v>2629.6228999999998</v>
      </c>
      <c r="Y67" s="1678">
        <f t="shared" si="17"/>
        <v>4823.2329</v>
      </c>
      <c r="Z67" s="1679">
        <f t="shared" si="17"/>
        <v>7305.6466</v>
      </c>
      <c r="AA67" s="1166">
        <f t="shared" si="17"/>
        <v>8943.5825999999997</v>
      </c>
      <c r="AB67" s="1166">
        <f t="shared" si="17"/>
        <v>10819.270899999998</v>
      </c>
      <c r="AC67" s="1166">
        <f t="shared" si="17"/>
        <v>13208.250299999998</v>
      </c>
      <c r="AD67" s="1166">
        <f t="shared" si="17"/>
        <v>17027.166999999998</v>
      </c>
      <c r="AE67" s="1166">
        <f t="shared" si="17"/>
        <v>21609.765799999997</v>
      </c>
      <c r="AF67" s="1166">
        <f t="shared" si="17"/>
        <v>26917.203699999998</v>
      </c>
      <c r="AG67" s="1166">
        <f t="shared" si="17"/>
        <v>33247.513200000001</v>
      </c>
      <c r="AH67" s="1166">
        <f t="shared" si="17"/>
        <v>41276.849199999997</v>
      </c>
      <c r="AI67" s="1166">
        <f t="shared" si="17"/>
        <v>38807.270899999996</v>
      </c>
      <c r="AJ67" s="1166">
        <f t="shared" si="17"/>
        <v>46308.53100000001</v>
      </c>
      <c r="AK67" s="1167">
        <f t="shared" si="17"/>
        <v>60282.540400000005</v>
      </c>
      <c r="AL67" s="1167">
        <f t="shared" si="17"/>
        <v>68163.883100000006</v>
      </c>
      <c r="AM67" s="1167">
        <f t="shared" si="17"/>
        <v>73133.89509999998</v>
      </c>
      <c r="AN67" s="1167">
        <v>79058</v>
      </c>
      <c r="AO67" s="1168">
        <v>83094</v>
      </c>
      <c r="AP67" s="1167">
        <v>86014</v>
      </c>
      <c r="AQ67" s="2101">
        <v>92101</v>
      </c>
      <c r="AR67" s="2101">
        <v>103876</v>
      </c>
      <c r="AT67" s="2148"/>
      <c r="AV67" s="1725" t="str">
        <f t="shared" si="7"/>
        <v>WWP1</v>
      </c>
      <c r="BJ67" s="1640"/>
      <c r="BK67" s="1640"/>
      <c r="BN67" s="1680"/>
      <c r="BO67" s="1664" t="str">
        <f t="shared" si="6"/>
        <v>WWP1</v>
      </c>
      <c r="BP67" s="285" t="s">
        <v>33</v>
      </c>
      <c r="CT67" s="2281">
        <v>2010</v>
      </c>
      <c r="CU67" s="2425">
        <v>14.629133800462956</v>
      </c>
      <c r="CV67" s="1035">
        <f>НАСТРОЙКА!DR151</f>
        <v>12.664918040361862</v>
      </c>
      <c r="DI67" s="2281">
        <v>2010</v>
      </c>
      <c r="DJ67" s="2132">
        <v>23617.623</v>
      </c>
      <c r="DK67" s="1495">
        <v>46308.53100000001</v>
      </c>
      <c r="DZ67" s="1594">
        <v>2013</v>
      </c>
      <c r="EA67" s="1616">
        <f t="shared" si="5"/>
        <v>2.7190556138834916</v>
      </c>
      <c r="EB67" s="1035"/>
    </row>
    <row r="68" spans="9:145" ht="18" thickBot="1">
      <c r="I68" s="1651" t="s">
        <v>407</v>
      </c>
      <c r="J68" s="40" t="s">
        <v>431</v>
      </c>
      <c r="K68" s="1652"/>
      <c r="L68" s="1652"/>
      <c r="M68" s="1652"/>
      <c r="N68" s="1681" t="s">
        <v>430</v>
      </c>
      <c r="O68" s="1682" t="s">
        <v>400</v>
      </c>
      <c r="P68" s="441">
        <f>P55+P56</f>
        <v>1.9689999999999999</v>
      </c>
      <c r="Q68" s="441">
        <f t="shared" ref="Q68:AR68" si="18">Q69+Q70+Q71+Q61+Q63+Q64</f>
        <v>1.3979000000000001</v>
      </c>
      <c r="R68" s="455">
        <f t="shared" si="18"/>
        <v>19.005500000000001</v>
      </c>
      <c r="S68" s="455">
        <f t="shared" si="18"/>
        <v>171.5085</v>
      </c>
      <c r="T68" s="455">
        <f t="shared" si="18"/>
        <v>610.74299999999994</v>
      </c>
      <c r="U68" s="1683">
        <f t="shared" si="18"/>
        <v>1428.5221000000001</v>
      </c>
      <c r="V68" s="1684">
        <f t="shared" si="18"/>
        <v>2007.8251</v>
      </c>
      <c r="W68" s="1684">
        <f t="shared" si="18"/>
        <v>2342.5144</v>
      </c>
      <c r="X68" s="1684">
        <f t="shared" si="18"/>
        <v>2629.6228000000001</v>
      </c>
      <c r="Y68" s="1684">
        <f t="shared" si="18"/>
        <v>4823.2336999999998</v>
      </c>
      <c r="Z68" s="1685">
        <f t="shared" si="18"/>
        <v>7305.646999999999</v>
      </c>
      <c r="AA68" s="1169">
        <f t="shared" si="18"/>
        <v>8943.5820999999996</v>
      </c>
      <c r="AB68" s="1169">
        <f t="shared" si="18"/>
        <v>10819.204499999998</v>
      </c>
      <c r="AC68" s="1169">
        <f t="shared" si="18"/>
        <v>13208.205499999998</v>
      </c>
      <c r="AD68" s="1169">
        <f t="shared" si="18"/>
        <v>17027.154399999999</v>
      </c>
      <c r="AE68" s="1169">
        <f t="shared" si="18"/>
        <v>21609.740899999997</v>
      </c>
      <c r="AF68" s="1169">
        <f t="shared" si="18"/>
        <v>26917.168699999995</v>
      </c>
      <c r="AG68" s="1169">
        <f t="shared" si="18"/>
        <v>33247.513200000001</v>
      </c>
      <c r="AH68" s="1169">
        <f t="shared" si="18"/>
        <v>41276.849199999997</v>
      </c>
      <c r="AI68" s="1169">
        <f t="shared" si="18"/>
        <v>38807.325499999999</v>
      </c>
      <c r="AJ68" s="1169">
        <f t="shared" si="18"/>
        <v>46308.539999999994</v>
      </c>
      <c r="AK68" s="1169">
        <f t="shared" si="18"/>
        <v>60282.540399999998</v>
      </c>
      <c r="AL68" s="1169">
        <f t="shared" si="18"/>
        <v>68163.883100000006</v>
      </c>
      <c r="AM68" s="1169">
        <f t="shared" si="18"/>
        <v>73133.895099999994</v>
      </c>
      <c r="AN68" s="1169">
        <f t="shared" si="18"/>
        <v>79058.470099999991</v>
      </c>
      <c r="AO68" s="1170">
        <f t="shared" si="18"/>
        <v>83094.347000000009</v>
      </c>
      <c r="AP68" s="2177">
        <f t="shared" si="18"/>
        <v>86014.202999999994</v>
      </c>
      <c r="AQ68" s="2177">
        <f t="shared" si="18"/>
        <v>92101.486999999994</v>
      </c>
      <c r="AR68" s="2177">
        <f t="shared" si="18"/>
        <v>103875.77600000001</v>
      </c>
      <c r="AT68" s="2148"/>
      <c r="AV68" s="1725" t="str">
        <f t="shared" si="7"/>
        <v>WWP2</v>
      </c>
      <c r="BJ68" s="1429"/>
      <c r="BK68" s="1429"/>
      <c r="BN68" s="1686"/>
      <c r="BO68" s="1664" t="str">
        <f t="shared" si="6"/>
        <v>WWP2</v>
      </c>
      <c r="BP68" s="285" t="s">
        <v>34</v>
      </c>
      <c r="CT68" s="2281">
        <v>2011</v>
      </c>
      <c r="CU68" s="2425">
        <v>17.36421630879255</v>
      </c>
      <c r="CV68" s="1035">
        <f>НАСТРОЙКА!DR152</f>
        <v>13.437478040823935</v>
      </c>
      <c r="DI68" s="2281">
        <v>2011</v>
      </c>
      <c r="DJ68" s="2132">
        <v>29939.463500000002</v>
      </c>
      <c r="DK68" s="1495">
        <v>60282.540400000005</v>
      </c>
      <c r="DZ68" s="1594">
        <v>2014</v>
      </c>
      <c r="EA68" s="1616">
        <f t="shared" si="5"/>
        <v>2.7734367261611617</v>
      </c>
      <c r="EB68" s="1035"/>
    </row>
    <row r="69" spans="9:145" ht="17.399999999999999">
      <c r="I69" s="739" t="s">
        <v>132</v>
      </c>
      <c r="J69" s="40" t="s">
        <v>432</v>
      </c>
      <c r="K69" s="1426" t="s">
        <v>433</v>
      </c>
      <c r="L69" s="1426"/>
      <c r="M69" s="1426"/>
      <c r="N69" s="1426"/>
      <c r="O69" s="1663" t="s">
        <v>400</v>
      </c>
      <c r="P69" s="441">
        <v>0.30499999999999999</v>
      </c>
      <c r="Q69" s="441">
        <v>0.56499999999999995</v>
      </c>
      <c r="R69" s="455">
        <v>6.2080000000000002</v>
      </c>
      <c r="S69" s="455">
        <v>68.019000000000005</v>
      </c>
      <c r="T69" s="455">
        <v>267.11200000000002</v>
      </c>
      <c r="U69" s="453">
        <v>719.79349999999999</v>
      </c>
      <c r="V69" s="454">
        <v>1007.827</v>
      </c>
      <c r="W69" s="449">
        <v>1235.2137</v>
      </c>
      <c r="X69" s="449">
        <v>1462.2840000000001</v>
      </c>
      <c r="Y69" s="449">
        <v>2526.1678999999999</v>
      </c>
      <c r="Z69" s="453">
        <v>3295.2372999999998</v>
      </c>
      <c r="AA69" s="449">
        <v>4318.1211000000003</v>
      </c>
      <c r="AB69" s="449">
        <v>5409.1576999999997</v>
      </c>
      <c r="AC69" s="449">
        <v>6537.4014999999999</v>
      </c>
      <c r="AD69" s="449">
        <v>8438.4840999999997</v>
      </c>
      <c r="AE69" s="1687">
        <v>10652.8578</v>
      </c>
      <c r="AF69" s="449">
        <v>12974.743399999999</v>
      </c>
      <c r="AG69" s="449">
        <v>16031.739799999999</v>
      </c>
      <c r="AH69" s="449">
        <v>19966.954699999998</v>
      </c>
      <c r="AI69" s="449">
        <v>20986.036</v>
      </c>
      <c r="AJ69" s="453">
        <v>23617.623</v>
      </c>
      <c r="AK69" s="1146">
        <v>29939.463500000002</v>
      </c>
      <c r="AL69" s="1146">
        <v>34492.361700000001</v>
      </c>
      <c r="AM69" s="1146">
        <v>38465.140799999994</v>
      </c>
      <c r="AN69" s="1146">
        <v>41954.83</v>
      </c>
      <c r="AO69" s="1145">
        <v>43242.32</v>
      </c>
      <c r="AP69" s="1146">
        <v>45317.05</v>
      </c>
      <c r="AQ69" s="1146">
        <v>48135.66</v>
      </c>
      <c r="AR69" s="1146">
        <v>50851.05</v>
      </c>
      <c r="AS69" s="1146"/>
      <c r="AT69" s="2148"/>
      <c r="AV69" s="1725" t="str">
        <f t="shared" si="7"/>
        <v>YD</v>
      </c>
      <c r="BO69" s="1664" t="str">
        <f t="shared" si="6"/>
        <v>YD</v>
      </c>
      <c r="BP69" s="784" t="s">
        <v>1429</v>
      </c>
      <c r="CT69" s="2281">
        <v>2012</v>
      </c>
      <c r="CU69" s="2425">
        <v>18.540125110660799</v>
      </c>
      <c r="CV69" s="1035">
        <f>НАСТРОЙКА!DR153</f>
        <v>14.321664095910151</v>
      </c>
      <c r="DI69" s="2281">
        <v>2012</v>
      </c>
      <c r="DJ69" s="2132">
        <v>34492.361700000001</v>
      </c>
      <c r="DK69" s="1495">
        <v>68163.883100000006</v>
      </c>
      <c r="DZ69" s="1594">
        <v>2015</v>
      </c>
      <c r="EA69" s="1616">
        <f t="shared" si="5"/>
        <v>2.5127336739020127</v>
      </c>
      <c r="EB69" s="1035"/>
      <c r="EO69" s="1614" t="s">
        <v>1191</v>
      </c>
    </row>
    <row r="70" spans="9:145" ht="17.399999999999999">
      <c r="I70" s="739" t="s">
        <v>132</v>
      </c>
      <c r="J70" s="40" t="s">
        <v>434</v>
      </c>
      <c r="K70" s="1426" t="s">
        <v>435</v>
      </c>
      <c r="L70" s="1426"/>
      <c r="M70" s="1426"/>
      <c r="N70" s="1426"/>
      <c r="O70" s="1663" t="s">
        <v>400</v>
      </c>
      <c r="P70" s="441">
        <v>0.13400000000000001</v>
      </c>
      <c r="Q70" s="441">
        <v>0.23089999999999999</v>
      </c>
      <c r="R70" s="455">
        <v>2.6339999999999999</v>
      </c>
      <c r="S70" s="455">
        <v>29.757999999999999</v>
      </c>
      <c r="T70" s="455">
        <v>136.68199999999999</v>
      </c>
      <c r="U70" s="453">
        <v>272.50150000000002</v>
      </c>
      <c r="V70" s="449">
        <v>391.38130000000001</v>
      </c>
      <c r="W70" s="449">
        <v>493.57350000000002</v>
      </c>
      <c r="X70" s="449">
        <v>492.62060000000002</v>
      </c>
      <c r="Y70" s="449">
        <v>703.20910000000003</v>
      </c>
      <c r="Z70" s="453">
        <v>1102.4971</v>
      </c>
      <c r="AA70" s="449">
        <v>1469.9576</v>
      </c>
      <c r="AB70" s="449">
        <v>1942.4418000000001</v>
      </c>
      <c r="AC70" s="449">
        <v>2366.3687</v>
      </c>
      <c r="AD70" s="1673">
        <v>2889.8145</v>
      </c>
      <c r="AE70" s="1687">
        <v>3645.9185000000002</v>
      </c>
      <c r="AF70" s="455">
        <v>4680.4097000000002</v>
      </c>
      <c r="AG70" s="455">
        <v>5750.9641000000001</v>
      </c>
      <c r="AH70" s="455">
        <v>7359.8441999999995</v>
      </c>
      <c r="AI70" s="455">
        <v>8066.7</v>
      </c>
      <c r="AJ70" s="453">
        <v>8671.3230000000003</v>
      </c>
      <c r="AK70" s="1146">
        <v>10527.4218</v>
      </c>
      <c r="AL70" s="1146">
        <v>12155.9717</v>
      </c>
      <c r="AM70" s="1146">
        <v>13551.946099999999</v>
      </c>
      <c r="AN70" s="1146">
        <v>14173.19</v>
      </c>
      <c r="AO70" s="1145">
        <v>14684.12</v>
      </c>
      <c r="AP70" s="1146">
        <v>15728.49</v>
      </c>
      <c r="AQ70" s="1146">
        <v>16649.189999999999</v>
      </c>
      <c r="AR70" s="1146">
        <v>18049.3</v>
      </c>
      <c r="AT70" s="2148"/>
      <c r="AV70" s="1725" t="str">
        <f t="shared" si="7"/>
        <v>YG</v>
      </c>
      <c r="BO70" s="1664" t="str">
        <f t="shared" si="6"/>
        <v>YG</v>
      </c>
      <c r="BP70" s="784" t="s">
        <v>1429</v>
      </c>
      <c r="CT70" s="2281">
        <v>2013</v>
      </c>
      <c r="CU70" s="2425">
        <v>19.653563919076568</v>
      </c>
      <c r="CV70" s="1035">
        <f>НАСТРОЙКА!DR154</f>
        <v>15.245411430096356</v>
      </c>
      <c r="DI70" s="2281">
        <v>2013</v>
      </c>
      <c r="DJ70" s="2132">
        <v>38465.140799999994</v>
      </c>
      <c r="DK70" s="1495">
        <v>73133.89509999998</v>
      </c>
      <c r="DZ70" s="1594">
        <v>2016</v>
      </c>
      <c r="EA70" s="1616">
        <f t="shared" si="5"/>
        <v>2.4649917340978744</v>
      </c>
      <c r="EB70" s="1035"/>
    </row>
    <row r="71" spans="9:145" ht="17.399999999999999">
      <c r="I71" s="739" t="s">
        <v>132</v>
      </c>
      <c r="J71" s="40" t="s">
        <v>436</v>
      </c>
      <c r="K71" s="1426" t="s">
        <v>437</v>
      </c>
      <c r="L71" s="1426"/>
      <c r="M71" s="1426"/>
      <c r="N71" s="1426"/>
      <c r="O71" s="1663" t="s">
        <v>400</v>
      </c>
      <c r="P71" s="453">
        <v>5.0000000000000001E-3</v>
      </c>
      <c r="Q71" s="449">
        <v>5.9100000000000041E-2</v>
      </c>
      <c r="R71" s="449">
        <v>0.34200000000000003</v>
      </c>
      <c r="S71" s="449">
        <v>8.9770000000000003</v>
      </c>
      <c r="T71" s="449">
        <v>18.257000000000001</v>
      </c>
      <c r="U71" s="453">
        <v>24.299299999999999</v>
      </c>
      <c r="V71" s="449">
        <v>36.661499999999997</v>
      </c>
      <c r="W71" s="449">
        <v>47.3504</v>
      </c>
      <c r="X71" s="449">
        <v>48.8855</v>
      </c>
      <c r="Y71" s="449">
        <v>56.301099999999998</v>
      </c>
      <c r="Z71" s="453">
        <v>79.116500000000002</v>
      </c>
      <c r="AA71" s="449">
        <v>98.781899999999993</v>
      </c>
      <c r="AB71" s="449">
        <v>132.51599999999999</v>
      </c>
      <c r="AC71" s="449">
        <v>154.91739999999999</v>
      </c>
      <c r="AD71" s="1673">
        <v>149.55099999999999</v>
      </c>
      <c r="AE71" s="453">
        <v>139.37289999999999</v>
      </c>
      <c r="AF71" s="455">
        <v>154.58760000000001</v>
      </c>
      <c r="AG71" s="455">
        <v>185.87559999999999</v>
      </c>
      <c r="AH71" s="455">
        <v>216.71250000000001</v>
      </c>
      <c r="AI71" s="455">
        <v>216.99639999999999</v>
      </c>
      <c r="AJ71" s="453">
        <v>225.726</v>
      </c>
      <c r="AK71" s="1146">
        <v>225.33240000000001</v>
      </c>
      <c r="AL71" s="1146">
        <v>247.44670000000002</v>
      </c>
      <c r="AM71" s="1146">
        <v>257.19670000000002</v>
      </c>
      <c r="AN71" s="1146">
        <v>290.19099999999997</v>
      </c>
      <c r="AO71" s="1145">
        <v>314.08699999999999</v>
      </c>
      <c r="AP71" s="1146">
        <v>344.22899999999998</v>
      </c>
      <c r="AQ71" s="1146">
        <v>380.678</v>
      </c>
      <c r="AR71" s="1146">
        <v>432.62599999999998</v>
      </c>
      <c r="AS71" s="1146"/>
      <c r="AT71" s="2148"/>
      <c r="AV71" s="1725" t="str">
        <f>J71</f>
        <v>YNК</v>
      </c>
      <c r="BO71" s="1664" t="e">
        <f>#REF!</f>
        <v>#REF!</v>
      </c>
      <c r="BP71" s="784"/>
      <c r="CT71" s="2281">
        <v>2014</v>
      </c>
      <c r="CU71" s="2425">
        <v>21.016276952701091</v>
      </c>
      <c r="CV71" s="1035">
        <f>НАСТРОЙКА!DR155</f>
        <v>17.318787384589459</v>
      </c>
      <c r="DI71" s="2281">
        <v>2014</v>
      </c>
      <c r="DJ71" s="2132">
        <v>41954.83</v>
      </c>
      <c r="DK71" s="1495">
        <v>79058</v>
      </c>
      <c r="DZ71" s="1594">
        <v>2017</v>
      </c>
      <c r="EA71" s="1616">
        <f t="shared" si="5"/>
        <v>2.5463364613231039</v>
      </c>
      <c r="EB71" s="1035"/>
    </row>
    <row r="72" spans="9:145" ht="17.399999999999999">
      <c r="J72" s="40"/>
      <c r="K72" s="1426"/>
      <c r="L72" s="1426"/>
      <c r="M72" s="1426"/>
      <c r="N72" s="1426"/>
      <c r="O72" s="1663"/>
      <c r="P72" s="453"/>
      <c r="Q72" s="449"/>
      <c r="R72" s="449"/>
      <c r="S72" s="449"/>
      <c r="T72" s="449"/>
      <c r="U72" s="453"/>
      <c r="V72" s="455"/>
      <c r="W72" s="455"/>
      <c r="X72" s="455"/>
      <c r="Y72" s="455"/>
      <c r="Z72" s="453"/>
      <c r="AA72" s="455"/>
      <c r="AB72" s="455"/>
      <c r="AC72" s="455"/>
      <c r="AD72" s="455"/>
      <c r="AE72" s="453"/>
      <c r="AF72" s="455"/>
      <c r="AG72" s="455"/>
      <c r="AH72" s="455"/>
      <c r="AI72" s="455"/>
      <c r="AJ72" s="453"/>
      <c r="AK72" s="455"/>
      <c r="AL72" s="455"/>
      <c r="AM72" s="455"/>
      <c r="AN72" s="455"/>
      <c r="AO72" s="1145"/>
      <c r="AP72" s="1154"/>
      <c r="AT72" s="2148"/>
      <c r="AV72" s="1725">
        <f t="shared" si="7"/>
        <v>0</v>
      </c>
      <c r="BO72" s="1664">
        <f t="shared" si="6"/>
        <v>0</v>
      </c>
      <c r="BP72" s="784"/>
      <c r="CT72" s="2281">
        <v>2015</v>
      </c>
      <c r="CU72" s="2425">
        <v>23.908625308988828</v>
      </c>
      <c r="CV72" s="1035">
        <f>НАСТРОЙКА!DR156</f>
        <v>19.552910957201501</v>
      </c>
      <c r="DI72" s="2281">
        <v>2015</v>
      </c>
      <c r="DJ72" s="2132">
        <v>43242.32</v>
      </c>
      <c r="DK72" s="1495">
        <v>83094</v>
      </c>
      <c r="DZ72" s="1594">
        <v>2018</v>
      </c>
      <c r="EA72" s="1616">
        <f t="shared" si="5"/>
        <v>2.6049021999335351</v>
      </c>
      <c r="EB72" s="1035"/>
    </row>
    <row r="73" spans="9:145" ht="18">
      <c r="J73" s="40"/>
      <c r="K73" s="1426"/>
      <c r="L73" s="1426"/>
      <c r="M73" s="1426"/>
      <c r="N73" s="1426"/>
      <c r="O73" s="1663"/>
      <c r="P73" s="453"/>
      <c r="Q73" s="449"/>
      <c r="R73" s="449"/>
      <c r="S73" s="449"/>
      <c r="T73" s="449"/>
      <c r="U73" s="453"/>
      <c r="V73" s="447"/>
      <c r="W73" s="447"/>
      <c r="X73" s="447"/>
      <c r="Y73" s="447"/>
      <c r="Z73" s="453"/>
      <c r="AA73" s="447"/>
      <c r="AB73" s="447"/>
      <c r="AC73" s="447"/>
      <c r="AD73" s="447"/>
      <c r="AE73" s="453"/>
      <c r="AF73" s="447"/>
      <c r="AG73" s="447"/>
      <c r="AH73" s="447"/>
      <c r="AI73" s="447"/>
      <c r="AJ73" s="453"/>
      <c r="AK73" s="447"/>
      <c r="AL73" s="447"/>
      <c r="AM73" s="447"/>
      <c r="AN73" s="447"/>
      <c r="AO73" s="1145"/>
      <c r="AP73" s="1054"/>
      <c r="AT73" s="2148"/>
      <c r="AV73" s="1725">
        <f t="shared" si="7"/>
        <v>0</v>
      </c>
      <c r="BO73" s="1664">
        <f t="shared" si="6"/>
        <v>0</v>
      </c>
      <c r="BP73" s="784"/>
      <c r="CT73" s="2281">
        <v>2016</v>
      </c>
      <c r="CU73" s="2425">
        <v>25.541020349632802</v>
      </c>
      <c r="CV73" s="1035">
        <f>НАСТРОЙКА!DR157</f>
        <v>20.606812857794662</v>
      </c>
      <c r="DI73" s="2281">
        <v>2016</v>
      </c>
      <c r="DJ73" s="2132">
        <v>45317.05</v>
      </c>
      <c r="DK73" s="1495">
        <v>86014</v>
      </c>
      <c r="DZ73" s="1594">
        <v>2019</v>
      </c>
      <c r="EA73" s="1617"/>
      <c r="EB73" s="1035"/>
    </row>
    <row r="74" spans="9:145" ht="18">
      <c r="J74" s="40"/>
      <c r="K74" s="1426"/>
      <c r="L74" s="1426"/>
      <c r="M74" s="1426"/>
      <c r="N74" s="1426"/>
      <c r="O74" s="1663"/>
      <c r="P74" s="453"/>
      <c r="Q74" s="449"/>
      <c r="R74" s="449"/>
      <c r="S74" s="449"/>
      <c r="T74" s="449"/>
      <c r="U74" s="453"/>
      <c r="V74" s="450"/>
      <c r="W74" s="450"/>
      <c r="X74" s="450"/>
      <c r="Y74" s="450"/>
      <c r="Z74" s="453"/>
      <c r="AA74" s="450"/>
      <c r="AB74" s="450"/>
      <c r="AC74" s="450"/>
      <c r="AD74" s="450"/>
      <c r="AE74" s="453"/>
      <c r="AF74" s="450"/>
      <c r="AG74" s="450"/>
      <c r="AH74" s="450"/>
      <c r="AI74" s="450"/>
      <c r="AJ74" s="453"/>
      <c r="AK74" s="450"/>
      <c r="AL74" s="450"/>
      <c r="AM74" s="450"/>
      <c r="AN74" s="450"/>
      <c r="AO74" s="1145"/>
      <c r="AP74" s="1066"/>
      <c r="AT74" s="2148"/>
      <c r="AV74" s="1725">
        <f t="shared" si="7"/>
        <v>0</v>
      </c>
      <c r="BO74" s="1664">
        <f t="shared" si="6"/>
        <v>0</v>
      </c>
      <c r="BP74" s="784"/>
      <c r="CT74" s="2281">
        <v>2017</v>
      </c>
      <c r="CU74" s="2425">
        <v>26.262932750374507</v>
      </c>
      <c r="CV74" s="1035">
        <f>НАСТРОЙКА!DR158</f>
        <v>21.124043860525305</v>
      </c>
      <c r="DI74" s="2281">
        <v>2017</v>
      </c>
      <c r="DJ74" s="2137">
        <v>48135.66</v>
      </c>
      <c r="DK74" s="1794">
        <v>92101</v>
      </c>
      <c r="DZ74" s="1594">
        <v>2020</v>
      </c>
      <c r="EA74" s="1610"/>
      <c r="EB74" s="1035"/>
    </row>
    <row r="75" spans="9:145" ht="18">
      <c r="J75" s="40"/>
      <c r="K75" s="1426"/>
      <c r="L75" s="1426"/>
      <c r="M75" s="1426"/>
      <c r="N75" s="1426"/>
      <c r="O75" s="1663"/>
      <c r="P75" s="453"/>
      <c r="Q75" s="449"/>
      <c r="R75" s="449"/>
      <c r="S75" s="449"/>
      <c r="T75" s="449"/>
      <c r="U75" s="453"/>
      <c r="V75" s="1688"/>
      <c r="W75" s="1688"/>
      <c r="X75" s="1688"/>
      <c r="Y75" s="272"/>
      <c r="Z75" s="453"/>
      <c r="AA75" s="272"/>
      <c r="AB75" s="272"/>
      <c r="AC75" s="272"/>
      <c r="AD75" s="272"/>
      <c r="AE75" s="453"/>
      <c r="AF75" s="272"/>
      <c r="AG75" s="272"/>
      <c r="AH75" s="272"/>
      <c r="AI75" s="272"/>
      <c r="AJ75" s="453"/>
      <c r="AK75" s="272"/>
      <c r="AL75" s="272"/>
      <c r="AM75" s="272"/>
      <c r="AN75" s="272"/>
      <c r="AO75" s="1145"/>
      <c r="AP75" s="1054"/>
      <c r="AT75" s="2148"/>
      <c r="AV75" s="1725">
        <f t="shared" si="7"/>
        <v>0</v>
      </c>
      <c r="BO75" s="1664">
        <f t="shared" si="6"/>
        <v>0</v>
      </c>
      <c r="BP75" s="784"/>
      <c r="CT75" s="2281">
        <v>2018</v>
      </c>
      <c r="CU75" s="2425">
        <v>27.120680464307846</v>
      </c>
      <c r="CV75" s="1035">
        <f>НАСТРОЙКА!DR159</f>
        <v>22.02392812898368</v>
      </c>
      <c r="DI75" s="2281">
        <v>2018</v>
      </c>
      <c r="DJ75" s="2137">
        <v>50851.05</v>
      </c>
      <c r="DK75" s="1794">
        <v>103876</v>
      </c>
      <c r="DZ75" s="1594">
        <v>2021</v>
      </c>
      <c r="EA75" s="1610"/>
      <c r="EB75" s="1035"/>
    </row>
    <row r="76" spans="9:145" ht="18">
      <c r="J76" s="40"/>
      <c r="K76" s="1426"/>
      <c r="L76" s="1426"/>
      <c r="M76" s="1426"/>
      <c r="N76" s="1426"/>
      <c r="O76" s="1663"/>
      <c r="P76" s="453"/>
      <c r="Q76" s="449"/>
      <c r="R76" s="449"/>
      <c r="S76" s="449"/>
      <c r="T76" s="449"/>
      <c r="U76" s="453"/>
      <c r="V76" s="455"/>
      <c r="W76" s="455"/>
      <c r="X76" s="455"/>
      <c r="Y76" s="455"/>
      <c r="Z76" s="453"/>
      <c r="AA76" s="455"/>
      <c r="AB76" s="455"/>
      <c r="AC76" s="455"/>
      <c r="AD76" s="455"/>
      <c r="AE76" s="453"/>
      <c r="AF76" s="455"/>
      <c r="AG76" s="455"/>
      <c r="AH76" s="455"/>
      <c r="AI76" s="455"/>
      <c r="AJ76" s="453"/>
      <c r="AK76" s="455"/>
      <c r="AL76" s="455"/>
      <c r="AM76" s="455"/>
      <c r="AN76" s="455"/>
      <c r="AO76" s="455"/>
      <c r="AP76" s="455"/>
      <c r="AQ76" s="455"/>
      <c r="AR76" s="455"/>
      <c r="AT76" s="2148"/>
      <c r="AV76" s="1725">
        <f t="shared" si="7"/>
        <v>0</v>
      </c>
      <c r="BO76" s="1664">
        <f t="shared" si="6"/>
        <v>0</v>
      </c>
      <c r="BP76" s="784"/>
      <c r="CT76" s="2281">
        <v>2019</v>
      </c>
      <c r="CU76" s="838"/>
      <c r="CV76" s="1035">
        <f>НАСТРОЙКА!DR160</f>
        <v>22.693455544104783</v>
      </c>
      <c r="DI76" s="2281">
        <v>2019</v>
      </c>
      <c r="DJ76" s="2137"/>
      <c r="DK76" s="1794"/>
      <c r="DZ76" s="1594">
        <v>2022</v>
      </c>
      <c r="EA76" s="1610"/>
      <c r="EB76" s="1035"/>
    </row>
    <row r="77" spans="9:145" ht="18">
      <c r="J77" s="40"/>
      <c r="O77" s="1663"/>
      <c r="P77" s="453"/>
      <c r="U77" s="453"/>
      <c r="Z77" s="453"/>
      <c r="AE77" s="453"/>
      <c r="AJ77" s="453"/>
      <c r="BO77" s="1664" t="str">
        <f>J71</f>
        <v>YNК</v>
      </c>
      <c r="BP77" s="784" t="s">
        <v>1429</v>
      </c>
      <c r="CT77" s="2281">
        <v>2020</v>
      </c>
      <c r="CU77" s="838"/>
      <c r="CV77" s="1035">
        <f>НАСТРОЙКА!DR161</f>
        <v>23.807704211320324</v>
      </c>
      <c r="DI77" s="2281">
        <v>2020</v>
      </c>
      <c r="DJ77" s="2137"/>
      <c r="DK77" s="1794"/>
      <c r="DZ77" s="1594">
        <v>2023</v>
      </c>
      <c r="EA77" s="1610"/>
      <c r="EB77" s="1035"/>
    </row>
    <row r="78" spans="9:145" ht="18">
      <c r="J78" s="2276" t="s">
        <v>1873</v>
      </c>
      <c r="K78" s="1426" t="s">
        <v>1871</v>
      </c>
      <c r="L78" s="1426"/>
      <c r="M78" s="1426"/>
      <c r="N78" s="1426"/>
      <c r="O78" s="1663" t="s">
        <v>1872</v>
      </c>
      <c r="P78" s="453"/>
      <c r="Q78" s="1690"/>
      <c r="R78" s="1690"/>
      <c r="S78" s="1690"/>
      <c r="T78" s="1690"/>
      <c r="U78" s="453"/>
      <c r="V78" s="537"/>
      <c r="W78" s="537"/>
      <c r="X78" s="537"/>
      <c r="Y78" s="537"/>
      <c r="Z78" s="453"/>
      <c r="AA78" s="537"/>
      <c r="AB78" s="537"/>
      <c r="AC78" s="537"/>
      <c r="AD78" s="537"/>
      <c r="AE78" s="453"/>
      <c r="AF78" s="537"/>
      <c r="AG78" s="537"/>
      <c r="AH78" s="537"/>
      <c r="AI78" s="537"/>
      <c r="AJ78" s="453"/>
      <c r="AK78" s="537"/>
      <c r="AL78" s="537"/>
      <c r="AM78" s="537"/>
      <c r="AN78" s="537"/>
      <c r="AO78" s="537"/>
      <c r="AP78" s="537"/>
      <c r="AT78" s="2148"/>
      <c r="AV78" s="1725" t="str">
        <f t="shared" si="7"/>
        <v>k$</v>
      </c>
      <c r="BO78" s="1664" t="str">
        <f t="shared" si="6"/>
        <v>k$</v>
      </c>
      <c r="BP78" s="1144" t="s">
        <v>474</v>
      </c>
      <c r="CT78" s="2281">
        <v>2021</v>
      </c>
      <c r="CU78" s="838"/>
      <c r="CV78" s="1035">
        <f>НАСТРОЙКА!DR162</f>
        <v>24.998089421886341</v>
      </c>
      <c r="DI78" s="2281">
        <v>2021</v>
      </c>
      <c r="DJ78" s="2137"/>
      <c r="DK78" s="1794"/>
      <c r="DZ78" s="1594">
        <v>2024</v>
      </c>
      <c r="EA78" s="1610"/>
      <c r="EB78" s="1035"/>
    </row>
    <row r="79" spans="9:145" ht="18">
      <c r="I79" s="739" t="s">
        <v>438</v>
      </c>
      <c r="J79" s="40" t="s">
        <v>439</v>
      </c>
      <c r="K79" s="1426" t="s">
        <v>440</v>
      </c>
      <c r="L79" s="1426"/>
      <c r="M79" s="1426"/>
      <c r="N79" s="1426"/>
      <c r="O79" s="1663" t="s">
        <v>400</v>
      </c>
      <c r="P79" s="1173">
        <v>0.249</v>
      </c>
      <c r="Q79" s="739">
        <v>0.215</v>
      </c>
      <c r="R79" s="739">
        <v>2.67</v>
      </c>
      <c r="S79" s="739">
        <v>27.125</v>
      </c>
      <c r="T79" s="1174">
        <v>108.81</v>
      </c>
      <c r="U79" s="1672">
        <v>266.97399999999999</v>
      </c>
      <c r="V79" s="1673">
        <v>375.95800000000003</v>
      </c>
      <c r="W79" s="1673">
        <v>408.79700000000003</v>
      </c>
      <c r="X79" s="1673">
        <v>407.08600000000001</v>
      </c>
      <c r="Y79" s="1673">
        <v>670.43899999999996</v>
      </c>
      <c r="Z79" s="1672">
        <v>1165.2339999999999</v>
      </c>
      <c r="AA79" s="484">
        <v>1504.7</v>
      </c>
      <c r="AB79" s="484">
        <v>1762.4</v>
      </c>
      <c r="AC79" s="484">
        <v>2186.4</v>
      </c>
      <c r="AD79" s="484">
        <v>2865</v>
      </c>
      <c r="AE79" s="1691">
        <v>3611.1</v>
      </c>
      <c r="AF79" s="449">
        <v>4730</v>
      </c>
      <c r="AG79" s="449">
        <v>6716.2219999999998</v>
      </c>
      <c r="AH79" s="449">
        <v>8781.616</v>
      </c>
      <c r="AI79" s="455">
        <v>7976.0129999999999</v>
      </c>
      <c r="AJ79" s="620">
        <v>9152.1</v>
      </c>
      <c r="AK79" s="451">
        <v>11035.652</v>
      </c>
      <c r="AL79" s="451">
        <v>12586.090400000001</v>
      </c>
      <c r="AM79" s="451">
        <v>13450.2382</v>
      </c>
      <c r="AN79" s="451">
        <v>13902.6453</v>
      </c>
      <c r="AO79" s="1145">
        <v>13897.2</v>
      </c>
      <c r="AP79" s="451">
        <v>14748.8</v>
      </c>
      <c r="AQ79" s="451">
        <v>16027.3</v>
      </c>
      <c r="AR79" s="739">
        <v>17595</v>
      </c>
      <c r="AT79" s="2148"/>
      <c r="AV79" s="1725" t="str">
        <f t="shared" si="7"/>
        <v>IN</v>
      </c>
      <c r="BO79" s="1664" t="str">
        <f t="shared" si="6"/>
        <v>IN</v>
      </c>
      <c r="BP79" s="784" t="s">
        <v>1426</v>
      </c>
      <c r="CT79" s="2281">
        <v>2022</v>
      </c>
      <c r="CU79" s="838"/>
      <c r="CV79" s="1035">
        <f>НАСТРОЙКА!DR163</f>
        <v>26.247993892980659</v>
      </c>
      <c r="DI79" s="2281">
        <v>2022</v>
      </c>
      <c r="DJ79" s="2137"/>
      <c r="DK79" s="1794"/>
      <c r="DZ79" s="1594">
        <v>2025</v>
      </c>
      <c r="EA79" s="1610"/>
      <c r="EB79" s="1035"/>
    </row>
    <row r="80" spans="9:145" ht="18">
      <c r="I80" s="739" t="s">
        <v>133</v>
      </c>
      <c r="J80" s="40" t="s">
        <v>442</v>
      </c>
      <c r="K80" s="1426" t="s">
        <v>443</v>
      </c>
      <c r="L80" s="1426"/>
      <c r="M80" s="1426"/>
      <c r="N80" s="1426"/>
      <c r="O80" s="1663" t="s">
        <v>400</v>
      </c>
      <c r="P80" s="1173"/>
      <c r="U80" s="1672">
        <v>301.11700000000002</v>
      </c>
      <c r="V80" s="1673">
        <v>401.61399999999998</v>
      </c>
      <c r="W80" s="1673">
        <v>428.52199999999999</v>
      </c>
      <c r="X80" s="449">
        <v>424.6</v>
      </c>
      <c r="Y80" s="449">
        <v>694</v>
      </c>
      <c r="Z80" s="453">
        <v>1232</v>
      </c>
      <c r="AA80" s="449">
        <v>1689.3</v>
      </c>
      <c r="AB80" s="449">
        <v>1939.3</v>
      </c>
      <c r="AC80" s="449">
        <v>2432.1999999999998</v>
      </c>
      <c r="AD80" s="1673">
        <v>3130.5239999999999</v>
      </c>
      <c r="AE80" s="1687">
        <v>3836.8960000000002</v>
      </c>
      <c r="AF80" s="449">
        <v>4980.5730000000003</v>
      </c>
      <c r="AG80" s="449">
        <v>6980.3590999999997</v>
      </c>
      <c r="AH80" s="449">
        <v>9200.7688999999991</v>
      </c>
      <c r="AI80" s="455">
        <v>8535.6710000000003</v>
      </c>
      <c r="AJ80" s="620">
        <v>10014.340099999999</v>
      </c>
      <c r="AK80" s="537">
        <v>12952.976500000001</v>
      </c>
      <c r="AL80" s="451">
        <v>14689.246999999999</v>
      </c>
      <c r="AM80" s="537">
        <v>15925.6152</v>
      </c>
      <c r="AN80" s="619">
        <v>17115.12</v>
      </c>
      <c r="AO80" s="1145">
        <v>17325.84</v>
      </c>
      <c r="AP80" s="537">
        <v>18910.54</v>
      </c>
      <c r="AQ80" s="1016">
        <v>20571.12</v>
      </c>
      <c r="AR80" s="1016">
        <v>22237.43</v>
      </c>
      <c r="AT80" s="2148"/>
      <c r="AV80" s="1725" t="str">
        <f t="shared" si="7"/>
        <v>WNОК</v>
      </c>
      <c r="BO80" s="1664" t="str">
        <f t="shared" si="6"/>
        <v>WNОК</v>
      </c>
      <c r="BP80" s="784" t="s">
        <v>1436</v>
      </c>
      <c r="CT80" s="2281">
        <v>2023</v>
      </c>
      <c r="CU80" s="838"/>
      <c r="CV80" s="1035">
        <f>НАСТРОЙКА!DR164</f>
        <v>27.560393587629694</v>
      </c>
      <c r="DI80" s="2281">
        <v>2023</v>
      </c>
      <c r="DJ80" s="2137"/>
      <c r="DK80" s="1794"/>
      <c r="DZ80" s="1594">
        <v>2026</v>
      </c>
      <c r="EA80" s="1610"/>
      <c r="EB80" s="1035"/>
    </row>
    <row r="81" spans="5:161" ht="18">
      <c r="I81" s="739" t="s">
        <v>441</v>
      </c>
      <c r="J81" s="40" t="s">
        <v>444</v>
      </c>
      <c r="K81" s="1426" t="s">
        <v>445</v>
      </c>
      <c r="L81" s="1426"/>
      <c r="M81" s="1426"/>
      <c r="N81" s="1426"/>
      <c r="O81" s="1663" t="s">
        <v>400</v>
      </c>
      <c r="P81" s="1173"/>
      <c r="U81" s="1672">
        <v>62.244</v>
      </c>
      <c r="V81" s="1673">
        <v>73.641999999999996</v>
      </c>
      <c r="W81" s="1673">
        <v>86.278999999999996</v>
      </c>
      <c r="X81" s="1673">
        <v>-31.2</v>
      </c>
      <c r="Y81" s="1673">
        <v>21.4</v>
      </c>
      <c r="Z81" s="1672">
        <v>133.69999999999999</v>
      </c>
      <c r="AA81" s="271">
        <v>273.8</v>
      </c>
      <c r="AB81" s="271">
        <v>230</v>
      </c>
      <c r="AC81" s="271">
        <v>322.8</v>
      </c>
      <c r="AD81" s="271">
        <v>428.428</v>
      </c>
      <c r="AE81" s="1687">
        <v>501.83499999999998</v>
      </c>
      <c r="AF81" s="449">
        <v>718.154</v>
      </c>
      <c r="AG81" s="449">
        <v>1053.7391</v>
      </c>
      <c r="AH81" s="449">
        <v>1325.3471999999999</v>
      </c>
      <c r="AI81" s="455">
        <v>-1190.915</v>
      </c>
      <c r="AJ81" s="453">
        <v>133.69999999999999</v>
      </c>
      <c r="AK81" s="1135">
        <v>1782.9108999999999</v>
      </c>
      <c r="AL81" s="1135">
        <v>2040.9553999999998</v>
      </c>
      <c r="AM81" s="1135">
        <v>990.24689999999998</v>
      </c>
      <c r="AN81" s="1135">
        <v>768.54</v>
      </c>
      <c r="AO81" s="1100">
        <v>1277.55</v>
      </c>
      <c r="AP81" s="1135">
        <v>1332.31</v>
      </c>
      <c r="AQ81" s="739">
        <v>1618.09</v>
      </c>
      <c r="AR81" s="739">
        <v>1373.79</v>
      </c>
      <c r="AT81" s="2148"/>
      <c r="AV81" s="1725" t="str">
        <f t="shared" si="7"/>
        <v>Mt - Mt-1</v>
      </c>
      <c r="BO81" s="444" t="str">
        <f t="shared" si="6"/>
        <v>Mt - Mt-1</v>
      </c>
      <c r="BP81" s="784" t="s">
        <v>1436</v>
      </c>
      <c r="CT81" s="2281">
        <v>2024</v>
      </c>
      <c r="CU81" s="838"/>
      <c r="CV81" s="1035">
        <f>НАСТРОЙКА!DR165</f>
        <v>28.938413267011178</v>
      </c>
      <c r="DI81" s="2281">
        <v>2024</v>
      </c>
      <c r="DJ81" s="2137"/>
      <c r="DK81" s="1794"/>
      <c r="DZ81" s="1594">
        <v>2027</v>
      </c>
      <c r="EA81" s="1610"/>
      <c r="EB81" s="1035"/>
    </row>
    <row r="82" spans="5:161" ht="18">
      <c r="I82" s="739" t="s">
        <v>446</v>
      </c>
      <c r="J82" s="40" t="s">
        <v>447</v>
      </c>
      <c r="K82" s="1426" t="s">
        <v>448</v>
      </c>
      <c r="L82" s="1426"/>
      <c r="M82" s="1426"/>
      <c r="N82" s="1426"/>
      <c r="O82" s="1663" t="s">
        <v>400</v>
      </c>
      <c r="P82" s="1692">
        <v>1.8340000000000001</v>
      </c>
      <c r="Q82" s="1693">
        <v>1.927</v>
      </c>
      <c r="R82" s="1693">
        <v>2.0609999999999999</v>
      </c>
      <c r="S82" s="1693">
        <v>43.215000000000003</v>
      </c>
      <c r="T82" s="1174">
        <v>1189.5609999999999</v>
      </c>
      <c r="U82" s="467">
        <v>5306</v>
      </c>
      <c r="V82" s="271">
        <v>13072.378000000001</v>
      </c>
      <c r="W82" s="271">
        <v>13286.272000000001</v>
      </c>
      <c r="X82" s="271">
        <v>14125.67</v>
      </c>
      <c r="Y82" s="619">
        <v>14246.427</v>
      </c>
      <c r="Z82" s="924">
        <v>17464</v>
      </c>
      <c r="AA82" s="619">
        <v>20241.428</v>
      </c>
      <c r="AB82" s="619">
        <v>24431</v>
      </c>
      <c r="AC82" s="619">
        <v>30329.1</v>
      </c>
      <c r="AD82" s="619">
        <v>34874</v>
      </c>
      <c r="AE82" s="925">
        <v>41494</v>
      </c>
      <c r="AF82" s="619">
        <v>47489</v>
      </c>
      <c r="AG82" s="619">
        <v>60391</v>
      </c>
      <c r="AH82" s="619">
        <v>74447</v>
      </c>
      <c r="AI82" s="537">
        <f>AI210</f>
        <v>82302.968999999997</v>
      </c>
      <c r="AJ82" s="620">
        <v>93186</v>
      </c>
      <c r="AK82" s="537">
        <v>108001</v>
      </c>
      <c r="AL82" s="619">
        <v>121269</v>
      </c>
      <c r="AM82" s="537">
        <v>133522.79999999999</v>
      </c>
      <c r="AN82" s="285">
        <v>147430</v>
      </c>
      <c r="AO82" s="1098">
        <v>160725</v>
      </c>
      <c r="AP82" s="537">
        <v>183404</v>
      </c>
      <c r="AQ82" s="537">
        <v>194649</v>
      </c>
      <c r="AR82" s="537">
        <v>206484</v>
      </c>
      <c r="AS82" s="537"/>
      <c r="AT82" s="2148"/>
      <c r="AV82" s="1725" t="str">
        <f t="shared" si="7"/>
        <v>F</v>
      </c>
      <c r="BO82" s="444" t="str">
        <f t="shared" si="6"/>
        <v>F</v>
      </c>
      <c r="BP82" s="784" t="s">
        <v>1432</v>
      </c>
      <c r="CT82" s="2281">
        <v>2025</v>
      </c>
      <c r="CU82" s="838"/>
      <c r="CV82" s="1035">
        <f>НАСТРОЙКА!DR166</f>
        <v>30.385333930361739</v>
      </c>
      <c r="DI82" s="2281">
        <v>2025</v>
      </c>
      <c r="DJ82" s="2137"/>
      <c r="DK82" s="1794"/>
      <c r="DZ82" s="1594">
        <v>2028</v>
      </c>
      <c r="EA82" s="1610"/>
      <c r="EB82" s="1035"/>
    </row>
    <row r="83" spans="5:161" ht="18">
      <c r="I83" s="739" t="s">
        <v>449</v>
      </c>
      <c r="J83" s="40" t="s">
        <v>450</v>
      </c>
      <c r="K83" s="1426" t="s">
        <v>451</v>
      </c>
      <c r="L83" s="1426"/>
      <c r="M83" s="1426"/>
      <c r="N83" s="1426"/>
      <c r="O83" s="1663" t="s">
        <v>400</v>
      </c>
      <c r="P83" s="1694">
        <v>0.13600000000000001</v>
      </c>
      <c r="Q83" s="1174">
        <v>0.17599999999999999</v>
      </c>
      <c r="R83" s="1174">
        <v>2.0049999999999999</v>
      </c>
      <c r="S83" s="1174">
        <v>15.093</v>
      </c>
      <c r="T83" s="1695">
        <v>72.349999999999994</v>
      </c>
      <c r="U83" s="467">
        <v>230.40700000000001</v>
      </c>
      <c r="V83" s="271">
        <v>334.30200000000002</v>
      </c>
      <c r="W83" s="271">
        <v>406.47199999999998</v>
      </c>
      <c r="X83" s="271">
        <v>428.56400000000002</v>
      </c>
      <c r="Y83" s="271">
        <v>597.30600000000004</v>
      </c>
      <c r="Z83" s="924">
        <v>843.37800000000004</v>
      </c>
      <c r="AA83" s="619">
        <v>1117.655</v>
      </c>
      <c r="AB83" s="619">
        <v>1615.0630000000001</v>
      </c>
      <c r="AC83" s="619">
        <v>1815.6579999999999</v>
      </c>
      <c r="AD83" s="619">
        <v>1972.1120000000001</v>
      </c>
      <c r="AE83" s="925">
        <v>2943.6860000000001</v>
      </c>
      <c r="AF83" s="619">
        <v>3252.4360000000001</v>
      </c>
      <c r="AG83" s="619">
        <v>4296.4110000000001</v>
      </c>
      <c r="AH83" s="619">
        <v>5744.8469999999998</v>
      </c>
      <c r="AI83" s="537">
        <v>6356.223</v>
      </c>
      <c r="AJ83" s="620">
        <v>6275.9309999999996</v>
      </c>
      <c r="AK83" s="537">
        <v>8813.3140000000003</v>
      </c>
      <c r="AL83" s="537">
        <v>10338.4</v>
      </c>
      <c r="AM83" s="537">
        <v>11160.485000000001</v>
      </c>
      <c r="AN83" s="944">
        <v>10888</v>
      </c>
      <c r="AO83" s="1098">
        <v>10721</v>
      </c>
      <c r="AP83" s="537">
        <v>13256</v>
      </c>
      <c r="AQ83" s="537">
        <v>12484.1</v>
      </c>
      <c r="AR83" s="537">
        <v>14909.4</v>
      </c>
      <c r="AS83" s="537"/>
      <c r="AT83" s="2148"/>
      <c r="AV83" s="1725" t="str">
        <f t="shared" si="7"/>
        <v>WW</v>
      </c>
      <c r="BO83" s="444" t="str">
        <f t="shared" si="6"/>
        <v>WW</v>
      </c>
      <c r="BP83" s="784" t="s">
        <v>1109</v>
      </c>
      <c r="CT83" s="2281">
        <v>2026</v>
      </c>
      <c r="CU83" s="838"/>
      <c r="CV83" s="1035">
        <f>НАСТРОЙКА!DR167</f>
        <v>31.904600626879827</v>
      </c>
      <c r="DI83" s="2281">
        <v>2026</v>
      </c>
      <c r="DJ83" s="2137"/>
      <c r="DK83" s="1794"/>
      <c r="DZ83" s="1594">
        <v>2029</v>
      </c>
      <c r="EA83" s="1610"/>
      <c r="EB83" s="1035"/>
    </row>
    <row r="84" spans="5:161" ht="18">
      <c r="E84" s="38" t="s">
        <v>452</v>
      </c>
      <c r="F84" s="38"/>
      <c r="I84" s="1651" t="s">
        <v>407</v>
      </c>
      <c r="J84" s="40" t="s">
        <v>453</v>
      </c>
      <c r="K84" s="46" t="s">
        <v>1357</v>
      </c>
      <c r="L84" s="22"/>
      <c r="M84" s="22"/>
      <c r="N84" s="22"/>
      <c r="O84" s="1663" t="s">
        <v>414</v>
      </c>
      <c r="P84" s="1692"/>
      <c r="Q84" s="1693"/>
      <c r="R84" s="1693"/>
      <c r="S84" s="1693"/>
      <c r="U84" s="465">
        <f>U145/U149</f>
        <v>0.50338504971343634</v>
      </c>
      <c r="V84" s="469">
        <f t="shared" ref="V84:AR84" si="19">V145/V149</f>
        <v>0.50747241555941625</v>
      </c>
      <c r="W84" s="469">
        <f t="shared" si="19"/>
        <v>0.50747241555941636</v>
      </c>
      <c r="X84" s="469">
        <f t="shared" si="19"/>
        <v>0.50851040836118788</v>
      </c>
      <c r="Y84" s="469">
        <f t="shared" si="19"/>
        <v>0.50572313279423808</v>
      </c>
      <c r="Z84" s="465">
        <f t="shared" si="19"/>
        <v>0.50301229074374942</v>
      </c>
      <c r="AA84" s="469">
        <f t="shared" si="19"/>
        <v>0.50206474506356591</v>
      </c>
      <c r="AB84" s="469">
        <f t="shared" si="19"/>
        <v>0.50063389662984059</v>
      </c>
      <c r="AC84" s="469">
        <f t="shared" si="19"/>
        <v>0.50202618130466459</v>
      </c>
      <c r="AD84" s="469">
        <f t="shared" si="19"/>
        <v>0.5057148762579633</v>
      </c>
      <c r="AE84" s="465">
        <f t="shared" si="19"/>
        <v>0.502441464842453</v>
      </c>
      <c r="AF84" s="469">
        <f t="shared" si="19"/>
        <v>0.50563972907211574</v>
      </c>
      <c r="AG84" s="469">
        <f t="shared" si="19"/>
        <v>0.50700285481915963</v>
      </c>
      <c r="AH84" s="469">
        <f t="shared" si="19"/>
        <v>0.50606381263786271</v>
      </c>
      <c r="AI84" s="469">
        <f t="shared" si="19"/>
        <v>0.50873085468625434</v>
      </c>
      <c r="AJ84" s="465">
        <f t="shared" si="19"/>
        <v>0.51107023156870091</v>
      </c>
      <c r="AK84" s="469">
        <f t="shared" si="19"/>
        <v>0.51107023156870091</v>
      </c>
      <c r="AL84" s="469">
        <f t="shared" si="19"/>
        <v>0.51221890324681785</v>
      </c>
      <c r="AM84" s="469">
        <f t="shared" si="19"/>
        <v>0.51372211702384318</v>
      </c>
      <c r="AN84" s="469">
        <f t="shared" si="19"/>
        <v>0.51401831827360078</v>
      </c>
      <c r="AO84" s="1099">
        <f t="shared" si="19"/>
        <v>0.51894214483617829</v>
      </c>
      <c r="AP84" s="1054">
        <f t="shared" si="19"/>
        <v>0.52369568095439789</v>
      </c>
      <c r="AQ84" s="1054">
        <f t="shared" si="19"/>
        <v>0.5269484909381239</v>
      </c>
      <c r="AR84" s="1054">
        <f t="shared" si="19"/>
        <v>0.52556394993599154</v>
      </c>
      <c r="AT84" s="2148"/>
      <c r="AV84" s="1725" t="str">
        <f t="shared" si="7"/>
        <v>aS</v>
      </c>
      <c r="BO84" s="444" t="str">
        <f t="shared" si="6"/>
        <v>aS</v>
      </c>
      <c r="BP84" s="1151" t="s">
        <v>407</v>
      </c>
      <c r="CT84" s="2281">
        <v>2027</v>
      </c>
      <c r="CU84" s="838"/>
      <c r="CV84" s="1035">
        <f>НАСТРОЙКА!DR168</f>
        <v>33.499830658223821</v>
      </c>
      <c r="DI84" s="2281">
        <v>2027</v>
      </c>
      <c r="DJ84" s="2137"/>
      <c r="DK84" s="1794"/>
      <c r="DZ84" s="1594">
        <v>2030</v>
      </c>
      <c r="EA84" s="1610"/>
      <c r="EB84" s="1035"/>
    </row>
    <row r="85" spans="5:161" ht="18">
      <c r="E85" s="38" t="s">
        <v>454</v>
      </c>
      <c r="F85" s="38"/>
      <c r="I85" s="1651" t="s">
        <v>407</v>
      </c>
      <c r="J85" s="40" t="s">
        <v>455</v>
      </c>
      <c r="K85" s="22" t="s">
        <v>456</v>
      </c>
      <c r="L85" s="22"/>
      <c r="M85" s="1426"/>
      <c r="N85" s="1426"/>
      <c r="O85" s="1663" t="s">
        <v>414</v>
      </c>
      <c r="P85" s="1692"/>
      <c r="U85" s="466">
        <f t="shared" ref="U85:AR85" si="20">U57/U84</f>
        <v>1</v>
      </c>
      <c r="V85" s="272">
        <f t="shared" si="20"/>
        <v>0.97613542155106592</v>
      </c>
      <c r="W85" s="272">
        <f t="shared" si="20"/>
        <v>0.95427707562307296</v>
      </c>
      <c r="X85" s="272">
        <f t="shared" si="20"/>
        <v>0.89373509486586711</v>
      </c>
      <c r="Y85" s="272">
        <f t="shared" si="20"/>
        <v>0.89340541721135958</v>
      </c>
      <c r="Z85" s="465">
        <f t="shared" si="20"/>
        <v>0.9029966320176771</v>
      </c>
      <c r="AA85" s="272">
        <f t="shared" si="20"/>
        <v>0.9451642990474638</v>
      </c>
      <c r="AB85" s="272">
        <f t="shared" si="20"/>
        <v>0.92882441823807771</v>
      </c>
      <c r="AC85" s="272">
        <f t="shared" si="20"/>
        <v>0.93367370888063383</v>
      </c>
      <c r="AD85" s="272">
        <f t="shared" si="20"/>
        <v>0.91389473313437619</v>
      </c>
      <c r="AE85" s="465">
        <f t="shared" si="20"/>
        <v>0.91806464124051534</v>
      </c>
      <c r="AF85" s="272">
        <f t="shared" si="20"/>
        <v>0.91648849882071737</v>
      </c>
      <c r="AG85" s="272">
        <f t="shared" si="20"/>
        <v>0.92340488556071632</v>
      </c>
      <c r="AH85" s="272">
        <f t="shared" si="20"/>
        <v>0.92624240490568133</v>
      </c>
      <c r="AI85" s="456">
        <f t="shared" si="20"/>
        <v>0.92203085385337247</v>
      </c>
      <c r="AJ85" s="440">
        <f t="shared" si="20"/>
        <v>0.93077530109230333</v>
      </c>
      <c r="AK85" s="441">
        <f t="shared" si="20"/>
        <v>0.87610997756656073</v>
      </c>
      <c r="AL85" s="441">
        <f t="shared" si="20"/>
        <v>0.86382407469521416</v>
      </c>
      <c r="AM85" s="441">
        <f t="shared" si="20"/>
        <v>0.87158799823858135</v>
      </c>
      <c r="AN85" s="441">
        <f t="shared" si="20"/>
        <v>0.87092687122258339</v>
      </c>
      <c r="AO85" s="1099">
        <f t="shared" si="20"/>
        <v>0.89008912457212808</v>
      </c>
      <c r="AP85" s="1054">
        <f t="shared" si="20"/>
        <v>0.89811910650259674</v>
      </c>
      <c r="AQ85" s="1054">
        <f t="shared" si="20"/>
        <v>0.90052905997573029</v>
      </c>
      <c r="AR85" s="1054">
        <f t="shared" si="20"/>
        <v>0.89744958692135868</v>
      </c>
      <c r="AT85" s="2148"/>
      <c r="AV85" s="1725" t="str">
        <f t="shared" si="7"/>
        <v>Ra</v>
      </c>
      <c r="BO85" s="444" t="str">
        <f t="shared" si="6"/>
        <v>Ra</v>
      </c>
      <c r="BP85" s="1151" t="s">
        <v>407</v>
      </c>
      <c r="CT85" s="2281">
        <v>2028</v>
      </c>
      <c r="CU85" s="838"/>
      <c r="CV85" s="1035">
        <f>НАСТРОЙКА!DR169</f>
        <v>35.174822191135014</v>
      </c>
      <c r="DI85" s="2281">
        <v>2028</v>
      </c>
      <c r="DJ85" s="2137"/>
      <c r="DK85" s="1794"/>
      <c r="DZ85" s="1594">
        <v>2031</v>
      </c>
      <c r="EA85" s="1610"/>
      <c r="EB85" s="1035"/>
    </row>
    <row r="86" spans="5:161" ht="18">
      <c r="I86" s="739" t="s">
        <v>457</v>
      </c>
      <c r="J86" s="40" t="s">
        <v>458</v>
      </c>
      <c r="K86" s="1426" t="s">
        <v>459</v>
      </c>
      <c r="L86" s="1426"/>
      <c r="M86" s="1426"/>
      <c r="N86" s="1426"/>
      <c r="O86" s="1663" t="s">
        <v>460</v>
      </c>
      <c r="P86" s="1694">
        <v>147.66200000000001</v>
      </c>
      <c r="Q86" s="739">
        <v>148.30000000000001</v>
      </c>
      <c r="R86" s="739">
        <v>148.6</v>
      </c>
      <c r="S86" s="739">
        <v>148.6</v>
      </c>
      <c r="T86" s="739">
        <v>148.4</v>
      </c>
      <c r="U86" s="466">
        <v>148.30000000000001</v>
      </c>
      <c r="V86" s="285">
        <v>148.30000000000001</v>
      </c>
      <c r="W86" s="285">
        <v>148</v>
      </c>
      <c r="X86" s="271">
        <v>147.80000000000001</v>
      </c>
      <c r="Y86" s="271">
        <v>147.5</v>
      </c>
      <c r="Z86" s="466">
        <v>146.30000000000001</v>
      </c>
      <c r="AA86" s="271">
        <v>146.304</v>
      </c>
      <c r="AB86" s="271">
        <v>145.16999999999999</v>
      </c>
      <c r="AC86" s="271">
        <v>144.19999999999999</v>
      </c>
      <c r="AD86" s="271">
        <v>143.5</v>
      </c>
      <c r="AE86" s="467">
        <v>142.80000000000001</v>
      </c>
      <c r="AF86" s="271">
        <v>142.19999999999999</v>
      </c>
      <c r="AG86" s="271">
        <v>142</v>
      </c>
      <c r="AH86" s="271">
        <v>141.9</v>
      </c>
      <c r="AI86" s="455">
        <v>141.9</v>
      </c>
      <c r="AJ86" s="453">
        <v>142.86539999999999</v>
      </c>
      <c r="AK86" s="455">
        <v>143.0564</v>
      </c>
      <c r="AL86" s="455">
        <v>143.34710000000001</v>
      </c>
      <c r="AM86" s="455">
        <v>143.6669</v>
      </c>
      <c r="AN86" s="455">
        <v>146.26729999999998</v>
      </c>
      <c r="AO86" s="1100">
        <v>146.54470000000001</v>
      </c>
      <c r="AP86" s="784">
        <v>146.80000000000001</v>
      </c>
      <c r="AQ86" s="739">
        <v>146.88</v>
      </c>
      <c r="AR86" s="739">
        <v>146.78</v>
      </c>
      <c r="AT86" s="2148"/>
      <c r="AV86" s="1725" t="str">
        <f t="shared" si="7"/>
        <v>N</v>
      </c>
      <c r="BO86" s="444" t="str">
        <f t="shared" si="6"/>
        <v>N</v>
      </c>
      <c r="BP86" s="1151" t="s">
        <v>1431</v>
      </c>
      <c r="CT86" s="2281">
        <v>2029</v>
      </c>
      <c r="CU86" s="838"/>
      <c r="CV86" s="1035">
        <f>НАСТРОЙКА!DR170</f>
        <v>36.933563300691766</v>
      </c>
      <c r="DI86" s="2281">
        <v>2029</v>
      </c>
      <c r="DJ86" s="1805"/>
      <c r="DK86" s="1794"/>
      <c r="DZ86" s="1594">
        <v>2032</v>
      </c>
      <c r="EA86" s="1610"/>
      <c r="EB86" s="1035"/>
    </row>
    <row r="87" spans="5:161" ht="18">
      <c r="J87" s="40" t="s">
        <v>1701</v>
      </c>
      <c r="K87" s="1426" t="s">
        <v>1849</v>
      </c>
      <c r="L87" s="1426"/>
      <c r="M87" s="1426"/>
      <c r="N87" s="1426"/>
      <c r="O87" s="1663" t="s">
        <v>400</v>
      </c>
      <c r="P87" s="1173"/>
      <c r="U87" s="467">
        <v>220.8</v>
      </c>
      <c r="V87" s="285">
        <v>282.3</v>
      </c>
      <c r="W87" s="285">
        <v>357.4</v>
      </c>
      <c r="X87" s="285">
        <v>396.9</v>
      </c>
      <c r="Y87" s="285">
        <v>625.1</v>
      </c>
      <c r="Z87" s="466">
        <v>714.6</v>
      </c>
      <c r="AA87" s="271">
        <v>1150.5999999999999</v>
      </c>
      <c r="AB87" s="271">
        <v>1609.4</v>
      </c>
      <c r="AC87" s="271">
        <v>2130.5</v>
      </c>
      <c r="AD87" s="271">
        <v>3205.2</v>
      </c>
      <c r="AE87" s="467">
        <v>4353.8999999999996</v>
      </c>
      <c r="AF87" s="271">
        <v>6032.1</v>
      </c>
      <c r="AG87" s="2178">
        <v>8970.7000000000007</v>
      </c>
      <c r="AH87" s="2178">
        <v>12869</v>
      </c>
      <c r="AI87" s="2179">
        <v>12975.9</v>
      </c>
      <c r="AJ87" s="2180">
        <v>15267.6</v>
      </c>
      <c r="AK87" s="2181">
        <v>20011.900000000001</v>
      </c>
      <c r="AL87" s="2179">
        <v>24204.799999999999</v>
      </c>
      <c r="AM87" s="2181">
        <v>27164.6</v>
      </c>
      <c r="AN87" s="2183">
        <v>31155.599999999999</v>
      </c>
      <c r="AO87" s="2148">
        <v>35179.699999999997</v>
      </c>
      <c r="AP87" s="2130">
        <v>38418</v>
      </c>
      <c r="AQ87" s="2130">
        <v>42442.2</v>
      </c>
      <c r="AR87" s="2130">
        <v>47109.3</v>
      </c>
      <c r="AT87" s="2148"/>
      <c r="AV87" s="1725" t="str">
        <f t="shared" si="7"/>
        <v>М2</v>
      </c>
      <c r="BO87" s="444" t="str">
        <f t="shared" si="6"/>
        <v>М2</v>
      </c>
      <c r="BP87" s="1151"/>
      <c r="CT87" s="1596">
        <v>2030</v>
      </c>
      <c r="CU87" s="843"/>
      <c r="CV87" s="1808">
        <f>НАСТРОЙКА!DR171</f>
        <v>38.780241465726355</v>
      </c>
      <c r="DI87" s="1596">
        <v>2030</v>
      </c>
      <c r="DJ87" s="1777"/>
      <c r="DK87" s="1795"/>
      <c r="DZ87" s="1594">
        <v>2033</v>
      </c>
      <c r="EA87" s="1610"/>
      <c r="EB87" s="1035"/>
    </row>
    <row r="88" spans="5:161" ht="17.399999999999999">
      <c r="I88" s="739" t="s">
        <v>86</v>
      </c>
      <c r="J88" s="40" t="s">
        <v>461</v>
      </c>
      <c r="K88" s="1426" t="s">
        <v>111</v>
      </c>
      <c r="L88" s="1426"/>
      <c r="M88" s="1426"/>
      <c r="N88" s="1426"/>
      <c r="O88" s="1663" t="s">
        <v>400</v>
      </c>
      <c r="P88" s="1692">
        <v>0.29270000000000002</v>
      </c>
      <c r="Q88" s="739">
        <v>0.61</v>
      </c>
      <c r="R88" s="1693">
        <v>6.9790000000000001</v>
      </c>
      <c r="S88" s="1693">
        <v>76.346000000000004</v>
      </c>
      <c r="T88" s="1696">
        <v>301</v>
      </c>
      <c r="U88" s="467">
        <v>647.87</v>
      </c>
      <c r="V88" s="285">
        <v>1022.64</v>
      </c>
      <c r="W88" s="285">
        <v>1202.9000000000001</v>
      </c>
      <c r="X88" s="271">
        <v>1263.047</v>
      </c>
      <c r="Y88" s="271">
        <v>1933.606</v>
      </c>
      <c r="Z88" s="467">
        <v>2937.23</v>
      </c>
      <c r="AA88" s="271">
        <v>3848.4</v>
      </c>
      <c r="AB88" s="271">
        <v>5065.1000000000004</v>
      </c>
      <c r="AC88" s="271">
        <v>6231.3869999999997</v>
      </c>
      <c r="AD88" s="271">
        <v>7845.0370000000003</v>
      </c>
      <c r="AE88" s="926">
        <v>9439.8269999999993</v>
      </c>
      <c r="AF88" s="271">
        <v>11985.905000000001</v>
      </c>
      <c r="AG88" s="271">
        <v>15526.11</v>
      </c>
      <c r="AH88" s="271">
        <v>19559.759999999998</v>
      </c>
      <c r="AI88" s="455">
        <v>20411.61</v>
      </c>
      <c r="AJ88" s="453">
        <v>22995.63</v>
      </c>
      <c r="AK88" s="1016">
        <v>26386.6754</v>
      </c>
      <c r="AL88" s="1016">
        <v>30201.161499999998</v>
      </c>
      <c r="AM88" s="1016">
        <v>33792.282200000001</v>
      </c>
      <c r="AN88" s="1016">
        <v>37430.46</v>
      </c>
      <c r="AO88" s="1145">
        <v>37745.49</v>
      </c>
      <c r="AP88" s="1016">
        <v>41245.360000000001</v>
      </c>
      <c r="AQ88" s="1016">
        <v>43884.32</v>
      </c>
      <c r="AR88" s="1016">
        <v>48244.37</v>
      </c>
      <c r="AS88" s="1016"/>
      <c r="AT88" s="2148"/>
      <c r="AV88" s="1725" t="str">
        <f t="shared" si="7"/>
        <v>OT</v>
      </c>
      <c r="BO88" s="444" t="str">
        <f t="shared" ref="BO88:BO93" si="21">J88</f>
        <v>OT</v>
      </c>
      <c r="BP88" s="784" t="s">
        <v>1428</v>
      </c>
      <c r="DZ88" s="1594">
        <v>2034</v>
      </c>
      <c r="EA88" s="1610"/>
      <c r="EB88" s="1035"/>
    </row>
    <row r="89" spans="5:161" ht="18" thickBot="1">
      <c r="I89" s="21" t="s">
        <v>462</v>
      </c>
      <c r="J89" s="40" t="s">
        <v>463</v>
      </c>
      <c r="K89" s="739" t="s">
        <v>464</v>
      </c>
      <c r="O89" s="1663" t="s">
        <v>400</v>
      </c>
      <c r="P89" s="1173"/>
      <c r="U89" s="466">
        <v>910.9</v>
      </c>
      <c r="V89" s="271">
        <v>1357.1</v>
      </c>
      <c r="W89" s="271">
        <v>1656.4</v>
      </c>
      <c r="X89" s="271">
        <v>1776</v>
      </c>
      <c r="Y89" s="271">
        <v>2908.1</v>
      </c>
      <c r="Z89" s="467">
        <v>3983.9</v>
      </c>
      <c r="AA89" s="271">
        <v>5325.8</v>
      </c>
      <c r="AB89" s="271">
        <v>6831</v>
      </c>
      <c r="AC89" s="271">
        <v>8900.5</v>
      </c>
      <c r="AD89" s="271">
        <v>10976.3</v>
      </c>
      <c r="AE89" s="924">
        <v>13819</v>
      </c>
      <c r="AF89" s="2178">
        <v>17290.099999999999</v>
      </c>
      <c r="AG89" s="2178">
        <v>21311.5</v>
      </c>
      <c r="AH89" s="2178">
        <v>25244</v>
      </c>
      <c r="AI89" s="2179">
        <v>28697.5</v>
      </c>
      <c r="AJ89" s="2180">
        <v>32498.3</v>
      </c>
      <c r="AK89" s="2179">
        <v>35648.699999999997</v>
      </c>
      <c r="AL89" s="2179">
        <v>39904</v>
      </c>
      <c r="AM89" s="2178">
        <v>44650</v>
      </c>
      <c r="AN89" s="2178">
        <v>47921</v>
      </c>
      <c r="AO89" s="2182">
        <v>53526</v>
      </c>
      <c r="AP89" s="2130">
        <v>54117</v>
      </c>
      <c r="AQ89" s="2130">
        <v>55368</v>
      </c>
      <c r="AR89" s="2130">
        <v>57500</v>
      </c>
      <c r="AS89" s="2130"/>
      <c r="AT89" s="2148"/>
      <c r="AV89" s="1725" t="str">
        <f t="shared" si="7"/>
        <v>DН</v>
      </c>
      <c r="BO89" s="444" t="str">
        <f t="shared" si="21"/>
        <v>DН</v>
      </c>
      <c r="BP89" s="784" t="s">
        <v>1435</v>
      </c>
      <c r="DZ89" s="1596">
        <v>2035</v>
      </c>
      <c r="EA89" s="2098"/>
      <c r="EB89" s="1808"/>
    </row>
    <row r="90" spans="5:161" ht="18" thickBot="1">
      <c r="I90" s="1651" t="s">
        <v>407</v>
      </c>
      <c r="J90" s="40" t="s">
        <v>507</v>
      </c>
      <c r="K90" s="1426" t="s">
        <v>1115</v>
      </c>
      <c r="O90" s="1663" t="s">
        <v>414</v>
      </c>
      <c r="P90" s="1173"/>
      <c r="U90" s="272">
        <f>U88/U67</f>
        <v>0.45352504118070658</v>
      </c>
      <c r="V90" s="272">
        <f t="shared" ref="V90:AR90" si="22">V88/V67</f>
        <v>0.50932720637234752</v>
      </c>
      <c r="W90" s="272">
        <f t="shared" si="22"/>
        <v>0.51350820274818465</v>
      </c>
      <c r="X90" s="272">
        <f t="shared" si="22"/>
        <v>0.48031487708750942</v>
      </c>
      <c r="Y90" s="272">
        <f t="shared" si="22"/>
        <v>0.40089418033286345</v>
      </c>
      <c r="Z90" s="272">
        <f t="shared" si="22"/>
        <v>0.40204928609604523</v>
      </c>
      <c r="AA90" s="272">
        <f t="shared" si="22"/>
        <v>0.43029736204370722</v>
      </c>
      <c r="AB90" s="272">
        <f t="shared" si="22"/>
        <v>0.46815539113638438</v>
      </c>
      <c r="AC90" s="272">
        <f t="shared" si="22"/>
        <v>0.4717798995677725</v>
      </c>
      <c r="AD90" s="272">
        <f t="shared" si="22"/>
        <v>0.46073648070756584</v>
      </c>
      <c r="AE90" s="272">
        <f t="shared" si="22"/>
        <v>0.43683152734584474</v>
      </c>
      <c r="AF90" s="272">
        <f t="shared" si="22"/>
        <v>0.44528789593400453</v>
      </c>
      <c r="AG90" s="272">
        <f t="shared" si="22"/>
        <v>0.46698560300142988</v>
      </c>
      <c r="AH90" s="272">
        <f t="shared" si="22"/>
        <v>0.47386756448454886</v>
      </c>
      <c r="AI90" s="272">
        <f t="shared" si="22"/>
        <v>0.52597385816171893</v>
      </c>
      <c r="AJ90" s="2155">
        <f t="shared" si="22"/>
        <v>0.49657437848762676</v>
      </c>
      <c r="AK90" s="272">
        <f t="shared" si="22"/>
        <v>0.43771671241645282</v>
      </c>
      <c r="AL90" s="272">
        <f t="shared" si="22"/>
        <v>0.44306691647383561</v>
      </c>
      <c r="AM90" s="272">
        <f t="shared" si="22"/>
        <v>0.46206047351633556</v>
      </c>
      <c r="AN90" s="272">
        <f t="shared" si="22"/>
        <v>0.47345569075868349</v>
      </c>
      <c r="AO90" s="2155">
        <f t="shared" si="22"/>
        <v>0.45425048739981222</v>
      </c>
      <c r="AP90" s="272">
        <f t="shared" si="22"/>
        <v>0.47951914804566698</v>
      </c>
      <c r="AQ90" s="272">
        <f t="shared" si="22"/>
        <v>0.47648038566356499</v>
      </c>
      <c r="AR90" s="272">
        <f t="shared" si="22"/>
        <v>0.46444193076360279</v>
      </c>
      <c r="AT90" s="2148"/>
      <c r="AV90" s="1725" t="str">
        <f t="shared" si="7"/>
        <v>qOT</v>
      </c>
      <c r="BO90" s="444" t="str">
        <f t="shared" si="21"/>
        <v>qOT</v>
      </c>
      <c r="BP90" s="1144" t="s">
        <v>474</v>
      </c>
      <c r="CQ90" s="1773" t="s">
        <v>351</v>
      </c>
      <c r="CR90" s="1792" t="s">
        <v>1786</v>
      </c>
      <c r="CS90" s="1778" t="s">
        <v>1624</v>
      </c>
      <c r="CT90" s="1592" t="s">
        <v>1625</v>
      </c>
      <c r="CU90" s="1592" t="s">
        <v>1374</v>
      </c>
      <c r="CV90" s="1592" t="s">
        <v>1904</v>
      </c>
      <c r="CW90" s="2109" t="s">
        <v>590</v>
      </c>
      <c r="DI90" s="2433" t="s">
        <v>1374</v>
      </c>
      <c r="DL90" s="1602" t="s">
        <v>351</v>
      </c>
      <c r="DM90" s="1591" t="s">
        <v>1831</v>
      </c>
      <c r="DN90" s="2430" t="s">
        <v>1407</v>
      </c>
      <c r="DU90" s="2429"/>
    </row>
    <row r="91" spans="5:161" ht="18" thickBot="1">
      <c r="I91" s="739" t="s">
        <v>465</v>
      </c>
      <c r="J91" s="40" t="s">
        <v>466</v>
      </c>
      <c r="K91" s="22" t="s">
        <v>467</v>
      </c>
      <c r="L91" s="1426"/>
      <c r="M91" s="1426"/>
      <c r="N91" s="1426"/>
      <c r="O91" s="1663" t="s">
        <v>460</v>
      </c>
      <c r="P91" s="1173"/>
      <c r="U91" s="466">
        <v>64.055000000000007</v>
      </c>
      <c r="V91" s="285">
        <v>62.927999999999997</v>
      </c>
      <c r="W91" s="285">
        <v>60.021000000000001</v>
      </c>
      <c r="X91" s="272">
        <v>58.436999999999998</v>
      </c>
      <c r="Y91" s="272">
        <v>63.082000000000001</v>
      </c>
      <c r="Z91" s="927">
        <v>65.069999999999993</v>
      </c>
      <c r="AA91" s="271">
        <v>65.123000000000005</v>
      </c>
      <c r="AB91" s="271">
        <v>66.659000000000006</v>
      </c>
      <c r="AC91" s="271">
        <v>66.338999999999999</v>
      </c>
      <c r="AD91" s="271">
        <v>67.319000000000003</v>
      </c>
      <c r="AE91" s="927">
        <v>68.338999999999999</v>
      </c>
      <c r="AF91" s="271">
        <v>69.168999999999997</v>
      </c>
      <c r="AG91" s="271">
        <v>70.77</v>
      </c>
      <c r="AH91" s="271">
        <v>71.003</v>
      </c>
      <c r="AI91" s="463">
        <v>69.41</v>
      </c>
      <c r="AJ91" s="462">
        <v>69.933708461473046</v>
      </c>
      <c r="AK91" s="463">
        <v>70.85661311334043</v>
      </c>
      <c r="AL91" s="463">
        <v>71.545415863579535</v>
      </c>
      <c r="AM91" s="463">
        <v>71.391459581339006</v>
      </c>
      <c r="AN91" s="463">
        <v>71.539043569577998</v>
      </c>
      <c r="AO91" s="1101">
        <v>72.323622532452006</v>
      </c>
      <c r="AP91" s="463">
        <v>72.393000000000001</v>
      </c>
      <c r="AQ91" s="1693">
        <v>72.141999999999996</v>
      </c>
      <c r="AR91" s="1693">
        <v>72.353999999999999</v>
      </c>
      <c r="AT91" s="2148"/>
      <c r="AV91" s="1725" t="str">
        <f t="shared" si="7"/>
        <v>LZW</v>
      </c>
      <c r="BO91" s="444" t="str">
        <f t="shared" si="21"/>
        <v>LZW</v>
      </c>
      <c r="BP91" s="784" t="s">
        <v>1434</v>
      </c>
      <c r="CQ91" s="1820">
        <v>43924</v>
      </c>
      <c r="CR91" s="1801" t="s">
        <v>46</v>
      </c>
      <c r="CS91" s="1593" t="s">
        <v>1454</v>
      </c>
      <c r="CT91" s="1593" t="s">
        <v>46</v>
      </c>
      <c r="CU91" s="1593" t="s">
        <v>1454</v>
      </c>
      <c r="CV91" s="1593" t="s">
        <v>1454</v>
      </c>
      <c r="CW91" s="1775" t="s">
        <v>1454</v>
      </c>
      <c r="DI91" s="2434" t="s">
        <v>1830</v>
      </c>
      <c r="DL91" s="1981">
        <v>44339</v>
      </c>
      <c r="DM91" s="1593" t="s">
        <v>1454</v>
      </c>
      <c r="DN91" s="1593" t="s">
        <v>1454</v>
      </c>
      <c r="EU91" s="1773" t="s">
        <v>351</v>
      </c>
      <c r="EV91" s="2737" t="s">
        <v>638</v>
      </c>
      <c r="EW91" s="2091" t="s">
        <v>2271</v>
      </c>
      <c r="EX91" s="1973" t="s">
        <v>1628</v>
      </c>
      <c r="EY91" s="2091" t="s">
        <v>646</v>
      </c>
      <c r="EZ91" s="1973" t="s">
        <v>1866</v>
      </c>
      <c r="FA91" s="1973" t="s">
        <v>1280</v>
      </c>
      <c r="FB91" s="1973" t="s">
        <v>1700</v>
      </c>
      <c r="FC91" s="1973" t="s">
        <v>1894</v>
      </c>
      <c r="FD91" s="1973" t="s">
        <v>2272</v>
      </c>
      <c r="FE91" s="2736" t="s">
        <v>590</v>
      </c>
    </row>
    <row r="92" spans="5:161" ht="18.600000000000001" thickBot="1">
      <c r="I92" s="21"/>
      <c r="J92" s="40" t="s">
        <v>1609</v>
      </c>
      <c r="K92" s="22" t="s">
        <v>1610</v>
      </c>
      <c r="L92" s="1426"/>
      <c r="M92" s="1426"/>
      <c r="N92" s="1426"/>
      <c r="O92" s="1663" t="s">
        <v>1611</v>
      </c>
      <c r="P92" s="1173"/>
      <c r="R92" s="1175"/>
      <c r="U92" s="470">
        <f>U167/U91</f>
        <v>43.206939348996954</v>
      </c>
      <c r="V92" s="470">
        <f t="shared" ref="V92:AR92" si="23">V167/V91</f>
        <v>42.749286899313503</v>
      </c>
      <c r="W92" s="470">
        <f t="shared" si="23"/>
        <v>45.447241894736841</v>
      </c>
      <c r="X92" s="470">
        <f t="shared" si="23"/>
        <v>44.298503885723704</v>
      </c>
      <c r="Y92" s="470">
        <f t="shared" si="23"/>
        <v>43.416737397690277</v>
      </c>
      <c r="Z92" s="470">
        <f t="shared" si="23"/>
        <v>46.046768151253758</v>
      </c>
      <c r="AA92" s="470">
        <f t="shared" si="23"/>
        <v>48.263748607689806</v>
      </c>
      <c r="AB92" s="470">
        <f t="shared" si="23"/>
        <v>49.226295399031507</v>
      </c>
      <c r="AC92" s="470">
        <f t="shared" si="23"/>
        <v>53.222993601114709</v>
      </c>
      <c r="AD92" s="470">
        <f t="shared" si="23"/>
        <v>56.644052738523989</v>
      </c>
      <c r="AE92" s="470">
        <f t="shared" si="23"/>
        <v>58.979127328817569</v>
      </c>
      <c r="AF92" s="470">
        <f t="shared" si="23"/>
        <v>63.457556425113935</v>
      </c>
      <c r="AG92" s="470">
        <f t="shared" si="23"/>
        <v>67.479917249698346</v>
      </c>
      <c r="AH92" s="470">
        <f t="shared" si="23"/>
        <v>70.621402348481183</v>
      </c>
      <c r="AI92" s="470">
        <f t="shared" si="23"/>
        <v>66.896281588517056</v>
      </c>
      <c r="AJ92" s="2184">
        <f t="shared" si="23"/>
        <v>69.715085293922698</v>
      </c>
      <c r="AK92" s="470">
        <f t="shared" si="23"/>
        <v>71.765752104766392</v>
      </c>
      <c r="AL92" s="470">
        <f t="shared" si="23"/>
        <v>73.846746364363511</v>
      </c>
      <c r="AM92" s="470">
        <f t="shared" si="23"/>
        <v>75.560123440531513</v>
      </c>
      <c r="AN92" s="470">
        <f t="shared" si="23"/>
        <v>76.007477976215441</v>
      </c>
      <c r="AO92" s="2184">
        <f t="shared" si="23"/>
        <v>74.205557755695821</v>
      </c>
      <c r="AP92" s="470">
        <f t="shared" si="23"/>
        <v>75.024056551326893</v>
      </c>
      <c r="AQ92" s="470">
        <f t="shared" si="23"/>
        <v>77.167211043056923</v>
      </c>
      <c r="AR92" s="470">
        <f t="shared" si="23"/>
        <v>78.864635853510762</v>
      </c>
      <c r="AT92" s="2148"/>
      <c r="AV92" s="1725" t="str">
        <f t="shared" si="7"/>
        <v>POXS</v>
      </c>
      <c r="BO92" s="444" t="str">
        <f t="shared" si="21"/>
        <v>POXS</v>
      </c>
      <c r="BP92" s="784"/>
      <c r="CQ92" s="2281">
        <v>1995</v>
      </c>
      <c r="CR92" s="1200">
        <f>CT92</f>
        <v>272.50150000000002</v>
      </c>
      <c r="CS92" s="837">
        <f t="array" ref="CS92:CS115">TRANSPOSE(U160:AR160)</f>
        <v>1</v>
      </c>
      <c r="CT92" s="1200">
        <f t="array" ref="CT92:CT115">TRANSPOSE(U70:AR70)</f>
        <v>272.50150000000002</v>
      </c>
      <c r="CU92" s="837">
        <v>1</v>
      </c>
      <c r="CV92" s="837"/>
      <c r="CW92" s="1804">
        <v>1</v>
      </c>
      <c r="DI92" s="1328">
        <f>CU92</f>
        <v>1</v>
      </c>
      <c r="DL92" s="2097">
        <v>1995</v>
      </c>
      <c r="DM92" s="1874">
        <f t="array" ref="DM92:DM115">TRANSPOSE(СЧЁТ!O186:AL186)</f>
        <v>1</v>
      </c>
      <c r="DN92" s="2118"/>
      <c r="EU92" s="1820">
        <v>44341</v>
      </c>
      <c r="EV92" s="1593" t="s">
        <v>1454</v>
      </c>
      <c r="EW92" s="1593" t="s">
        <v>1454</v>
      </c>
      <c r="EX92" s="1593" t="s">
        <v>1454</v>
      </c>
      <c r="EY92" s="1593" t="s">
        <v>1454</v>
      </c>
      <c r="EZ92" s="1593" t="s">
        <v>1454</v>
      </c>
      <c r="FA92" s="1593" t="s">
        <v>1454</v>
      </c>
      <c r="FB92" s="1593" t="s">
        <v>1454</v>
      </c>
      <c r="FC92" s="2742" t="s">
        <v>1454</v>
      </c>
      <c r="FD92" s="2744" t="s">
        <v>1277</v>
      </c>
      <c r="FE92" s="2743" t="s">
        <v>1454</v>
      </c>
    </row>
    <row r="93" spans="5:161" ht="18" customHeight="1">
      <c r="I93" s="21" t="s">
        <v>469</v>
      </c>
      <c r="J93" s="40" t="s">
        <v>470</v>
      </c>
      <c r="K93" s="739" t="s">
        <v>471</v>
      </c>
      <c r="O93" s="1663" t="s">
        <v>460</v>
      </c>
      <c r="P93" s="1173"/>
      <c r="U93" s="466">
        <v>6.6840000000000002</v>
      </c>
      <c r="V93" s="285">
        <v>6.7320000000000002</v>
      </c>
      <c r="W93" s="285">
        <v>8.0579999999999998</v>
      </c>
      <c r="X93" s="285">
        <v>8.9019999999999992</v>
      </c>
      <c r="Y93" s="285">
        <v>9.0939999999999994</v>
      </c>
      <c r="Z93" s="927">
        <f>Z97-Z91</f>
        <v>7.7000000000000028</v>
      </c>
      <c r="AA93" s="668">
        <f t="shared" ref="AA93:AI93" si="24">AA97-AA91</f>
        <v>6.421999999999997</v>
      </c>
      <c r="AB93" s="668">
        <f t="shared" si="24"/>
        <v>5.6979999999999933</v>
      </c>
      <c r="AC93" s="668">
        <f t="shared" si="24"/>
        <v>5.9339999999999975</v>
      </c>
      <c r="AD93" s="668">
        <f t="shared" si="24"/>
        <v>5.6659999999999968</v>
      </c>
      <c r="AE93" s="927">
        <f t="shared" si="24"/>
        <v>5.2420000000000044</v>
      </c>
      <c r="AF93" s="1689">
        <f t="shared" si="24"/>
        <v>5.25</v>
      </c>
      <c r="AG93" s="1689">
        <f t="shared" si="24"/>
        <v>4.5190000000000055</v>
      </c>
      <c r="AH93" s="1689">
        <f t="shared" si="24"/>
        <v>4.6970000000000027</v>
      </c>
      <c r="AI93" s="1689">
        <f t="shared" si="24"/>
        <v>6.284000000000006</v>
      </c>
      <c r="AJ93" s="1698">
        <v>5.5441655838158379</v>
      </c>
      <c r="AK93" s="1689">
        <v>4.9223997554548067</v>
      </c>
      <c r="AL93" s="1689">
        <v>4.1306599945102453</v>
      </c>
      <c r="AM93" s="1689">
        <v>4.1374433479760002</v>
      </c>
      <c r="AN93" s="1689">
        <v>3.889373856792</v>
      </c>
      <c r="AO93" s="1099">
        <v>4.2639265933380006</v>
      </c>
      <c r="AP93" s="1689">
        <v>4.2430000000000003</v>
      </c>
      <c r="AQ93" s="1693">
        <v>3.9670000000000001</v>
      </c>
      <c r="AR93" s="1693">
        <v>3.657</v>
      </c>
      <c r="AT93" s="2148"/>
      <c r="AV93" s="1725" t="str">
        <f t="shared" si="7"/>
        <v>BZ</v>
      </c>
      <c r="BO93" s="444" t="str">
        <f t="shared" si="21"/>
        <v>BZ</v>
      </c>
      <c r="BP93" s="784" t="s">
        <v>1434</v>
      </c>
      <c r="CQ93" s="2281">
        <v>1996</v>
      </c>
      <c r="CR93" s="1201">
        <f t="shared" ref="CR93:CR115" si="25">CR$92*CS93</f>
        <v>280.94904650000001</v>
      </c>
      <c r="CS93" s="838">
        <v>1.0309999999999999</v>
      </c>
      <c r="CT93" s="1201">
        <v>391.38130000000001</v>
      </c>
      <c r="CU93" s="1382">
        <f>CT93/CR93</f>
        <v>1.3930686182271845</v>
      </c>
      <c r="CV93" s="1382"/>
      <c r="CW93" s="1035">
        <f>НАСТРОЙКА!DR137</f>
        <v>1.218</v>
      </c>
      <c r="DI93" s="1328">
        <f>CU93</f>
        <v>1.3930686182271845</v>
      </c>
      <c r="DL93" s="2281">
        <v>1996</v>
      </c>
      <c r="DM93" s="2136">
        <v>1.0309999999999999</v>
      </c>
      <c r="DN93" s="1966"/>
      <c r="ED93" s="1602" t="s">
        <v>351</v>
      </c>
      <c r="EE93" s="1591" t="s">
        <v>1625</v>
      </c>
      <c r="EF93" s="1604" t="s">
        <v>1191</v>
      </c>
      <c r="EU93" s="2281">
        <v>1995</v>
      </c>
      <c r="EV93" s="1802">
        <v>1</v>
      </c>
      <c r="EW93" s="1803">
        <v>1</v>
      </c>
      <c r="EX93" s="1802">
        <v>1</v>
      </c>
      <c r="EY93" s="1802">
        <v>1</v>
      </c>
      <c r="EZ93" s="1802">
        <v>1</v>
      </c>
      <c r="FA93" s="1802">
        <v>1</v>
      </c>
      <c r="FB93" s="1802">
        <f>FB319</f>
        <v>3.6</v>
      </c>
      <c r="FC93" s="1802"/>
      <c r="FD93" s="1382">
        <f>FT138</f>
        <v>17.100000000000001</v>
      </c>
      <c r="FE93" s="1804">
        <v>1</v>
      </c>
    </row>
    <row r="94" spans="5:161" ht="18" thickBot="1">
      <c r="J94" s="40" t="s">
        <v>472</v>
      </c>
      <c r="K94" s="1671" t="s">
        <v>473</v>
      </c>
      <c r="L94" s="1671"/>
      <c r="M94" s="1671"/>
      <c r="N94" s="1671"/>
      <c r="O94" s="1663" t="s">
        <v>460</v>
      </c>
      <c r="P94" s="1173"/>
      <c r="Q94" s="1651"/>
      <c r="R94" s="1651"/>
      <c r="S94" s="1651"/>
      <c r="T94" s="1651"/>
      <c r="U94" s="464">
        <f>U97-U91</f>
        <v>6.6849999999999881</v>
      </c>
      <c r="V94" s="464">
        <f t="shared" ref="V94:AR94" si="26">V97-V91</f>
        <v>6.7319999999999993</v>
      </c>
      <c r="W94" s="464">
        <f t="shared" si="26"/>
        <v>8.0579999999999927</v>
      </c>
      <c r="X94" s="464">
        <f t="shared" si="26"/>
        <v>8.902000000000001</v>
      </c>
      <c r="Y94" s="464">
        <f t="shared" si="26"/>
        <v>9.0929999999999964</v>
      </c>
      <c r="Z94" s="927">
        <f t="shared" si="26"/>
        <v>7.7000000000000028</v>
      </c>
      <c r="AA94" s="271">
        <f t="shared" si="26"/>
        <v>6.421999999999997</v>
      </c>
      <c r="AB94" s="271">
        <f t="shared" si="26"/>
        <v>5.6979999999999933</v>
      </c>
      <c r="AC94" s="271">
        <f t="shared" si="26"/>
        <v>5.9339999999999975</v>
      </c>
      <c r="AD94" s="271">
        <f t="shared" si="26"/>
        <v>5.6659999999999968</v>
      </c>
      <c r="AE94" s="927">
        <f t="shared" si="26"/>
        <v>5.2420000000000044</v>
      </c>
      <c r="AF94" s="271">
        <f t="shared" si="26"/>
        <v>5.25</v>
      </c>
      <c r="AG94" s="271">
        <f t="shared" si="26"/>
        <v>4.5190000000000055</v>
      </c>
      <c r="AH94" s="271">
        <f t="shared" si="26"/>
        <v>4.6970000000000027</v>
      </c>
      <c r="AI94" s="441">
        <f t="shared" si="26"/>
        <v>6.284000000000006</v>
      </c>
      <c r="AJ94" s="440">
        <f t="shared" si="26"/>
        <v>5.5442915385269487</v>
      </c>
      <c r="AK94" s="441">
        <f t="shared" si="26"/>
        <v>4.9223868866595666</v>
      </c>
      <c r="AL94" s="441">
        <f t="shared" si="26"/>
        <v>4.1305841364204667</v>
      </c>
      <c r="AM94" s="441">
        <f t="shared" si="26"/>
        <v>4.1375404186609899</v>
      </c>
      <c r="AN94" s="441">
        <f t="shared" si="26"/>
        <v>3.8893738567920053</v>
      </c>
      <c r="AO94" s="1099">
        <f t="shared" si="26"/>
        <v>4.2639265933379988</v>
      </c>
      <c r="AP94" s="441">
        <f t="shared" si="26"/>
        <v>4.242999999999995</v>
      </c>
      <c r="AQ94" s="441">
        <f t="shared" si="26"/>
        <v>3.9669999999999987</v>
      </c>
      <c r="AR94" s="441">
        <f t="shared" si="26"/>
        <v>3.6569999999999965</v>
      </c>
      <c r="AT94" s="2148"/>
      <c r="AV94" s="1725" t="str">
        <f t="shared" si="7"/>
        <v>LA-LZW</v>
      </c>
      <c r="BO94" s="444" t="s">
        <v>163</v>
      </c>
      <c r="BP94" s="1144" t="s">
        <v>474</v>
      </c>
      <c r="CQ94" s="2281">
        <v>1997</v>
      </c>
      <c r="CR94" s="1201">
        <f t="shared" si="25"/>
        <v>274.206269384</v>
      </c>
      <c r="CS94" s="1871">
        <v>1.0062559999999998</v>
      </c>
      <c r="CT94" s="1201">
        <v>493.57350000000002</v>
      </c>
      <c r="CU94" s="1382">
        <f t="shared" ref="CU94:CU115" si="27">CT94/CR94</f>
        <v>1.8000080782573098</v>
      </c>
      <c r="CV94" s="1382"/>
      <c r="CW94" s="1035">
        <f>НАСТРОЙКА!DR138</f>
        <v>1.3519800000000002</v>
      </c>
      <c r="DI94" s="1328">
        <f t="shared" ref="DI94:DI115" si="28">CU94</f>
        <v>1.8000080782573098</v>
      </c>
      <c r="DL94" s="2281">
        <v>1997</v>
      </c>
      <c r="DM94" s="2136">
        <v>1.0062559999999998</v>
      </c>
      <c r="DN94" s="1966"/>
      <c r="ED94" s="1561">
        <v>44340</v>
      </c>
      <c r="EE94" s="1606" t="s">
        <v>46</v>
      </c>
      <c r="EF94" s="1606" t="s">
        <v>46</v>
      </c>
      <c r="EU94" s="2281">
        <v>1996</v>
      </c>
      <c r="EV94" s="1382">
        <f>CU53</f>
        <v>1.4723042021668387</v>
      </c>
      <c r="EW94" s="1034">
        <f>DI93</f>
        <v>1.3930686182271845</v>
      </c>
      <c r="EX94" s="1382">
        <f>DL137</f>
        <v>1.4997486735151189</v>
      </c>
      <c r="EY94" s="1382">
        <f>CU230</f>
        <v>1.170751567490661</v>
      </c>
      <c r="EZ94" s="1382">
        <f>EB414</f>
        <v>1.1463921152743077</v>
      </c>
      <c r="FA94" s="1382">
        <f>DQ185</f>
        <v>1.7194377618988257</v>
      </c>
      <c r="FB94" s="1382">
        <f>FB320</f>
        <v>4.5999999999999996</v>
      </c>
      <c r="FC94" s="1382"/>
      <c r="FD94" s="1382">
        <f>FT139</f>
        <v>20.5</v>
      </c>
      <c r="FE94" s="1035">
        <f t="shared" ref="FE94:FE133" si="29">CW93</f>
        <v>1.218</v>
      </c>
    </row>
    <row r="95" spans="5:161" ht="17.399999999999999">
      <c r="E95" s="38" t="s">
        <v>475</v>
      </c>
      <c r="F95" s="1699"/>
      <c r="G95" s="1699"/>
      <c r="I95" s="1700" t="s">
        <v>407</v>
      </c>
      <c r="J95" s="40" t="s">
        <v>476</v>
      </c>
      <c r="K95" s="1426" t="s">
        <v>477</v>
      </c>
      <c r="L95" s="1426"/>
      <c r="M95" s="1426"/>
      <c r="N95" s="1426"/>
      <c r="O95" s="1663" t="s">
        <v>414</v>
      </c>
      <c r="P95" s="1173"/>
      <c r="U95" s="465">
        <f>U96/U93</f>
        <v>0.34814482345900655</v>
      </c>
      <c r="V95" s="272">
        <f>V96/V93</f>
        <v>0.37225193107546045</v>
      </c>
      <c r="W95" s="272">
        <f t="shared" ref="W95:AR95" si="30">W96/W93</f>
        <v>0.24807644576818072</v>
      </c>
      <c r="X95" s="272">
        <f t="shared" si="30"/>
        <v>0.21669287800494275</v>
      </c>
      <c r="Y95" s="272">
        <f t="shared" si="30"/>
        <v>0.13888277985484934</v>
      </c>
      <c r="Z95" s="927">
        <f t="shared" si="30"/>
        <v>0.13467532467532461</v>
      </c>
      <c r="AA95" s="271">
        <f t="shared" si="30"/>
        <v>0.1748676424789786</v>
      </c>
      <c r="AB95" s="271">
        <f t="shared" si="30"/>
        <v>0.26325026325026357</v>
      </c>
      <c r="AC95" s="271">
        <f t="shared" si="30"/>
        <v>0.27620492079541636</v>
      </c>
      <c r="AD95" s="271">
        <f t="shared" si="30"/>
        <v>0.33886339569361118</v>
      </c>
      <c r="AE95" s="465">
        <f t="shared" si="30"/>
        <v>0.34910339565051479</v>
      </c>
      <c r="AF95" s="271">
        <f t="shared" si="30"/>
        <v>0.33180952380952383</v>
      </c>
      <c r="AG95" s="271">
        <f t="shared" si="30"/>
        <v>0.3436601017924315</v>
      </c>
      <c r="AH95" s="271">
        <f t="shared" si="30"/>
        <v>0.32403661911858617</v>
      </c>
      <c r="AI95" s="441">
        <f t="shared" si="30"/>
        <v>0.34166136218968773</v>
      </c>
      <c r="AJ95" s="465">
        <f t="shared" si="30"/>
        <v>0.28660760144655562</v>
      </c>
      <c r="AK95" s="272">
        <f t="shared" si="30"/>
        <v>0.26125468549662312</v>
      </c>
      <c r="AL95" s="272">
        <f t="shared" si="30"/>
        <v>0.25782804719231617</v>
      </c>
      <c r="AM95" s="272">
        <f t="shared" si="30"/>
        <v>0.22180533310478653</v>
      </c>
      <c r="AN95" s="272">
        <f t="shared" si="30"/>
        <v>0.22548616622917284</v>
      </c>
      <c r="AO95" s="2155">
        <f t="shared" si="30"/>
        <v>0.22702079381770135</v>
      </c>
      <c r="AP95" s="272">
        <f t="shared" si="30"/>
        <v>0.22531227904784348</v>
      </c>
      <c r="AQ95" s="272">
        <f t="shared" si="30"/>
        <v>0.20569700025207963</v>
      </c>
      <c r="AR95" s="272">
        <f t="shared" si="30"/>
        <v>0.19496855345911948</v>
      </c>
      <c r="AT95" s="2148"/>
      <c r="AV95" s="1725" t="str">
        <f t="shared" si="7"/>
        <v>qR</v>
      </c>
      <c r="BO95" s="444" t="str">
        <f t="shared" ref="BO95:BO103" si="31">J95</f>
        <v>qR</v>
      </c>
      <c r="BP95" s="1144" t="s">
        <v>474</v>
      </c>
      <c r="CQ95" s="2281">
        <v>1998</v>
      </c>
      <c r="CR95" s="1201">
        <f t="shared" si="25"/>
        <v>276.94833207783995</v>
      </c>
      <c r="CS95" s="1871">
        <v>1.0163185599999998</v>
      </c>
      <c r="CT95" s="1201">
        <v>492.62060000000002</v>
      </c>
      <c r="CU95" s="1382">
        <f t="shared" si="27"/>
        <v>1.7787455021088285</v>
      </c>
      <c r="CV95" s="1382"/>
      <c r="CW95" s="1035">
        <f>НАСТРОЙКА!DR139</f>
        <v>2.4930511200000005</v>
      </c>
      <c r="DI95" s="1328">
        <f t="shared" si="28"/>
        <v>1.7787455021088285</v>
      </c>
      <c r="DL95" s="2281">
        <v>1998</v>
      </c>
      <c r="DM95" s="2136">
        <v>1.0163185599999998</v>
      </c>
      <c r="DN95" s="1966"/>
      <c r="ED95" s="1622">
        <v>1995</v>
      </c>
      <c r="EE95" s="2041">
        <f t="array" ref="EE95:EE118">TRANSPOSE(U70:AR70)</f>
        <v>272.50150000000002</v>
      </c>
      <c r="EF95" s="2073">
        <f t="array" ref="EF95:EF118">TRANSPOSE(U65:AR65)</f>
        <v>1428.5209000000002</v>
      </c>
      <c r="EU95" s="2281">
        <v>1997</v>
      </c>
      <c r="EV95" s="1382">
        <f t="shared" ref="EV95:EV116" si="32">CU54</f>
        <v>1.718558670886825</v>
      </c>
      <c r="EW95" s="1034">
        <f t="shared" ref="EW95:EW133" si="33">DI94</f>
        <v>1.8000080782573098</v>
      </c>
      <c r="EX95" s="1382">
        <f t="shared" ref="EX95:EX133" si="34">DL138</f>
        <v>1.9526312539350381</v>
      </c>
      <c r="EY95" s="1382">
        <f t="shared" ref="EY95:EY116" si="35">CU231</f>
        <v>1.4027022303089887</v>
      </c>
      <c r="EZ95" s="1382">
        <f t="shared" ref="EZ95:EZ133" si="36">EB415</f>
        <v>1.2513079717780982</v>
      </c>
      <c r="FA95" s="1382">
        <f t="shared" ref="FA95:FA116" si="37">DQ186</f>
        <v>1.9680277801214476</v>
      </c>
      <c r="FB95" s="1382">
        <f t="shared" ref="FB95:FB133" si="38">FB321</f>
        <v>5.5</v>
      </c>
      <c r="FC95" s="1382"/>
      <c r="FD95" s="1382">
        <f t="shared" ref="FD95:FD133" si="39">FT140</f>
        <v>19.100000000000001</v>
      </c>
      <c r="FE95" s="1035">
        <f t="shared" si="29"/>
        <v>1.3519800000000002</v>
      </c>
    </row>
    <row r="96" spans="5:161" ht="17.399999999999999">
      <c r="I96" s="21" t="s">
        <v>478</v>
      </c>
      <c r="J96" s="40" t="s">
        <v>6</v>
      </c>
      <c r="K96" s="1426" t="s">
        <v>479</v>
      </c>
      <c r="L96" s="1426"/>
      <c r="M96" s="1426"/>
      <c r="N96" s="1426"/>
      <c r="O96" s="1663" t="s">
        <v>460</v>
      </c>
      <c r="P96" s="1173"/>
      <c r="R96" s="1175"/>
      <c r="U96" s="466">
        <v>2.327</v>
      </c>
      <c r="V96" s="285">
        <v>2.5059999999999998</v>
      </c>
      <c r="W96" s="285">
        <v>1.9990000000000001</v>
      </c>
      <c r="X96" s="285">
        <v>1.929</v>
      </c>
      <c r="Y96" s="285">
        <v>1.2629999999999999</v>
      </c>
      <c r="Z96" s="466">
        <v>1.0369999999999999</v>
      </c>
      <c r="AA96" s="271">
        <v>1.123</v>
      </c>
      <c r="AB96" s="271">
        <v>1.5</v>
      </c>
      <c r="AC96" s="271">
        <v>1.639</v>
      </c>
      <c r="AD96" s="271">
        <v>1.92</v>
      </c>
      <c r="AE96" s="927">
        <v>1.83</v>
      </c>
      <c r="AF96" s="271">
        <v>1.742</v>
      </c>
      <c r="AG96" s="271">
        <v>1.5529999999999999</v>
      </c>
      <c r="AH96" s="271">
        <v>1.522</v>
      </c>
      <c r="AI96" s="272">
        <v>2.1469999999999998</v>
      </c>
      <c r="AJ96" s="466">
        <v>1.589</v>
      </c>
      <c r="AK96" s="272">
        <v>1.286</v>
      </c>
      <c r="AL96" s="469">
        <v>1.0649999999999999</v>
      </c>
      <c r="AM96" s="469">
        <v>0.91770699999999994</v>
      </c>
      <c r="AN96" s="469">
        <v>0.877</v>
      </c>
      <c r="AO96" s="1099">
        <v>0.96799999999999997</v>
      </c>
      <c r="AP96" s="739">
        <v>0.95599999999999996</v>
      </c>
      <c r="AQ96" s="739">
        <v>0.81599999999999995</v>
      </c>
      <c r="AR96" s="739">
        <v>0.71299999999999997</v>
      </c>
      <c r="AT96" s="2148"/>
      <c r="AV96" s="1725" t="str">
        <f t="shared" si="7"/>
        <v>ZBR</v>
      </c>
      <c r="BO96" s="444" t="str">
        <f t="shared" si="31"/>
        <v>ZBR</v>
      </c>
      <c r="BP96" s="784" t="s">
        <v>465</v>
      </c>
      <c r="CQ96" s="2281">
        <v>1999</v>
      </c>
      <c r="CR96" s="1201">
        <f t="shared" si="25"/>
        <v>285.53373037225299</v>
      </c>
      <c r="CS96" s="1871">
        <v>1.0478244353599997</v>
      </c>
      <c r="CT96" s="1201">
        <v>703.20910000000003</v>
      </c>
      <c r="CU96" s="1382">
        <f t="shared" si="27"/>
        <v>2.4627881934761957</v>
      </c>
      <c r="CV96" s="1382"/>
      <c r="CW96" s="1035">
        <f>НАСТРОЙКА!DR140</f>
        <v>3.4030147788000007</v>
      </c>
      <c r="DI96" s="1328">
        <f t="shared" si="28"/>
        <v>2.4627881934761957</v>
      </c>
      <c r="DL96" s="2281">
        <v>1999</v>
      </c>
      <c r="DM96" s="2136">
        <v>1.0478244353599997</v>
      </c>
      <c r="DN96" s="1966"/>
      <c r="ED96" s="1607">
        <v>1996</v>
      </c>
      <c r="EE96" s="1786">
        <v>391.38130000000001</v>
      </c>
      <c r="EF96" s="1788">
        <v>2007.8252000000007</v>
      </c>
      <c r="EU96" s="2281">
        <v>1998</v>
      </c>
      <c r="EV96" s="1382">
        <f t="shared" si="32"/>
        <v>2.1060897046594418</v>
      </c>
      <c r="EW96" s="1034">
        <f t="shared" si="33"/>
        <v>1.7787455021088285</v>
      </c>
      <c r="EX96" s="1382">
        <f t="shared" si="34"/>
        <v>2.0059060303554479</v>
      </c>
      <c r="EY96" s="1382">
        <f t="shared" si="35"/>
        <v>2.0776657762662096</v>
      </c>
      <c r="EZ96" s="1382">
        <f t="shared" si="36"/>
        <v>1.7757982734232494</v>
      </c>
      <c r="FA96" s="1382">
        <f t="shared" si="37"/>
        <v>2.2270348811115843</v>
      </c>
      <c r="FB96" s="1382">
        <f t="shared" si="38"/>
        <v>9.6999999999999993</v>
      </c>
      <c r="FC96" s="1382"/>
      <c r="FD96" s="1382">
        <f t="shared" si="39"/>
        <v>12.7</v>
      </c>
      <c r="FE96" s="1035">
        <f t="shared" si="29"/>
        <v>2.4930511200000005</v>
      </c>
    </row>
    <row r="97" spans="5:161" ht="17.399999999999999">
      <c r="I97" s="21" t="s">
        <v>480</v>
      </c>
      <c r="J97" s="40" t="s">
        <v>5</v>
      </c>
      <c r="K97" s="1426" t="s">
        <v>481</v>
      </c>
      <c r="L97" s="1426"/>
      <c r="M97" s="1426"/>
      <c r="N97" s="1426"/>
      <c r="O97" s="1663" t="s">
        <v>460</v>
      </c>
      <c r="P97" s="1173"/>
      <c r="Q97" s="1174"/>
      <c r="R97" s="1174">
        <v>74.945999999999998</v>
      </c>
      <c r="S97" s="1174"/>
      <c r="T97" s="1174"/>
      <c r="U97" s="465">
        <v>70.739999999999995</v>
      </c>
      <c r="V97" s="272">
        <v>69.66</v>
      </c>
      <c r="W97" s="272">
        <v>68.078999999999994</v>
      </c>
      <c r="X97" s="272">
        <v>67.338999999999999</v>
      </c>
      <c r="Y97" s="272">
        <v>72.174999999999997</v>
      </c>
      <c r="Z97" s="465">
        <v>72.77</v>
      </c>
      <c r="AA97" s="271">
        <v>71.545000000000002</v>
      </c>
      <c r="AB97" s="271">
        <v>72.356999999999999</v>
      </c>
      <c r="AC97" s="271">
        <v>72.272999999999996</v>
      </c>
      <c r="AD97" s="271">
        <v>72.984999999999999</v>
      </c>
      <c r="AE97" s="465">
        <v>73.581000000000003</v>
      </c>
      <c r="AF97" s="271">
        <v>74.418999999999997</v>
      </c>
      <c r="AG97" s="271">
        <v>75.289000000000001</v>
      </c>
      <c r="AH97" s="271">
        <v>75.7</v>
      </c>
      <c r="AI97" s="272">
        <v>75.694000000000003</v>
      </c>
      <c r="AJ97" s="483">
        <v>75.477999999999994</v>
      </c>
      <c r="AK97" s="1102">
        <v>75.778999999999996</v>
      </c>
      <c r="AL97" s="1102">
        <v>75.676000000000002</v>
      </c>
      <c r="AM97" s="1102">
        <v>75.528999999999996</v>
      </c>
      <c r="AN97" s="1102">
        <f>AN91+AN93</f>
        <v>75.428417426370004</v>
      </c>
      <c r="AO97" s="2184">
        <f t="shared" ref="AO97:AR97" si="40">AO91+AO93</f>
        <v>76.587549125790005</v>
      </c>
      <c r="AP97" s="1102">
        <f t="shared" si="40"/>
        <v>76.635999999999996</v>
      </c>
      <c r="AQ97" s="1102">
        <f t="shared" si="40"/>
        <v>76.108999999999995</v>
      </c>
      <c r="AR97" s="1102">
        <f t="shared" si="40"/>
        <v>76.010999999999996</v>
      </c>
      <c r="AT97" s="2148"/>
      <c r="AV97" s="1725" t="str">
        <f t="shared" si="7"/>
        <v>A</v>
      </c>
      <c r="BO97" s="1701" t="str">
        <f t="shared" si="31"/>
        <v>A</v>
      </c>
      <c r="BP97" s="784" t="s">
        <v>1434</v>
      </c>
      <c r="CQ97" s="2281">
        <v>2000</v>
      </c>
      <c r="CR97" s="1201">
        <f t="shared" si="25"/>
        <v>291.24440497969806</v>
      </c>
      <c r="CS97" s="1871">
        <v>1.0687809240671997</v>
      </c>
      <c r="CT97" s="1201">
        <v>1102.4971</v>
      </c>
      <c r="CU97" s="1382">
        <f t="shared" si="27"/>
        <v>3.7854704885295649</v>
      </c>
      <c r="CV97" s="1382"/>
      <c r="CW97" s="1035">
        <f>НАСТРОЙКА!DR141</f>
        <v>4.0904237641176007</v>
      </c>
      <c r="DI97" s="1328">
        <f t="shared" si="28"/>
        <v>3.7854704885295649</v>
      </c>
      <c r="DL97" s="2281">
        <v>2000</v>
      </c>
      <c r="DM97" s="2136">
        <v>1.0687809240671997</v>
      </c>
      <c r="DN97" s="1966"/>
      <c r="ED97" s="1607">
        <v>1997</v>
      </c>
      <c r="EE97" s="1786">
        <v>493.57350000000002</v>
      </c>
      <c r="EF97" s="1788">
        <v>2342.5136999999995</v>
      </c>
      <c r="EU97" s="2281">
        <v>1999</v>
      </c>
      <c r="EV97" s="1382">
        <f t="shared" si="32"/>
        <v>3.7278422973468679</v>
      </c>
      <c r="EW97" s="1034">
        <f t="shared" si="33"/>
        <v>2.4627881934761957</v>
      </c>
      <c r="EX97" s="1382">
        <f t="shared" si="34"/>
        <v>2.3429902839701637</v>
      </c>
      <c r="EY97" s="1382">
        <f t="shared" si="35"/>
        <v>4.8943006185343947</v>
      </c>
      <c r="EZ97" s="1382">
        <f t="shared" si="36"/>
        <v>4.3836468174313525</v>
      </c>
      <c r="FA97" s="1382">
        <f t="shared" si="37"/>
        <v>3.493098424873764</v>
      </c>
      <c r="FB97" s="1382">
        <f t="shared" si="38"/>
        <v>24.62</v>
      </c>
      <c r="FC97" s="1382"/>
      <c r="FD97" s="1382">
        <f t="shared" si="39"/>
        <v>17.7</v>
      </c>
      <c r="FE97" s="1035">
        <f t="shared" si="29"/>
        <v>3.4030147788000007</v>
      </c>
    </row>
    <row r="98" spans="5:161" ht="17.399999999999999">
      <c r="I98" s="739" t="s">
        <v>397</v>
      </c>
      <c r="J98" s="40" t="s">
        <v>482</v>
      </c>
      <c r="K98" s="1426" t="s">
        <v>483</v>
      </c>
      <c r="L98" s="1426"/>
      <c r="M98" s="1426"/>
      <c r="N98" s="1426"/>
      <c r="O98" s="1663" t="s">
        <v>400</v>
      </c>
      <c r="P98" s="1173"/>
      <c r="Q98" s="1174">
        <v>0.14099999999999999</v>
      </c>
      <c r="R98" s="1174">
        <v>3.8929</v>
      </c>
      <c r="S98" s="1174">
        <v>28.672799999999999</v>
      </c>
      <c r="T98" s="1174">
        <v>85.0441</v>
      </c>
      <c r="U98" s="467">
        <v>252.40129999999999</v>
      </c>
      <c r="V98" s="271">
        <v>378.71199999999999</v>
      </c>
      <c r="W98" s="271">
        <v>469.9588</v>
      </c>
      <c r="X98" s="271">
        <v>517.923</v>
      </c>
      <c r="Y98" s="271">
        <v>883.30809999999997</v>
      </c>
      <c r="Z98" s="467">
        <v>1404.1115</v>
      </c>
      <c r="AA98" s="271">
        <v>1585.8331000000001</v>
      </c>
      <c r="AB98" s="271">
        <v>2028.443</v>
      </c>
      <c r="AC98" s="271">
        <v>2318.223</v>
      </c>
      <c r="AD98" s="271">
        <v>3079.0455999999999</v>
      </c>
      <c r="AE98" s="467">
        <v>4410.7671</v>
      </c>
      <c r="AF98" s="271">
        <v>5542.2753000000002</v>
      </c>
      <c r="AG98" s="271">
        <v>6564.4557000000004</v>
      </c>
      <c r="AH98" s="271">
        <v>8498.5391</v>
      </c>
      <c r="AI98" s="271">
        <v>6808.3662999999997</v>
      </c>
      <c r="AJ98" s="467">
        <v>8494.6219999999994</v>
      </c>
      <c r="AK98" s="1016">
        <v>9106.9861999999994</v>
      </c>
      <c r="AL98" s="1016">
        <v>10204.505800000001</v>
      </c>
      <c r="AM98" s="1016">
        <v>10411.927800000001</v>
      </c>
      <c r="AN98" s="1016">
        <v>11497.947099999999</v>
      </c>
      <c r="AO98" s="1145">
        <v>9787.2213000000011</v>
      </c>
      <c r="AP98" s="1016">
        <v>9942.26</v>
      </c>
      <c r="AQ98" s="1016">
        <v>10508.16</v>
      </c>
      <c r="AR98" s="1016">
        <v>12769.69</v>
      </c>
      <c r="AT98" s="2148"/>
      <c r="AV98" s="1725" t="str">
        <f t="shared" si="7"/>
        <v>NL2</v>
      </c>
      <c r="BO98" s="444" t="str">
        <f t="shared" si="31"/>
        <v>NL2</v>
      </c>
      <c r="BP98" s="784" t="s">
        <v>157</v>
      </c>
      <c r="CQ98" s="2281">
        <v>2001</v>
      </c>
      <c r="CR98" s="1201">
        <f t="shared" si="25"/>
        <v>288.91444973986046</v>
      </c>
      <c r="CS98" s="1871">
        <v>1.0602306766746621</v>
      </c>
      <c r="CT98" s="1201">
        <v>1469.9576</v>
      </c>
      <c r="CU98" s="1382">
        <f t="shared" si="27"/>
        <v>5.0878645956391404</v>
      </c>
      <c r="CV98" s="1382"/>
      <c r="CW98" s="1035">
        <f>НАСТРОЙКА!DR142</f>
        <v>4.8512425842434741</v>
      </c>
      <c r="DI98" s="1328">
        <f t="shared" si="28"/>
        <v>5.0878645956391404</v>
      </c>
      <c r="DL98" s="2281">
        <v>2001</v>
      </c>
      <c r="DM98" s="2136">
        <v>1.0602306766746621</v>
      </c>
      <c r="DN98" s="1966"/>
      <c r="ED98" s="1607">
        <v>1998</v>
      </c>
      <c r="EE98" s="1786">
        <v>492.62060000000002</v>
      </c>
      <c r="EF98" s="1788">
        <v>2629.6228999999998</v>
      </c>
      <c r="EU98" s="2281">
        <v>2000</v>
      </c>
      <c r="EV98" s="1382">
        <f t="shared" si="32"/>
        <v>4.5918326760987345</v>
      </c>
      <c r="EW98" s="1034">
        <f t="shared" si="33"/>
        <v>3.7854704885295649</v>
      </c>
      <c r="EX98" s="1382">
        <f t="shared" si="34"/>
        <v>3.2406114791110681</v>
      </c>
      <c r="EY98" s="1382">
        <f t="shared" si="35"/>
        <v>5.1416113994451784</v>
      </c>
      <c r="EZ98" s="1382">
        <f t="shared" si="36"/>
        <v>5.422670804728047</v>
      </c>
      <c r="FA98" s="1382">
        <f t="shared" si="37"/>
        <v>5.1712627496070169</v>
      </c>
      <c r="FB98" s="1382">
        <f t="shared" si="38"/>
        <v>28.14</v>
      </c>
      <c r="FC98" s="1382"/>
      <c r="FD98" s="1382">
        <f t="shared" si="39"/>
        <v>28.3</v>
      </c>
      <c r="FE98" s="1035">
        <f t="shared" si="29"/>
        <v>4.0904237641176007</v>
      </c>
    </row>
    <row r="99" spans="5:161" ht="17.399999999999999">
      <c r="I99" s="739" t="s">
        <v>397</v>
      </c>
      <c r="J99" s="40" t="s">
        <v>484</v>
      </c>
      <c r="K99" s="1426" t="s">
        <v>485</v>
      </c>
      <c r="L99" s="1426"/>
      <c r="M99" s="1426"/>
      <c r="N99" s="1426"/>
      <c r="O99" s="1663" t="s">
        <v>400</v>
      </c>
      <c r="P99" s="1173"/>
      <c r="Q99" s="1174">
        <v>-0.09</v>
      </c>
      <c r="R99" s="1174">
        <v>-3.2572999999999999</v>
      </c>
      <c r="S99" s="1174">
        <v>-10.4712</v>
      </c>
      <c r="T99" s="1174">
        <v>-26.640899999999998</v>
      </c>
      <c r="U99" s="467">
        <v>-82.546999999999997</v>
      </c>
      <c r="V99" s="271">
        <v>-92.897199999999998</v>
      </c>
      <c r="W99" s="271">
        <v>-113.6888</v>
      </c>
      <c r="X99" s="271">
        <v>-98.035300000000007</v>
      </c>
      <c r="Y99" s="271">
        <v>-125.1926</v>
      </c>
      <c r="Z99" s="467">
        <v>-155.6275</v>
      </c>
      <c r="AA99" s="271">
        <v>-183.25059999999999</v>
      </c>
      <c r="AB99" s="271">
        <v>-181.2</v>
      </c>
      <c r="AC99" s="271">
        <v>-205.7</v>
      </c>
      <c r="AD99" s="271">
        <v>-203.595</v>
      </c>
      <c r="AE99" s="467">
        <v>-162.40799999999999</v>
      </c>
      <c r="AF99" s="271">
        <v>-155.56399999999999</v>
      </c>
      <c r="AG99" s="271">
        <v>-230.1388</v>
      </c>
      <c r="AH99" s="271">
        <v>-280.11700000000002</v>
      </c>
      <c r="AI99" s="271">
        <v>-333.86900000000003</v>
      </c>
      <c r="AJ99" s="467">
        <v>-275.45400000000001</v>
      </c>
      <c r="AK99" s="1146">
        <v>-359.98289999999997</v>
      </c>
      <c r="AL99" s="1146">
        <v>-373.81700000000001</v>
      </c>
      <c r="AM99" s="1146">
        <v>-349.60829999999999</v>
      </c>
      <c r="AN99" s="1146">
        <v>-493.70690000000002</v>
      </c>
      <c r="AO99" s="1145">
        <v>-516.20000000000005</v>
      </c>
      <c r="AP99" s="1146">
        <v>-523.4</v>
      </c>
      <c r="AQ99" s="1146">
        <v>-522.58000000000004</v>
      </c>
      <c r="AR99" s="1146">
        <v>-544.79</v>
      </c>
      <c r="AT99" s="2148"/>
      <c r="AV99" s="1725" t="str">
        <f t="shared" si="7"/>
        <v>SB2</v>
      </c>
      <c r="BO99" s="444" t="str">
        <f t="shared" si="31"/>
        <v>SB2</v>
      </c>
      <c r="BP99" s="784" t="s">
        <v>157</v>
      </c>
      <c r="CQ99" s="2281">
        <v>2002</v>
      </c>
      <c r="CR99" s="1201">
        <f t="shared" si="25"/>
        <v>296.42622543309682</v>
      </c>
      <c r="CS99" s="1871">
        <v>1.0877966742682033</v>
      </c>
      <c r="CT99" s="1201">
        <v>1942.4418000000001</v>
      </c>
      <c r="CU99" s="1382">
        <f t="shared" si="27"/>
        <v>6.5528675715584006</v>
      </c>
      <c r="CV99" s="1382"/>
      <c r="CW99" s="1035">
        <f>НАСТРОЙКА!DR143</f>
        <v>5.5837802144642392</v>
      </c>
      <c r="DI99" s="1328">
        <f t="shared" si="28"/>
        <v>6.5528675715584006</v>
      </c>
      <c r="DL99" s="2281">
        <v>2002</v>
      </c>
      <c r="DM99" s="2136">
        <v>1.0877966742682033</v>
      </c>
      <c r="DN99" s="1966"/>
      <c r="ED99" s="1607">
        <v>1999</v>
      </c>
      <c r="EE99" s="1786">
        <v>703.20910000000003</v>
      </c>
      <c r="EF99" s="1788">
        <v>4823.2329000000009</v>
      </c>
      <c r="EU99" s="2281">
        <v>2001</v>
      </c>
      <c r="EV99" s="1382">
        <f t="shared" si="32"/>
        <v>5.5611795404054956</v>
      </c>
      <c r="EW99" s="1034">
        <f t="shared" si="33"/>
        <v>5.0878645956391404</v>
      </c>
      <c r="EX99" s="1382">
        <f t="shared" si="34"/>
        <v>3.97066356566005</v>
      </c>
      <c r="EY99" s="1382">
        <f t="shared" si="35"/>
        <v>5.3433855590626731</v>
      </c>
      <c r="EZ99" s="1382">
        <f t="shared" si="36"/>
        <v>5.4161394271000169</v>
      </c>
      <c r="FA99" s="1382">
        <f t="shared" si="37"/>
        <v>6.0707268468539191</v>
      </c>
      <c r="FB99" s="1382">
        <f t="shared" si="38"/>
        <v>29.17</v>
      </c>
      <c r="FC99" s="1382"/>
      <c r="FD99" s="1382">
        <f t="shared" si="39"/>
        <v>24.4</v>
      </c>
      <c r="FE99" s="1035">
        <f t="shared" si="29"/>
        <v>4.8512425842434741</v>
      </c>
    </row>
    <row r="100" spans="5:161" ht="17.399999999999999">
      <c r="I100" s="1700" t="s">
        <v>407</v>
      </c>
      <c r="J100" s="40" t="s">
        <v>486</v>
      </c>
      <c r="K100" s="1426" t="s">
        <v>487</v>
      </c>
      <c r="L100" s="1426"/>
      <c r="M100" s="1426"/>
      <c r="N100" s="1426"/>
      <c r="O100" s="1663" t="s">
        <v>400</v>
      </c>
      <c r="P100" s="1173"/>
      <c r="Q100" s="1174">
        <v>5.099999999999999E-2</v>
      </c>
      <c r="R100" s="1174">
        <v>0.63560000000000016</v>
      </c>
      <c r="S100" s="1174">
        <v>18.201599999999999</v>
      </c>
      <c r="T100" s="1174">
        <v>58.403199999999998</v>
      </c>
      <c r="U100" s="467">
        <v>169.85429999999999</v>
      </c>
      <c r="V100" s="271">
        <v>285.81479999999999</v>
      </c>
      <c r="W100" s="271">
        <v>356.27</v>
      </c>
      <c r="X100" s="271">
        <v>419.8877</v>
      </c>
      <c r="Y100" s="271">
        <v>758.1155</v>
      </c>
      <c r="Z100" s="467">
        <f>Z98+Z99</f>
        <v>1248.4839999999999</v>
      </c>
      <c r="AA100" s="271">
        <f>AA98+AA99</f>
        <v>1402.5825</v>
      </c>
      <c r="AB100" s="271">
        <f t="shared" ref="AB100:AR100" si="41">AB98+AB99</f>
        <v>1847.2429999999999</v>
      </c>
      <c r="AC100" s="271">
        <f t="shared" si="41"/>
        <v>2112.5230000000001</v>
      </c>
      <c r="AD100" s="271">
        <f t="shared" si="41"/>
        <v>2875.4506000000001</v>
      </c>
      <c r="AE100" s="467">
        <f t="shared" si="41"/>
        <v>4248.3590999999997</v>
      </c>
      <c r="AF100" s="271">
        <f t="shared" si="41"/>
        <v>5386.7112999999999</v>
      </c>
      <c r="AG100" s="271">
        <f t="shared" si="41"/>
        <v>6334.3169000000007</v>
      </c>
      <c r="AH100" s="271">
        <f t="shared" si="41"/>
        <v>8218.4220999999998</v>
      </c>
      <c r="AI100" s="271">
        <f t="shared" si="41"/>
        <v>6474.4973</v>
      </c>
      <c r="AJ100" s="467">
        <f t="shared" si="41"/>
        <v>8219.1679999999997</v>
      </c>
      <c r="AK100" s="619">
        <f t="shared" si="41"/>
        <v>8747.0033000000003</v>
      </c>
      <c r="AL100" s="619">
        <f t="shared" si="41"/>
        <v>9830.6887999999999</v>
      </c>
      <c r="AM100" s="619">
        <f t="shared" si="41"/>
        <v>10062.319500000001</v>
      </c>
      <c r="AN100" s="619">
        <f t="shared" si="41"/>
        <v>11004.2402</v>
      </c>
      <c r="AO100" s="1145">
        <f t="shared" si="41"/>
        <v>9271.0213000000003</v>
      </c>
      <c r="AP100" s="619">
        <f t="shared" si="41"/>
        <v>9418.86</v>
      </c>
      <c r="AQ100" s="619">
        <f t="shared" si="41"/>
        <v>9985.58</v>
      </c>
      <c r="AR100" s="619">
        <f t="shared" si="41"/>
        <v>12224.900000000001</v>
      </c>
      <c r="AT100" s="2148"/>
      <c r="AV100" s="1725" t="str">
        <f t="shared" si="7"/>
        <v>CN2</v>
      </c>
      <c r="BO100" s="444" t="str">
        <f t="shared" si="31"/>
        <v>CN2</v>
      </c>
      <c r="BP100" s="1144" t="s">
        <v>474</v>
      </c>
      <c r="CQ100" s="2281">
        <v>2003</v>
      </c>
      <c r="CR100" s="1201">
        <f t="shared" si="25"/>
        <v>303.54045484349115</v>
      </c>
      <c r="CS100" s="1871">
        <v>1.1139037944506402</v>
      </c>
      <c r="CT100" s="1201">
        <v>2366.3687</v>
      </c>
      <c r="CU100" s="1382">
        <f t="shared" si="27"/>
        <v>7.7958923176158716</v>
      </c>
      <c r="CV100" s="1382"/>
      <c r="CW100" s="1035">
        <f>НАСТРОЙКА!DR144</f>
        <v>6.2538338401999489</v>
      </c>
      <c r="DI100" s="1328">
        <f t="shared" si="28"/>
        <v>7.7958923176158716</v>
      </c>
      <c r="DL100" s="2281">
        <v>2003</v>
      </c>
      <c r="DM100" s="2136">
        <v>1.1139037944506402</v>
      </c>
      <c r="DN100" s="1966"/>
      <c r="ED100" s="1607">
        <v>2000</v>
      </c>
      <c r="EE100" s="1786">
        <v>1102.4971</v>
      </c>
      <c r="EF100" s="1788">
        <v>7305.6466</v>
      </c>
      <c r="EU100" s="2281">
        <v>2002</v>
      </c>
      <c r="EV100" s="1382">
        <f t="shared" si="32"/>
        <v>6.4682386989177063</v>
      </c>
      <c r="EW100" s="1034">
        <f t="shared" si="33"/>
        <v>6.5528675715584006</v>
      </c>
      <c r="EX100" s="1382">
        <f t="shared" si="34"/>
        <v>5.2843734476785453</v>
      </c>
      <c r="EY100" s="1382">
        <f t="shared" si="35"/>
        <v>5.6965406483895427</v>
      </c>
      <c r="EZ100" s="1382">
        <f t="shared" si="36"/>
        <v>5.5899915734957792</v>
      </c>
      <c r="FA100" s="1382">
        <f t="shared" si="37"/>
        <v>6.9167509862711283</v>
      </c>
      <c r="FB100" s="1382">
        <f t="shared" si="38"/>
        <v>31.35</v>
      </c>
      <c r="FC100" s="1382"/>
      <c r="FD100" s="1382">
        <f t="shared" si="39"/>
        <v>25</v>
      </c>
      <c r="FE100" s="1035">
        <f t="shared" si="29"/>
        <v>5.5837802144642392</v>
      </c>
    </row>
    <row r="101" spans="5:161" ht="17.399999999999999">
      <c r="I101" s="739" t="s">
        <v>488</v>
      </c>
      <c r="J101" s="40" t="s">
        <v>489</v>
      </c>
      <c r="K101" s="1426" t="s">
        <v>490</v>
      </c>
      <c r="L101" s="1426"/>
      <c r="M101" s="1426"/>
      <c r="N101" s="1426"/>
      <c r="O101" s="1663" t="s">
        <v>400</v>
      </c>
      <c r="P101" s="1173"/>
      <c r="Q101" s="1174">
        <v>0.72499999999999998</v>
      </c>
      <c r="R101" s="1174">
        <v>11.390499999999999</v>
      </c>
      <c r="S101" s="1174">
        <v>76.961699999999993</v>
      </c>
      <c r="T101" s="1174">
        <v>251.34440000000001</v>
      </c>
      <c r="U101" s="467">
        <v>610.79200000000003</v>
      </c>
      <c r="V101" s="271">
        <v>699.36699999999996</v>
      </c>
      <c r="W101" s="271">
        <v>783.34370000000001</v>
      </c>
      <c r="X101" s="271">
        <v>946.6884</v>
      </c>
      <c r="Y101" s="271">
        <v>2131.5119</v>
      </c>
      <c r="Z101" s="467">
        <v>3119.9324000000001</v>
      </c>
      <c r="AA101" s="271">
        <v>3692.6014</v>
      </c>
      <c r="AB101" s="271">
        <v>3906.8679000000002</v>
      </c>
      <c r="AC101" s="271">
        <v>4864.3283000000001</v>
      </c>
      <c r="AD101" s="271">
        <v>6306.7037</v>
      </c>
      <c r="AE101" s="467">
        <v>7887.1394</v>
      </c>
      <c r="AF101" s="271">
        <v>9544.5843000000004</v>
      </c>
      <c r="AG101" s="271">
        <v>11387.0816</v>
      </c>
      <c r="AH101" s="271">
        <v>13498.7</v>
      </c>
      <c r="AI101" s="271">
        <v>11921.085999999999</v>
      </c>
      <c r="AJ101" s="924">
        <v>15093.736999999999</v>
      </c>
      <c r="AK101" s="1146">
        <v>25148.861699999998</v>
      </c>
      <c r="AL101" s="1146">
        <v>28132.032800000001</v>
      </c>
      <c r="AM101" s="1146">
        <v>29279.293399999999</v>
      </c>
      <c r="AN101" s="1146">
        <v>30623.78</v>
      </c>
      <c r="AO101" s="1145">
        <v>34077.79</v>
      </c>
      <c r="AP101" s="1150">
        <v>35349.99</v>
      </c>
      <c r="AQ101" s="1150">
        <v>38231.449999999997</v>
      </c>
      <c r="AR101" s="1150">
        <v>43406.53</v>
      </c>
      <c r="AS101" s="1150"/>
      <c r="AT101" s="2148"/>
      <c r="AV101" s="1725" t="str">
        <f t="shared" si="7"/>
        <v>WPR</v>
      </c>
      <c r="BO101" s="444" t="str">
        <f t="shared" si="31"/>
        <v>WPR</v>
      </c>
      <c r="BP101" s="784" t="s">
        <v>1428</v>
      </c>
      <c r="CQ101" s="2281">
        <v>2004</v>
      </c>
      <c r="CR101" s="1201">
        <f t="shared" si="25"/>
        <v>309.9148043952045</v>
      </c>
      <c r="CS101" s="1871">
        <v>1.1372957741341037</v>
      </c>
      <c r="CT101" s="1201">
        <v>2889.8145</v>
      </c>
      <c r="CU101" s="1382">
        <f t="shared" si="27"/>
        <v>9.32454487174126</v>
      </c>
      <c r="CV101" s="1382"/>
      <c r="CW101" s="1035">
        <f>НАСТРОЙКА!DR145</f>
        <v>6.9855323995033425</v>
      </c>
      <c r="DI101" s="1328">
        <f t="shared" si="28"/>
        <v>9.32454487174126</v>
      </c>
      <c r="DL101" s="2281">
        <v>2004</v>
      </c>
      <c r="DM101" s="2136">
        <v>1.1372957741341037</v>
      </c>
      <c r="DN101" s="1966"/>
      <c r="ED101" s="1607">
        <v>2001</v>
      </c>
      <c r="EE101" s="1786">
        <v>1469.9576</v>
      </c>
      <c r="EF101" s="1788">
        <v>8943.5826000000015</v>
      </c>
      <c r="EU101" s="2281">
        <v>2003</v>
      </c>
      <c r="EV101" s="1382">
        <f t="shared" si="32"/>
        <v>7.2584827706254744</v>
      </c>
      <c r="EW101" s="1034">
        <f t="shared" si="33"/>
        <v>7.7958923176158716</v>
      </c>
      <c r="EX101" s="1382">
        <f t="shared" si="34"/>
        <v>6.1715081316356093</v>
      </c>
      <c r="EY101" s="1382">
        <f t="shared" si="35"/>
        <v>5.7881234617249069</v>
      </c>
      <c r="EZ101" s="1382">
        <f t="shared" si="36"/>
        <v>6.1009492646947514</v>
      </c>
      <c r="FA101" s="1382">
        <f t="shared" si="37"/>
        <v>7.6273689193439225</v>
      </c>
      <c r="FB101" s="1382">
        <f t="shared" si="38"/>
        <v>30.69</v>
      </c>
      <c r="FC101" s="1382"/>
      <c r="FD101" s="1382">
        <f t="shared" si="39"/>
        <v>28.9</v>
      </c>
      <c r="FE101" s="1035">
        <f t="shared" si="29"/>
        <v>6.2538338401999489</v>
      </c>
    </row>
    <row r="102" spans="5:161" ht="17.399999999999999">
      <c r="I102" s="739" t="s">
        <v>1447</v>
      </c>
      <c r="J102" s="40" t="s">
        <v>491</v>
      </c>
      <c r="K102" s="1426" t="s">
        <v>492</v>
      </c>
      <c r="O102" s="1663" t="s">
        <v>400</v>
      </c>
      <c r="P102" s="1173">
        <v>0.151</v>
      </c>
      <c r="Q102" s="1175">
        <v>0.34799999999999998</v>
      </c>
      <c r="R102" s="1174">
        <v>6</v>
      </c>
      <c r="S102" s="1174">
        <v>57.7</v>
      </c>
      <c r="T102" s="1174">
        <v>230.4</v>
      </c>
      <c r="U102" s="467">
        <v>486.1</v>
      </c>
      <c r="V102" s="271">
        <v>652.70000000000005</v>
      </c>
      <c r="W102" s="271">
        <v>839.5</v>
      </c>
      <c r="X102" s="271">
        <v>842.1</v>
      </c>
      <c r="Y102" s="271">
        <v>1258</v>
      </c>
      <c r="Z102" s="467">
        <v>1960.1</v>
      </c>
      <c r="AA102" s="271">
        <v>2419.4</v>
      </c>
      <c r="AB102" s="271">
        <v>3422.3</v>
      </c>
      <c r="AC102" s="271">
        <v>3964.9</v>
      </c>
      <c r="AD102" s="271">
        <v>4669.7</v>
      </c>
      <c r="AE102" s="467">
        <v>6820.6</v>
      </c>
      <c r="AF102" s="271">
        <v>8375.2000000000007</v>
      </c>
      <c r="AG102" s="271">
        <v>11378.578</v>
      </c>
      <c r="AH102" s="271">
        <v>13991.788</v>
      </c>
      <c r="AI102" s="271">
        <v>16048.3</v>
      </c>
      <c r="AJ102" s="466">
        <v>17616.7</v>
      </c>
      <c r="AK102" s="271">
        <v>19995</v>
      </c>
      <c r="AL102" s="271">
        <v>23175</v>
      </c>
      <c r="AM102" s="271">
        <v>25290</v>
      </c>
      <c r="AN102" s="271">
        <v>27612</v>
      </c>
      <c r="AO102" s="1098">
        <v>29742</v>
      </c>
      <c r="AP102" s="1150">
        <v>31324</v>
      </c>
      <c r="AQ102" s="1150">
        <v>32396</v>
      </c>
      <c r="AR102" s="1150">
        <v>34285</v>
      </c>
      <c r="AS102" s="1150"/>
      <c r="AT102" s="2148"/>
      <c r="AV102" s="1725" t="str">
        <f t="shared" si="7"/>
        <v>RBJ</v>
      </c>
      <c r="BO102" s="444" t="str">
        <f t="shared" si="31"/>
        <v>RBJ</v>
      </c>
      <c r="BP102" s="1152" t="s">
        <v>493</v>
      </c>
      <c r="CQ102" s="2281">
        <v>2005</v>
      </c>
      <c r="CR102" s="1201">
        <f t="shared" si="25"/>
        <v>314.25361165673735</v>
      </c>
      <c r="CS102" s="1871">
        <v>1.1532179149719812</v>
      </c>
      <c r="CT102" s="1201">
        <v>3645.9185000000002</v>
      </c>
      <c r="CU102" s="1382">
        <f t="shared" si="27"/>
        <v>11.601834838997735</v>
      </c>
      <c r="CV102" s="1382"/>
      <c r="CW102" s="1035">
        <f>НАСТРОЙКА!DR146</f>
        <v>7.7469554310492068</v>
      </c>
      <c r="DI102" s="1328">
        <f t="shared" si="28"/>
        <v>11.601834838997735</v>
      </c>
      <c r="DL102" s="2281">
        <v>2005</v>
      </c>
      <c r="DM102" s="2136">
        <v>1.1532179149719812</v>
      </c>
      <c r="DN102" s="1966"/>
      <c r="ED102" s="1607">
        <v>2002</v>
      </c>
      <c r="EE102" s="1786">
        <v>1942.4418000000001</v>
      </c>
      <c r="EF102" s="1788">
        <v>10819.212299999999</v>
      </c>
      <c r="EU102" s="2281">
        <v>2004</v>
      </c>
      <c r="EV102" s="1382">
        <f t="shared" si="32"/>
        <v>8.3282279936178867</v>
      </c>
      <c r="EW102" s="1034">
        <f t="shared" si="33"/>
        <v>9.32454487174126</v>
      </c>
      <c r="EX102" s="1382">
        <f t="shared" si="34"/>
        <v>6.7016025302099056</v>
      </c>
      <c r="EY102" s="1382">
        <f t="shared" si="35"/>
        <v>5.6171649663435339</v>
      </c>
      <c r="EZ102" s="1382">
        <f t="shared" si="36"/>
        <v>6.8314599646456458</v>
      </c>
      <c r="FA102" s="1382">
        <f t="shared" si="37"/>
        <v>8.7904133177964692</v>
      </c>
      <c r="FB102" s="1382">
        <f t="shared" si="38"/>
        <v>28.81</v>
      </c>
      <c r="FC102" s="1382"/>
      <c r="FD102" s="1382">
        <f t="shared" si="39"/>
        <v>38.299999999999997</v>
      </c>
      <c r="FE102" s="1035">
        <f t="shared" si="29"/>
        <v>6.9855323995033425</v>
      </c>
    </row>
    <row r="103" spans="5:161" ht="17.399999999999999">
      <c r="I103" s="739" t="s">
        <v>1448</v>
      </c>
      <c r="J103" s="40" t="s">
        <v>494</v>
      </c>
      <c r="K103" s="1426" t="s">
        <v>495</v>
      </c>
      <c r="O103" s="1663" t="s">
        <v>400</v>
      </c>
      <c r="P103" s="1173">
        <v>0.159</v>
      </c>
      <c r="Q103" s="1175">
        <v>0.31</v>
      </c>
      <c r="R103" s="1174">
        <v>5.3</v>
      </c>
      <c r="S103" s="1174">
        <v>49.7</v>
      </c>
      <c r="T103" s="1174">
        <v>172.4</v>
      </c>
      <c r="U103" s="467">
        <v>437</v>
      </c>
      <c r="V103" s="271">
        <v>558.5</v>
      </c>
      <c r="W103" s="271">
        <v>711.6</v>
      </c>
      <c r="X103" s="271">
        <v>686.8</v>
      </c>
      <c r="Y103" s="271">
        <v>1213.5999999999999</v>
      </c>
      <c r="Z103" s="467">
        <v>2097.6999999999998</v>
      </c>
      <c r="AA103" s="271">
        <v>2683.7</v>
      </c>
      <c r="AB103" s="271">
        <v>3519.2</v>
      </c>
      <c r="AC103" s="271">
        <v>4138.7</v>
      </c>
      <c r="AD103" s="271">
        <v>5429.9</v>
      </c>
      <c r="AE103" s="467">
        <v>8579.6</v>
      </c>
      <c r="AF103" s="271">
        <v>10625.8</v>
      </c>
      <c r="AG103" s="271">
        <v>13368.262000000001</v>
      </c>
      <c r="AH103" s="271">
        <v>16003.86</v>
      </c>
      <c r="AI103" s="271">
        <v>13599.7</v>
      </c>
      <c r="AJ103" s="466">
        <v>16031.9</v>
      </c>
      <c r="AK103" s="271">
        <v>20855</v>
      </c>
      <c r="AL103" s="271">
        <v>23435</v>
      </c>
      <c r="AM103" s="271">
        <v>24442</v>
      </c>
      <c r="AN103" s="271">
        <v>26766</v>
      </c>
      <c r="AO103" s="1098">
        <v>26922</v>
      </c>
      <c r="AP103" s="1150">
        <v>28182</v>
      </c>
      <c r="AQ103" s="1150">
        <v>31047</v>
      </c>
      <c r="AR103" s="1150">
        <v>37320</v>
      </c>
      <c r="AS103" s="1150"/>
      <c r="AT103" s="2148"/>
      <c r="AV103" s="1725" t="str">
        <f t="shared" si="7"/>
        <v>DBJ</v>
      </c>
      <c r="BO103" s="444" t="str">
        <f t="shared" si="31"/>
        <v>DBJ</v>
      </c>
      <c r="BP103" s="784" t="s">
        <v>496</v>
      </c>
      <c r="CQ103" s="2281">
        <v>2006</v>
      </c>
      <c r="CR103" s="1201">
        <f t="shared" si="25"/>
        <v>321.48144472484233</v>
      </c>
      <c r="CS103" s="1871">
        <v>1.1797419270163367</v>
      </c>
      <c r="CT103" s="1201">
        <v>4680.4097000000002</v>
      </c>
      <c r="CU103" s="1382">
        <f t="shared" si="27"/>
        <v>14.558879763670303</v>
      </c>
      <c r="CV103" s="1382"/>
      <c r="CW103" s="1035">
        <f>НАСТРОЙКА!DR147</f>
        <v>8.4441814198436358</v>
      </c>
      <c r="DI103" s="1328">
        <f t="shared" si="28"/>
        <v>14.558879763670303</v>
      </c>
      <c r="DL103" s="2281">
        <v>2006</v>
      </c>
      <c r="DM103" s="2136">
        <v>1.1797419270163367</v>
      </c>
      <c r="DN103" s="1966"/>
      <c r="ED103" s="1607">
        <v>2003</v>
      </c>
      <c r="EE103" s="1786">
        <v>2366.3687</v>
      </c>
      <c r="EF103" s="1788">
        <v>13208.2338</v>
      </c>
      <c r="EU103" s="2281">
        <v>2005</v>
      </c>
      <c r="EV103" s="1382">
        <f t="shared" si="32"/>
        <v>9.3704714639566831</v>
      </c>
      <c r="EW103" s="1034">
        <f t="shared" si="33"/>
        <v>11.601834838997735</v>
      </c>
      <c r="EX103" s="1382">
        <f t="shared" si="34"/>
        <v>7.6444391008680617</v>
      </c>
      <c r="EY103" s="1382">
        <f t="shared" si="35"/>
        <v>5.9336563381172791</v>
      </c>
      <c r="EZ103" s="1382">
        <f t="shared" si="36"/>
        <v>8.0203116455157293</v>
      </c>
      <c r="FA103" s="1382">
        <f t="shared" si="37"/>
        <v>10.054085870175701</v>
      </c>
      <c r="FB103" s="1382">
        <f t="shared" si="38"/>
        <v>28.3</v>
      </c>
      <c r="FC103" s="1382"/>
      <c r="FD103" s="1382">
        <f t="shared" si="39"/>
        <v>54.4</v>
      </c>
      <c r="FE103" s="1035">
        <f t="shared" si="29"/>
        <v>7.7469554310492068</v>
      </c>
    </row>
    <row r="104" spans="5:161" ht="17.399999999999999">
      <c r="I104" s="1700" t="s">
        <v>407</v>
      </c>
      <c r="J104" s="445" t="s">
        <v>497</v>
      </c>
      <c r="K104" s="1634" t="s">
        <v>1445</v>
      </c>
      <c r="L104" s="1634"/>
      <c r="M104" s="1634"/>
      <c r="N104" s="1703" t="s">
        <v>430</v>
      </c>
      <c r="O104" s="1704" t="s">
        <v>400</v>
      </c>
      <c r="P104" s="1702"/>
      <c r="Q104" s="1671"/>
      <c r="R104" s="1644" t="s">
        <v>354</v>
      </c>
      <c r="S104" s="830"/>
      <c r="T104" s="830"/>
      <c r="U104" s="928">
        <f t="shared" ref="U104:AR104" si="42">U101+U88+U100</f>
        <v>1428.5163</v>
      </c>
      <c r="V104" s="928">
        <f t="shared" si="42"/>
        <v>2007.8218000000002</v>
      </c>
      <c r="W104" s="928">
        <f t="shared" si="42"/>
        <v>2342.5137</v>
      </c>
      <c r="X104" s="928">
        <f t="shared" si="42"/>
        <v>2629.6230999999998</v>
      </c>
      <c r="Y104" s="928">
        <f t="shared" si="42"/>
        <v>4823.2334000000001</v>
      </c>
      <c r="Z104" s="467">
        <f t="shared" si="42"/>
        <v>7305.6463999999996</v>
      </c>
      <c r="AA104" s="271">
        <f t="shared" si="42"/>
        <v>8943.5838999999996</v>
      </c>
      <c r="AB104" s="271">
        <f t="shared" si="42"/>
        <v>10819.2109</v>
      </c>
      <c r="AC104" s="271">
        <f t="shared" si="42"/>
        <v>13208.238300000001</v>
      </c>
      <c r="AD104" s="271">
        <f t="shared" si="42"/>
        <v>17027.191299999999</v>
      </c>
      <c r="AE104" s="467">
        <f t="shared" si="42"/>
        <v>21575.325499999999</v>
      </c>
      <c r="AF104" s="271">
        <f t="shared" si="42"/>
        <v>26917.2006</v>
      </c>
      <c r="AG104" s="271">
        <f t="shared" si="42"/>
        <v>33247.508499999996</v>
      </c>
      <c r="AH104" s="271">
        <f t="shared" si="42"/>
        <v>41276.882100000003</v>
      </c>
      <c r="AI104" s="619">
        <f t="shared" si="42"/>
        <v>38807.193299999999</v>
      </c>
      <c r="AJ104" s="924">
        <f t="shared" si="42"/>
        <v>46308.534999999996</v>
      </c>
      <c r="AK104" s="2172">
        <f t="shared" si="42"/>
        <v>60282.540399999998</v>
      </c>
      <c r="AL104" s="2172">
        <f t="shared" si="42"/>
        <v>68163.883100000006</v>
      </c>
      <c r="AM104" s="2172">
        <f t="shared" si="42"/>
        <v>73133.895099999994</v>
      </c>
      <c r="AN104" s="2172">
        <f t="shared" si="42"/>
        <v>79058.480199999991</v>
      </c>
      <c r="AO104" s="1145">
        <f t="shared" si="42"/>
        <v>81094.301299999992</v>
      </c>
      <c r="AP104" s="2172">
        <f t="shared" si="42"/>
        <v>86014.21</v>
      </c>
      <c r="AQ104" s="1150">
        <f t="shared" si="42"/>
        <v>92101.349999999991</v>
      </c>
      <c r="AR104" s="1150">
        <f t="shared" si="42"/>
        <v>103875.79999999999</v>
      </c>
      <c r="AS104" s="1150"/>
      <c r="AT104" s="2148"/>
      <c r="AV104" s="1725" t="str">
        <f t="shared" si="7"/>
        <v>WWP3</v>
      </c>
      <c r="BO104" s="445" t="s">
        <v>497</v>
      </c>
      <c r="BP104" s="1651" t="s">
        <v>474</v>
      </c>
      <c r="CQ104" s="2281">
        <v>2007</v>
      </c>
      <c r="CR104" s="1201">
        <f t="shared" si="25"/>
        <v>330.16144373241303</v>
      </c>
      <c r="CS104" s="1871">
        <v>1.2115949590457777</v>
      </c>
      <c r="CT104" s="1201">
        <v>5750.9641000000001</v>
      </c>
      <c r="CU104" s="1382">
        <f t="shared" si="27"/>
        <v>17.418642331419541</v>
      </c>
      <c r="CV104" s="1382"/>
      <c r="CW104" s="1035">
        <f>НАСТРОЙКА!DR148</f>
        <v>9.4465057543790749</v>
      </c>
      <c r="DI104" s="1328">
        <f t="shared" si="28"/>
        <v>17.418642331419541</v>
      </c>
      <c r="DL104" s="2281">
        <v>2007</v>
      </c>
      <c r="DM104" s="2136">
        <v>1.2115949590457777</v>
      </c>
      <c r="DN104" s="1966"/>
      <c r="ED104" s="1607">
        <v>2004</v>
      </c>
      <c r="EE104" s="1786">
        <v>2889.8145</v>
      </c>
      <c r="EF104" s="1788">
        <v>17027.190900000001</v>
      </c>
      <c r="EU104" s="2281">
        <v>2006</v>
      </c>
      <c r="EV104" s="1382">
        <f t="shared" si="32"/>
        <v>10.171880121895711</v>
      </c>
      <c r="EW104" s="1034">
        <f t="shared" si="33"/>
        <v>14.558879763670303</v>
      </c>
      <c r="EX104" s="1382">
        <f t="shared" si="34"/>
        <v>8.6255823418854529</v>
      </c>
      <c r="EY104" s="1382">
        <f t="shared" si="35"/>
        <v>5.9494755268032113</v>
      </c>
      <c r="EZ104" s="1382">
        <f t="shared" si="36"/>
        <v>8.5777715926432858</v>
      </c>
      <c r="FA104" s="1382">
        <f t="shared" si="37"/>
        <v>11.28478682823815</v>
      </c>
      <c r="FB104" s="1382">
        <f t="shared" si="38"/>
        <v>27.17</v>
      </c>
      <c r="FC104" s="1382"/>
      <c r="FD104" s="1382">
        <f t="shared" si="39"/>
        <v>65.400000000000006</v>
      </c>
      <c r="FE104" s="1035">
        <f t="shared" si="29"/>
        <v>8.4441814198436358</v>
      </c>
    </row>
    <row r="105" spans="5:161" ht="18" thickBot="1">
      <c r="I105" s="1705" t="s">
        <v>407</v>
      </c>
      <c r="J105" s="40" t="s">
        <v>429</v>
      </c>
      <c r="K105" s="1634" t="s">
        <v>1446</v>
      </c>
      <c r="L105" s="1634"/>
      <c r="M105" s="1634"/>
      <c r="N105" s="1703" t="s">
        <v>430</v>
      </c>
      <c r="O105" s="1704" t="s">
        <v>400</v>
      </c>
      <c r="P105" s="1702"/>
      <c r="Q105" s="1671"/>
      <c r="R105" s="1671"/>
      <c r="S105" s="1671"/>
      <c r="T105" s="1706"/>
      <c r="U105" s="928">
        <f t="shared" ref="U105:AR105" si="43">U67</f>
        <v>1428.5209</v>
      </c>
      <c r="V105" s="928">
        <f t="shared" si="43"/>
        <v>2007.8252000000002</v>
      </c>
      <c r="W105" s="928">
        <f t="shared" si="43"/>
        <v>2342.5137</v>
      </c>
      <c r="X105" s="928">
        <f t="shared" si="43"/>
        <v>2629.6228999999998</v>
      </c>
      <c r="Y105" s="928">
        <f t="shared" si="43"/>
        <v>4823.2329</v>
      </c>
      <c r="Z105" s="467">
        <f t="shared" si="43"/>
        <v>7305.6466</v>
      </c>
      <c r="AA105" s="271">
        <f t="shared" si="43"/>
        <v>8943.5825999999997</v>
      </c>
      <c r="AB105" s="271">
        <f t="shared" si="43"/>
        <v>10819.270899999998</v>
      </c>
      <c r="AC105" s="271">
        <f t="shared" si="43"/>
        <v>13208.250299999998</v>
      </c>
      <c r="AD105" s="271">
        <f t="shared" si="43"/>
        <v>17027.166999999998</v>
      </c>
      <c r="AE105" s="467">
        <f t="shared" si="43"/>
        <v>21609.765799999997</v>
      </c>
      <c r="AF105" s="271">
        <f t="shared" si="43"/>
        <v>26917.203699999998</v>
      </c>
      <c r="AG105" s="271">
        <f t="shared" si="43"/>
        <v>33247.513200000001</v>
      </c>
      <c r="AH105" s="271">
        <f t="shared" si="43"/>
        <v>41276.849199999997</v>
      </c>
      <c r="AI105" s="619">
        <f t="shared" si="43"/>
        <v>38807.270899999996</v>
      </c>
      <c r="AJ105" s="924">
        <f t="shared" si="43"/>
        <v>46308.53100000001</v>
      </c>
      <c r="AK105" s="2172">
        <f t="shared" si="43"/>
        <v>60282.540400000005</v>
      </c>
      <c r="AL105" s="2172">
        <f t="shared" si="43"/>
        <v>68163.883100000006</v>
      </c>
      <c r="AM105" s="2172">
        <f t="shared" si="43"/>
        <v>73133.89509999998</v>
      </c>
      <c r="AN105" s="2172">
        <f t="shared" si="43"/>
        <v>79058</v>
      </c>
      <c r="AO105" s="1145">
        <f t="shared" si="43"/>
        <v>83094</v>
      </c>
      <c r="AP105" s="2172">
        <f t="shared" si="43"/>
        <v>86014</v>
      </c>
      <c r="AQ105" s="1150">
        <f t="shared" si="43"/>
        <v>92101</v>
      </c>
      <c r="AR105" s="1150">
        <f t="shared" si="43"/>
        <v>103876</v>
      </c>
      <c r="AS105" s="1150"/>
      <c r="AT105" s="2148"/>
      <c r="AV105" s="1725" t="str">
        <f t="shared" si="7"/>
        <v>WWP1</v>
      </c>
      <c r="BO105" s="446" t="s">
        <v>429</v>
      </c>
      <c r="BP105" s="484" t="s">
        <v>1437</v>
      </c>
      <c r="CQ105" s="2281">
        <v>2008</v>
      </c>
      <c r="CR105" s="1201">
        <f t="shared" si="25"/>
        <v>341.38693281931506</v>
      </c>
      <c r="CS105" s="1871">
        <v>1.2527891876533341</v>
      </c>
      <c r="CT105" s="1201">
        <v>7359.8441999999995</v>
      </c>
      <c r="CU105" s="1382">
        <f t="shared" si="27"/>
        <v>21.558658204106848</v>
      </c>
      <c r="CV105" s="1382"/>
      <c r="CW105" s="1035">
        <f>НАСТРОЙКА!DR149</f>
        <v>10.701001718560617</v>
      </c>
      <c r="DI105" s="1328">
        <f t="shared" si="28"/>
        <v>21.558658204106848</v>
      </c>
      <c r="DL105" s="2281">
        <v>2008</v>
      </c>
      <c r="DM105" s="2136">
        <v>1.2527891876533341</v>
      </c>
      <c r="DN105" s="1966"/>
      <c r="ED105" s="1607">
        <v>2005</v>
      </c>
      <c r="EE105" s="1786">
        <v>3645.9185000000002</v>
      </c>
      <c r="EF105" s="1788">
        <v>21609.765500000001</v>
      </c>
      <c r="EU105" s="2281">
        <v>2007</v>
      </c>
      <c r="EV105" s="1382">
        <f t="shared" si="32"/>
        <v>10.996054426330467</v>
      </c>
      <c r="EW105" s="1034">
        <f t="shared" si="33"/>
        <v>17.418642331419541</v>
      </c>
      <c r="EX105" s="1382">
        <f t="shared" si="34"/>
        <v>10.098705571453516</v>
      </c>
      <c r="EY105" s="1382">
        <f t="shared" si="35"/>
        <v>5.972486590341231</v>
      </c>
      <c r="EZ105" s="1382">
        <f t="shared" si="36"/>
        <v>8.5612179305936174</v>
      </c>
      <c r="FA105" s="1382">
        <f t="shared" si="37"/>
        <v>13.059083510568804</v>
      </c>
      <c r="FB105" s="1382">
        <f t="shared" si="38"/>
        <v>25.58</v>
      </c>
      <c r="FC105" s="1382"/>
      <c r="FD105" s="1382">
        <f t="shared" si="39"/>
        <v>72.7</v>
      </c>
      <c r="FE105" s="1035">
        <f t="shared" si="29"/>
        <v>9.4465057543790749</v>
      </c>
    </row>
    <row r="106" spans="5:161" ht="18" thickBot="1">
      <c r="E106" s="21"/>
      <c r="F106" s="21"/>
      <c r="G106" s="21"/>
      <c r="H106" s="21"/>
      <c r="J106" s="857"/>
      <c r="P106" s="1707">
        <v>1990</v>
      </c>
      <c r="Q106" s="1659">
        <v>1991</v>
      </c>
      <c r="R106" s="1659">
        <v>1992</v>
      </c>
      <c r="S106" s="1659">
        <v>1993</v>
      </c>
      <c r="T106" s="1660">
        <v>1994</v>
      </c>
      <c r="U106" s="1708">
        <v>1995</v>
      </c>
      <c r="V106" s="1709">
        <v>1996</v>
      </c>
      <c r="W106" s="1709">
        <v>1997</v>
      </c>
      <c r="X106" s="1709">
        <v>1998</v>
      </c>
      <c r="Y106" s="1709">
        <v>1999</v>
      </c>
      <c r="Z106" s="1708">
        <v>2000</v>
      </c>
      <c r="AA106" s="1709">
        <v>2001</v>
      </c>
      <c r="AB106" s="1709">
        <v>2002</v>
      </c>
      <c r="AC106" s="1709">
        <v>2003</v>
      </c>
      <c r="AD106" s="1709">
        <v>2004</v>
      </c>
      <c r="AE106" s="1710">
        <v>2005</v>
      </c>
      <c r="AF106" s="1709">
        <v>2006</v>
      </c>
      <c r="AG106" s="1709">
        <v>2007</v>
      </c>
      <c r="AH106" s="1709">
        <v>2008</v>
      </c>
      <c r="AI106" s="1709">
        <v>2009</v>
      </c>
      <c r="AJ106" s="1711">
        <v>2010</v>
      </c>
      <c r="AK106" s="1709">
        <v>2011</v>
      </c>
      <c r="AL106" s="1709">
        <v>2012</v>
      </c>
      <c r="AM106" s="1709">
        <v>2013</v>
      </c>
      <c r="AN106" s="1709">
        <v>2014</v>
      </c>
      <c r="AO106" s="1712">
        <v>2015</v>
      </c>
      <c r="AP106" s="1713">
        <v>2016</v>
      </c>
      <c r="AQ106" s="1661">
        <v>2017</v>
      </c>
      <c r="AR106" s="1713">
        <v>2018</v>
      </c>
      <c r="AS106" s="1713">
        <v>2019</v>
      </c>
      <c r="AT106" s="2170">
        <v>2020</v>
      </c>
      <c r="AU106" s="1713">
        <v>2021</v>
      </c>
      <c r="AV106" s="1725">
        <f t="shared" si="7"/>
        <v>0</v>
      </c>
      <c r="AW106" s="1661">
        <v>2023</v>
      </c>
      <c r="AX106" s="1713">
        <v>2024</v>
      </c>
      <c r="AY106" s="1713">
        <v>2025</v>
      </c>
      <c r="AZ106" s="1661">
        <v>2026</v>
      </c>
      <c r="BA106" s="1713">
        <v>2027</v>
      </c>
      <c r="BB106" s="1713">
        <v>2028</v>
      </c>
      <c r="BC106" s="1661">
        <v>2029</v>
      </c>
      <c r="BD106" s="1713">
        <v>2030</v>
      </c>
      <c r="BE106" s="1713">
        <v>2031</v>
      </c>
      <c r="BF106" s="1661">
        <v>2032</v>
      </c>
      <c r="BG106" s="1713">
        <v>2033</v>
      </c>
      <c r="BH106" s="1713">
        <v>2034</v>
      </c>
      <c r="BI106" s="1661">
        <v>2035</v>
      </c>
      <c r="BJ106" s="1713">
        <v>2036</v>
      </c>
      <c r="BK106" s="1713">
        <v>2037</v>
      </c>
      <c r="BL106" s="1661">
        <v>2038</v>
      </c>
      <c r="BM106" s="1713">
        <v>2039</v>
      </c>
      <c r="BN106" s="1713">
        <v>2040</v>
      </c>
      <c r="BO106" s="1664"/>
      <c r="CQ106" s="2281">
        <v>2009</v>
      </c>
      <c r="CR106" s="1201">
        <f t="shared" si="25"/>
        <v>339.33861122239915</v>
      </c>
      <c r="CS106" s="1871">
        <v>1.2452724525274141</v>
      </c>
      <c r="CT106" s="1201">
        <v>8066.7</v>
      </c>
      <c r="CU106" s="1382">
        <f t="shared" si="27"/>
        <v>23.771830652990928</v>
      </c>
      <c r="CV106" s="1382"/>
      <c r="CW106" s="1035">
        <f>НАСТРОЙКА!DR150</f>
        <v>11.642689869793951</v>
      </c>
      <c r="DI106" s="1328">
        <f t="shared" si="28"/>
        <v>23.771830652990928</v>
      </c>
      <c r="DL106" s="2281">
        <v>2009</v>
      </c>
      <c r="DM106" s="2136">
        <v>1.2452724525274141</v>
      </c>
      <c r="DN106" s="1966"/>
      <c r="ED106" s="1607">
        <v>2006</v>
      </c>
      <c r="EE106" s="1786">
        <v>4680.4097000000002</v>
      </c>
      <c r="EF106" s="1788">
        <v>26917.201400000002</v>
      </c>
      <c r="EU106" s="2281">
        <v>2008</v>
      </c>
      <c r="EV106" s="1382">
        <f t="shared" si="32"/>
        <v>12.382630991276981</v>
      </c>
      <c r="EW106" s="1034">
        <f t="shared" si="33"/>
        <v>21.558658204106848</v>
      </c>
      <c r="EX106" s="1382">
        <f t="shared" si="34"/>
        <v>11.941266045828566</v>
      </c>
      <c r="EY106" s="1382">
        <f t="shared" si="35"/>
        <v>6.6180737006266339</v>
      </c>
      <c r="EZ106" s="1382">
        <f t="shared" si="36"/>
        <v>10.360928463828223</v>
      </c>
      <c r="FA106" s="1382">
        <f t="shared" si="37"/>
        <v>15.593657080025292</v>
      </c>
      <c r="FB106" s="1382">
        <f t="shared" si="38"/>
        <v>24.86</v>
      </c>
      <c r="FC106" s="1382"/>
      <c r="FD106" s="1382">
        <f t="shared" si="39"/>
        <v>97.7</v>
      </c>
      <c r="FE106" s="1035">
        <f t="shared" si="29"/>
        <v>10.701001718560617</v>
      </c>
    </row>
    <row r="107" spans="5:161" ht="18" thickBot="1">
      <c r="I107" s="1651" t="s">
        <v>498</v>
      </c>
      <c r="J107" s="40" t="s">
        <v>499</v>
      </c>
      <c r="K107" s="21" t="s">
        <v>500</v>
      </c>
      <c r="L107" s="21"/>
      <c r="M107" s="21"/>
      <c r="N107" s="21"/>
      <c r="O107" s="1663" t="s">
        <v>460</v>
      </c>
      <c r="P107" s="1173"/>
      <c r="U107" s="1672">
        <v>2</v>
      </c>
      <c r="V107" s="949">
        <f>U107+0.75</f>
        <v>2.75</v>
      </c>
      <c r="W107" s="949">
        <f t="shared" ref="W107:AG107" si="44">V107+0.75</f>
        <v>3.5</v>
      </c>
      <c r="X107" s="949">
        <f t="shared" si="44"/>
        <v>4.25</v>
      </c>
      <c r="Y107" s="949">
        <f t="shared" si="44"/>
        <v>5</v>
      </c>
      <c r="Z107" s="1714">
        <f t="shared" si="44"/>
        <v>5.75</v>
      </c>
      <c r="AA107" s="949">
        <f t="shared" si="44"/>
        <v>6.5</v>
      </c>
      <c r="AB107" s="949">
        <f t="shared" si="44"/>
        <v>7.25</v>
      </c>
      <c r="AC107" s="949">
        <f t="shared" si="44"/>
        <v>8</v>
      </c>
      <c r="AD107" s="949">
        <f t="shared" si="44"/>
        <v>8.75</v>
      </c>
      <c r="AE107" s="1714">
        <f t="shared" si="44"/>
        <v>9.5</v>
      </c>
      <c r="AF107" s="949">
        <f t="shared" si="44"/>
        <v>10.25</v>
      </c>
      <c r="AG107" s="949">
        <f t="shared" si="44"/>
        <v>11</v>
      </c>
      <c r="AH107" s="949">
        <f>AG107+0.75</f>
        <v>11.75</v>
      </c>
      <c r="AI107" s="285">
        <v>10</v>
      </c>
      <c r="AJ107" s="466">
        <v>6</v>
      </c>
      <c r="AK107" s="949">
        <v>10</v>
      </c>
      <c r="AL107" s="949">
        <v>11</v>
      </c>
      <c r="AM107" s="949">
        <v>12</v>
      </c>
      <c r="AN107" s="949">
        <v>12</v>
      </c>
      <c r="AO107" s="2176">
        <v>12</v>
      </c>
      <c r="AP107" s="1693">
        <v>12</v>
      </c>
      <c r="AQ107" s="1693">
        <v>12</v>
      </c>
      <c r="AR107" s="1693">
        <v>12</v>
      </c>
      <c r="AT107" s="2148"/>
      <c r="AV107" s="1725" t="str">
        <f t="shared" si="7"/>
        <v>TM</v>
      </c>
      <c r="BO107" s="444" t="str">
        <f t="shared" ref="BO107:BO114" si="45">J107</f>
        <v>TM</v>
      </c>
      <c r="CQ107" s="2281">
        <v>2010</v>
      </c>
      <c r="CR107" s="1201">
        <f t="shared" si="25"/>
        <v>334.24853205406316</v>
      </c>
      <c r="CS107" s="1871">
        <v>1.2265933657395029</v>
      </c>
      <c r="CT107" s="1201">
        <v>8671.3230000000003</v>
      </c>
      <c r="CU107" s="1382">
        <f t="shared" si="27"/>
        <v>25.942740710668115</v>
      </c>
      <c r="CV107" s="1382"/>
      <c r="CW107" s="1035">
        <f>НАСТРОЙКА!DR151</f>
        <v>12.664918040361862</v>
      </c>
      <c r="DI107" s="1328">
        <f t="shared" si="28"/>
        <v>25.942740710668115</v>
      </c>
      <c r="DL107" s="2281">
        <v>2010</v>
      </c>
      <c r="DM107" s="2136">
        <v>1.2265933657395029</v>
      </c>
      <c r="DN107" s="1966"/>
      <c r="ED107" s="1607">
        <v>2007</v>
      </c>
      <c r="EE107" s="1786">
        <v>5750.9641000000001</v>
      </c>
      <c r="EF107" s="1788">
        <v>33247.513200000001</v>
      </c>
      <c r="EU107" s="2281">
        <v>2009</v>
      </c>
      <c r="EV107" s="1382">
        <f t="shared" si="32"/>
        <v>13.714036448863869</v>
      </c>
      <c r="EW107" s="1034">
        <f t="shared" si="33"/>
        <v>23.771830652990928</v>
      </c>
      <c r="EX107" s="1382">
        <f t="shared" si="34"/>
        <v>12.996640727607122</v>
      </c>
      <c r="EY107" s="1382">
        <f t="shared" si="35"/>
        <v>8.3015732196072332</v>
      </c>
      <c r="EZ107" s="1382">
        <f t="shared" si="36"/>
        <v>10.685163024983835</v>
      </c>
      <c r="FA107" s="1382">
        <f t="shared" si="37"/>
        <v>16.373566297801105</v>
      </c>
      <c r="FB107" s="1382">
        <f t="shared" si="38"/>
        <v>31.83</v>
      </c>
      <c r="FC107" s="1382"/>
      <c r="FD107" s="1382">
        <f t="shared" si="39"/>
        <v>61.9</v>
      </c>
      <c r="FE107" s="1035">
        <f t="shared" si="29"/>
        <v>11.642689869793951</v>
      </c>
    </row>
    <row r="108" spans="5:161" ht="18" thickBot="1">
      <c r="E108" s="38" t="s">
        <v>1118</v>
      </c>
      <c r="F108" s="38"/>
      <c r="G108" s="38"/>
      <c r="H108" s="38"/>
      <c r="I108" s="1651" t="s">
        <v>407</v>
      </c>
      <c r="J108" s="40" t="s">
        <v>501</v>
      </c>
      <c r="K108" s="739" t="s">
        <v>502</v>
      </c>
      <c r="O108" s="1663" t="s">
        <v>503</v>
      </c>
      <c r="P108" s="1173"/>
      <c r="R108" s="1174"/>
      <c r="U108" s="1715">
        <f>U88/U91</f>
        <v>10.114276793380688</v>
      </c>
      <c r="V108" s="1716">
        <f>V88/V91</f>
        <v>16.250953470633107</v>
      </c>
      <c r="W108" s="1716">
        <f t="shared" ref="W108:AP108" si="46">W88/W91</f>
        <v>20.04131887172823</v>
      </c>
      <c r="X108" s="1716">
        <f t="shared" si="46"/>
        <v>21.613823433783391</v>
      </c>
      <c r="Y108" s="1716">
        <f t="shared" si="46"/>
        <v>30.652262134998889</v>
      </c>
      <c r="Z108" s="1716">
        <f t="shared" si="46"/>
        <v>45.139542031658216</v>
      </c>
      <c r="AA108" s="1716">
        <f t="shared" si="46"/>
        <v>59.094329192451205</v>
      </c>
      <c r="AB108" s="1716">
        <f t="shared" si="46"/>
        <v>75.985238302404781</v>
      </c>
      <c r="AC108" s="1716">
        <f t="shared" si="46"/>
        <v>93.93248315470538</v>
      </c>
      <c r="AD108" s="1716">
        <f t="shared" si="46"/>
        <v>116.53525750531054</v>
      </c>
      <c r="AE108" s="1717">
        <f t="shared" si="46"/>
        <v>138.13235487788816</v>
      </c>
      <c r="AF108" s="470">
        <f t="shared" si="46"/>
        <v>173.28434703407598</v>
      </c>
      <c r="AG108" s="470">
        <f t="shared" si="46"/>
        <v>219.38830012717256</v>
      </c>
      <c r="AH108" s="470">
        <f t="shared" si="46"/>
        <v>275.47793755193442</v>
      </c>
      <c r="AI108" s="470">
        <f t="shared" si="46"/>
        <v>294.07304422993809</v>
      </c>
      <c r="AJ108" s="1714">
        <f t="shared" si="46"/>
        <v>328.82040014606758</v>
      </c>
      <c r="AK108" s="470">
        <f t="shared" si="46"/>
        <v>372.39538048188314</v>
      </c>
      <c r="AL108" s="470">
        <f t="shared" si="46"/>
        <v>422.12573839233232</v>
      </c>
      <c r="AM108" s="470">
        <f t="shared" si="46"/>
        <v>473.33788100380787</v>
      </c>
      <c r="AN108" s="470">
        <f t="shared" si="46"/>
        <v>523.2172270180771</v>
      </c>
      <c r="AO108" s="2156">
        <f t="shared" si="46"/>
        <v>521.89711574615046</v>
      </c>
      <c r="AP108" s="470">
        <f t="shared" si="46"/>
        <v>569.74237840675198</v>
      </c>
      <c r="AQ108" s="470"/>
      <c r="AR108" s="470"/>
      <c r="AT108" s="2148"/>
      <c r="AV108" s="1725" t="str">
        <f t="shared" si="7"/>
        <v>UO</v>
      </c>
      <c r="BO108" s="444" t="str">
        <f t="shared" si="45"/>
        <v>UO</v>
      </c>
      <c r="CQ108" s="2281">
        <v>2011</v>
      </c>
      <c r="CR108" s="1201">
        <f t="shared" si="25"/>
        <v>338.92801150282008</v>
      </c>
      <c r="CS108" s="1871">
        <v>1.2437656728598561</v>
      </c>
      <c r="CT108" s="1201">
        <v>10527.4218</v>
      </c>
      <c r="CU108" s="1382">
        <f t="shared" si="27"/>
        <v>31.060937552257776</v>
      </c>
      <c r="CV108" s="1382"/>
      <c r="CW108" s="1035">
        <f>НАСТРОЙКА!DR152</f>
        <v>13.437478040823935</v>
      </c>
      <c r="DI108" s="1328">
        <f t="shared" si="28"/>
        <v>31.060937552257776</v>
      </c>
      <c r="DL108" s="2281">
        <v>2011</v>
      </c>
      <c r="DM108" s="2136">
        <v>1.2437656728598561</v>
      </c>
      <c r="DN108" s="1966"/>
      <c r="ED108" s="1607">
        <v>2008</v>
      </c>
      <c r="EE108" s="1786">
        <v>7359.8441999999995</v>
      </c>
      <c r="EF108" s="1788">
        <v>41276.849199999997</v>
      </c>
      <c r="EU108" s="2281">
        <v>2010</v>
      </c>
      <c r="EV108" s="1382">
        <f t="shared" si="32"/>
        <v>14.629133800462956</v>
      </c>
      <c r="EW108" s="1034">
        <f t="shared" si="33"/>
        <v>25.942740710668115</v>
      </c>
      <c r="EX108" s="1382">
        <f t="shared" si="34"/>
        <v>13.587422805401822</v>
      </c>
      <c r="EY108" s="1382">
        <f t="shared" si="35"/>
        <v>8.1216053754514945</v>
      </c>
      <c r="EZ108" s="1382">
        <f t="shared" si="36"/>
        <v>12.376778209553063</v>
      </c>
      <c r="FA108" s="1382">
        <f t="shared" si="37"/>
        <v>17.674409856030426</v>
      </c>
      <c r="FB108" s="1382">
        <f t="shared" si="38"/>
        <v>30.36</v>
      </c>
      <c r="FC108" s="1382"/>
      <c r="FD108" s="1382">
        <f t="shared" si="39"/>
        <v>79.599999999999994</v>
      </c>
      <c r="FE108" s="1035">
        <f t="shared" si="29"/>
        <v>12.664918040361862</v>
      </c>
    </row>
    <row r="109" spans="5:161" ht="17.399999999999999">
      <c r="E109" s="38" t="s">
        <v>504</v>
      </c>
      <c r="F109" s="38"/>
      <c r="G109" s="38"/>
      <c r="H109" s="38"/>
      <c r="I109" s="1651" t="s">
        <v>407</v>
      </c>
      <c r="J109" s="40" t="s">
        <v>505</v>
      </c>
      <c r="K109" s="739" t="s">
        <v>506</v>
      </c>
      <c r="O109" s="1663" t="s">
        <v>414</v>
      </c>
      <c r="P109" s="1173"/>
      <c r="U109" s="1718">
        <f t="shared" ref="U109:AF109" si="47">U108/(U151*$U108)</f>
        <v>1</v>
      </c>
      <c r="V109" s="1719">
        <f t="shared" si="47"/>
        <v>1.3191577216179184</v>
      </c>
      <c r="W109" s="1719">
        <f t="shared" si="47"/>
        <v>1.465619370714605</v>
      </c>
      <c r="X109" s="1719">
        <f t="shared" si="47"/>
        <v>0.85716727254299341</v>
      </c>
      <c r="Y109" s="1719">
        <f t="shared" si="47"/>
        <v>0.8905613871995075</v>
      </c>
      <c r="Z109" s="1719">
        <f t="shared" si="47"/>
        <v>1.0910735084339893</v>
      </c>
      <c r="AA109" s="1719">
        <f t="shared" si="47"/>
        <v>1.2043645968535897</v>
      </c>
      <c r="AB109" s="1719">
        <f t="shared" si="47"/>
        <v>1.3454454046567674</v>
      </c>
      <c r="AC109" s="1719">
        <f t="shared" si="47"/>
        <v>1.4850279596592788</v>
      </c>
      <c r="AD109" s="1719">
        <f t="shared" si="47"/>
        <v>1.6493886216432383</v>
      </c>
      <c r="AE109" s="1717">
        <f t="shared" si="47"/>
        <v>1.7629074929087367</v>
      </c>
      <c r="AF109" s="471">
        <f t="shared" si="47"/>
        <v>2.0289294415498413</v>
      </c>
      <c r="AG109" s="471">
        <f t="shared" ref="AG109:AP109" si="48">AG108/(AG151*$U108)</f>
        <v>2.2961879581752398</v>
      </c>
      <c r="AH109" s="471">
        <f t="shared" si="48"/>
        <v>2.5452330528232636</v>
      </c>
      <c r="AI109" s="471">
        <f t="shared" si="48"/>
        <v>2.4972789335593348</v>
      </c>
      <c r="AJ109" s="1714">
        <f t="shared" si="48"/>
        <v>2.5669743863224377</v>
      </c>
      <c r="AK109" s="471">
        <f t="shared" si="48"/>
        <v>2.7400070660747096</v>
      </c>
      <c r="AL109" s="471">
        <f t="shared" si="48"/>
        <v>2.914160822061266</v>
      </c>
      <c r="AM109" s="471">
        <f t="shared" si="48"/>
        <v>3.0697095010438815</v>
      </c>
      <c r="AN109" s="471">
        <f t="shared" si="48"/>
        <v>2.9869621512009852</v>
      </c>
      <c r="AO109" s="2149">
        <f t="shared" si="48"/>
        <v>2.6389954387995367</v>
      </c>
      <c r="AP109" s="471">
        <f t="shared" si="48"/>
        <v>2.7333274079770233</v>
      </c>
      <c r="AQ109" s="471"/>
      <c r="AR109" s="471"/>
      <c r="AT109" s="2148"/>
      <c r="AV109" s="1725" t="str">
        <f t="shared" si="7"/>
        <v>kRU</v>
      </c>
      <c r="BO109" s="444" t="str">
        <f t="shared" si="45"/>
        <v>kRU</v>
      </c>
      <c r="CQ109" s="2281">
        <v>2012</v>
      </c>
      <c r="CR109" s="1201">
        <f t="shared" si="25"/>
        <v>347.74013980189346</v>
      </c>
      <c r="CS109" s="1871">
        <v>1.2761035803542125</v>
      </c>
      <c r="CT109" s="1201">
        <v>12155.9717</v>
      </c>
      <c r="CU109" s="1382">
        <f t="shared" si="27"/>
        <v>34.957056458668305</v>
      </c>
      <c r="CV109" s="1382"/>
      <c r="CW109" s="1035">
        <f>НАСТРОЙКА!DR153</f>
        <v>14.321664095910151</v>
      </c>
      <c r="DI109" s="1328">
        <f t="shared" si="28"/>
        <v>34.957056458668305</v>
      </c>
      <c r="DL109" s="2281">
        <v>2012</v>
      </c>
      <c r="DM109" s="2136">
        <v>1.2761035803542125</v>
      </c>
      <c r="DN109" s="1966"/>
      <c r="ED109" s="1607">
        <v>2009</v>
      </c>
      <c r="EE109" s="1786">
        <v>8066.7</v>
      </c>
      <c r="EF109" s="1788">
        <v>38807.218999999997</v>
      </c>
      <c r="EU109" s="2281">
        <v>2011</v>
      </c>
      <c r="EV109" s="1382">
        <f t="shared" si="32"/>
        <v>17.36421630879255</v>
      </c>
      <c r="EW109" s="1034">
        <f t="shared" si="33"/>
        <v>31.060937552257776</v>
      </c>
      <c r="EX109" s="1382">
        <f t="shared" si="34"/>
        <v>14.262597604124318</v>
      </c>
      <c r="EY109" s="1382">
        <f t="shared" si="35"/>
        <v>8.28287419187604</v>
      </c>
      <c r="EZ109" s="1382">
        <f t="shared" si="36"/>
        <v>14.886630426588821</v>
      </c>
      <c r="FA109" s="1382">
        <f t="shared" si="37"/>
        <v>19.234566440524752</v>
      </c>
      <c r="FB109" s="1382">
        <f t="shared" si="38"/>
        <v>29.39</v>
      </c>
      <c r="FC109" s="1382"/>
      <c r="FD109" s="1382">
        <f t="shared" si="39"/>
        <v>111</v>
      </c>
      <c r="FE109" s="1035">
        <f t="shared" si="29"/>
        <v>13.437478040823935</v>
      </c>
    </row>
    <row r="110" spans="5:161" ht="17.399999999999999">
      <c r="E110" s="38" t="s">
        <v>1117</v>
      </c>
      <c r="F110" s="38"/>
      <c r="G110" s="38"/>
      <c r="H110" s="38"/>
      <c r="I110" s="1651" t="s">
        <v>407</v>
      </c>
      <c r="J110" s="40" t="s">
        <v>1114</v>
      </c>
      <c r="K110" s="21" t="s">
        <v>14</v>
      </c>
      <c r="L110" s="21"/>
      <c r="M110" s="21"/>
      <c r="N110" s="21"/>
      <c r="O110" s="1663" t="s">
        <v>414</v>
      </c>
      <c r="P110" s="1173"/>
      <c r="U110" s="1720">
        <f t="shared" ref="U110:AR110" si="49">U88/U65</f>
        <v>0.45352504118070652</v>
      </c>
      <c r="V110" s="1721">
        <f t="shared" si="49"/>
        <v>0.50932720637234741</v>
      </c>
      <c r="W110" s="1721">
        <f t="shared" si="49"/>
        <v>0.51350820274818476</v>
      </c>
      <c r="X110" s="1721">
        <f t="shared" si="49"/>
        <v>0.48031487708750942</v>
      </c>
      <c r="Y110" s="1721">
        <f t="shared" si="49"/>
        <v>0.40089418033286339</v>
      </c>
      <c r="Z110" s="1721">
        <f t="shared" si="49"/>
        <v>0.40204928609604523</v>
      </c>
      <c r="AA110" s="1721">
        <f t="shared" si="49"/>
        <v>0.43029736204370711</v>
      </c>
      <c r="AB110" s="1721">
        <f t="shared" si="49"/>
        <v>0.46815792680212043</v>
      </c>
      <c r="AC110" s="1721">
        <f t="shared" si="49"/>
        <v>0.47178048892502189</v>
      </c>
      <c r="AD110" s="1721">
        <f t="shared" si="49"/>
        <v>0.46073583400066298</v>
      </c>
      <c r="AE110" s="1717">
        <f t="shared" si="49"/>
        <v>0.43683153341020747</v>
      </c>
      <c r="AF110" s="469">
        <f t="shared" si="49"/>
        <v>0.44528793398261679</v>
      </c>
      <c r="AG110" s="469">
        <f t="shared" si="49"/>
        <v>0.46698560300142988</v>
      </c>
      <c r="AH110" s="469">
        <f t="shared" si="49"/>
        <v>0.47386756448454886</v>
      </c>
      <c r="AI110" s="469">
        <f t="shared" si="49"/>
        <v>0.52597456158865707</v>
      </c>
      <c r="AJ110" s="465">
        <f t="shared" si="49"/>
        <v>0.49657427125592235</v>
      </c>
      <c r="AK110" s="469">
        <f t="shared" si="49"/>
        <v>0.43771671241645288</v>
      </c>
      <c r="AL110" s="469">
        <f t="shared" si="49"/>
        <v>0.44306691647383573</v>
      </c>
      <c r="AM110" s="469">
        <f t="shared" si="49"/>
        <v>0.46206047351633545</v>
      </c>
      <c r="AN110" s="469">
        <f t="shared" si="49"/>
        <v>0.47345281619378465</v>
      </c>
      <c r="AO110" s="2149">
        <f t="shared" si="49"/>
        <v>0.45424884739386451</v>
      </c>
      <c r="AP110" s="469">
        <f t="shared" si="49"/>
        <v>0.4795180330689584</v>
      </c>
      <c r="AQ110" s="469">
        <f t="shared" si="49"/>
        <v>0.47647862669533364</v>
      </c>
      <c r="AR110" s="469">
        <f t="shared" si="49"/>
        <v>0.46444282498907352</v>
      </c>
      <c r="AT110" s="2148"/>
      <c r="AV110" s="1725" t="str">
        <f t="shared" si="7"/>
        <v>sOT</v>
      </c>
      <c r="BO110" s="444" t="str">
        <f t="shared" si="45"/>
        <v>sOT</v>
      </c>
      <c r="BP110" s="484" t="s">
        <v>326</v>
      </c>
      <c r="CQ110" s="2281">
        <v>2013</v>
      </c>
      <c r="CR110" s="1201">
        <f t="shared" si="25"/>
        <v>350.86980106011055</v>
      </c>
      <c r="CS110" s="1871">
        <v>1.2875885125774005</v>
      </c>
      <c r="CT110" s="1201">
        <v>13551.946099999999</v>
      </c>
      <c r="CU110" s="1382">
        <f t="shared" si="27"/>
        <v>38.623860073036887</v>
      </c>
      <c r="CV110" s="1382"/>
      <c r="CW110" s="1035">
        <f>НАСТРОЙКА!DR154</f>
        <v>15.245411430096356</v>
      </c>
      <c r="DI110" s="1328">
        <f t="shared" si="28"/>
        <v>38.623860073036887</v>
      </c>
      <c r="DL110" s="2281">
        <v>2013</v>
      </c>
      <c r="DM110" s="2136">
        <v>1.2875885125774005</v>
      </c>
      <c r="DN110" s="1966"/>
      <c r="ED110" s="1607">
        <v>2010</v>
      </c>
      <c r="EE110" s="1786">
        <v>8671.3230000000003</v>
      </c>
      <c r="EF110" s="1788">
        <v>46308.540999999997</v>
      </c>
      <c r="EU110" s="2281">
        <v>2012</v>
      </c>
      <c r="EV110" s="1382">
        <f t="shared" si="32"/>
        <v>18.540125110660799</v>
      </c>
      <c r="EW110" s="1034">
        <f t="shared" si="33"/>
        <v>34.957056458668305</v>
      </c>
      <c r="EX110" s="1382">
        <f t="shared" si="34"/>
        <v>15.820545673088896</v>
      </c>
      <c r="EY110" s="1382">
        <f t="shared" si="35"/>
        <v>8.6670199170643656</v>
      </c>
      <c r="EZ110" s="1382">
        <f t="shared" si="36"/>
        <v>15.682710215951944</v>
      </c>
      <c r="FA110" s="1382">
        <f t="shared" si="37"/>
        <v>20.540168341333807</v>
      </c>
      <c r="FB110" s="1382">
        <f t="shared" si="38"/>
        <v>31.08</v>
      </c>
      <c r="FC110" s="1382"/>
      <c r="FD110" s="1382">
        <f t="shared" si="39"/>
        <v>111.4</v>
      </c>
      <c r="FE110" s="1035">
        <f t="shared" si="29"/>
        <v>14.321664095910151</v>
      </c>
    </row>
    <row r="111" spans="5:161" ht="17.399999999999999">
      <c r="I111" s="1651" t="s">
        <v>407</v>
      </c>
      <c r="J111" s="40" t="s">
        <v>508</v>
      </c>
      <c r="K111" s="739" t="s">
        <v>509</v>
      </c>
      <c r="O111" s="1663" t="s">
        <v>414</v>
      </c>
      <c r="P111" s="1173"/>
      <c r="U111" s="1720">
        <v>0.376</v>
      </c>
      <c r="V111" s="484">
        <v>0.32400000000000001</v>
      </c>
      <c r="W111" s="484">
        <v>0.29899999999999999</v>
      </c>
      <c r="X111" s="484">
        <v>0.28000000000000003</v>
      </c>
      <c r="Y111" s="484">
        <v>0.27500000000000002</v>
      </c>
      <c r="Z111" s="1720">
        <v>0.28399999999999997</v>
      </c>
      <c r="AA111" s="484">
        <v>0.27</v>
      </c>
      <c r="AB111" s="484">
        <v>0.249</v>
      </c>
      <c r="AC111" s="484">
        <v>0.253</v>
      </c>
      <c r="AD111" s="484">
        <v>0.21200000000000002</v>
      </c>
      <c r="AE111" s="1720">
        <v>0.22600000000000001</v>
      </c>
      <c r="AF111" s="469">
        <v>0.217</v>
      </c>
      <c r="AG111" s="469">
        <v>0.21199999999999999</v>
      </c>
      <c r="AH111" s="469">
        <v>0.20699999999999999</v>
      </c>
      <c r="AI111" s="285">
        <v>0.20499999999999999</v>
      </c>
      <c r="AJ111" s="1691"/>
      <c r="AK111" s="484"/>
      <c r="AL111" s="484"/>
      <c r="AM111" s="484"/>
      <c r="AN111" s="484"/>
      <c r="AO111" s="2148"/>
      <c r="AT111" s="2148"/>
      <c r="AV111" s="1725" t="str">
        <f t="shared" si="7"/>
        <v>dI1</v>
      </c>
      <c r="BO111" s="444" t="str">
        <f t="shared" si="45"/>
        <v>dI1</v>
      </c>
      <c r="CQ111" s="2281">
        <v>2014</v>
      </c>
      <c r="CR111" s="1201">
        <f t="shared" si="25"/>
        <v>343.5015352378482</v>
      </c>
      <c r="CS111" s="1871">
        <v>1.2605491538132751</v>
      </c>
      <c r="CT111" s="1201">
        <v>14173.19</v>
      </c>
      <c r="CU111" s="1382">
        <f t="shared" si="27"/>
        <v>41.260921847659759</v>
      </c>
      <c r="CV111" s="1382"/>
      <c r="CW111" s="1035">
        <f>НАСТРОЙКА!DR155</f>
        <v>17.318787384589459</v>
      </c>
      <c r="DI111" s="1328">
        <f t="shared" si="28"/>
        <v>41.260921847659759</v>
      </c>
      <c r="DL111" s="2281">
        <v>2014</v>
      </c>
      <c r="DM111" s="2136">
        <v>1.2605491538132751</v>
      </c>
      <c r="DN111" s="1966"/>
      <c r="ED111" s="1607">
        <v>2011</v>
      </c>
      <c r="EE111" s="1786">
        <v>10527.4218</v>
      </c>
      <c r="EF111" s="1788">
        <v>60282.540399999998</v>
      </c>
      <c r="EU111" s="2281">
        <v>2013</v>
      </c>
      <c r="EV111" s="1382">
        <f t="shared" si="32"/>
        <v>19.653563919076568</v>
      </c>
      <c r="EW111" s="1034">
        <f t="shared" si="33"/>
        <v>38.623860073036887</v>
      </c>
      <c r="EX111" s="1382">
        <f t="shared" si="34"/>
        <v>16.643637181160418</v>
      </c>
      <c r="EY111" s="1382">
        <f t="shared" si="35"/>
        <v>9.0619465420277994</v>
      </c>
      <c r="EZ111" s="1382">
        <f t="shared" si="36"/>
        <v>15.596922733834738</v>
      </c>
      <c r="FA111" s="1382">
        <f t="shared" si="37"/>
        <v>21.776225011581559</v>
      </c>
      <c r="FB111" s="1382">
        <f t="shared" si="38"/>
        <v>31.85</v>
      </c>
      <c r="FC111" s="1382"/>
      <c r="FD111" s="1382">
        <f t="shared" si="39"/>
        <v>108.8</v>
      </c>
      <c r="FE111" s="1035">
        <f t="shared" si="29"/>
        <v>15.245411430096356</v>
      </c>
    </row>
    <row r="112" spans="5:161" ht="17.399999999999999">
      <c r="I112" s="1651" t="s">
        <v>407</v>
      </c>
      <c r="J112" s="40" t="s">
        <v>510</v>
      </c>
      <c r="K112" s="739" t="s">
        <v>511</v>
      </c>
      <c r="O112" s="1663" t="s">
        <v>414</v>
      </c>
      <c r="P112" s="1173"/>
      <c r="U112" s="1720">
        <v>0.13500000000000001</v>
      </c>
      <c r="V112" s="484">
        <v>0.161</v>
      </c>
      <c r="W112" s="484">
        <v>0.22800000000000001</v>
      </c>
      <c r="X112" s="484">
        <v>0.30199999999999999</v>
      </c>
      <c r="Y112" s="484">
        <v>0.245</v>
      </c>
      <c r="Z112" s="1720">
        <v>0.3</v>
      </c>
      <c r="AA112" s="484">
        <v>0.36799999999999999</v>
      </c>
      <c r="AB112" s="484">
        <v>0.42099999999999999</v>
      </c>
      <c r="AC112" s="484">
        <v>0.41299999999999998</v>
      </c>
      <c r="AD112" s="484">
        <v>0.46600000000000003</v>
      </c>
      <c r="AE112" s="1720">
        <v>0.45</v>
      </c>
      <c r="AF112" s="469">
        <v>0.47599999999999998</v>
      </c>
      <c r="AG112" s="469">
        <v>0.52400000000000002</v>
      </c>
      <c r="AH112" s="469">
        <f>1-AH111-AH113-AH114</f>
        <v>0.54300000000000004</v>
      </c>
      <c r="AI112" s="285">
        <f>1-AI111-AI113-AI114</f>
        <v>0.55500000000000005</v>
      </c>
      <c r="AJ112" s="1691"/>
      <c r="AK112" s="484"/>
      <c r="AL112" s="484"/>
      <c r="AM112" s="484"/>
      <c r="AN112" s="484"/>
      <c r="AO112" s="2148"/>
      <c r="AT112" s="2148"/>
      <c r="AV112" s="1725" t="str">
        <f t="shared" si="7"/>
        <v>dI2</v>
      </c>
      <c r="BO112" s="444" t="str">
        <f t="shared" si="45"/>
        <v>dI2</v>
      </c>
      <c r="CQ112" s="2281">
        <v>2015</v>
      </c>
      <c r="CR112" s="1201">
        <f t="shared" si="25"/>
        <v>331.13547996928565</v>
      </c>
      <c r="CS112" s="1871">
        <v>1.2151693842759972</v>
      </c>
      <c r="CT112" s="1201">
        <v>14684.12</v>
      </c>
      <c r="CU112" s="1382">
        <f t="shared" si="27"/>
        <v>44.344749772395339</v>
      </c>
      <c r="CV112" s="1382"/>
      <c r="CW112" s="1035">
        <f>НАСТРОЙКА!DR156</f>
        <v>19.552910957201501</v>
      </c>
      <c r="DI112" s="1328">
        <f t="shared" si="28"/>
        <v>44.344749772395339</v>
      </c>
      <c r="DL112" s="2281">
        <v>2015</v>
      </c>
      <c r="DM112" s="2136">
        <v>1.2151693842759972</v>
      </c>
      <c r="DN112" s="1966"/>
      <c r="ED112" s="1607">
        <v>2012</v>
      </c>
      <c r="EE112" s="1786">
        <v>12155.9717</v>
      </c>
      <c r="EF112" s="1788">
        <v>68163.883099999992</v>
      </c>
      <c r="EU112" s="2281">
        <v>2014</v>
      </c>
      <c r="EV112" s="1382">
        <f t="shared" si="32"/>
        <v>21.016276952701091</v>
      </c>
      <c r="EW112" s="1034">
        <f t="shared" si="33"/>
        <v>41.260921847659759</v>
      </c>
      <c r="EX112" s="1382">
        <f t="shared" si="34"/>
        <v>18.778754615584578</v>
      </c>
      <c r="EY112" s="1382">
        <f t="shared" si="35"/>
        <v>10.713774916786438</v>
      </c>
      <c r="EZ112" s="1382">
        <f t="shared" si="36"/>
        <v>19.408072573294923</v>
      </c>
      <c r="FA112" s="1382">
        <f t="shared" si="37"/>
        <v>22.851453644141124</v>
      </c>
      <c r="FB112" s="1382">
        <f t="shared" si="38"/>
        <v>32.729999999999997</v>
      </c>
      <c r="FC112" s="1382"/>
      <c r="FD112" s="1382">
        <f t="shared" si="39"/>
        <v>98.9</v>
      </c>
      <c r="FE112" s="1035">
        <f t="shared" si="29"/>
        <v>17.318787384589459</v>
      </c>
    </row>
    <row r="113" spans="5:161" ht="17.399999999999999">
      <c r="I113" s="1651" t="s">
        <v>407</v>
      </c>
      <c r="J113" s="40" t="s">
        <v>512</v>
      </c>
      <c r="K113" s="739" t="s">
        <v>513</v>
      </c>
      <c r="O113" s="1663" t="s">
        <v>414</v>
      </c>
      <c r="P113" s="1173"/>
      <c r="U113" s="1720">
        <v>0.46199999999999997</v>
      </c>
      <c r="V113" s="484">
        <v>0.48499999999999999</v>
      </c>
      <c r="W113" s="484">
        <v>0.43</v>
      </c>
      <c r="X113" s="484">
        <v>0.34899999999999998</v>
      </c>
      <c r="Y113" s="484">
        <v>0.36699999999999999</v>
      </c>
      <c r="Z113" s="1720">
        <v>0.27899999999999997</v>
      </c>
      <c r="AA113" s="484">
        <v>0.21699999999999997</v>
      </c>
      <c r="AB113" s="484">
        <v>0.187</v>
      </c>
      <c r="AC113" s="484">
        <v>0.17499999999999999</v>
      </c>
      <c r="AD113" s="484">
        <v>0.15599999999999992</v>
      </c>
      <c r="AE113" s="1720">
        <v>0.13</v>
      </c>
      <c r="AF113" s="469">
        <v>0.12299999999999997</v>
      </c>
      <c r="AG113" s="469">
        <v>0.10399999999999995</v>
      </c>
      <c r="AH113" s="469">
        <v>0.1</v>
      </c>
      <c r="AI113" s="285">
        <v>0.1</v>
      </c>
      <c r="AJ113" s="1691"/>
      <c r="AK113" s="484"/>
      <c r="AL113" s="484"/>
      <c r="AM113" s="484"/>
      <c r="AN113" s="484"/>
      <c r="AO113" s="1173"/>
      <c r="AT113" s="2148"/>
      <c r="AV113" s="1725" t="str">
        <f t="shared" si="7"/>
        <v>dI3</v>
      </c>
      <c r="BO113" s="444" t="str">
        <f t="shared" si="45"/>
        <v>dI3</v>
      </c>
      <c r="CQ113" s="2281">
        <v>2016</v>
      </c>
      <c r="CR113" s="1201">
        <f t="shared" si="25"/>
        <v>336.10251216882494</v>
      </c>
      <c r="CS113" s="1871">
        <v>1.2333969250401371</v>
      </c>
      <c r="CT113" s="1201">
        <v>15728.49</v>
      </c>
      <c r="CU113" s="1382">
        <f t="shared" si="27"/>
        <v>46.796704667591264</v>
      </c>
      <c r="CV113" s="1382">
        <f>2.5818*CW113-5.415</f>
        <v>47.787669436254255</v>
      </c>
      <c r="CW113" s="1035">
        <f>НАСТРОЙКА!DR157</f>
        <v>20.606812857794662</v>
      </c>
      <c r="DI113" s="1328">
        <f t="shared" si="28"/>
        <v>46.796704667591264</v>
      </c>
      <c r="DL113" s="2281">
        <v>2016</v>
      </c>
      <c r="DM113" s="2136">
        <v>1.2333969250401371</v>
      </c>
      <c r="DN113" s="1966"/>
      <c r="ED113" s="1607">
        <v>2013</v>
      </c>
      <c r="EE113" s="1786">
        <v>13551.946099999999</v>
      </c>
      <c r="EF113" s="1788">
        <v>73133.895099999994</v>
      </c>
      <c r="EU113" s="2281">
        <v>2015</v>
      </c>
      <c r="EV113" s="1382">
        <f t="shared" si="32"/>
        <v>23.908625308988828</v>
      </c>
      <c r="EW113" s="1034">
        <f t="shared" si="33"/>
        <v>44.344749772395339</v>
      </c>
      <c r="EX113" s="1382">
        <f t="shared" si="34"/>
        <v>20.932137525435952</v>
      </c>
      <c r="EY113" s="1382">
        <f t="shared" si="35"/>
        <v>15.005583237946574</v>
      </c>
      <c r="EZ113" s="1382">
        <f t="shared" si="36"/>
        <v>25.392619710313024</v>
      </c>
      <c r="FA113" s="1382">
        <f t="shared" si="37"/>
        <v>25.408791247612854</v>
      </c>
      <c r="FB113" s="1382">
        <f t="shared" si="38"/>
        <v>56.26</v>
      </c>
      <c r="FC113" s="1382"/>
      <c r="FD113" s="1382">
        <f t="shared" si="39"/>
        <v>50.2</v>
      </c>
      <c r="FE113" s="1035">
        <f t="shared" si="29"/>
        <v>19.552910957201501</v>
      </c>
    </row>
    <row r="114" spans="5:161" ht="18">
      <c r="I114" s="1651" t="s">
        <v>407</v>
      </c>
      <c r="J114" s="40" t="s">
        <v>514</v>
      </c>
      <c r="K114" s="739" t="s">
        <v>515</v>
      </c>
      <c r="O114" s="1663" t="s">
        <v>414</v>
      </c>
      <c r="P114" s="1173"/>
      <c r="U114" s="1720">
        <v>2.7000000000000024E-2</v>
      </c>
      <c r="V114" s="1688">
        <v>0.03</v>
      </c>
      <c r="W114" s="484">
        <v>4.3000000000000038E-2</v>
      </c>
      <c r="X114" s="484">
        <v>6.899999999999995E-2</v>
      </c>
      <c r="Y114" s="484">
        <v>0.11299999999999999</v>
      </c>
      <c r="Z114" s="1720">
        <v>0.13700000000000001</v>
      </c>
      <c r="AA114" s="484">
        <v>0.14499999999999999</v>
      </c>
      <c r="AB114" s="484">
        <v>0.14300000000000002</v>
      </c>
      <c r="AC114" s="484">
        <v>0.15900000000000003</v>
      </c>
      <c r="AD114" s="484">
        <v>0.16600000000000004</v>
      </c>
      <c r="AE114" s="1720">
        <v>0.19399999999999995</v>
      </c>
      <c r="AF114" s="469">
        <v>0.18400000000000005</v>
      </c>
      <c r="AG114" s="469">
        <v>0.16</v>
      </c>
      <c r="AH114" s="469">
        <v>0.15</v>
      </c>
      <c r="AI114" s="285">
        <v>0.14000000000000001</v>
      </c>
      <c r="AJ114" s="1691"/>
      <c r="AK114" s="484"/>
      <c r="AL114" s="1688"/>
      <c r="AM114" s="484"/>
      <c r="AN114" s="484"/>
      <c r="AO114" s="1173"/>
      <c r="AT114" s="2148"/>
      <c r="AV114" s="1725" t="str">
        <f t="shared" si="7"/>
        <v>dI4</v>
      </c>
      <c r="BO114" s="444" t="str">
        <f t="shared" si="45"/>
        <v>dI4</v>
      </c>
      <c r="CQ114" s="2281">
        <v>2017</v>
      </c>
      <c r="CR114" s="1201">
        <f t="shared" si="25"/>
        <v>344.50507497304551</v>
      </c>
      <c r="CS114" s="2423">
        <v>1.2642318481661403</v>
      </c>
      <c r="CT114" s="1805">
        <v>16649.189999999999</v>
      </c>
      <c r="CU114" s="1382">
        <f t="shared" si="27"/>
        <v>48.327851197265097</v>
      </c>
      <c r="CV114" s="1382">
        <f t="shared" ref="CV114:CV132" si="50">2.5818*CW114-5.415</f>
        <v>49.123056439104232</v>
      </c>
      <c r="CW114" s="1035">
        <f>НАСТРОЙКА!DR158</f>
        <v>21.124043860525305</v>
      </c>
      <c r="DI114" s="1328">
        <f t="shared" si="28"/>
        <v>48.327851197265097</v>
      </c>
      <c r="DL114" s="2281">
        <v>2017</v>
      </c>
      <c r="DM114" s="2725">
        <v>1.2642318481661403</v>
      </c>
      <c r="DN114" s="1794"/>
      <c r="ED114" s="1607">
        <v>2014</v>
      </c>
      <c r="EE114" s="1786">
        <v>14173.19</v>
      </c>
      <c r="EF114" s="1788">
        <v>79058.48</v>
      </c>
      <c r="EU114" s="2281">
        <v>2016</v>
      </c>
      <c r="EV114" s="1382">
        <f t="shared" si="32"/>
        <v>25.541020349632802</v>
      </c>
      <c r="EW114" s="1034">
        <f t="shared" si="33"/>
        <v>46.796704667591264</v>
      </c>
      <c r="EX114" s="1382">
        <f t="shared" si="34"/>
        <v>22.713794876355891</v>
      </c>
      <c r="EY114" s="1382">
        <f t="shared" si="35"/>
        <v>16.052012422908838</v>
      </c>
      <c r="EZ114" s="1382">
        <f t="shared" si="36"/>
        <v>24.686694352693262</v>
      </c>
      <c r="FA114" s="1382">
        <f t="shared" si="37"/>
        <v>27.019844336572895</v>
      </c>
      <c r="FB114" s="1382">
        <f t="shared" si="38"/>
        <v>72.88</v>
      </c>
      <c r="FC114" s="1382"/>
      <c r="FD114" s="1382">
        <f t="shared" si="39"/>
        <v>44</v>
      </c>
      <c r="FE114" s="1035">
        <f t="shared" si="29"/>
        <v>20.606812857794662</v>
      </c>
    </row>
    <row r="115" spans="5:161" ht="18">
      <c r="J115" s="40"/>
      <c r="N115" s="1675" t="s">
        <v>430</v>
      </c>
      <c r="O115" s="1663" t="s">
        <v>414</v>
      </c>
      <c r="P115" s="1173"/>
      <c r="U115" s="1722">
        <f>U114+U113+U112+U111</f>
        <v>1</v>
      </c>
      <c r="V115" s="1723">
        <f>V114+V113+V112+V111</f>
        <v>1</v>
      </c>
      <c r="W115" s="1723">
        <f t="shared" ref="W115:AI115" si="51">W114+W113+W112+W111</f>
        <v>1</v>
      </c>
      <c r="X115" s="1723">
        <f t="shared" si="51"/>
        <v>1</v>
      </c>
      <c r="Y115" s="1723">
        <f t="shared" si="51"/>
        <v>1</v>
      </c>
      <c r="Z115" s="1723">
        <f t="shared" si="51"/>
        <v>1</v>
      </c>
      <c r="AA115" s="1723">
        <f t="shared" si="51"/>
        <v>1</v>
      </c>
      <c r="AB115" s="1723">
        <f t="shared" si="51"/>
        <v>1</v>
      </c>
      <c r="AC115" s="1723">
        <f t="shared" si="51"/>
        <v>1</v>
      </c>
      <c r="AD115" s="1723">
        <f t="shared" si="51"/>
        <v>1</v>
      </c>
      <c r="AE115" s="1723">
        <f t="shared" si="51"/>
        <v>1</v>
      </c>
      <c r="AF115" s="469">
        <f t="shared" si="51"/>
        <v>1</v>
      </c>
      <c r="AG115" s="469">
        <f t="shared" si="51"/>
        <v>1</v>
      </c>
      <c r="AH115" s="469">
        <f t="shared" si="51"/>
        <v>1</v>
      </c>
      <c r="AI115" s="469">
        <f t="shared" si="51"/>
        <v>1</v>
      </c>
      <c r="AJ115" s="1691"/>
      <c r="AK115" s="1724"/>
      <c r="AL115" s="1724"/>
      <c r="AM115" s="1724"/>
      <c r="AN115" s="1651"/>
      <c r="AO115" s="2148" t="s">
        <v>430</v>
      </c>
      <c r="AT115" s="2148"/>
      <c r="AV115" s="1725">
        <f t="shared" si="7"/>
        <v>0</v>
      </c>
      <c r="BO115" s="444"/>
      <c r="BP115" s="1651" t="s">
        <v>474</v>
      </c>
      <c r="CQ115" s="2281">
        <v>2018</v>
      </c>
      <c r="CR115" s="1201">
        <f t="shared" si="25"/>
        <v>345.5385901979646</v>
      </c>
      <c r="CS115" s="1805">
        <v>1.2680245437106386</v>
      </c>
      <c r="CT115" s="1805">
        <v>18049.3</v>
      </c>
      <c r="CU115" s="1382">
        <f t="shared" si="27"/>
        <v>52.235265501486438</v>
      </c>
      <c r="CV115" s="1382">
        <f t="shared" si="50"/>
        <v>51.446377643410067</v>
      </c>
      <c r="CW115" s="1035">
        <f>НАСТРОЙКА!DR159</f>
        <v>22.02392812898368</v>
      </c>
      <c r="DI115" s="1328">
        <f t="shared" si="28"/>
        <v>52.235265501486438</v>
      </c>
      <c r="DL115" s="2281">
        <v>2018</v>
      </c>
      <c r="DM115" s="2725">
        <v>1.2680245437106386</v>
      </c>
      <c r="DN115" s="1966">
        <f>DM115</f>
        <v>1.2680245437106386</v>
      </c>
      <c r="ED115" s="1607">
        <v>2015</v>
      </c>
      <c r="EE115" s="1786">
        <v>14684.12</v>
      </c>
      <c r="EF115" s="1788">
        <v>83094.3</v>
      </c>
      <c r="EU115" s="2281">
        <v>2017</v>
      </c>
      <c r="EV115" s="1382">
        <f t="shared" si="32"/>
        <v>26.262932750374507</v>
      </c>
      <c r="EW115" s="1034">
        <f t="shared" si="33"/>
        <v>48.327851197265097</v>
      </c>
      <c r="EX115" s="1382">
        <f t="shared" si="34"/>
        <v>24.993896175246313</v>
      </c>
      <c r="EY115" s="1382">
        <f t="shared" si="35"/>
        <v>14.742627700481556</v>
      </c>
      <c r="EZ115" s="1382">
        <f t="shared" si="36"/>
        <v>23.815961506525245</v>
      </c>
      <c r="FA115" s="1382">
        <f t="shared" si="37"/>
        <v>28.017232863734257</v>
      </c>
      <c r="FB115" s="1382">
        <f t="shared" si="38"/>
        <v>60.66</v>
      </c>
      <c r="FC115" s="1382"/>
      <c r="FD115" s="1382">
        <f t="shared" si="39"/>
        <v>54.53</v>
      </c>
      <c r="FE115" s="1035">
        <f t="shared" si="29"/>
        <v>21.124043860525305</v>
      </c>
    </row>
    <row r="116" spans="5:161" ht="18">
      <c r="E116" s="45" t="s">
        <v>1875</v>
      </c>
      <c r="F116" s="38"/>
      <c r="I116" s="1651" t="s">
        <v>407</v>
      </c>
      <c r="J116" s="40" t="s">
        <v>516</v>
      </c>
      <c r="K116" s="739" t="s">
        <v>517</v>
      </c>
      <c r="O116" s="1663" t="s">
        <v>414</v>
      </c>
      <c r="P116" s="1717"/>
      <c r="Q116" s="1175"/>
      <c r="R116" s="1175"/>
      <c r="S116" s="1175"/>
      <c r="T116" s="1175"/>
      <c r="U116" s="1720">
        <f>U70/U102</f>
        <v>0.56058732771034769</v>
      </c>
      <c r="V116" s="2279">
        <f>V70/V102</f>
        <v>0.5996342883407384</v>
      </c>
      <c r="W116" s="2279">
        <f t="shared" ref="W116:AR116" si="52">W70/W102</f>
        <v>0.58793746277546166</v>
      </c>
      <c r="X116" s="2279">
        <f t="shared" si="52"/>
        <v>0.58499061869136681</v>
      </c>
      <c r="Y116" s="2279">
        <f t="shared" si="52"/>
        <v>0.55898974562798098</v>
      </c>
      <c r="Z116" s="2279">
        <f t="shared" si="52"/>
        <v>0.5624698229682159</v>
      </c>
      <c r="AA116" s="2279">
        <f t="shared" si="52"/>
        <v>0.60757113333884427</v>
      </c>
      <c r="AB116" s="2279">
        <f t="shared" si="52"/>
        <v>0.56758373023989717</v>
      </c>
      <c r="AC116" s="2279">
        <f t="shared" si="52"/>
        <v>0.5968293525687911</v>
      </c>
      <c r="AD116" s="2279">
        <f t="shared" si="52"/>
        <v>0.61884371587039855</v>
      </c>
      <c r="AE116" s="2279">
        <f t="shared" si="52"/>
        <v>0.53454512799460463</v>
      </c>
      <c r="AF116" s="2279">
        <f t="shared" si="52"/>
        <v>0.5588415440825294</v>
      </c>
      <c r="AG116" s="2279">
        <f t="shared" si="52"/>
        <v>0.5054202818665039</v>
      </c>
      <c r="AH116" s="2279">
        <f t="shared" si="52"/>
        <v>0.52601170057751012</v>
      </c>
      <c r="AI116" s="2279">
        <f t="shared" si="52"/>
        <v>0.50265137117327074</v>
      </c>
      <c r="AJ116" s="2279">
        <f t="shared" si="52"/>
        <v>0.49222175549336711</v>
      </c>
      <c r="AK116" s="2279">
        <f t="shared" si="52"/>
        <v>0.52650271567891971</v>
      </c>
      <c r="AL116" s="2279">
        <f t="shared" si="52"/>
        <v>0.52452952319309598</v>
      </c>
      <c r="AM116" s="2279">
        <f t="shared" si="52"/>
        <v>0.53586184657967573</v>
      </c>
      <c r="AN116" s="2279">
        <f t="shared" si="52"/>
        <v>0.51329820367955958</v>
      </c>
      <c r="AO116" s="2279">
        <f t="shared" si="52"/>
        <v>0.49371662968193131</v>
      </c>
      <c r="AP116" s="2279">
        <f t="shared" si="52"/>
        <v>0.50212265355637853</v>
      </c>
      <c r="AQ116" s="2279">
        <f t="shared" si="52"/>
        <v>0.51392733670823554</v>
      </c>
      <c r="AR116" s="2279">
        <f t="shared" si="52"/>
        <v>0.5264488843517573</v>
      </c>
      <c r="AT116" s="2148"/>
      <c r="AV116" s="1725" t="str">
        <f t="shared" si="7"/>
        <v>h1</v>
      </c>
      <c r="BO116" s="444" t="str">
        <f t="shared" ref="BO116:BO122" si="53">J116</f>
        <v>h1</v>
      </c>
      <c r="CQ116" s="2281">
        <v>2019</v>
      </c>
      <c r="CR116" s="1805"/>
      <c r="CS116" s="1805"/>
      <c r="CT116" s="1805"/>
      <c r="CU116" s="1805"/>
      <c r="CV116" s="1382">
        <f t="shared" si="50"/>
        <v>53.174963523769726</v>
      </c>
      <c r="CW116" s="1035">
        <f>НАСТРОЙКА!DR160</f>
        <v>22.693455544104783</v>
      </c>
      <c r="DI116" s="1328">
        <f>CV116</f>
        <v>53.174963523769726</v>
      </c>
      <c r="DL116" s="2281">
        <v>2019</v>
      </c>
      <c r="DM116" s="2137"/>
      <c r="DN116" s="1966">
        <f t="array" aca="1" ref="DN116:DN132" ca="1">TRANSPOSE(СЧЁТ!AM186:BC186)</f>
        <v>1.3249159206294971</v>
      </c>
      <c r="ED116" s="1607">
        <v>2016</v>
      </c>
      <c r="EE116" s="1786">
        <v>15728.49</v>
      </c>
      <c r="EF116" s="1788">
        <v>86014.2</v>
      </c>
      <c r="EU116" s="2281">
        <v>2018</v>
      </c>
      <c r="EV116" s="1382">
        <f t="shared" si="32"/>
        <v>27.120680464307846</v>
      </c>
      <c r="EW116" s="1034">
        <f t="shared" si="33"/>
        <v>52.235265501486438</v>
      </c>
      <c r="EX116" s="1382">
        <f t="shared" si="34"/>
        <v>27.181442967904612</v>
      </c>
      <c r="EY116" s="1382">
        <f t="shared" si="35"/>
        <v>16.237654558609506</v>
      </c>
      <c r="EZ116" s="1382">
        <f t="shared" si="36"/>
        <v>28.984298505855161</v>
      </c>
      <c r="FA116" s="1382">
        <f t="shared" si="37"/>
        <v>29.489664817255768</v>
      </c>
      <c r="FB116" s="1382">
        <f t="shared" si="38"/>
        <v>57.6</v>
      </c>
      <c r="FC116" s="1382"/>
      <c r="FD116" s="1382">
        <f t="shared" si="39"/>
        <v>72.930000000000007</v>
      </c>
      <c r="FE116" s="1035">
        <f t="shared" si="29"/>
        <v>22.02392812898368</v>
      </c>
    </row>
    <row r="117" spans="5:161" ht="18">
      <c r="E117" s="45" t="s">
        <v>518</v>
      </c>
      <c r="F117" s="38"/>
      <c r="I117" s="1651" t="s">
        <v>407</v>
      </c>
      <c r="J117" s="40" t="s">
        <v>519</v>
      </c>
      <c r="K117" s="739" t="s">
        <v>520</v>
      </c>
      <c r="O117" s="1663" t="s">
        <v>414</v>
      </c>
      <c r="P117" s="1173"/>
      <c r="U117" s="1720">
        <f t="shared" ref="U117:AI117" si="54">U111*U79/U102</f>
        <v>0.20650529520674757</v>
      </c>
      <c r="V117" s="1688">
        <f t="shared" si="54"/>
        <v>0.18662538991879885</v>
      </c>
      <c r="W117" s="1688">
        <f t="shared" si="54"/>
        <v>0.14559893150684933</v>
      </c>
      <c r="X117" s="1688">
        <f t="shared" si="54"/>
        <v>0.13535694098088116</v>
      </c>
      <c r="Y117" s="1688">
        <f t="shared" si="54"/>
        <v>0.14655860492845788</v>
      </c>
      <c r="Z117" s="1720">
        <f t="shared" si="54"/>
        <v>0.16883141472373858</v>
      </c>
      <c r="AA117" s="1688">
        <f t="shared" si="54"/>
        <v>0.16792138546747129</v>
      </c>
      <c r="AB117" s="1688">
        <f t="shared" si="54"/>
        <v>0.12822885194167666</v>
      </c>
      <c r="AC117" s="1688">
        <f t="shared" si="54"/>
        <v>0.13951403566294232</v>
      </c>
      <c r="AD117" s="1688">
        <f t="shared" si="54"/>
        <v>0.13006831273957645</v>
      </c>
      <c r="AE117" s="1720">
        <f t="shared" si="54"/>
        <v>0.11965349089522916</v>
      </c>
      <c r="AF117" s="272">
        <f t="shared" si="54"/>
        <v>0.1225534912599102</v>
      </c>
      <c r="AG117" s="272">
        <f t="shared" si="54"/>
        <v>0.12513330435490269</v>
      </c>
      <c r="AH117" s="272">
        <f t="shared" si="54"/>
        <v>0.12991867172372823</v>
      </c>
      <c r="AI117" s="272">
        <f t="shared" si="54"/>
        <v>0.10188510091411551</v>
      </c>
      <c r="AJ117" s="2148"/>
      <c r="AK117" s="1688"/>
      <c r="AL117" s="1688"/>
      <c r="AM117" s="484"/>
      <c r="AO117" s="2148"/>
      <c r="AT117" s="2148"/>
      <c r="AV117" s="1725" t="str">
        <f t="shared" ref="AV117:AV180" si="55">J117</f>
        <v>h2</v>
      </c>
      <c r="BO117" s="444" t="str">
        <f t="shared" si="53"/>
        <v>h2</v>
      </c>
      <c r="CQ117" s="2281">
        <v>2020</v>
      </c>
      <c r="CR117" s="1805"/>
      <c r="CS117" s="1805"/>
      <c r="CT117" s="1805"/>
      <c r="CU117" s="1805"/>
      <c r="CV117" s="1382">
        <f t="shared" si="50"/>
        <v>56.051730732786808</v>
      </c>
      <c r="CW117" s="1035">
        <f>НАСТРОЙКА!DR161</f>
        <v>23.807704211320324</v>
      </c>
      <c r="DI117" s="1328">
        <f t="shared" ref="DI117:DI132" si="56">CV117</f>
        <v>56.051730732786808</v>
      </c>
      <c r="DL117" s="2281">
        <v>2020</v>
      </c>
      <c r="DM117" s="2137"/>
      <c r="DN117" s="1966">
        <f ca="1"/>
        <v>1.342524810257228</v>
      </c>
      <c r="ED117" s="1607">
        <v>2017</v>
      </c>
      <c r="EE117" s="1788">
        <v>16649.189999999999</v>
      </c>
      <c r="EF117" s="1788">
        <v>92101.34</v>
      </c>
      <c r="EU117" s="2281">
        <v>2019</v>
      </c>
      <c r="EV117" s="2738">
        <f t="shared" ref="EV117:EV133" si="57">1.2605*FE117-0.4897</f>
        <v>28.11540071334408</v>
      </c>
      <c r="EW117" s="1034">
        <f t="shared" si="33"/>
        <v>53.174963523769726</v>
      </c>
      <c r="EX117" s="1382">
        <f t="shared" si="34"/>
        <v>28.304690887736221</v>
      </c>
      <c r="EY117" s="2738">
        <f>FG251</f>
        <v>18.438060398142703</v>
      </c>
      <c r="EZ117" s="1382">
        <f t="shared" si="36"/>
        <v>28.287941205989458</v>
      </c>
      <c r="FA117" s="1382">
        <f t="shared" ref="FA117:FA133" si="58">1.661*FE117-7.124</f>
        <v>30.569829658758049</v>
      </c>
      <c r="FB117" s="1382">
        <f t="shared" si="38"/>
        <v>69.47</v>
      </c>
      <c r="FC117" s="1382"/>
      <c r="FD117" s="1382">
        <f t="shared" si="39"/>
        <v>63.33</v>
      </c>
      <c r="FE117" s="1035">
        <f t="shared" si="29"/>
        <v>22.693455544104783</v>
      </c>
    </row>
    <row r="118" spans="5:161" ht="18">
      <c r="E118" s="38" t="s">
        <v>521</v>
      </c>
      <c r="F118" s="38"/>
      <c r="G118" s="38"/>
      <c r="H118" s="38"/>
      <c r="I118" s="38"/>
      <c r="J118" s="40" t="s">
        <v>522</v>
      </c>
      <c r="K118" s="739" t="s">
        <v>523</v>
      </c>
      <c r="O118" s="1663" t="s">
        <v>414</v>
      </c>
      <c r="P118" s="1173"/>
      <c r="U118" s="1720">
        <f t="shared" ref="U118:AO118" si="59">(U89-U88)/U65</f>
        <v>0.18412751259012028</v>
      </c>
      <c r="V118" s="1721">
        <f t="shared" si="59"/>
        <v>0.16657824595487686</v>
      </c>
      <c r="W118" s="1721">
        <f t="shared" si="59"/>
        <v>0.19359545261144048</v>
      </c>
      <c r="X118" s="1721">
        <f t="shared" si="59"/>
        <v>0.19506713300983194</v>
      </c>
      <c r="Y118" s="1721">
        <f t="shared" si="59"/>
        <v>0.20204166379774025</v>
      </c>
      <c r="Z118" s="1720">
        <f t="shared" si="59"/>
        <v>0.14326863278604252</v>
      </c>
      <c r="AA118" s="1721">
        <f t="shared" si="59"/>
        <v>0.16519107231144708</v>
      </c>
      <c r="AB118" s="1721">
        <f t="shared" si="59"/>
        <v>0.16321890642630238</v>
      </c>
      <c r="AC118" s="1721">
        <f t="shared" si="59"/>
        <v>0.20207947863551601</v>
      </c>
      <c r="AD118" s="1721">
        <f t="shared" si="59"/>
        <v>0.18389780313087339</v>
      </c>
      <c r="AE118" s="1720">
        <f t="shared" si="59"/>
        <v>0.20264787232420456</v>
      </c>
      <c r="AF118" s="272">
        <f t="shared" si="59"/>
        <v>0.19705596139723491</v>
      </c>
      <c r="AG118" s="272">
        <f t="shared" si="59"/>
        <v>0.17400970608532609</v>
      </c>
      <c r="AH118" s="272">
        <f t="shared" si="59"/>
        <v>0.13771012347521919</v>
      </c>
      <c r="AI118" s="272">
        <f t="shared" si="59"/>
        <v>0.21351414024282442</v>
      </c>
      <c r="AJ118" s="2166">
        <f t="shared" si="59"/>
        <v>0.20520339865598441</v>
      </c>
      <c r="AK118" s="272">
        <f t="shared" si="59"/>
        <v>0.15364356808028609</v>
      </c>
      <c r="AL118" s="272">
        <f t="shared" si="59"/>
        <v>0.1423457417436948</v>
      </c>
      <c r="AM118" s="272">
        <f t="shared" si="59"/>
        <v>0.14846355147847171</v>
      </c>
      <c r="AN118" s="272">
        <f t="shared" si="59"/>
        <v>0.13269341884640334</v>
      </c>
      <c r="AO118" s="2149">
        <f t="shared" si="59"/>
        <v>0.18991086031171814</v>
      </c>
      <c r="AT118" s="2148"/>
      <c r="AV118" s="1725" t="str">
        <f t="shared" si="55"/>
        <v>h3</v>
      </c>
      <c r="BO118" s="444" t="str">
        <f t="shared" si="53"/>
        <v>h3</v>
      </c>
      <c r="CQ118" s="2281">
        <v>2021</v>
      </c>
      <c r="CR118" s="1805"/>
      <c r="CS118" s="1805"/>
      <c r="CT118" s="1805"/>
      <c r="CU118" s="1805"/>
      <c r="CV118" s="1382">
        <f t="shared" si="50"/>
        <v>59.125067269426147</v>
      </c>
      <c r="CW118" s="1035">
        <f>НАСТРОЙКА!DR162</f>
        <v>24.998089421886341</v>
      </c>
      <c r="DI118" s="1328">
        <f t="shared" si="56"/>
        <v>59.125067269426147</v>
      </c>
      <c r="DL118" s="2281">
        <v>2021</v>
      </c>
      <c r="DM118" s="2137"/>
      <c r="DN118" s="1966">
        <f ca="1"/>
        <v>1.442031647242126</v>
      </c>
      <c r="ED118" s="1607">
        <v>2018</v>
      </c>
      <c r="EE118" s="1788">
        <v>18049.3</v>
      </c>
      <c r="EF118" s="1788">
        <v>103875.8</v>
      </c>
      <c r="EU118" s="2281">
        <v>2020</v>
      </c>
      <c r="EV118" s="2738">
        <f t="shared" si="57"/>
        <v>29.519911158369268</v>
      </c>
      <c r="EW118" s="1034">
        <f t="shared" si="33"/>
        <v>56.051730732786808</v>
      </c>
      <c r="EX118" s="1382">
        <f t="shared" si="34"/>
        <v>29.498051210324068</v>
      </c>
      <c r="EY118" s="2738">
        <f t="shared" ref="EY118:EY133" si="60">FG252</f>
        <v>17.799322318991504</v>
      </c>
      <c r="EZ118" s="1382">
        <f t="shared" si="36"/>
        <v>30.295292486376674</v>
      </c>
      <c r="FA118" s="1382">
        <f t="shared" si="58"/>
        <v>32.420596695003056</v>
      </c>
      <c r="FB118" s="1382">
        <f t="shared" si="38"/>
        <v>61.9</v>
      </c>
      <c r="FC118" s="1382"/>
      <c r="FD118" s="1382">
        <f t="shared" si="39"/>
        <v>40</v>
      </c>
      <c r="FE118" s="1035">
        <f t="shared" si="29"/>
        <v>23.807704211320324</v>
      </c>
    </row>
    <row r="119" spans="5:161" ht="18">
      <c r="E119" s="38" t="s">
        <v>524</v>
      </c>
      <c r="F119" s="38"/>
      <c r="G119" s="21"/>
      <c r="H119" s="21"/>
      <c r="I119" s="1651" t="s">
        <v>407</v>
      </c>
      <c r="J119" s="40" t="s">
        <v>525</v>
      </c>
      <c r="K119" s="739" t="s">
        <v>526</v>
      </c>
      <c r="O119" s="1663" t="s">
        <v>414</v>
      </c>
      <c r="P119" s="1173"/>
      <c r="U119" s="1720">
        <f t="shared" ref="U119:AO119" si="61">U69/U89</f>
        <v>0.79020035130091115</v>
      </c>
      <c r="V119" s="1721">
        <f t="shared" si="61"/>
        <v>0.74263281998378905</v>
      </c>
      <c r="W119" s="1721">
        <f t="shared" si="61"/>
        <v>0.74572186669886498</v>
      </c>
      <c r="X119" s="1721">
        <f t="shared" si="61"/>
        <v>0.82335810810810817</v>
      </c>
      <c r="Y119" s="1721">
        <f t="shared" si="61"/>
        <v>0.86866610501702146</v>
      </c>
      <c r="Z119" s="1720">
        <f t="shared" si="61"/>
        <v>0.82713855769472122</v>
      </c>
      <c r="AA119" s="1721">
        <f t="shared" si="61"/>
        <v>0.81079295129370244</v>
      </c>
      <c r="AB119" s="1721">
        <f t="shared" si="61"/>
        <v>0.79185444298052987</v>
      </c>
      <c r="AC119" s="1721">
        <f t="shared" si="61"/>
        <v>0.73449823043649232</v>
      </c>
      <c r="AD119" s="1721">
        <f t="shared" si="61"/>
        <v>0.76879131401291878</v>
      </c>
      <c r="AE119" s="1720">
        <f t="shared" si="61"/>
        <v>0.77088485418626529</v>
      </c>
      <c r="AF119" s="272">
        <f t="shared" si="61"/>
        <v>0.75041459563565283</v>
      </c>
      <c r="AG119" s="272">
        <f t="shared" si="61"/>
        <v>0.75225769185650937</v>
      </c>
      <c r="AH119" s="272">
        <f t="shared" si="61"/>
        <v>0.79095843368721275</v>
      </c>
      <c r="AI119" s="272">
        <f t="shared" si="61"/>
        <v>0.73128446728809127</v>
      </c>
      <c r="AJ119" s="2166">
        <f t="shared" si="61"/>
        <v>0.7267341060917033</v>
      </c>
      <c r="AK119" s="272">
        <f t="shared" si="61"/>
        <v>0.83984727353311628</v>
      </c>
      <c r="AL119" s="272">
        <f t="shared" si="61"/>
        <v>0.86438356305132324</v>
      </c>
      <c r="AM119" s="272">
        <f t="shared" si="61"/>
        <v>0.86148131690929441</v>
      </c>
      <c r="AN119" s="272">
        <f t="shared" si="61"/>
        <v>0.87549988522777078</v>
      </c>
      <c r="AO119" s="2149">
        <f t="shared" si="61"/>
        <v>0.80787505137690097</v>
      </c>
      <c r="AT119" s="2148"/>
      <c r="AV119" s="1725" t="str">
        <f t="shared" si="55"/>
        <v>h4</v>
      </c>
      <c r="BO119" s="444" t="str">
        <f t="shared" si="53"/>
        <v>h4</v>
      </c>
      <c r="CQ119" s="2281">
        <v>2022</v>
      </c>
      <c r="CR119" s="1805"/>
      <c r="CS119" s="1805"/>
      <c r="CT119" s="1805"/>
      <c r="CU119" s="1805"/>
      <c r="CV119" s="1382">
        <f t="shared" si="50"/>
        <v>62.352070632897458</v>
      </c>
      <c r="CW119" s="1035">
        <f>НАСТРОЙКА!DR163</f>
        <v>26.247993892980659</v>
      </c>
      <c r="DI119" s="1328">
        <f t="shared" si="56"/>
        <v>62.352070632897458</v>
      </c>
      <c r="DL119" s="2281">
        <v>2022</v>
      </c>
      <c r="DM119" s="2137"/>
      <c r="DN119" s="1966">
        <f ca="1"/>
        <v>1.5056835404483333</v>
      </c>
      <c r="ED119" s="1607">
        <v>2019</v>
      </c>
      <c r="EE119" s="1618"/>
      <c r="EF119" s="1611"/>
      <c r="EU119" s="2281">
        <v>2021</v>
      </c>
      <c r="EV119" s="2738">
        <f t="shared" si="57"/>
        <v>31.020391716287733</v>
      </c>
      <c r="EW119" s="1034">
        <f t="shared" si="33"/>
        <v>59.125067269426147</v>
      </c>
      <c r="EX119" s="1382">
        <f t="shared" si="34"/>
        <v>30.772953770840271</v>
      </c>
      <c r="EY119" s="2738">
        <f t="shared" si="60"/>
        <v>20.147590934941082</v>
      </c>
      <c r="EZ119" s="1382">
        <f t="shared" si="36"/>
        <v>32.50839100920102</v>
      </c>
      <c r="FA119" s="1382">
        <f t="shared" si="58"/>
        <v>34.39782652975321</v>
      </c>
      <c r="FB119" s="1382">
        <f t="shared" si="38"/>
        <v>73.87</v>
      </c>
      <c r="FC119" s="1382"/>
      <c r="FD119" s="1382">
        <f t="shared" si="39"/>
        <v>50</v>
      </c>
      <c r="FE119" s="1035">
        <f t="shared" si="29"/>
        <v>24.998089421886341</v>
      </c>
    </row>
    <row r="120" spans="5:161" ht="18">
      <c r="E120" s="45" t="s">
        <v>527</v>
      </c>
      <c r="F120" s="38"/>
      <c r="I120" s="1651" t="s">
        <v>407</v>
      </c>
      <c r="J120" s="40" t="s">
        <v>528</v>
      </c>
      <c r="K120" s="739" t="s">
        <v>529</v>
      </c>
      <c r="O120" s="1663" t="s">
        <v>414</v>
      </c>
      <c r="P120" s="1173"/>
      <c r="U120" s="1720">
        <f t="shared" ref="U120:AI120" si="62">U113*U79/U89</f>
        <v>0.13540672741244922</v>
      </c>
      <c r="V120" s="1688">
        <f t="shared" si="62"/>
        <v>0.13435975978188786</v>
      </c>
      <c r="W120" s="1688">
        <f t="shared" si="62"/>
        <v>0.10612334581019077</v>
      </c>
      <c r="X120" s="1688">
        <f t="shared" si="62"/>
        <v>7.9996066441441444E-2</v>
      </c>
      <c r="Y120" s="1688">
        <f t="shared" si="62"/>
        <v>8.460888999690519E-2</v>
      </c>
      <c r="Z120" s="1720">
        <f t="shared" si="62"/>
        <v>8.160352569090587E-2</v>
      </c>
      <c r="AA120" s="1688">
        <f t="shared" si="62"/>
        <v>6.1309080325960406E-2</v>
      </c>
      <c r="AB120" s="1688">
        <f t="shared" si="62"/>
        <v>4.8246054750402577E-2</v>
      </c>
      <c r="AC120" s="1688">
        <f t="shared" si="62"/>
        <v>4.2988596146283919E-2</v>
      </c>
      <c r="AD120" s="1688">
        <f t="shared" si="62"/>
        <v>4.0718639250020477E-2</v>
      </c>
      <c r="AE120" s="1720">
        <f t="shared" si="62"/>
        <v>3.3970837253057384E-2</v>
      </c>
      <c r="AF120" s="272">
        <f t="shared" si="62"/>
        <v>3.3648735403496791E-2</v>
      </c>
      <c r="AG120" s="272">
        <f t="shared" si="62"/>
        <v>3.2775125542547433E-2</v>
      </c>
      <c r="AH120" s="272">
        <f t="shared" si="62"/>
        <v>3.4786943432102681E-2</v>
      </c>
      <c r="AI120" s="272">
        <f t="shared" si="62"/>
        <v>2.7793407091210039E-2</v>
      </c>
      <c r="AJ120" s="2148"/>
      <c r="AK120" s="1688"/>
      <c r="AL120" s="1688"/>
      <c r="AM120" s="484"/>
      <c r="AO120" s="2150"/>
      <c r="AT120" s="2148"/>
      <c r="AV120" s="1725" t="str">
        <f t="shared" si="55"/>
        <v>h5</v>
      </c>
      <c r="BO120" s="444" t="str">
        <f t="shared" si="53"/>
        <v>h5</v>
      </c>
      <c r="CQ120" s="2281">
        <v>2023</v>
      </c>
      <c r="CR120" s="1805"/>
      <c r="CS120" s="1805"/>
      <c r="CT120" s="1805"/>
      <c r="CU120" s="1805"/>
      <c r="CV120" s="1382">
        <f t="shared" si="50"/>
        <v>65.740424164542333</v>
      </c>
      <c r="CW120" s="1035">
        <f>НАСТРОЙКА!DR164</f>
        <v>27.560393587629694</v>
      </c>
      <c r="DI120" s="1328">
        <f t="shared" si="56"/>
        <v>65.740424164542333</v>
      </c>
      <c r="DL120" s="2281">
        <v>2023</v>
      </c>
      <c r="DM120" s="2137"/>
      <c r="DN120" s="1966">
        <f ca="1"/>
        <v>1.5695274698488424</v>
      </c>
      <c r="ED120" s="1607">
        <v>2020</v>
      </c>
      <c r="EE120" s="1618"/>
      <c r="EF120" s="1611"/>
      <c r="EU120" s="2281">
        <v>2022</v>
      </c>
      <c r="EV120" s="2738">
        <f t="shared" si="57"/>
        <v>32.595896302102119</v>
      </c>
      <c r="EW120" s="1034">
        <f t="shared" si="33"/>
        <v>62.352070632897458</v>
      </c>
      <c r="EX120" s="1382">
        <f t="shared" si="34"/>
        <v>32.111601459382285</v>
      </c>
      <c r="EY120" s="2738">
        <f t="shared" si="60"/>
        <v>20.910602631688135</v>
      </c>
      <c r="EZ120" s="1382">
        <f t="shared" si="36"/>
        <v>34.908397682763393</v>
      </c>
      <c r="FA120" s="1382">
        <f t="shared" si="58"/>
        <v>36.473917856240874</v>
      </c>
      <c r="FB120" s="1382">
        <f t="shared" si="38"/>
        <v>75.17</v>
      </c>
      <c r="FC120" s="1382"/>
      <c r="FD120" s="1382">
        <f t="shared" si="39"/>
        <v>57</v>
      </c>
      <c r="FE120" s="1035">
        <f t="shared" si="29"/>
        <v>26.247993892980659</v>
      </c>
    </row>
    <row r="121" spans="5:161" ht="18">
      <c r="E121" s="45" t="s">
        <v>530</v>
      </c>
      <c r="F121" s="38"/>
      <c r="I121" s="1651" t="s">
        <v>407</v>
      </c>
      <c r="J121" s="40" t="s">
        <v>531</v>
      </c>
      <c r="K121" s="739" t="s">
        <v>532</v>
      </c>
      <c r="O121" s="1663" t="s">
        <v>414</v>
      </c>
      <c r="P121" s="1173"/>
      <c r="U121" s="1720">
        <f t="shared" ref="U121:AI121" si="63">U112*U79/U101</f>
        <v>5.9007796434792863E-2</v>
      </c>
      <c r="V121" s="1688">
        <f t="shared" si="63"/>
        <v>8.6548604666791554E-2</v>
      </c>
      <c r="W121" s="1688">
        <f t="shared" si="63"/>
        <v>0.11898444578031329</v>
      </c>
      <c r="X121" s="1688">
        <f t="shared" si="63"/>
        <v>0.12986318623952717</v>
      </c>
      <c r="Y121" s="1688">
        <f t="shared" si="63"/>
        <v>7.7061523794448444E-2</v>
      </c>
      <c r="Z121" s="1720">
        <f t="shared" si="63"/>
        <v>0.11204415839266259</v>
      </c>
      <c r="AA121" s="1688">
        <f t="shared" si="63"/>
        <v>0.14995650491818585</v>
      </c>
      <c r="AB121" s="1688">
        <f t="shared" si="63"/>
        <v>0.18991438128737345</v>
      </c>
      <c r="AC121" s="1688">
        <f t="shared" si="63"/>
        <v>0.18563368759464693</v>
      </c>
      <c r="AD121" s="1688">
        <f t="shared" si="63"/>
        <v>0.21169378862685434</v>
      </c>
      <c r="AE121" s="1720">
        <f t="shared" si="63"/>
        <v>0.20603097239539089</v>
      </c>
      <c r="AF121" s="272">
        <f t="shared" si="63"/>
        <v>0.23589083916415302</v>
      </c>
      <c r="AG121" s="272">
        <f t="shared" si="63"/>
        <v>0.30906078059544245</v>
      </c>
      <c r="AH121" s="272">
        <f t="shared" si="63"/>
        <v>0.35325012690110896</v>
      </c>
      <c r="AI121" s="272">
        <f t="shared" si="63"/>
        <v>0.37133254596099718</v>
      </c>
      <c r="AJ121" s="2148"/>
      <c r="AK121" s="1688"/>
      <c r="AL121" s="1688"/>
      <c r="AM121" s="484"/>
      <c r="AO121" s="2150"/>
      <c r="AT121" s="2148"/>
      <c r="AV121" s="1725" t="str">
        <f t="shared" si="55"/>
        <v>h6</v>
      </c>
      <c r="BO121" s="444" t="str">
        <f t="shared" si="53"/>
        <v>h6</v>
      </c>
      <c r="CQ121" s="2281">
        <v>2024</v>
      </c>
      <c r="CR121" s="1805"/>
      <c r="CS121" s="1805"/>
      <c r="CT121" s="1805"/>
      <c r="CU121" s="1805"/>
      <c r="CV121" s="1382">
        <f t="shared" si="50"/>
        <v>69.298195372769456</v>
      </c>
      <c r="CW121" s="1035">
        <f>НАСТРОЙКА!DR165</f>
        <v>28.938413267011178</v>
      </c>
      <c r="DI121" s="1328">
        <f t="shared" si="56"/>
        <v>69.298195372769456</v>
      </c>
      <c r="DL121" s="2281">
        <v>2024</v>
      </c>
      <c r="DM121" s="2137"/>
      <c r="DN121" s="1966">
        <f ca="1"/>
        <v>1.6347565687736516</v>
      </c>
      <c r="ED121" s="1607">
        <v>2021</v>
      </c>
      <c r="EE121" s="1618"/>
      <c r="EF121" s="1611"/>
      <c r="EU121" s="2281">
        <v>2023</v>
      </c>
      <c r="EV121" s="2738">
        <f t="shared" si="57"/>
        <v>34.250176117207225</v>
      </c>
      <c r="EW121" s="1034">
        <f t="shared" si="33"/>
        <v>65.740424164542333</v>
      </c>
      <c r="EX121" s="1382">
        <f t="shared" si="34"/>
        <v>33.517181532351401</v>
      </c>
      <c r="EY121" s="2738">
        <f t="shared" si="60"/>
        <v>21.701943413272542</v>
      </c>
      <c r="EZ121" s="1382">
        <f t="shared" si="36"/>
        <v>37.512473870121873</v>
      </c>
      <c r="FA121" s="1382">
        <f t="shared" si="58"/>
        <v>38.653813749052922</v>
      </c>
      <c r="FB121" s="1382">
        <f t="shared" si="38"/>
        <v>76.47</v>
      </c>
      <c r="FC121" s="1382"/>
      <c r="FD121" s="1382">
        <f t="shared" si="39"/>
        <v>61.9</v>
      </c>
      <c r="FE121" s="1035">
        <f t="shared" si="29"/>
        <v>27.560393587629694</v>
      </c>
    </row>
    <row r="122" spans="5:161" ht="18">
      <c r="E122" s="45" t="s">
        <v>533</v>
      </c>
      <c r="F122" s="38"/>
      <c r="I122" s="1651" t="s">
        <v>407</v>
      </c>
      <c r="J122" s="40" t="s">
        <v>534</v>
      </c>
      <c r="K122" s="739" t="s">
        <v>535</v>
      </c>
      <c r="O122" s="1663" t="s">
        <v>414</v>
      </c>
      <c r="P122" s="1173"/>
      <c r="U122" s="1720">
        <f>U114</f>
        <v>2.7000000000000024E-2</v>
      </c>
      <c r="V122" s="1688">
        <f>V114</f>
        <v>0.03</v>
      </c>
      <c r="W122" s="1688">
        <f t="shared" ref="W122:AI122" si="64">W114</f>
        <v>4.3000000000000038E-2</v>
      </c>
      <c r="X122" s="1688">
        <f t="shared" si="64"/>
        <v>6.899999999999995E-2</v>
      </c>
      <c r="Y122" s="1688">
        <f t="shared" si="64"/>
        <v>0.11299999999999999</v>
      </c>
      <c r="Z122" s="1720">
        <f t="shared" si="64"/>
        <v>0.13700000000000001</v>
      </c>
      <c r="AA122" s="1688">
        <f t="shared" si="64"/>
        <v>0.14499999999999999</v>
      </c>
      <c r="AB122" s="1688">
        <f t="shared" si="64"/>
        <v>0.14300000000000002</v>
      </c>
      <c r="AC122" s="1688">
        <f t="shared" si="64"/>
        <v>0.15900000000000003</v>
      </c>
      <c r="AD122" s="1688">
        <f t="shared" si="64"/>
        <v>0.16600000000000004</v>
      </c>
      <c r="AE122" s="1720">
        <f t="shared" si="64"/>
        <v>0.19399999999999995</v>
      </c>
      <c r="AF122" s="272">
        <f t="shared" si="64"/>
        <v>0.18400000000000005</v>
      </c>
      <c r="AG122" s="272">
        <f t="shared" si="64"/>
        <v>0.16</v>
      </c>
      <c r="AH122" s="272">
        <f t="shared" si="64"/>
        <v>0.15</v>
      </c>
      <c r="AI122" s="272">
        <f t="shared" si="64"/>
        <v>0.14000000000000001</v>
      </c>
      <c r="AJ122" s="2148"/>
      <c r="AK122" s="1688"/>
      <c r="AL122" s="1688"/>
      <c r="AM122" s="484"/>
      <c r="AO122" s="2150"/>
      <c r="AT122" s="2148"/>
      <c r="AV122" s="1725" t="str">
        <f t="shared" si="55"/>
        <v>h7</v>
      </c>
      <c r="BO122" s="444" t="str">
        <f t="shared" si="53"/>
        <v>h7</v>
      </c>
      <c r="CQ122" s="2281">
        <v>2025</v>
      </c>
      <c r="CR122" s="1805"/>
      <c r="CS122" s="1805"/>
      <c r="CT122" s="1805"/>
      <c r="CU122" s="1805"/>
      <c r="CV122" s="1382">
        <f t="shared" si="50"/>
        <v>73.033855141407926</v>
      </c>
      <c r="CW122" s="1035">
        <f>НАСТРОЙКА!DR166</f>
        <v>30.385333930361739</v>
      </c>
      <c r="DI122" s="1328">
        <f t="shared" si="56"/>
        <v>73.033855141407926</v>
      </c>
      <c r="DL122" s="2281">
        <v>2025</v>
      </c>
      <c r="DM122" s="2137"/>
      <c r="DN122" s="1966">
        <f ca="1"/>
        <v>1.7021685764197234</v>
      </c>
      <c r="ED122" s="1607">
        <v>2022</v>
      </c>
      <c r="EE122" s="1618"/>
      <c r="EF122" s="1611"/>
      <c r="EU122" s="2281">
        <v>2024</v>
      </c>
      <c r="EV122" s="2738">
        <f t="shared" si="57"/>
        <v>35.98716992306759</v>
      </c>
      <c r="EW122" s="1034">
        <f t="shared" si="33"/>
        <v>69.298195372769456</v>
      </c>
      <c r="EX122" s="1382">
        <f t="shared" si="34"/>
        <v>34.993040608968968</v>
      </c>
      <c r="EY122" s="2738">
        <f t="shared" si="60"/>
        <v>22.52302973393617</v>
      </c>
      <c r="EZ122" s="1382">
        <f t="shared" si="36"/>
        <v>40.339440137928356</v>
      </c>
      <c r="FA122" s="1382">
        <f t="shared" si="58"/>
        <v>40.942704436505565</v>
      </c>
      <c r="FB122" s="1382">
        <f t="shared" si="38"/>
        <v>77.77</v>
      </c>
      <c r="FC122" s="1382"/>
      <c r="FD122" s="1382">
        <f t="shared" si="39"/>
        <v>65.33</v>
      </c>
      <c r="FE122" s="1035">
        <f t="shared" si="29"/>
        <v>28.938413267011178</v>
      </c>
    </row>
    <row r="123" spans="5:161" ht="18">
      <c r="E123" s="45"/>
      <c r="F123" s="38"/>
      <c r="G123" s="21"/>
      <c r="I123" s="1651"/>
      <c r="J123" s="40"/>
      <c r="O123" s="1663"/>
      <c r="P123" s="1173"/>
      <c r="U123" s="1720"/>
      <c r="V123" s="1721"/>
      <c r="W123" s="1721"/>
      <c r="X123" s="1721"/>
      <c r="Y123" s="1721"/>
      <c r="Z123" s="1720"/>
      <c r="AA123" s="1721"/>
      <c r="AB123" s="1721"/>
      <c r="AC123" s="1721"/>
      <c r="AD123" s="1721"/>
      <c r="AE123" s="1720"/>
      <c r="AF123" s="272"/>
      <c r="AG123" s="272"/>
      <c r="AH123" s="272"/>
      <c r="AI123" s="469"/>
      <c r="AJ123" s="2166"/>
      <c r="AK123" s="469"/>
      <c r="AL123" s="469"/>
      <c r="AM123" s="469"/>
      <c r="AN123" s="469"/>
      <c r="AO123" s="2149"/>
      <c r="AT123" s="2148"/>
      <c r="AV123" s="1725">
        <f t="shared" si="55"/>
        <v>0</v>
      </c>
      <c r="BO123" s="444"/>
      <c r="CQ123" s="2281">
        <v>2026</v>
      </c>
      <c r="CR123" s="1805"/>
      <c r="CS123" s="1805"/>
      <c r="CT123" s="1805"/>
      <c r="CU123" s="1805"/>
      <c r="CV123" s="1382">
        <f t="shared" si="50"/>
        <v>76.956297898478326</v>
      </c>
      <c r="CW123" s="1035">
        <f>НАСТРОЙКА!DR167</f>
        <v>31.904600626879827</v>
      </c>
      <c r="DI123" s="1328">
        <f t="shared" si="56"/>
        <v>76.956297898478326</v>
      </c>
      <c r="DL123" s="2281">
        <v>2026</v>
      </c>
      <c r="DM123" s="2137"/>
      <c r="DN123" s="1966">
        <f ca="1"/>
        <v>1.7723199006893267</v>
      </c>
      <c r="ED123" s="1607">
        <v>2023</v>
      </c>
      <c r="EE123" s="1618"/>
      <c r="EF123" s="1611"/>
      <c r="EU123" s="2281">
        <v>2025</v>
      </c>
      <c r="EV123" s="2738">
        <f t="shared" si="57"/>
        <v>37.81101341922097</v>
      </c>
      <c r="EW123" s="1034">
        <f t="shared" si="33"/>
        <v>73.033855141407926</v>
      </c>
      <c r="EX123" s="1382">
        <f t="shared" si="34"/>
        <v>36.542692639417417</v>
      </c>
      <c r="EY123" s="2738">
        <f t="shared" si="60"/>
        <v>23.375348870632976</v>
      </c>
      <c r="EZ123" s="1382">
        <f t="shared" si="36"/>
        <v>43.409941332990961</v>
      </c>
      <c r="FA123" s="1382">
        <f t="shared" si="58"/>
        <v>43.346039658330845</v>
      </c>
      <c r="FB123" s="1382">
        <f t="shared" si="38"/>
        <v>79.069999999999993</v>
      </c>
      <c r="FC123" s="1382"/>
      <c r="FD123" s="1382">
        <f t="shared" si="39"/>
        <v>67.730999999999995</v>
      </c>
      <c r="FE123" s="1035">
        <f t="shared" si="29"/>
        <v>30.385333930361739</v>
      </c>
    </row>
    <row r="124" spans="5:161" ht="18">
      <c r="G124" s="38" t="s">
        <v>536</v>
      </c>
      <c r="H124" s="1699"/>
      <c r="I124" s="1651" t="s">
        <v>407</v>
      </c>
      <c r="J124" s="40" t="s">
        <v>537</v>
      </c>
      <c r="K124" s="739" t="s">
        <v>538</v>
      </c>
      <c r="O124" s="1663" t="s">
        <v>414</v>
      </c>
      <c r="P124" s="1173"/>
      <c r="U124" s="1727">
        <f t="shared" ref="U124:AR124" si="65">U66/U51</f>
        <v>3.9346290432521365E-2</v>
      </c>
      <c r="V124" s="1728">
        <f t="shared" si="65"/>
        <v>4.7278242416808509E-2</v>
      </c>
      <c r="W124" s="1728">
        <f t="shared" si="65"/>
        <v>4.9588252516273142E-2</v>
      </c>
      <c r="X124" s="1728">
        <f t="shared" si="65"/>
        <v>5.3861945523556415E-2</v>
      </c>
      <c r="Y124" s="1728">
        <f t="shared" si="65"/>
        <v>5.9658936395862713E-2</v>
      </c>
      <c r="Z124" s="1727">
        <f t="shared" si="65"/>
        <v>6.6398456303956632E-2</v>
      </c>
      <c r="AA124" s="1728">
        <f t="shared" si="65"/>
        <v>6.8925699444092325E-2</v>
      </c>
      <c r="AB124" s="1728">
        <f t="shared" si="65"/>
        <v>6.5843864838066993E-2</v>
      </c>
      <c r="AC124" s="1728">
        <f t="shared" si="65"/>
        <v>6.8254797026411129E-2</v>
      </c>
      <c r="AD124" s="1728">
        <f t="shared" si="65"/>
        <v>7.3528457822385887E-2</v>
      </c>
      <c r="AE124" s="1727">
        <f t="shared" si="65"/>
        <v>8.3523763335885251E-2</v>
      </c>
      <c r="AF124" s="272">
        <f t="shared" si="65"/>
        <v>8.5234323701588219E-2</v>
      </c>
      <c r="AG124" s="272">
        <f t="shared" si="65"/>
        <v>8.2473872285148936E-2</v>
      </c>
      <c r="AH124" s="272">
        <f t="shared" si="65"/>
        <v>8.5111867102295305E-2</v>
      </c>
      <c r="AI124" s="286">
        <f t="shared" si="65"/>
        <v>7.304977354972729E-2</v>
      </c>
      <c r="AJ124" s="2167">
        <f t="shared" si="65"/>
        <v>7.6393864573101322E-2</v>
      </c>
      <c r="AK124" s="286">
        <f t="shared" si="65"/>
        <v>8.1204218240015197E-2</v>
      </c>
      <c r="AL124" s="286">
        <f t="shared" si="65"/>
        <v>8.1063522765026014E-2</v>
      </c>
      <c r="AM124" s="286">
        <f t="shared" si="65"/>
        <v>7.5219491828234591E-2</v>
      </c>
      <c r="AN124" s="286">
        <f t="shared" si="65"/>
        <v>7.7474904945541753E-2</v>
      </c>
      <c r="AO124" s="2151">
        <f t="shared" si="65"/>
        <v>5.8009631663219277E-2</v>
      </c>
      <c r="AP124" s="1171">
        <f t="shared" si="65"/>
        <v>5.5499247675593819E-2</v>
      </c>
      <c r="AQ124" s="1171">
        <f t="shared" si="65"/>
        <v>5.3783428415799264E-2</v>
      </c>
      <c r="AR124" s="1171">
        <f t="shared" si="65"/>
        <v>5.9699343840650398E-2</v>
      </c>
      <c r="AT124" s="2148"/>
      <c r="AV124" s="1725" t="str">
        <f t="shared" si="55"/>
        <v>n1</v>
      </c>
      <c r="BO124" s="444" t="str">
        <f>J124</f>
        <v>n1</v>
      </c>
      <c r="CQ124" s="2281">
        <v>2027</v>
      </c>
      <c r="CR124" s="1805"/>
      <c r="CS124" s="1805"/>
      <c r="CT124" s="1805"/>
      <c r="CU124" s="1805"/>
      <c r="CV124" s="1382">
        <f t="shared" si="50"/>
        <v>81.074862793402247</v>
      </c>
      <c r="CW124" s="1035">
        <f>НАСТРОЙКА!DR168</f>
        <v>33.499830658223821</v>
      </c>
      <c r="DI124" s="1328">
        <f t="shared" si="56"/>
        <v>81.074862793402247</v>
      </c>
      <c r="DL124" s="2281">
        <v>2027</v>
      </c>
      <c r="DM124" s="2137"/>
      <c r="DN124" s="1966">
        <f ca="1"/>
        <v>1.8456209985557013</v>
      </c>
      <c r="ED124" s="1607">
        <v>2024</v>
      </c>
      <c r="EE124" s="1618"/>
      <c r="EF124" s="1611"/>
      <c r="EU124" s="2281">
        <v>2026</v>
      </c>
      <c r="EV124" s="2738">
        <f t="shared" si="57"/>
        <v>39.726049090182023</v>
      </c>
      <c r="EW124" s="1034">
        <f t="shared" si="33"/>
        <v>76.956297898478326</v>
      </c>
      <c r="EX124" s="1382">
        <f t="shared" si="34"/>
        <v>38.169827271388293</v>
      </c>
      <c r="EY124" s="2738">
        <f t="shared" si="60"/>
        <v>24.260462464164625</v>
      </c>
      <c r="EZ124" s="1382">
        <f t="shared" si="36"/>
        <v>46.746628329593726</v>
      </c>
      <c r="FA124" s="1382">
        <f t="shared" si="58"/>
        <v>45.869541641247388</v>
      </c>
      <c r="FB124" s="1382">
        <f t="shared" si="38"/>
        <v>80.36999999999999</v>
      </c>
      <c r="FC124" s="1382"/>
      <c r="FD124" s="1382">
        <f t="shared" si="39"/>
        <v>69.411699999999996</v>
      </c>
      <c r="FE124" s="1035">
        <f t="shared" si="29"/>
        <v>31.904600626879827</v>
      </c>
    </row>
    <row r="125" spans="5:161" ht="18">
      <c r="G125" s="38" t="s">
        <v>539</v>
      </c>
      <c r="H125" s="1699"/>
      <c r="I125" s="1651" t="s">
        <v>407</v>
      </c>
      <c r="J125" s="40" t="s">
        <v>540</v>
      </c>
      <c r="K125" s="739" t="s">
        <v>541</v>
      </c>
      <c r="O125" s="1663" t="s">
        <v>414</v>
      </c>
      <c r="P125" s="1173"/>
      <c r="U125" s="1727">
        <f t="shared" ref="U125:AR125" si="66">U100/(U51+U52)</f>
        <v>5.4136428377645138E-2</v>
      </c>
      <c r="V125" s="1728">
        <f t="shared" si="66"/>
        <v>6.7443827250803473E-2</v>
      </c>
      <c r="W125" s="1728">
        <f t="shared" si="66"/>
        <v>7.3378422743912652E-2</v>
      </c>
      <c r="X125" s="1728">
        <f t="shared" si="66"/>
        <v>8.0444251496902736E-2</v>
      </c>
      <c r="Y125" s="1728">
        <f t="shared" si="66"/>
        <v>7.9254765355388307E-2</v>
      </c>
      <c r="Z125" s="1728">
        <f t="shared" si="66"/>
        <v>8.725766032131918E-2</v>
      </c>
      <c r="AA125" s="1728">
        <f t="shared" si="66"/>
        <v>7.7539085692981194E-2</v>
      </c>
      <c r="AB125" s="1728">
        <f t="shared" si="66"/>
        <v>8.5441880577529258E-2</v>
      </c>
      <c r="AC125" s="1728">
        <f t="shared" si="66"/>
        <v>7.9938087537364033E-2</v>
      </c>
      <c r="AD125" s="1728">
        <f t="shared" si="66"/>
        <v>8.6441962043970547E-2</v>
      </c>
      <c r="AE125" s="1728">
        <f t="shared" si="66"/>
        <v>0.10195514871018198</v>
      </c>
      <c r="AF125" s="1728">
        <f t="shared" si="66"/>
        <v>0.10383564125667144</v>
      </c>
      <c r="AG125" s="1728">
        <f t="shared" si="66"/>
        <v>9.757961920258694E-2</v>
      </c>
      <c r="AH125" s="1728">
        <f t="shared" si="66"/>
        <v>0.10182322919675864</v>
      </c>
      <c r="AI125" s="1728">
        <f t="shared" si="66"/>
        <v>8.5111435576858616E-2</v>
      </c>
      <c r="AJ125" s="1728">
        <f t="shared" si="66"/>
        <v>8.949031890021944E-2</v>
      </c>
      <c r="AK125" s="1728">
        <f t="shared" si="66"/>
        <v>7.7426878329772769E-2</v>
      </c>
      <c r="AL125" s="1728">
        <f t="shared" si="66"/>
        <v>7.7480791741336263E-2</v>
      </c>
      <c r="AM125" s="1728">
        <f t="shared" si="66"/>
        <v>7.2870418821904245E-2</v>
      </c>
      <c r="AN125" s="1728">
        <f t="shared" si="66"/>
        <v>7.3756723229490298E-2</v>
      </c>
      <c r="AO125" s="1728">
        <f t="shared" si="66"/>
        <v>5.6839240897772238E-2</v>
      </c>
      <c r="AP125" s="1728">
        <f t="shared" si="66"/>
        <v>5.4905885518075605E-2</v>
      </c>
      <c r="AQ125" s="1728">
        <f t="shared" si="66"/>
        <v>5.3859001171776499E-2</v>
      </c>
      <c r="AR125" s="1728">
        <f t="shared" si="66"/>
        <v>5.9026548886211824E-2</v>
      </c>
      <c r="AT125" s="2148"/>
      <c r="AV125" s="1725" t="str">
        <f t="shared" si="55"/>
        <v>n2</v>
      </c>
      <c r="BO125" s="444" t="str">
        <f>J125</f>
        <v>n2</v>
      </c>
      <c r="CQ125" s="2281">
        <v>2028</v>
      </c>
      <c r="CR125" s="1805"/>
      <c r="CS125" s="1805"/>
      <c r="CT125" s="1805"/>
      <c r="CU125" s="1805"/>
      <c r="CV125" s="1382">
        <f t="shared" si="50"/>
        <v>85.399355933072371</v>
      </c>
      <c r="CW125" s="1035">
        <f>НАСТРОЙКА!DR169</f>
        <v>35.174822191135014</v>
      </c>
      <c r="DI125" s="1328">
        <f t="shared" si="56"/>
        <v>85.399355933072371</v>
      </c>
      <c r="DL125" s="2281">
        <v>2028</v>
      </c>
      <c r="DM125" s="2137"/>
      <c r="DN125" s="1966">
        <f ca="1"/>
        <v>1.9223955088928635</v>
      </c>
      <c r="ED125" s="1607">
        <v>2025</v>
      </c>
      <c r="EE125" s="1618"/>
      <c r="EF125" s="1611"/>
      <c r="EU125" s="2281">
        <v>2027</v>
      </c>
      <c r="EV125" s="2738">
        <f t="shared" si="57"/>
        <v>41.736836544691123</v>
      </c>
      <c r="EW125" s="1034">
        <f t="shared" si="33"/>
        <v>81.074862793402247</v>
      </c>
      <c r="EX125" s="1382">
        <f t="shared" si="34"/>
        <v>39.878318634957708</v>
      </c>
      <c r="EY125" s="2738">
        <f t="shared" si="60"/>
        <v>25.180010237372858</v>
      </c>
      <c r="EZ125" s="1382">
        <f t="shared" si="36"/>
        <v>50.374358143846841</v>
      </c>
      <c r="FA125" s="1382">
        <f t="shared" si="58"/>
        <v>48.519218723309763</v>
      </c>
      <c r="FB125" s="1382">
        <f t="shared" si="38"/>
        <v>81.669999999999987</v>
      </c>
      <c r="FC125" s="1382"/>
      <c r="FD125" s="1382">
        <f t="shared" si="39"/>
        <v>70.588189999999997</v>
      </c>
      <c r="FE125" s="1035">
        <f t="shared" si="29"/>
        <v>33.499830658223821</v>
      </c>
    </row>
    <row r="126" spans="5:161" ht="18">
      <c r="I126" s="739" t="s">
        <v>542</v>
      </c>
      <c r="J126" s="40" t="s">
        <v>543</v>
      </c>
      <c r="K126" s="22" t="s">
        <v>544</v>
      </c>
      <c r="L126" s="22"/>
      <c r="M126" s="22"/>
      <c r="N126" s="22"/>
      <c r="O126" s="1663" t="s">
        <v>414</v>
      </c>
      <c r="P126" s="1173"/>
      <c r="U126" s="1691">
        <v>2.3130000000000002</v>
      </c>
      <c r="V126" s="484">
        <v>1.218</v>
      </c>
      <c r="W126" s="484">
        <v>1.1100000000000001</v>
      </c>
      <c r="X126" s="484">
        <v>1.8440000000000001</v>
      </c>
      <c r="Y126" s="484">
        <v>1.365</v>
      </c>
      <c r="Z126" s="1691">
        <v>1.202</v>
      </c>
      <c r="AA126" s="484">
        <v>1.1859999999999999</v>
      </c>
      <c r="AB126" s="484">
        <v>1.151</v>
      </c>
      <c r="AC126" s="484">
        <v>1.1200000000000001</v>
      </c>
      <c r="AD126" s="484">
        <v>1.117</v>
      </c>
      <c r="AE126" s="1691">
        <v>1.109</v>
      </c>
      <c r="AF126" s="484">
        <v>1.0900000000000001</v>
      </c>
      <c r="AG126" s="484">
        <v>1.1187</v>
      </c>
      <c r="AH126" s="484">
        <v>1.1328</v>
      </c>
      <c r="AI126" s="285">
        <v>1.0880000000000001</v>
      </c>
      <c r="AJ126" s="2148">
        <v>1.0878000000000001</v>
      </c>
      <c r="AK126" s="784">
        <v>1.0609999999999999</v>
      </c>
      <c r="AL126" s="784">
        <v>1.0658000000000001</v>
      </c>
      <c r="AM126" s="784">
        <v>1.0645</v>
      </c>
      <c r="AN126" s="784">
        <v>1.1359999999999999</v>
      </c>
      <c r="AO126" s="2149">
        <v>1.129</v>
      </c>
      <c r="AP126" s="1153">
        <v>1.054</v>
      </c>
      <c r="AQ126" s="1153">
        <v>1.0249999999999999</v>
      </c>
      <c r="AR126" s="1153">
        <v>1.0429999999999999</v>
      </c>
      <c r="AS126" s="1153">
        <v>1.03</v>
      </c>
      <c r="AT126" s="2148">
        <v>1.036</v>
      </c>
      <c r="AV126" s="1725" t="str">
        <f t="shared" si="55"/>
        <v>ip  (д/д)</v>
      </c>
      <c r="BJ126" s="739">
        <v>1.052</v>
      </c>
      <c r="BO126" s="444" t="str">
        <f>J126</f>
        <v>ip  (д/д)</v>
      </c>
      <c r="BP126" s="739" t="s">
        <v>1109</v>
      </c>
      <c r="CQ126" s="2281">
        <v>2029</v>
      </c>
      <c r="CR126" s="1805"/>
      <c r="CS126" s="1805"/>
      <c r="CT126" s="1805"/>
      <c r="CU126" s="1805"/>
      <c r="CV126" s="1382">
        <f t="shared" si="50"/>
        <v>89.940073729725995</v>
      </c>
      <c r="CW126" s="1035">
        <f>НАСТРОЙКА!DR170</f>
        <v>36.933563300691766</v>
      </c>
      <c r="DI126" s="1328">
        <f t="shared" si="56"/>
        <v>89.940073729725995</v>
      </c>
      <c r="DL126" s="2281">
        <v>2029</v>
      </c>
      <c r="DM126" s="2137"/>
      <c r="DN126" s="1966">
        <f ca="1"/>
        <v>2.0029169884589542</v>
      </c>
      <c r="ED126" s="1607">
        <v>2026</v>
      </c>
      <c r="EE126" s="1618"/>
      <c r="EF126" s="1611"/>
      <c r="EU126" s="2281">
        <v>2028</v>
      </c>
      <c r="EV126" s="2738">
        <f t="shared" si="57"/>
        <v>43.848163371925686</v>
      </c>
      <c r="EW126" s="1034">
        <f t="shared" si="33"/>
        <v>85.399355933072371</v>
      </c>
      <c r="EX126" s="1382">
        <f t="shared" si="34"/>
        <v>41.672234566705598</v>
      </c>
      <c r="EY126" s="2738">
        <f t="shared" si="60"/>
        <v>26.135713899241502</v>
      </c>
      <c r="EZ126" s="1382">
        <f t="shared" si="36"/>
        <v>54.32041428458438</v>
      </c>
      <c r="FA126" s="1382">
        <f t="shared" si="58"/>
        <v>51.301379659475259</v>
      </c>
      <c r="FB126" s="1382">
        <f t="shared" si="38"/>
        <v>82.969999999999985</v>
      </c>
      <c r="FC126" s="1382"/>
      <c r="FD126" s="1382">
        <f t="shared" si="39"/>
        <v>71.411732999999998</v>
      </c>
      <c r="FE126" s="1035">
        <f t="shared" si="29"/>
        <v>35.174822191135014</v>
      </c>
    </row>
    <row r="127" spans="5:161" ht="18">
      <c r="E127" s="739" t="s">
        <v>545</v>
      </c>
      <c r="I127" s="739" t="s">
        <v>546</v>
      </c>
      <c r="J127" s="40" t="s">
        <v>294</v>
      </c>
      <c r="K127" s="22" t="s">
        <v>548</v>
      </c>
      <c r="L127" s="22"/>
      <c r="M127" s="22"/>
      <c r="N127" s="22"/>
      <c r="O127" s="1663" t="s">
        <v>414</v>
      </c>
      <c r="P127" s="1173">
        <v>0.97</v>
      </c>
      <c r="Q127" s="739">
        <v>0.95</v>
      </c>
      <c r="R127" s="739">
        <v>0.85499999999999998</v>
      </c>
      <c r="S127" s="739">
        <v>0.91300000000000003</v>
      </c>
      <c r="T127" s="739">
        <v>0.873</v>
      </c>
      <c r="U127" s="1691">
        <v>0.95899999999999996</v>
      </c>
      <c r="V127" s="484">
        <v>0.96399999999999997</v>
      </c>
      <c r="W127" s="484">
        <v>1.014</v>
      </c>
      <c r="X127" s="484">
        <v>0.94699999999999995</v>
      </c>
      <c r="Y127" s="484">
        <v>1.0640000000000001</v>
      </c>
      <c r="Z127" s="1720">
        <v>1.1000000000000001</v>
      </c>
      <c r="AA127" s="484">
        <v>1.0509999999999999</v>
      </c>
      <c r="AB127" s="484">
        <v>1.0469999999999999</v>
      </c>
      <c r="AC127" s="484">
        <v>1.073</v>
      </c>
      <c r="AD127" s="484">
        <v>1.0720000000000001</v>
      </c>
      <c r="AE127" s="1691">
        <v>1.0640000000000001</v>
      </c>
      <c r="AF127" s="484">
        <v>1.0820000000000001</v>
      </c>
      <c r="AG127" s="484">
        <v>1.085</v>
      </c>
      <c r="AH127" s="484">
        <v>1.052</v>
      </c>
      <c r="AI127" s="285">
        <v>0.92100000000000004</v>
      </c>
      <c r="AJ127" s="2148">
        <v>1.0449999999999999</v>
      </c>
      <c r="AK127" s="285">
        <v>1.0429999999999999</v>
      </c>
      <c r="AL127" s="1153">
        <v>1.0365590157306384</v>
      </c>
      <c r="AM127" s="1153">
        <v>1.0178535450091057</v>
      </c>
      <c r="AN127" s="1153">
        <v>1.0073860077330101</v>
      </c>
      <c r="AO127" s="2149">
        <v>0.97699999999999998</v>
      </c>
      <c r="AP127" s="1153">
        <v>1.002</v>
      </c>
      <c r="AQ127" s="1153">
        <v>1.018</v>
      </c>
      <c r="AR127" s="1153">
        <v>1.028</v>
      </c>
      <c r="AS127" s="1153">
        <v>1.02</v>
      </c>
      <c r="AT127" s="2711">
        <v>0.97</v>
      </c>
      <c r="AV127" s="1725" t="str">
        <f t="shared" si="55"/>
        <v>p^WWP</v>
      </c>
      <c r="BO127" s="444" t="str">
        <f>J127</f>
        <v>p^WWP</v>
      </c>
      <c r="BP127" s="739" t="s">
        <v>1440</v>
      </c>
      <c r="CQ127" s="2281">
        <v>2030</v>
      </c>
      <c r="CV127" s="1382">
        <f t="shared" si="50"/>
        <v>94.707827416212297</v>
      </c>
      <c r="CW127" s="1035">
        <f>НАСТРОЙКА!DR171</f>
        <v>38.780241465726355</v>
      </c>
      <c r="DI127" s="1328">
        <f t="shared" si="56"/>
        <v>94.707827416212297</v>
      </c>
      <c r="DL127" s="2281">
        <v>2030</v>
      </c>
      <c r="DM127" s="2137"/>
      <c r="DN127" s="1966">
        <f ca="1"/>
        <v>2.0874318063378641</v>
      </c>
      <c r="ED127" s="1607">
        <v>2027</v>
      </c>
      <c r="EE127" s="1618"/>
      <c r="EF127" s="1611"/>
      <c r="EU127" s="2281">
        <v>2029</v>
      </c>
      <c r="EV127" s="2738">
        <f t="shared" si="57"/>
        <v>46.065056540521972</v>
      </c>
      <c r="EW127" s="1034">
        <f t="shared" si="33"/>
        <v>89.940073729725995</v>
      </c>
      <c r="EX127" s="1382">
        <f t="shared" si="34"/>
        <v>43.55584629504088</v>
      </c>
      <c r="EY127" s="2738">
        <f t="shared" si="60"/>
        <v>27.129381244203579</v>
      </c>
      <c r="EZ127" s="1382">
        <f t="shared" si="36"/>
        <v>58.614749401297182</v>
      </c>
      <c r="FA127" s="1382">
        <f t="shared" si="58"/>
        <v>54.222648642449023</v>
      </c>
      <c r="FB127" s="1382">
        <f t="shared" si="38"/>
        <v>84.269999999999982</v>
      </c>
      <c r="FC127" s="1382"/>
      <c r="FD127" s="1382">
        <f t="shared" si="39"/>
        <v>71.988213099999996</v>
      </c>
      <c r="FE127" s="1035">
        <f t="shared" si="29"/>
        <v>36.933563300691766</v>
      </c>
    </row>
    <row r="128" spans="5:161" ht="18">
      <c r="E128" s="739" t="s">
        <v>549</v>
      </c>
      <c r="I128" s="1651" t="s">
        <v>407</v>
      </c>
      <c r="J128" s="40" t="s">
        <v>547</v>
      </c>
      <c r="K128" s="22" t="s">
        <v>548</v>
      </c>
      <c r="L128" s="22"/>
      <c r="M128" s="22"/>
      <c r="N128" s="22"/>
      <c r="O128" s="1663" t="s">
        <v>414</v>
      </c>
      <c r="P128" s="1173"/>
      <c r="U128" s="1691"/>
      <c r="V128" s="484"/>
      <c r="W128" s="484"/>
      <c r="X128" s="484"/>
      <c r="Y128" s="484"/>
      <c r="Z128" s="1691"/>
      <c r="AA128" s="484"/>
      <c r="AB128" s="484"/>
      <c r="AC128" s="1688"/>
      <c r="AD128" s="1688"/>
      <c r="AE128" s="1691"/>
      <c r="AF128" s="484"/>
      <c r="AG128" s="285"/>
      <c r="AH128" s="285"/>
      <c r="AI128" s="285"/>
      <c r="AJ128" s="2148"/>
      <c r="AK128" s="484"/>
      <c r="AL128" s="1153"/>
      <c r="AM128" s="1153"/>
      <c r="AN128" s="1153"/>
      <c r="AO128" s="2149"/>
      <c r="AP128" s="1153"/>
      <c r="AT128" s="2148"/>
      <c r="AV128" s="1725" t="str">
        <f t="shared" si="55"/>
        <v>pWWP</v>
      </c>
      <c r="BO128" s="444" t="s">
        <v>1439</v>
      </c>
      <c r="BP128" s="739" t="s">
        <v>1440</v>
      </c>
      <c r="CQ128" s="2281">
        <v>2031</v>
      </c>
      <c r="CV128" s="1382">
        <f t="shared" si="50"/>
        <v>99.713968787022921</v>
      </c>
      <c r="CW128" s="1035">
        <f>НАСТРОЙКА!DR172</f>
        <v>40.719253539012676</v>
      </c>
      <c r="DI128" s="1328">
        <f t="shared" si="56"/>
        <v>99.713968787022921</v>
      </c>
      <c r="DL128" s="2281">
        <v>2031</v>
      </c>
      <c r="DM128" s="2137"/>
      <c r="DN128" s="1966">
        <f ca="1"/>
        <v>2.1761734838733555</v>
      </c>
      <c r="ED128" s="1607">
        <v>2028</v>
      </c>
      <c r="EE128" s="1618"/>
      <c r="EF128" s="1611"/>
      <c r="EU128" s="2281">
        <v>2030</v>
      </c>
      <c r="EV128" s="2738">
        <f t="shared" si="57"/>
        <v>48.392794367548071</v>
      </c>
      <c r="EW128" s="1034">
        <f t="shared" si="33"/>
        <v>94.707827416212297</v>
      </c>
      <c r="EX128" s="1382">
        <f t="shared" si="34"/>
        <v>45.533638609792924</v>
      </c>
      <c r="EY128" s="2738">
        <f t="shared" si="60"/>
        <v>28.162910456413751</v>
      </c>
      <c r="EZ128" s="1382">
        <f t="shared" si="36"/>
        <v>63.290252500100188</v>
      </c>
      <c r="FA128" s="1382">
        <f t="shared" si="58"/>
        <v>57.289981074571479</v>
      </c>
      <c r="FB128" s="1382">
        <f t="shared" si="38"/>
        <v>85.569999999999979</v>
      </c>
      <c r="FC128" s="1382"/>
      <c r="FD128" s="1382">
        <f t="shared" si="39"/>
        <v>72.391749169999997</v>
      </c>
      <c r="FE128" s="1035">
        <f t="shared" si="29"/>
        <v>38.780241465726355</v>
      </c>
    </row>
    <row r="129" spans="5:178" ht="18">
      <c r="I129" s="739" t="s">
        <v>546</v>
      </c>
      <c r="J129" s="40" t="s">
        <v>550</v>
      </c>
      <c r="K129" s="22" t="s">
        <v>551</v>
      </c>
      <c r="L129" s="22"/>
      <c r="M129" s="22"/>
      <c r="N129" s="22"/>
      <c r="O129" s="1663" t="s">
        <v>414</v>
      </c>
      <c r="P129" s="1173"/>
      <c r="U129" s="1691">
        <v>0.95899999999999996</v>
      </c>
      <c r="V129" s="1721">
        <v>0.97199999999999998</v>
      </c>
      <c r="W129" s="1721">
        <f>W127</f>
        <v>1.014</v>
      </c>
      <c r="X129" s="1721">
        <v>0.94899999999999995</v>
      </c>
      <c r="Y129" s="1721">
        <f>1.058</f>
        <v>1.0580000000000001</v>
      </c>
      <c r="Z129" s="1691">
        <v>1.0940000000000001</v>
      </c>
      <c r="AA129" s="1721">
        <v>1.0489999999999999</v>
      </c>
      <c r="AB129" s="1721">
        <v>1.044</v>
      </c>
      <c r="AC129" s="1688">
        <v>1.0760000000000001</v>
      </c>
      <c r="AD129" s="1688">
        <v>1.08</v>
      </c>
      <c r="AE129" s="1720">
        <v>1.0569999999999999</v>
      </c>
      <c r="AF129" s="1688">
        <v>1.089</v>
      </c>
      <c r="AG129" s="272">
        <v>1.0880000000000001</v>
      </c>
      <c r="AH129" s="272">
        <v>1.05</v>
      </c>
      <c r="AI129" s="272">
        <v>0.92600000000000005</v>
      </c>
      <c r="AJ129" s="2148">
        <v>1.05</v>
      </c>
      <c r="AK129" s="272">
        <v>1.0429999999999999</v>
      </c>
      <c r="AL129" s="784">
        <v>1.0390000000000001</v>
      </c>
      <c r="AM129" s="784">
        <v>1.0209999999999999</v>
      </c>
      <c r="AN129" s="784">
        <v>1.008</v>
      </c>
      <c r="AO129" s="2149">
        <v>0.98699999999999999</v>
      </c>
      <c r="AP129" s="784">
        <v>1.012</v>
      </c>
      <c r="AQ129" s="739">
        <v>1.0249999999999999</v>
      </c>
      <c r="AR129" s="739">
        <v>1.0249999999999999</v>
      </c>
      <c r="AT129" s="2148"/>
      <c r="AV129" s="1725" t="str">
        <f t="shared" si="55"/>
        <v>pХО</v>
      </c>
      <c r="BO129" s="444" t="str">
        <f t="shared" ref="BO129:BO149" si="67">J129</f>
        <v>pХО</v>
      </c>
      <c r="BP129" s="739" t="s">
        <v>1438</v>
      </c>
      <c r="CQ129" s="2281">
        <v>2032</v>
      </c>
      <c r="CV129" s="1382">
        <f t="shared" si="50"/>
        <v>104.97041722637408</v>
      </c>
      <c r="CW129" s="1035">
        <f>НАСТРОЙКА!DR173</f>
        <v>42.755216215963316</v>
      </c>
      <c r="DI129" s="1328">
        <f t="shared" si="56"/>
        <v>104.97041722637408</v>
      </c>
      <c r="DL129" s="2281">
        <v>2032</v>
      </c>
      <c r="DM129" s="2137"/>
      <c r="DN129" s="1966">
        <f ca="1"/>
        <v>2.2693717489888452</v>
      </c>
      <c r="ED129" s="1607">
        <v>2029</v>
      </c>
      <c r="EE129" s="1618"/>
      <c r="EF129" s="1611"/>
      <c r="EU129" s="2281">
        <v>2031</v>
      </c>
      <c r="EV129" s="2738">
        <f t="shared" si="57"/>
        <v>50.83691908592548</v>
      </c>
      <c r="EW129" s="1034">
        <f t="shared" si="33"/>
        <v>99.713968787022921</v>
      </c>
      <c r="EX129" s="1382">
        <f t="shared" si="34"/>
        <v>47.610320540282572</v>
      </c>
      <c r="EY129" s="2738">
        <f t="shared" si="60"/>
        <v>29.238294629234446</v>
      </c>
      <c r="EZ129" s="1382">
        <f t="shared" si="36"/>
        <v>68.383043230789013</v>
      </c>
      <c r="FA129" s="1382">
        <f t="shared" si="58"/>
        <v>60.510680128300059</v>
      </c>
      <c r="FB129" s="1382">
        <f t="shared" si="38"/>
        <v>86.869999999999976</v>
      </c>
      <c r="FC129" s="1382"/>
      <c r="FD129" s="1382">
        <f t="shared" si="39"/>
        <v>0</v>
      </c>
      <c r="FE129" s="1035">
        <f t="shared" si="29"/>
        <v>40.719253539012676</v>
      </c>
    </row>
    <row r="130" spans="5:178" ht="18.600000000000001" thickBot="1">
      <c r="I130" s="1651" t="s">
        <v>407</v>
      </c>
      <c r="J130" s="40" t="s">
        <v>552</v>
      </c>
      <c r="K130" s="22" t="s">
        <v>553</v>
      </c>
      <c r="L130" s="22"/>
      <c r="M130" s="22"/>
      <c r="N130" s="22"/>
      <c r="O130" s="1663" t="s">
        <v>414</v>
      </c>
      <c r="P130" s="1173"/>
      <c r="T130" s="1729" t="s">
        <v>498</v>
      </c>
      <c r="U130" s="1691">
        <v>0.95899999999999996</v>
      </c>
      <c r="V130" s="1721">
        <f t="shared" ref="V130:AK130" si="68">V129</f>
        <v>0.97199999999999998</v>
      </c>
      <c r="W130" s="1721">
        <f t="shared" si="68"/>
        <v>1.014</v>
      </c>
      <c r="X130" s="1721">
        <f t="shared" si="68"/>
        <v>0.94899999999999995</v>
      </c>
      <c r="Y130" s="1721">
        <f t="shared" si="68"/>
        <v>1.0580000000000001</v>
      </c>
      <c r="Z130" s="1721">
        <f t="shared" si="68"/>
        <v>1.0940000000000001</v>
      </c>
      <c r="AA130" s="1721">
        <f t="shared" si="68"/>
        <v>1.0489999999999999</v>
      </c>
      <c r="AB130" s="1721">
        <f t="shared" si="68"/>
        <v>1.044</v>
      </c>
      <c r="AC130" s="1721">
        <f t="shared" si="68"/>
        <v>1.0760000000000001</v>
      </c>
      <c r="AD130" s="1721">
        <f t="shared" si="68"/>
        <v>1.08</v>
      </c>
      <c r="AE130" s="1721">
        <f t="shared" si="68"/>
        <v>1.0569999999999999</v>
      </c>
      <c r="AF130" s="1721">
        <f t="shared" si="68"/>
        <v>1.089</v>
      </c>
      <c r="AG130" s="469">
        <f t="shared" si="68"/>
        <v>1.0880000000000001</v>
      </c>
      <c r="AH130" s="469">
        <f t="shared" si="68"/>
        <v>1.05</v>
      </c>
      <c r="AI130" s="469">
        <f t="shared" si="68"/>
        <v>0.92600000000000005</v>
      </c>
      <c r="AJ130" s="2148">
        <f t="shared" si="68"/>
        <v>1.05</v>
      </c>
      <c r="AK130" s="469">
        <f t="shared" si="68"/>
        <v>1.0429999999999999</v>
      </c>
      <c r="AL130" s="469">
        <f t="shared" ref="AL130:AR130" si="69">AL129</f>
        <v>1.0390000000000001</v>
      </c>
      <c r="AM130" s="469">
        <f t="shared" si="69"/>
        <v>1.0209999999999999</v>
      </c>
      <c r="AN130" s="469">
        <f t="shared" si="69"/>
        <v>1.008</v>
      </c>
      <c r="AO130" s="2149">
        <f t="shared" si="69"/>
        <v>0.98699999999999999</v>
      </c>
      <c r="AP130" s="469">
        <f t="shared" si="69"/>
        <v>1.012</v>
      </c>
      <c r="AQ130" s="469">
        <f t="shared" si="69"/>
        <v>1.0249999999999999</v>
      </c>
      <c r="AR130" s="469">
        <f t="shared" si="69"/>
        <v>1.0249999999999999</v>
      </c>
      <c r="AT130" s="2148"/>
      <c r="AV130" s="1725" t="str">
        <f t="shared" si="55"/>
        <v>pХ</v>
      </c>
      <c r="BJ130" s="469"/>
      <c r="BK130" s="469"/>
      <c r="BN130" s="469"/>
      <c r="BO130" s="444" t="str">
        <f t="shared" si="67"/>
        <v>pХ</v>
      </c>
      <c r="BP130" s="784" t="s">
        <v>498</v>
      </c>
      <c r="CQ130" s="2281">
        <v>2033</v>
      </c>
      <c r="CV130" s="1382">
        <f t="shared" si="50"/>
        <v>110.4896880876928</v>
      </c>
      <c r="CW130" s="1035">
        <f>НАСТРОЙКА!DR174</f>
        <v>44.892977026761486</v>
      </c>
      <c r="DI130" s="1328">
        <f t="shared" si="56"/>
        <v>110.4896880876928</v>
      </c>
      <c r="DL130" s="2281">
        <v>2033</v>
      </c>
      <c r="DM130" s="2137"/>
      <c r="DN130" s="1966">
        <f ca="1"/>
        <v>2.3672583270152621</v>
      </c>
      <c r="ED130" s="1612">
        <v>2030</v>
      </c>
      <c r="EE130" s="1697"/>
      <c r="EF130" s="2074"/>
      <c r="EU130" s="2281">
        <v>2032</v>
      </c>
      <c r="EV130" s="2738">
        <f t="shared" si="57"/>
        <v>53.403250040221756</v>
      </c>
      <c r="EW130" s="1034">
        <f t="shared" si="33"/>
        <v>104.97041722637408</v>
      </c>
      <c r="EX130" s="1382">
        <f t="shared" si="34"/>
        <v>49.790836567296708</v>
      </c>
      <c r="EY130" s="2738">
        <f t="shared" si="60"/>
        <v>30.357626510696168</v>
      </c>
      <c r="EZ130" s="1382">
        <f t="shared" si="36"/>
        <v>73.932796003844885</v>
      </c>
      <c r="FA130" s="1382">
        <f t="shared" si="58"/>
        <v>63.892414134715061</v>
      </c>
      <c r="FB130" s="1382">
        <f t="shared" si="38"/>
        <v>88.169999999999973</v>
      </c>
      <c r="FC130" s="1382"/>
      <c r="FD130" s="1382">
        <f t="shared" si="39"/>
        <v>0</v>
      </c>
      <c r="FE130" s="1035">
        <f t="shared" si="29"/>
        <v>42.755216215963316</v>
      </c>
    </row>
    <row r="131" spans="5:178" ht="18">
      <c r="I131" s="739" t="s">
        <v>554</v>
      </c>
      <c r="J131" s="40" t="s">
        <v>555</v>
      </c>
      <c r="K131" s="22" t="s">
        <v>556</v>
      </c>
      <c r="L131" s="22"/>
      <c r="M131" s="22"/>
      <c r="N131" s="22"/>
      <c r="O131" s="1663" t="s">
        <v>414</v>
      </c>
      <c r="P131" s="1173"/>
      <c r="R131" s="739">
        <v>0.63100000000000001</v>
      </c>
      <c r="S131" s="739">
        <v>0.70599999999999996</v>
      </c>
      <c r="T131" s="739">
        <v>0.68799999999999994</v>
      </c>
      <c r="U131" s="1691">
        <v>0.89200000000000002</v>
      </c>
      <c r="V131" s="484">
        <v>0.86</v>
      </c>
      <c r="W131" s="484">
        <v>0.95899999999999996</v>
      </c>
      <c r="X131" s="484">
        <v>0.54800000000000004</v>
      </c>
      <c r="Y131" s="484">
        <v>0.93400000000000005</v>
      </c>
      <c r="Z131" s="1691">
        <v>1.752</v>
      </c>
      <c r="AA131" s="484">
        <v>1.167</v>
      </c>
      <c r="AB131" s="484">
        <v>0.97799999999999998</v>
      </c>
      <c r="AC131" s="484">
        <v>1.143</v>
      </c>
      <c r="AD131" s="1688">
        <v>1.1220000000000001</v>
      </c>
      <c r="AE131" s="1720">
        <f>122.9/112.2</f>
        <v>1.0953654188948307</v>
      </c>
      <c r="AF131" s="1688">
        <v>1.177</v>
      </c>
      <c r="AG131" s="272">
        <v>1.22</v>
      </c>
      <c r="AH131" s="272">
        <v>1.105</v>
      </c>
      <c r="AI131" s="272">
        <v>0.59</v>
      </c>
      <c r="AJ131" s="2148">
        <v>1.2849999999999999</v>
      </c>
      <c r="AK131" s="285">
        <v>1.21</v>
      </c>
      <c r="AL131" s="784">
        <v>1.044</v>
      </c>
      <c r="AM131" s="784">
        <v>0.94400000000000006</v>
      </c>
      <c r="AN131" s="784">
        <v>0.93900000000000006</v>
      </c>
      <c r="AO131" s="2149">
        <v>0.88200000000000001</v>
      </c>
      <c r="AP131" s="784">
        <v>0.98799999999999999</v>
      </c>
      <c r="AQ131" s="784">
        <v>1.06</v>
      </c>
      <c r="AR131" s="784">
        <v>1.008</v>
      </c>
      <c r="AS131" s="784"/>
      <c r="AT131" s="2148"/>
      <c r="AV131" s="1725" t="str">
        <f t="shared" si="55"/>
        <v>pWN</v>
      </c>
      <c r="BO131" s="444" t="str">
        <f t="shared" si="67"/>
        <v>pWN</v>
      </c>
      <c r="BP131" s="739" t="s">
        <v>1443</v>
      </c>
      <c r="CQ131" s="2281">
        <v>2034</v>
      </c>
      <c r="CV131" s="1382">
        <f t="shared" si="50"/>
        <v>116.28492249207744</v>
      </c>
      <c r="CW131" s="1035">
        <f>НАСТРОЙКА!DR175</f>
        <v>47.137625878099563</v>
      </c>
      <c r="DI131" s="1328">
        <f t="shared" si="56"/>
        <v>116.28492249207744</v>
      </c>
      <c r="DL131" s="2281">
        <v>2034</v>
      </c>
      <c r="DM131" s="2137"/>
      <c r="DN131" s="1966">
        <f ca="1"/>
        <v>2.4700707195799612</v>
      </c>
      <c r="EU131" s="2281">
        <v>2033</v>
      </c>
      <c r="EV131" s="2738">
        <f t="shared" si="57"/>
        <v>56.09789754223285</v>
      </c>
      <c r="EW131" s="1034">
        <f t="shared" si="33"/>
        <v>110.4896880876928</v>
      </c>
      <c r="EX131" s="1382">
        <f t="shared" si="34"/>
        <v>52.080378395661548</v>
      </c>
      <c r="EY131" s="2738">
        <f t="shared" si="60"/>
        <v>31.523103486230976</v>
      </c>
      <c r="EZ131" s="1382">
        <f t="shared" si="36"/>
        <v>79.983096978233959</v>
      </c>
      <c r="FA131" s="1382">
        <f t="shared" si="58"/>
        <v>67.443234841450831</v>
      </c>
      <c r="FB131" s="1382">
        <f t="shared" si="38"/>
        <v>89.46999999999997</v>
      </c>
      <c r="FC131" s="1382"/>
      <c r="FD131" s="1382">
        <f t="shared" si="39"/>
        <v>0</v>
      </c>
      <c r="FE131" s="1035">
        <f t="shared" si="29"/>
        <v>44.892977026761486</v>
      </c>
    </row>
    <row r="132" spans="5:178" ht="18">
      <c r="I132" s="739" t="s">
        <v>554</v>
      </c>
      <c r="J132" s="40" t="s">
        <v>557</v>
      </c>
      <c r="K132" s="22" t="s">
        <v>558</v>
      </c>
      <c r="L132" s="22"/>
      <c r="M132" s="22"/>
      <c r="N132" s="22"/>
      <c r="O132" s="1663" t="s">
        <v>414</v>
      </c>
      <c r="P132" s="1173"/>
      <c r="U132" s="1691">
        <v>0.81</v>
      </c>
      <c r="V132" s="484">
        <v>0.78800000000000003</v>
      </c>
      <c r="W132" s="484">
        <v>0.92100000000000004</v>
      </c>
      <c r="X132" s="484">
        <v>0.876</v>
      </c>
      <c r="Y132" s="484">
        <v>1.0640000000000001</v>
      </c>
      <c r="Z132" s="1691">
        <v>1.181</v>
      </c>
      <c r="AA132" s="484">
        <v>1.1020000000000001</v>
      </c>
      <c r="AB132" s="1688">
        <v>1.028</v>
      </c>
      <c r="AC132" s="484">
        <v>1.139</v>
      </c>
      <c r="AD132" s="1688">
        <v>1.1259999999999999</v>
      </c>
      <c r="AE132" s="1720">
        <f>124.5/112.6</f>
        <v>1.1056838365896982</v>
      </c>
      <c r="AF132" s="1688">
        <v>1.18</v>
      </c>
      <c r="AG132" s="272">
        <v>1.21</v>
      </c>
      <c r="AH132" s="272">
        <v>1.1060000000000001</v>
      </c>
      <c r="AI132" s="285">
        <v>0.85599999999999998</v>
      </c>
      <c r="AJ132" s="2148">
        <v>1.0590000000000002</v>
      </c>
      <c r="AK132" s="285">
        <v>1.091</v>
      </c>
      <c r="AL132" s="784">
        <v>1.05</v>
      </c>
      <c r="AM132" s="784">
        <v>1.0129999999999999</v>
      </c>
      <c r="AN132" s="784">
        <v>0.98199999999999998</v>
      </c>
      <c r="AO132" s="2149">
        <v>0.89300000000000002</v>
      </c>
      <c r="AP132" s="784">
        <v>1.01</v>
      </c>
      <c r="AQ132" s="784">
        <v>1.052</v>
      </c>
      <c r="AR132" s="784">
        <v>1.0289999999999999</v>
      </c>
      <c r="AS132" s="784"/>
      <c r="AT132" s="2148"/>
      <c r="AV132" s="1725" t="str">
        <f t="shared" si="55"/>
        <v>pWNOK</v>
      </c>
      <c r="BO132" s="444" t="str">
        <f t="shared" si="67"/>
        <v>pWNOK</v>
      </c>
      <c r="BP132" s="739" t="s">
        <v>1443</v>
      </c>
      <c r="CQ132" s="1596">
        <v>2035</v>
      </c>
      <c r="CR132" s="1777"/>
      <c r="CS132" s="1777"/>
      <c r="CT132" s="1777"/>
      <c r="CU132" s="1777"/>
      <c r="CV132" s="1382">
        <f t="shared" si="50"/>
        <v>122.36991861668132</v>
      </c>
      <c r="CW132" s="1808">
        <f>НАСТРОЙКА!DR176</f>
        <v>49.494507172004546</v>
      </c>
      <c r="DI132" s="1976">
        <f t="shared" si="56"/>
        <v>122.36991861668132</v>
      </c>
      <c r="DL132" s="1596">
        <v>2035</v>
      </c>
      <c r="DM132" s="1776"/>
      <c r="DN132" s="2607">
        <f ca="1"/>
        <v>2.5780547466615831</v>
      </c>
      <c r="EU132" s="2281">
        <v>2034</v>
      </c>
      <c r="EV132" s="2738">
        <f t="shared" si="57"/>
        <v>58.927277419344499</v>
      </c>
      <c r="EW132" s="1034">
        <f t="shared" si="33"/>
        <v>116.28492249207744</v>
      </c>
      <c r="EX132" s="1382">
        <f t="shared" si="34"/>
        <v>54.484397315444632</v>
      </c>
      <c r="EY132" s="2738">
        <f t="shared" si="60"/>
        <v>32.737032810542537</v>
      </c>
      <c r="EZ132" s="1382">
        <f t="shared" si="36"/>
        <v>86.581837271697665</v>
      </c>
      <c r="FA132" s="1382">
        <f t="shared" si="58"/>
        <v>71.171596583523382</v>
      </c>
      <c r="FB132" s="1382">
        <f t="shared" si="38"/>
        <v>90.769999999999968</v>
      </c>
      <c r="FC132" s="1382"/>
      <c r="FD132" s="1382">
        <f t="shared" si="39"/>
        <v>0</v>
      </c>
      <c r="FE132" s="1035">
        <f t="shared" si="29"/>
        <v>47.137625878099563</v>
      </c>
    </row>
    <row r="133" spans="5:178" ht="18.600000000000001" thickBot="1">
      <c r="J133" s="40" t="s">
        <v>1371</v>
      </c>
      <c r="K133" s="22" t="s">
        <v>1370</v>
      </c>
      <c r="L133" s="22"/>
      <c r="M133" s="22"/>
      <c r="N133" s="22"/>
      <c r="O133" s="1663" t="s">
        <v>414</v>
      </c>
      <c r="P133" s="1173"/>
      <c r="U133" s="1691">
        <v>1</v>
      </c>
      <c r="V133" s="949">
        <f>U133*V132</f>
        <v>0.78800000000000003</v>
      </c>
      <c r="W133" s="949">
        <f t="shared" ref="W133:AK133" si="70">V133*W132</f>
        <v>0.72574800000000006</v>
      </c>
      <c r="X133" s="949">
        <f t="shared" si="70"/>
        <v>0.63575524800000005</v>
      </c>
      <c r="Y133" s="949">
        <f t="shared" si="70"/>
        <v>0.6764435838720001</v>
      </c>
      <c r="Z133" s="949">
        <f t="shared" si="70"/>
        <v>0.7988798725528321</v>
      </c>
      <c r="AA133" s="949">
        <f t="shared" si="70"/>
        <v>0.88036561955322101</v>
      </c>
      <c r="AB133" s="949">
        <f t="shared" si="70"/>
        <v>0.90501585690071118</v>
      </c>
      <c r="AC133" s="949">
        <f t="shared" si="70"/>
        <v>1.03081306100991</v>
      </c>
      <c r="AD133" s="949">
        <f t="shared" si="70"/>
        <v>1.1606955066971585</v>
      </c>
      <c r="AE133" s="949">
        <f t="shared" si="70"/>
        <v>1.2833622609573379</v>
      </c>
      <c r="AF133" s="949">
        <f t="shared" si="70"/>
        <v>1.5143674679296586</v>
      </c>
      <c r="AG133" s="1102">
        <f t="shared" si="70"/>
        <v>1.8323846361948868</v>
      </c>
      <c r="AH133" s="1102">
        <f t="shared" si="70"/>
        <v>2.0266174076315449</v>
      </c>
      <c r="AI133" s="949">
        <f t="shared" si="70"/>
        <v>1.7347845009326024</v>
      </c>
      <c r="AJ133" s="2166">
        <f t="shared" si="70"/>
        <v>1.8371367864876262</v>
      </c>
      <c r="AK133" s="949">
        <f t="shared" si="70"/>
        <v>2.0043162340580003</v>
      </c>
      <c r="AL133" s="949">
        <f t="shared" ref="AL133:AR133" si="71">AK133*AL132</f>
        <v>2.1045320457609002</v>
      </c>
      <c r="AM133" s="949">
        <f t="shared" si="71"/>
        <v>2.1318909623557918</v>
      </c>
      <c r="AN133" s="949">
        <f t="shared" si="71"/>
        <v>2.0935169250333874</v>
      </c>
      <c r="AO133" s="2149">
        <f t="shared" si="71"/>
        <v>1.869510614054815</v>
      </c>
      <c r="AP133" s="1054">
        <f t="shared" si="71"/>
        <v>1.8882057201953633</v>
      </c>
      <c r="AQ133" s="1054">
        <f t="shared" si="71"/>
        <v>1.9863924176455223</v>
      </c>
      <c r="AR133" s="1054">
        <f t="shared" si="71"/>
        <v>2.0439977977572421</v>
      </c>
      <c r="AT133" s="2148"/>
      <c r="AV133" s="1725" t="str">
        <f t="shared" si="55"/>
        <v>PОk</v>
      </c>
      <c r="BO133" s="444" t="str">
        <f t="shared" si="67"/>
        <v>PОk</v>
      </c>
      <c r="BP133" s="1631"/>
      <c r="EU133" s="1596">
        <v>2035</v>
      </c>
      <c r="EV133" s="2739">
        <f t="shared" si="57"/>
        <v>61.89812629031173</v>
      </c>
      <c r="EW133" s="1060">
        <f t="shared" si="33"/>
        <v>122.36991861668132</v>
      </c>
      <c r="EX133" s="1382">
        <f t="shared" si="34"/>
        <v>57.00861718121687</v>
      </c>
      <c r="EY133" s="2747">
        <f t="shared" si="60"/>
        <v>34.001837101069661</v>
      </c>
      <c r="EZ133" s="1984">
        <f t="shared" si="36"/>
        <v>93.781646087901152</v>
      </c>
      <c r="FA133" s="1984">
        <f t="shared" si="58"/>
        <v>75.086376412699551</v>
      </c>
      <c r="FB133" s="1984">
        <f t="shared" si="38"/>
        <v>92.069999999999965</v>
      </c>
      <c r="FC133" s="1984"/>
      <c r="FD133" s="1984">
        <f t="shared" si="39"/>
        <v>0</v>
      </c>
      <c r="FE133" s="1808">
        <f t="shared" si="29"/>
        <v>49.494507172004546</v>
      </c>
    </row>
    <row r="134" spans="5:178" ht="17.399999999999999">
      <c r="J134" s="40" t="s">
        <v>559</v>
      </c>
      <c r="K134" s="22" t="s">
        <v>560</v>
      </c>
      <c r="L134" s="22"/>
      <c r="M134" s="22"/>
      <c r="N134" s="22"/>
      <c r="O134" s="1663" t="s">
        <v>414</v>
      </c>
      <c r="P134" s="1173"/>
      <c r="R134" s="739">
        <v>0.94799999999999995</v>
      </c>
      <c r="S134" s="739">
        <v>0.99</v>
      </c>
      <c r="T134" s="739">
        <v>0.96899999999999997</v>
      </c>
      <c r="U134" s="1691">
        <v>0.97299999999999998</v>
      </c>
      <c r="V134" s="484">
        <v>0.97399999999999998</v>
      </c>
      <c r="W134" s="484">
        <v>1.028</v>
      </c>
      <c r="X134" s="484">
        <v>0.97899999999999998</v>
      </c>
      <c r="Y134" s="484">
        <v>0.98799999999999999</v>
      </c>
      <c r="Z134" s="1691">
        <v>1.056</v>
      </c>
      <c r="AA134" s="484">
        <v>1.0680000000000001</v>
      </c>
      <c r="AB134" s="484">
        <v>1.073</v>
      </c>
      <c r="AC134" s="1688">
        <v>1.0609999999999999</v>
      </c>
      <c r="AD134" s="1688">
        <v>1.0940000000000001</v>
      </c>
      <c r="AE134" s="1720">
        <v>1.091</v>
      </c>
      <c r="AF134" s="1688">
        <v>1.095</v>
      </c>
      <c r="AG134" s="272">
        <v>1.1120000000000001</v>
      </c>
      <c r="AH134" s="272">
        <v>1.0860000000000001</v>
      </c>
      <c r="AI134" s="272">
        <v>0.96099999999999997</v>
      </c>
      <c r="AJ134" s="2148">
        <v>1.0349999999999999</v>
      </c>
      <c r="AK134" s="285">
        <v>1.0529999999999999</v>
      </c>
      <c r="AL134" s="784">
        <v>1.0649999999999999</v>
      </c>
      <c r="AM134" s="784">
        <v>1.0409999999999999</v>
      </c>
      <c r="AN134" s="784">
        <v>1.0090000000000001</v>
      </c>
      <c r="AO134" s="2149">
        <v>0.92100000000000004</v>
      </c>
      <c r="AP134" s="784">
        <v>0.99</v>
      </c>
      <c r="AQ134" s="784">
        <v>1.0309999999999999</v>
      </c>
      <c r="AR134" s="784">
        <v>1.018</v>
      </c>
      <c r="AS134" s="784"/>
      <c r="AT134" s="2148"/>
      <c r="AV134" s="1725" t="str">
        <f t="shared" si="55"/>
        <v>pY</v>
      </c>
      <c r="BO134" s="444" t="str">
        <f t="shared" si="67"/>
        <v>pY</v>
      </c>
      <c r="BP134" s="739" t="s">
        <v>1443</v>
      </c>
      <c r="CQ134" s="1670" t="s">
        <v>351</v>
      </c>
      <c r="CR134" s="772" t="s">
        <v>1789</v>
      </c>
      <c r="CS134" s="2070" t="s">
        <v>1626</v>
      </c>
      <c r="CT134" s="772" t="s">
        <v>1627</v>
      </c>
      <c r="CU134" s="772" t="s">
        <v>1628</v>
      </c>
      <c r="CV134" s="823" t="s">
        <v>1841</v>
      </c>
      <c r="CW134" s="823" t="s">
        <v>1842</v>
      </c>
      <c r="CX134" s="2071" t="s">
        <v>80</v>
      </c>
      <c r="DL134" s="2433" t="s">
        <v>1628</v>
      </c>
      <c r="EF134" s="1602" t="s">
        <v>351</v>
      </c>
      <c r="EG134" s="1603" t="s">
        <v>1203</v>
      </c>
      <c r="EH134" s="2430" t="s">
        <v>1830</v>
      </c>
      <c r="EX134" s="2430" t="s">
        <v>1830</v>
      </c>
    </row>
    <row r="135" spans="5:178" ht="16.2" thickBot="1">
      <c r="I135" s="739" t="s">
        <v>554</v>
      </c>
      <c r="J135" s="40" t="s">
        <v>561</v>
      </c>
      <c r="K135" s="22" t="s">
        <v>562</v>
      </c>
      <c r="L135" s="22"/>
      <c r="M135" s="22"/>
      <c r="N135" s="22"/>
      <c r="O135" s="1663" t="s">
        <v>414</v>
      </c>
      <c r="P135" s="1173"/>
      <c r="R135" s="739">
        <v>0.97</v>
      </c>
      <c r="S135" s="739">
        <v>1.012</v>
      </c>
      <c r="T135" s="739">
        <v>1.012</v>
      </c>
      <c r="U135" s="1691">
        <v>0.97199999999999998</v>
      </c>
      <c r="V135" s="484">
        <v>0.95099999999999996</v>
      </c>
      <c r="W135" s="484">
        <v>1.05</v>
      </c>
      <c r="X135" s="484">
        <v>0.96599999999999997</v>
      </c>
      <c r="Y135" s="484">
        <v>0.97599999999999998</v>
      </c>
      <c r="Z135" s="1691">
        <v>1.0589999999999999</v>
      </c>
      <c r="AA135" s="484">
        <v>1.0820000000000001</v>
      </c>
      <c r="AB135" s="484">
        <v>1.077</v>
      </c>
      <c r="AC135" s="484">
        <v>1.077</v>
      </c>
      <c r="AD135" s="484">
        <v>1.125</v>
      </c>
      <c r="AE135" s="1691">
        <v>1.1220000000000001</v>
      </c>
      <c r="AF135" s="484">
        <v>1.1220000000000001</v>
      </c>
      <c r="AG135" s="285">
        <v>1.143</v>
      </c>
      <c r="AH135" s="285">
        <v>1.1060000000000001</v>
      </c>
      <c r="AI135" s="285">
        <v>0.94899999999999995</v>
      </c>
      <c r="AJ135" s="2148">
        <v>1.0549999999999999</v>
      </c>
      <c r="AK135" s="285">
        <v>1.0680000000000001</v>
      </c>
      <c r="AL135" s="784">
        <v>1.079</v>
      </c>
      <c r="AM135" s="784">
        <v>1.052</v>
      </c>
      <c r="AN135" s="784">
        <v>1.02</v>
      </c>
      <c r="AO135" s="2149">
        <v>0.90600000000000003</v>
      </c>
      <c r="AP135" s="784">
        <v>0.98099999999999998</v>
      </c>
      <c r="AQ135" s="784">
        <v>1.0329999999999999</v>
      </c>
      <c r="AR135" s="784">
        <v>1.0229999999999999</v>
      </c>
      <c r="AS135" s="784"/>
      <c r="AT135" s="2148"/>
      <c r="AV135" s="1725" t="str">
        <f t="shared" si="55"/>
        <v>pYD</v>
      </c>
      <c r="BO135" s="444" t="str">
        <f t="shared" si="67"/>
        <v>pYD</v>
      </c>
      <c r="BP135" s="739" t="s">
        <v>1443</v>
      </c>
      <c r="CQ135" s="1979">
        <v>43925</v>
      </c>
      <c r="CR135" s="1629" t="s">
        <v>1454</v>
      </c>
      <c r="CS135" s="1629" t="s">
        <v>1454</v>
      </c>
      <c r="CT135" s="1629" t="s">
        <v>46</v>
      </c>
      <c r="CU135" s="1629" t="s">
        <v>1454</v>
      </c>
      <c r="CV135" s="1629" t="s">
        <v>1454</v>
      </c>
      <c r="CW135" s="1629" t="s">
        <v>1454</v>
      </c>
      <c r="CX135" s="2072" t="s">
        <v>1454</v>
      </c>
      <c r="DL135" s="2434" t="s">
        <v>1830</v>
      </c>
      <c r="EF135" s="1981">
        <v>44340</v>
      </c>
      <c r="EG135" s="1593" t="s">
        <v>1623</v>
      </c>
      <c r="EH135" s="1593" t="s">
        <v>1454</v>
      </c>
      <c r="EX135" s="1593" t="s">
        <v>1454</v>
      </c>
    </row>
    <row r="136" spans="5:178" ht="17.399999999999999">
      <c r="I136" s="739" t="s">
        <v>554</v>
      </c>
      <c r="J136" s="40" t="s">
        <v>563</v>
      </c>
      <c r="K136" s="22" t="s">
        <v>564</v>
      </c>
      <c r="L136" s="22"/>
      <c r="M136" s="22"/>
      <c r="N136" s="22"/>
      <c r="O136" s="1663" t="s">
        <v>414</v>
      </c>
      <c r="P136" s="1173"/>
      <c r="R136" s="739">
        <v>0.88200000000000001</v>
      </c>
      <c r="S136" s="739">
        <v>0.93600000000000005</v>
      </c>
      <c r="T136" s="739">
        <v>0.97099999999999997</v>
      </c>
      <c r="U136" s="1691">
        <v>1.0109999999999999</v>
      </c>
      <c r="V136" s="484">
        <v>1.0309999999999999</v>
      </c>
      <c r="W136" s="484">
        <v>0.97599999999999998</v>
      </c>
      <c r="X136" s="484">
        <v>1.01</v>
      </c>
      <c r="Y136" s="484">
        <v>1.0309999999999999</v>
      </c>
      <c r="Z136" s="1691">
        <v>1.02</v>
      </c>
      <c r="AA136" s="484">
        <v>0.99199999999999999</v>
      </c>
      <c r="AB136" s="484">
        <v>1.026</v>
      </c>
      <c r="AC136" s="484">
        <v>1.024</v>
      </c>
      <c r="AD136" s="1688">
        <v>1.0209999999999999</v>
      </c>
      <c r="AE136" s="1691">
        <v>1.014</v>
      </c>
      <c r="AF136" s="484">
        <v>1.0229999999999999</v>
      </c>
      <c r="AG136" s="285">
        <v>1.0269999999999999</v>
      </c>
      <c r="AH136" s="285">
        <v>1.034</v>
      </c>
      <c r="AI136" s="272">
        <v>0.99399999999999999</v>
      </c>
      <c r="AJ136" s="2148">
        <v>0.98499999999999999</v>
      </c>
      <c r="AK136" s="285">
        <v>1.014</v>
      </c>
      <c r="AL136" s="784">
        <v>1.026</v>
      </c>
      <c r="AM136" s="784">
        <v>1.0090000000000001</v>
      </c>
      <c r="AN136" s="784">
        <v>0.97900000000000009</v>
      </c>
      <c r="AO136" s="2149">
        <v>0.96399999999999997</v>
      </c>
      <c r="AP136" s="784">
        <v>1.0149999999999999</v>
      </c>
      <c r="AQ136" s="784">
        <v>1.0249999999999999</v>
      </c>
      <c r="AR136" s="784">
        <v>1.0029999999999999</v>
      </c>
      <c r="AS136" s="784"/>
      <c r="AT136" s="2148"/>
      <c r="AV136" s="1725" t="str">
        <f t="shared" si="55"/>
        <v>pYG</v>
      </c>
      <c r="BO136" s="444" t="str">
        <f t="shared" si="67"/>
        <v>pYG</v>
      </c>
      <c r="BP136" s="739" t="s">
        <v>1443</v>
      </c>
      <c r="CQ136" s="2097">
        <v>1995</v>
      </c>
      <c r="CR136" s="1803">
        <f>CT136</f>
        <v>24.299299999999999</v>
      </c>
      <c r="CS136" s="837">
        <f t="array" ref="CS136:CS159">TRANSPOSE(U161:AR161)</f>
        <v>1</v>
      </c>
      <c r="CT136" s="1200">
        <f t="array" ref="CT136:CT159">TRANSPOSE(U71:AR71)</f>
        <v>24.299299999999999</v>
      </c>
      <c r="CU136" s="837">
        <v>1</v>
      </c>
      <c r="CV136" s="837"/>
      <c r="CW136" s="837"/>
      <c r="CX136" s="1494">
        <v>1</v>
      </c>
      <c r="DL136" s="1328">
        <f t="shared" ref="DL136:DL159" si="72">CU136</f>
        <v>1</v>
      </c>
      <c r="DN136" s="1602" t="s">
        <v>351</v>
      </c>
      <c r="DO136" s="1603" t="s">
        <v>1627</v>
      </c>
      <c r="DP136" s="1603" t="s">
        <v>1191</v>
      </c>
      <c r="DQ136" s="1603" t="s">
        <v>1627</v>
      </c>
      <c r="EF136" s="2097">
        <v>1995</v>
      </c>
      <c r="EG136" s="1799">
        <f t="array" ref="EG136:EG159">TRANSPOSE(U161:AR161)</f>
        <v>1</v>
      </c>
      <c r="EH136" s="2118"/>
      <c r="EX136" s="2118">
        <f>1</f>
        <v>1</v>
      </c>
      <c r="EZ136" s="1078" t="s">
        <v>695</v>
      </c>
      <c r="FA136" s="1968" t="s">
        <v>1276</v>
      </c>
      <c r="FB136" s="1969" t="s">
        <v>1403</v>
      </c>
      <c r="FC136" s="1969" t="s">
        <v>1404</v>
      </c>
      <c r="FS136" s="1731" t="s">
        <v>695</v>
      </c>
      <c r="FT136" s="2740" t="s">
        <v>2272</v>
      </c>
    </row>
    <row r="137" spans="5:178" ht="18" thickBot="1">
      <c r="I137" s="739" t="s">
        <v>554</v>
      </c>
      <c r="J137" s="40" t="s">
        <v>565</v>
      </c>
      <c r="K137" s="22" t="s">
        <v>566</v>
      </c>
      <c r="L137" s="22"/>
      <c r="M137" s="22"/>
      <c r="N137" s="22"/>
      <c r="O137" s="1663" t="s">
        <v>414</v>
      </c>
      <c r="P137" s="1173"/>
      <c r="R137" s="739">
        <v>0.99</v>
      </c>
      <c r="S137" s="739">
        <v>1.002</v>
      </c>
      <c r="T137" s="739">
        <v>0.64100000000000001</v>
      </c>
      <c r="U137" s="1691">
        <v>0.69499999999999995</v>
      </c>
      <c r="V137" s="484">
        <v>1.006</v>
      </c>
      <c r="W137" s="484">
        <v>0.99199999999999999</v>
      </c>
      <c r="X137" s="484">
        <v>1.0049999999999999</v>
      </c>
      <c r="Y137" s="484">
        <v>0.98599999999999999</v>
      </c>
      <c r="Z137" s="1691">
        <v>1.016</v>
      </c>
      <c r="AA137" s="484">
        <v>1.0189999999999999</v>
      </c>
      <c r="AB137" s="484">
        <v>1.008</v>
      </c>
      <c r="AC137" s="1688">
        <v>1.0009999999999999</v>
      </c>
      <c r="AD137" s="1688">
        <v>0.88900000000000001</v>
      </c>
      <c r="AE137" s="1691">
        <v>0.81699999999999995</v>
      </c>
      <c r="AF137" s="484">
        <v>0.98299999999999998</v>
      </c>
      <c r="AG137" s="285">
        <v>1.0269999999999999</v>
      </c>
      <c r="AH137" s="285">
        <v>0.98599999999999999</v>
      </c>
      <c r="AI137" s="272">
        <v>0.92</v>
      </c>
      <c r="AJ137" s="2148">
        <v>0.995</v>
      </c>
      <c r="AK137" s="285">
        <v>0.95099999999999996</v>
      </c>
      <c r="AL137" s="784">
        <v>0.99</v>
      </c>
      <c r="AM137" s="784">
        <v>0.98799999999999999</v>
      </c>
      <c r="AN137" s="784">
        <v>1</v>
      </c>
      <c r="AO137" s="2149">
        <v>0.97099999999999997</v>
      </c>
      <c r="AP137" s="784">
        <v>1.01</v>
      </c>
      <c r="AQ137" s="784">
        <v>1.0049999999999999</v>
      </c>
      <c r="AR137" s="784">
        <v>1.0449999999999999</v>
      </c>
      <c r="AS137" s="784"/>
      <c r="AT137" s="2148"/>
      <c r="AV137" s="1725" t="str">
        <f t="shared" si="55"/>
        <v>pYNK</v>
      </c>
      <c r="BO137" s="444" t="str">
        <f t="shared" si="67"/>
        <v>pYNK</v>
      </c>
      <c r="BP137" s="739" t="s">
        <v>1443</v>
      </c>
      <c r="CQ137" s="2281">
        <v>1996</v>
      </c>
      <c r="CR137" s="1034">
        <f t="shared" ref="CR137:CR159" si="73">CR$136*CS137</f>
        <v>24.445095799999997</v>
      </c>
      <c r="CS137" s="838">
        <v>1.006</v>
      </c>
      <c r="CT137" s="1201">
        <v>36.661499999999997</v>
      </c>
      <c r="CU137" s="1382">
        <f>CT137/CR137</f>
        <v>1.4997486735151189</v>
      </c>
      <c r="CV137" s="1382"/>
      <c r="CW137" s="1382"/>
      <c r="CX137" s="1035">
        <f>НАСТРОЙКА!DR137</f>
        <v>1.218</v>
      </c>
      <c r="DL137" s="1328">
        <f t="shared" si="72"/>
        <v>1.4997486735151189</v>
      </c>
      <c r="DN137" s="2426">
        <v>43926</v>
      </c>
      <c r="DO137" s="1593" t="s">
        <v>46</v>
      </c>
      <c r="DP137" s="1593" t="s">
        <v>46</v>
      </c>
      <c r="DQ137" s="1593" t="s">
        <v>1621</v>
      </c>
      <c r="EF137" s="2281">
        <v>1996</v>
      </c>
      <c r="EG137" s="2119">
        <v>1.006</v>
      </c>
      <c r="EH137" s="1966"/>
      <c r="EX137" s="1966">
        <f>EG137</f>
        <v>1.006</v>
      </c>
      <c r="EZ137" s="1732">
        <v>44340</v>
      </c>
      <c r="FA137" s="2727" t="s">
        <v>1277</v>
      </c>
      <c r="FB137" s="1646" t="s">
        <v>1277</v>
      </c>
      <c r="FC137" s="1971" t="s">
        <v>1277</v>
      </c>
      <c r="FS137" s="1732">
        <v>42014</v>
      </c>
      <c r="FT137" s="2741" t="s">
        <v>1277</v>
      </c>
    </row>
    <row r="138" spans="5:178" ht="18">
      <c r="J138" s="40"/>
      <c r="K138" s="22"/>
      <c r="L138" s="22"/>
      <c r="M138" s="22"/>
      <c r="N138" s="22"/>
      <c r="O138" s="1663"/>
      <c r="P138" s="1173"/>
      <c r="U138" s="1730"/>
      <c r="V138" s="484"/>
      <c r="W138" s="484"/>
      <c r="X138" s="484"/>
      <c r="Y138" s="484"/>
      <c r="Z138" s="1691"/>
      <c r="AA138" s="484"/>
      <c r="AB138" s="484"/>
      <c r="AC138" s="1688"/>
      <c r="AD138" s="1688"/>
      <c r="AE138" s="1691"/>
      <c r="AF138" s="484"/>
      <c r="AG138" s="285"/>
      <c r="AH138" s="285"/>
      <c r="AI138" s="285"/>
      <c r="AJ138" s="2148"/>
      <c r="AK138" s="285"/>
      <c r="AL138" s="285"/>
      <c r="AO138" s="2149"/>
      <c r="AT138" s="2148"/>
      <c r="AV138" s="1725">
        <f t="shared" si="55"/>
        <v>0</v>
      </c>
      <c r="BO138" s="444">
        <f t="shared" si="67"/>
        <v>0</v>
      </c>
      <c r="CQ138" s="2281">
        <v>1997</v>
      </c>
      <c r="CR138" s="1034">
        <f t="shared" si="73"/>
        <v>24.249535033599997</v>
      </c>
      <c r="CS138" s="1871">
        <v>0.99795199999999995</v>
      </c>
      <c r="CT138" s="1201">
        <v>47.3504</v>
      </c>
      <c r="CU138" s="1382">
        <f t="shared" ref="CU138:CU159" si="74">CT138/CR138</f>
        <v>1.9526312539350381</v>
      </c>
      <c r="CV138" s="1382"/>
      <c r="CW138" s="1382"/>
      <c r="CX138" s="1035">
        <f>НАСТРОЙКА!DR138</f>
        <v>1.3519800000000002</v>
      </c>
      <c r="DL138" s="1328">
        <f t="shared" si="72"/>
        <v>1.9526312539350381</v>
      </c>
      <c r="DN138" s="2097">
        <v>1995</v>
      </c>
      <c r="DO138" s="1858">
        <f>CT136</f>
        <v>24.299299999999999</v>
      </c>
      <c r="DP138" s="1200">
        <f>DK52</f>
        <v>1428.5209</v>
      </c>
      <c r="DQ138" s="2435"/>
      <c r="EF138" s="2281">
        <v>1997</v>
      </c>
      <c r="EG138" s="2119">
        <v>0.99795199999999995</v>
      </c>
      <c r="EH138" s="1966"/>
      <c r="EX138" s="1966">
        <f t="shared" ref="EX138:EX157" si="75">EG138</f>
        <v>0.99795199999999995</v>
      </c>
      <c r="EZ138" s="1733">
        <v>1995</v>
      </c>
      <c r="FA138" s="1522">
        <v>17.100000000000001</v>
      </c>
      <c r="FB138" s="1522"/>
      <c r="FC138" s="854"/>
      <c r="FS138" s="2728">
        <v>1995</v>
      </c>
      <c r="FT138" s="855">
        <f>FA138</f>
        <v>17.100000000000001</v>
      </c>
    </row>
    <row r="139" spans="5:178" ht="18">
      <c r="I139" s="739" t="s">
        <v>554</v>
      </c>
      <c r="J139" s="40" t="s">
        <v>567</v>
      </c>
      <c r="K139" s="22" t="s">
        <v>568</v>
      </c>
      <c r="L139" s="22"/>
      <c r="M139" s="22"/>
      <c r="N139" s="22"/>
      <c r="O139" s="1663" t="s">
        <v>414</v>
      </c>
      <c r="P139" s="1173"/>
      <c r="U139" s="1691">
        <v>1.05</v>
      </c>
      <c r="V139" s="438">
        <v>1.0369999999999999</v>
      </c>
      <c r="W139" s="438">
        <v>0.995</v>
      </c>
      <c r="X139" s="438">
        <v>1.0189999999999999</v>
      </c>
      <c r="Y139" s="438">
        <v>1.1120000000000001</v>
      </c>
      <c r="Z139" s="439">
        <v>1.095</v>
      </c>
      <c r="AA139" s="438">
        <v>1.042</v>
      </c>
      <c r="AB139" s="438">
        <v>1.103</v>
      </c>
      <c r="AC139" s="438">
        <v>1.1259999999999999</v>
      </c>
      <c r="AD139" s="438">
        <v>1.1180000000000001</v>
      </c>
      <c r="AE139" s="439">
        <v>1.0649999999999999</v>
      </c>
      <c r="AF139" s="438">
        <v>1.073</v>
      </c>
      <c r="AG139" s="21">
        <v>1.0629999999999999</v>
      </c>
      <c r="AH139" s="285">
        <v>1.006</v>
      </c>
      <c r="AI139" s="285">
        <v>0.95299999999999996</v>
      </c>
      <c r="AJ139" s="2148">
        <v>1.07</v>
      </c>
      <c r="AK139" s="21">
        <v>1.0029999999999999</v>
      </c>
      <c r="AL139" s="784">
        <v>1.014</v>
      </c>
      <c r="AM139" s="784">
        <v>1.046</v>
      </c>
      <c r="AN139" s="784">
        <v>1.0049999999999999</v>
      </c>
      <c r="AO139" s="2149">
        <v>1.0369999999999999</v>
      </c>
      <c r="AP139" s="285">
        <v>1.032</v>
      </c>
      <c r="AQ139" s="285">
        <v>1.05</v>
      </c>
      <c r="AR139" s="285">
        <v>1.0549999999999999</v>
      </c>
      <c r="AS139" s="285"/>
      <c r="AT139" s="2148"/>
      <c r="AV139" s="1725" t="str">
        <f t="shared" si="55"/>
        <v>pEX</v>
      </c>
      <c r="BO139" s="444" t="str">
        <f t="shared" si="67"/>
        <v>pEX</v>
      </c>
      <c r="BP139" s="739" t="s">
        <v>1443</v>
      </c>
      <c r="CQ139" s="2281">
        <v>1998</v>
      </c>
      <c r="CR139" s="1034">
        <f t="shared" si="73"/>
        <v>24.370782708767997</v>
      </c>
      <c r="CS139" s="1871">
        <v>1.0029417599999999</v>
      </c>
      <c r="CT139" s="1201">
        <v>48.8855</v>
      </c>
      <c r="CU139" s="1382">
        <f t="shared" si="74"/>
        <v>2.0059060303554479</v>
      </c>
      <c r="CV139" s="1382"/>
      <c r="CW139" s="1382"/>
      <c r="CX139" s="1035">
        <f>НАСТРОЙКА!DR139</f>
        <v>2.4930511200000005</v>
      </c>
      <c r="DL139" s="1328">
        <f t="shared" si="72"/>
        <v>2.0059060303554479</v>
      </c>
      <c r="DN139" s="2281">
        <v>1996</v>
      </c>
      <c r="DO139" s="1321">
        <f>CT137</f>
        <v>36.661499999999997</v>
      </c>
      <c r="DP139" s="1201">
        <f>DK53</f>
        <v>2007.8252000000002</v>
      </c>
      <c r="DQ139" s="1794"/>
      <c r="EF139" s="2281">
        <v>1998</v>
      </c>
      <c r="EG139" s="2119">
        <v>1.0029417599999999</v>
      </c>
      <c r="EH139" s="1966"/>
      <c r="EX139" s="1966">
        <f t="shared" si="75"/>
        <v>1.0029417599999999</v>
      </c>
      <c r="EZ139" s="1734">
        <v>1996</v>
      </c>
      <c r="FA139" s="1522">
        <v>20.5</v>
      </c>
      <c r="FB139" s="1522"/>
      <c r="FC139" s="854"/>
      <c r="FS139" s="2729">
        <v>1996</v>
      </c>
      <c r="FT139" s="855">
        <f>FA139</f>
        <v>20.5</v>
      </c>
    </row>
    <row r="140" spans="5:178" ht="18">
      <c r="I140" s="739" t="s">
        <v>554</v>
      </c>
      <c r="J140" s="40" t="s">
        <v>569</v>
      </c>
      <c r="K140" s="22" t="s">
        <v>570</v>
      </c>
      <c r="L140" s="22"/>
      <c r="M140" s="22"/>
      <c r="N140" s="22"/>
      <c r="O140" s="1663" t="s">
        <v>414</v>
      </c>
      <c r="P140" s="1173"/>
      <c r="U140" s="1691">
        <v>1.07</v>
      </c>
      <c r="V140" s="484">
        <v>1.0129999999999999</v>
      </c>
      <c r="W140" s="484">
        <v>1.004</v>
      </c>
      <c r="X140" s="484">
        <v>0.82599999999999996</v>
      </c>
      <c r="Y140" s="1688">
        <v>0.83</v>
      </c>
      <c r="Z140" s="1691">
        <v>1.3240000000000001</v>
      </c>
      <c r="AA140" s="484">
        <v>1.1870000000000001</v>
      </c>
      <c r="AB140" s="484">
        <v>1.1459999999999999</v>
      </c>
      <c r="AC140" s="484">
        <v>1.173</v>
      </c>
      <c r="AD140" s="1688">
        <v>1.2330000000000001</v>
      </c>
      <c r="AE140" s="1691">
        <v>1.1659999999999999</v>
      </c>
      <c r="AF140" s="484">
        <v>1.2130000000000001</v>
      </c>
      <c r="AG140" s="285">
        <v>1.262</v>
      </c>
      <c r="AH140" s="272">
        <v>1.1479999999999999</v>
      </c>
      <c r="AI140" s="285">
        <v>0.69599999999999995</v>
      </c>
      <c r="AJ140" s="2148">
        <v>1.258</v>
      </c>
      <c r="AK140" s="285">
        <v>1.2030000000000001</v>
      </c>
      <c r="AL140" s="784">
        <v>1.097</v>
      </c>
      <c r="AM140" s="784">
        <v>1.0349999999999999</v>
      </c>
      <c r="AN140" s="784">
        <v>0.92700000000000005</v>
      </c>
      <c r="AO140" s="2149">
        <v>0.749</v>
      </c>
      <c r="AP140" s="285">
        <v>0.96399999999999997</v>
      </c>
      <c r="AQ140" s="285">
        <v>1.1739999999999999</v>
      </c>
      <c r="AR140" s="285">
        <v>1.0269999999999999</v>
      </c>
      <c r="AS140" s="285"/>
      <c r="AT140" s="2148"/>
      <c r="AV140" s="1725" t="str">
        <f t="shared" si="55"/>
        <v>pIM</v>
      </c>
      <c r="BO140" s="444" t="str">
        <f t="shared" si="67"/>
        <v>pIM</v>
      </c>
      <c r="BP140" s="739" t="s">
        <v>1443</v>
      </c>
      <c r="CQ140" s="2281">
        <v>1999</v>
      </c>
      <c r="CR140" s="1034">
        <f t="shared" si="73"/>
        <v>24.029591750845242</v>
      </c>
      <c r="CS140" s="1871">
        <v>0.98890057535999987</v>
      </c>
      <c r="CT140" s="1201">
        <v>56.301099999999998</v>
      </c>
      <c r="CU140" s="1382">
        <f t="shared" si="74"/>
        <v>2.3429902839701637</v>
      </c>
      <c r="CV140" s="1382"/>
      <c r="CW140" s="1382"/>
      <c r="CX140" s="1035">
        <f>НАСТРОЙКА!DR140</f>
        <v>3.4030147788000007</v>
      </c>
      <c r="DL140" s="1328">
        <f t="shared" si="72"/>
        <v>2.3429902839701637</v>
      </c>
      <c r="DN140" s="2281">
        <v>1997</v>
      </c>
      <c r="DO140" s="1321">
        <f t="shared" ref="DO140:DO161" si="76">CT138</f>
        <v>47.3504</v>
      </c>
      <c r="DP140" s="1201">
        <f t="shared" ref="DP140:DP161" si="77">DK54</f>
        <v>2342.5137</v>
      </c>
      <c r="DQ140" s="1794"/>
      <c r="EF140" s="2281">
        <v>1999</v>
      </c>
      <c r="EG140" s="2119">
        <v>0.98890057535999987</v>
      </c>
      <c r="EH140" s="1966"/>
      <c r="EX140" s="1966">
        <f t="shared" si="75"/>
        <v>0.98890057535999987</v>
      </c>
      <c r="EZ140" s="1734">
        <v>1997</v>
      </c>
      <c r="FA140" s="1522">
        <v>19.100000000000001</v>
      </c>
      <c r="FB140" s="1522"/>
      <c r="FC140" s="854"/>
      <c r="FS140" s="2729">
        <v>1997</v>
      </c>
      <c r="FT140" s="855">
        <f t="shared" ref="FT140:FT162" si="78">FA140</f>
        <v>19.100000000000001</v>
      </c>
    </row>
    <row r="141" spans="5:178" ht="18">
      <c r="I141" s="739" t="s">
        <v>571</v>
      </c>
      <c r="J141" s="40" t="s">
        <v>572</v>
      </c>
      <c r="K141" s="22" t="s">
        <v>573</v>
      </c>
      <c r="L141" s="22"/>
      <c r="M141" s="22"/>
      <c r="N141" s="22"/>
      <c r="O141" s="1663" t="s">
        <v>414</v>
      </c>
      <c r="P141" s="1173">
        <v>1.01</v>
      </c>
      <c r="Q141" s="739">
        <v>0.85</v>
      </c>
      <c r="R141" s="739">
        <v>0.60299999999999998</v>
      </c>
      <c r="S141" s="739">
        <v>0.88300000000000001</v>
      </c>
      <c r="T141" s="739">
        <v>0.75700000000000001</v>
      </c>
      <c r="U141" s="1691">
        <v>0.89900000000000002</v>
      </c>
      <c r="V141" s="484">
        <v>0.81899999999999995</v>
      </c>
      <c r="W141" s="484">
        <v>0.95</v>
      </c>
      <c r="X141" s="484">
        <v>0.88</v>
      </c>
      <c r="Y141" s="1688">
        <v>1.05</v>
      </c>
      <c r="Z141" s="1691">
        <v>1.1739999999999999</v>
      </c>
      <c r="AA141" s="1688">
        <v>1.1000000000000001</v>
      </c>
      <c r="AB141" s="484">
        <v>1.028</v>
      </c>
      <c r="AC141" s="484">
        <v>1.125</v>
      </c>
      <c r="AD141" s="484">
        <v>1.137</v>
      </c>
      <c r="AE141" s="1691">
        <v>1.1020000000000001</v>
      </c>
      <c r="AF141" s="484">
        <v>1.167</v>
      </c>
      <c r="AG141" s="285">
        <v>1.2270000000000001</v>
      </c>
      <c r="AH141" s="285">
        <v>1.095</v>
      </c>
      <c r="AI141" s="285">
        <v>0.86499999999999999</v>
      </c>
      <c r="AJ141" s="2148">
        <v>1.0629999999999999</v>
      </c>
      <c r="AK141" s="285">
        <v>1.1080000000000001</v>
      </c>
      <c r="AL141" s="285">
        <v>1.0680000000000001</v>
      </c>
      <c r="AM141" s="285">
        <v>1.008</v>
      </c>
      <c r="AN141" s="285">
        <v>0.98499999999999999</v>
      </c>
      <c r="AO141" s="2150">
        <v>0.89900000000000002</v>
      </c>
      <c r="AP141" s="285">
        <v>0.998</v>
      </c>
      <c r="AQ141" s="285">
        <v>1.048</v>
      </c>
      <c r="AR141" s="285">
        <v>1.0429999999999999</v>
      </c>
      <c r="AS141" s="285">
        <v>1.0629999999999999</v>
      </c>
      <c r="AT141" s="2148"/>
      <c r="AV141" s="1725" t="str">
        <f t="shared" si="55"/>
        <v>pIN</v>
      </c>
      <c r="BO141" s="444" t="str">
        <f t="shared" si="67"/>
        <v>pIN</v>
      </c>
      <c r="BP141" s="739" t="s">
        <v>1427</v>
      </c>
      <c r="CQ141" s="2281">
        <v>2000</v>
      </c>
      <c r="CR141" s="1034">
        <f t="shared" si="73"/>
        <v>24.41406521885877</v>
      </c>
      <c r="CS141" s="1871">
        <v>1.0047229845657599</v>
      </c>
      <c r="CT141" s="1201">
        <v>79.116500000000002</v>
      </c>
      <c r="CU141" s="1382">
        <f t="shared" si="74"/>
        <v>3.2406114791110681</v>
      </c>
      <c r="CV141" s="1382"/>
      <c r="CW141" s="1382"/>
      <c r="CX141" s="1035">
        <f>НАСТРОЙКА!DR141</f>
        <v>4.0904237641176007</v>
      </c>
      <c r="DL141" s="1328">
        <f t="shared" si="72"/>
        <v>3.2406114791110681</v>
      </c>
      <c r="DN141" s="2281">
        <v>1998</v>
      </c>
      <c r="DO141" s="1321">
        <f t="shared" si="76"/>
        <v>48.8855</v>
      </c>
      <c r="DP141" s="1201">
        <f t="shared" si="77"/>
        <v>2629.6228999999998</v>
      </c>
      <c r="DQ141" s="1794"/>
      <c r="EF141" s="2281">
        <v>2000</v>
      </c>
      <c r="EG141" s="2119">
        <v>1.0047229845657599</v>
      </c>
      <c r="EH141" s="1966"/>
      <c r="EX141" s="1966">
        <f t="shared" si="75"/>
        <v>1.0047229845657599</v>
      </c>
      <c r="EZ141" s="1734">
        <v>1998</v>
      </c>
      <c r="FA141" s="1522">
        <v>12.7</v>
      </c>
      <c r="FB141" s="1522"/>
      <c r="FC141" s="854"/>
      <c r="FS141" s="2729">
        <v>1998</v>
      </c>
      <c r="FT141" s="855">
        <f t="shared" si="78"/>
        <v>12.7</v>
      </c>
      <c r="FV141" s="1693"/>
    </row>
    <row r="142" spans="5:178" ht="18">
      <c r="I142" s="739" t="s">
        <v>1109</v>
      </c>
      <c r="J142" s="40" t="s">
        <v>574</v>
      </c>
      <c r="K142" s="22" t="s">
        <v>575</v>
      </c>
      <c r="L142" s="22"/>
      <c r="M142" s="22"/>
      <c r="N142" s="22"/>
      <c r="O142" s="1663" t="s">
        <v>414</v>
      </c>
      <c r="P142" s="1173">
        <v>1.042</v>
      </c>
      <c r="Q142" s="739">
        <v>1.0349999999999999</v>
      </c>
      <c r="R142" s="739">
        <v>1.02</v>
      </c>
      <c r="S142" s="739">
        <v>1.006</v>
      </c>
      <c r="T142" s="739">
        <v>0.99900000000000011</v>
      </c>
      <c r="U142" s="1691">
        <v>1.0009999999999999</v>
      </c>
      <c r="V142" s="484">
        <v>0.99900000000000011</v>
      </c>
      <c r="W142" s="484">
        <v>0.996</v>
      </c>
      <c r="X142" s="484">
        <v>0.997</v>
      </c>
      <c r="Y142" s="484">
        <v>1.002</v>
      </c>
      <c r="Z142" s="1691">
        <v>1.0049999999999999</v>
      </c>
      <c r="AA142" s="484">
        <v>1.0090000000000001</v>
      </c>
      <c r="AB142" s="484">
        <v>1.01</v>
      </c>
      <c r="AC142" s="484">
        <v>1.0129999999999999</v>
      </c>
      <c r="AD142" s="484">
        <v>1.016</v>
      </c>
      <c r="AE142" s="1691">
        <v>1.0190000000000001</v>
      </c>
      <c r="AF142" s="484">
        <v>1.024</v>
      </c>
      <c r="AG142" s="272">
        <v>1.0309999999999999</v>
      </c>
      <c r="AH142" s="285">
        <v>1.036</v>
      </c>
      <c r="AI142" s="285">
        <v>1.032</v>
      </c>
      <c r="AJ142" s="2148">
        <v>1.03</v>
      </c>
      <c r="AK142" s="285">
        <v>1.04</v>
      </c>
      <c r="AL142" s="21">
        <v>1.0429999999999999</v>
      </c>
      <c r="AM142" s="285">
        <v>1.0409999999999999</v>
      </c>
      <c r="AN142" s="285">
        <v>1.0369999999999999</v>
      </c>
      <c r="AO142" s="2150">
        <v>1.032</v>
      </c>
      <c r="AP142" s="285">
        <v>1.0389999999999999</v>
      </c>
      <c r="AQ142" s="285">
        <v>1.038</v>
      </c>
      <c r="AR142" s="285">
        <v>1.042</v>
      </c>
      <c r="AS142" s="285"/>
      <c r="AT142" s="2148"/>
      <c r="AV142" s="1725" t="str">
        <f t="shared" si="55"/>
        <v>pF</v>
      </c>
      <c r="BO142" s="444" t="str">
        <f t="shared" si="67"/>
        <v>pF</v>
      </c>
      <c r="BP142" s="739" t="s">
        <v>1433</v>
      </c>
      <c r="CQ142" s="2281">
        <v>2001</v>
      </c>
      <c r="CR142" s="1034">
        <f t="shared" si="73"/>
        <v>24.877932458017082</v>
      </c>
      <c r="CS142" s="1871">
        <v>1.0238127212725092</v>
      </c>
      <c r="CT142" s="1201">
        <v>98.781899999999993</v>
      </c>
      <c r="CU142" s="1382">
        <f t="shared" si="74"/>
        <v>3.97066356566005</v>
      </c>
      <c r="CV142" s="1382"/>
      <c r="CW142" s="1382"/>
      <c r="CX142" s="1035">
        <f>НАСТРОЙКА!DR142</f>
        <v>4.8512425842434741</v>
      </c>
      <c r="DL142" s="1328">
        <f t="shared" si="72"/>
        <v>3.97066356566005</v>
      </c>
      <c r="DN142" s="2281">
        <v>1999</v>
      </c>
      <c r="DO142" s="1321">
        <f t="shared" si="76"/>
        <v>56.301099999999998</v>
      </c>
      <c r="DP142" s="1201">
        <f t="shared" si="77"/>
        <v>4823.2329</v>
      </c>
      <c r="DQ142" s="1794"/>
      <c r="EF142" s="2281">
        <v>2001</v>
      </c>
      <c r="EG142" s="2119">
        <v>1.0238127212725092</v>
      </c>
      <c r="EH142" s="1966"/>
      <c r="EX142" s="1966">
        <f t="shared" si="75"/>
        <v>1.0238127212725092</v>
      </c>
      <c r="EZ142" s="1734">
        <v>1999</v>
      </c>
      <c r="FA142" s="1522">
        <v>17.7</v>
      </c>
      <c r="FB142" s="1522"/>
      <c r="FC142" s="854"/>
      <c r="FS142" s="2729">
        <v>1999</v>
      </c>
      <c r="FT142" s="855">
        <f t="shared" si="78"/>
        <v>17.7</v>
      </c>
      <c r="FV142" s="1693"/>
    </row>
    <row r="143" spans="5:178" ht="18">
      <c r="J143" s="40" t="s">
        <v>576</v>
      </c>
      <c r="K143" s="22" t="s">
        <v>577</v>
      </c>
      <c r="L143" s="22"/>
      <c r="M143" s="22"/>
      <c r="N143" s="22"/>
      <c r="O143" s="1663" t="s">
        <v>414</v>
      </c>
      <c r="P143" s="1173"/>
      <c r="Q143" s="1175">
        <v>0.89200000000000002</v>
      </c>
      <c r="R143" s="1175">
        <v>0.67264573991031384</v>
      </c>
      <c r="S143" s="1175">
        <v>0.7</v>
      </c>
      <c r="T143" s="1175">
        <v>0.81904761904761902</v>
      </c>
      <c r="U143" s="1720">
        <v>0.92732558139534893</v>
      </c>
      <c r="V143" s="1688">
        <v>0.85579937304075238</v>
      </c>
      <c r="W143" s="1688">
        <v>0.85347985347985345</v>
      </c>
      <c r="X143" s="1688">
        <v>0.95278969957081538</v>
      </c>
      <c r="Y143" s="1688">
        <v>1.0675675675675675</v>
      </c>
      <c r="Z143" s="1720">
        <v>1.2489451476793252</v>
      </c>
      <c r="AA143" s="1688">
        <v>1.189189189189189</v>
      </c>
      <c r="AB143" s="1688">
        <v>1.0795454545454544</v>
      </c>
      <c r="AC143" s="1688">
        <v>1.1210526315789473</v>
      </c>
      <c r="AD143" s="1688">
        <v>1.1173708920187795</v>
      </c>
      <c r="AE143" s="1720">
        <v>1.1092436974789917</v>
      </c>
      <c r="AF143" s="1688">
        <v>1.1628787878787878</v>
      </c>
      <c r="AG143" s="272">
        <v>1.219869706840391</v>
      </c>
      <c r="AH143" s="272">
        <v>1.1401869158878504</v>
      </c>
      <c r="AI143" s="272">
        <v>0.96604215456674458</v>
      </c>
      <c r="AJ143" s="2148">
        <v>0.93400000000000005</v>
      </c>
      <c r="AK143" s="272">
        <v>1.289234760051881</v>
      </c>
      <c r="AL143" s="21">
        <v>1.0874999999999999</v>
      </c>
      <c r="AM143" s="272">
        <v>1.01017</v>
      </c>
      <c r="AN143" s="469">
        <v>0.97</v>
      </c>
      <c r="AO143" s="2150">
        <v>0.94499999999999995</v>
      </c>
      <c r="AP143" s="272">
        <v>1.1679999999999999</v>
      </c>
      <c r="AQ143" s="272">
        <v>1.0009999999999999</v>
      </c>
      <c r="AR143" s="272">
        <v>1.1459999999999999</v>
      </c>
      <c r="AS143" s="272"/>
      <c r="AT143" s="2148"/>
      <c r="AV143" s="1725" t="str">
        <f t="shared" si="55"/>
        <v>pWW</v>
      </c>
      <c r="BO143" s="444" t="str">
        <f t="shared" si="67"/>
        <v>pWW</v>
      </c>
      <c r="BP143" s="784" t="s">
        <v>1109</v>
      </c>
      <c r="CQ143" s="2281">
        <v>2002</v>
      </c>
      <c r="CR143" s="1034">
        <f t="shared" si="73"/>
        <v>25.076955917681218</v>
      </c>
      <c r="CS143" s="1871">
        <v>1.0320032230426892</v>
      </c>
      <c r="CT143" s="1201">
        <v>132.51599999999999</v>
      </c>
      <c r="CU143" s="1382">
        <f t="shared" si="74"/>
        <v>5.2843734476785453</v>
      </c>
      <c r="CV143" s="1382"/>
      <c r="CW143" s="1382"/>
      <c r="CX143" s="1035">
        <f>НАСТРОЙКА!DR143</f>
        <v>5.5837802144642392</v>
      </c>
      <c r="DL143" s="1328">
        <f t="shared" si="72"/>
        <v>5.2843734476785453</v>
      </c>
      <c r="DN143" s="2281">
        <v>2000</v>
      </c>
      <c r="DO143" s="1321">
        <f t="shared" si="76"/>
        <v>79.116500000000002</v>
      </c>
      <c r="DP143" s="1201">
        <f t="shared" si="77"/>
        <v>7305.6466</v>
      </c>
      <c r="DQ143" s="1794"/>
      <c r="EF143" s="2281">
        <v>2002</v>
      </c>
      <c r="EG143" s="2119">
        <v>1.0320032230426892</v>
      </c>
      <c r="EH143" s="1966"/>
      <c r="EX143" s="1966">
        <f t="shared" si="75"/>
        <v>1.0320032230426892</v>
      </c>
      <c r="EZ143" s="1734">
        <v>2000</v>
      </c>
      <c r="FA143" s="1522">
        <v>28.3</v>
      </c>
      <c r="FB143" s="1522"/>
      <c r="FC143" s="854"/>
      <c r="FS143" s="2729">
        <v>2000</v>
      </c>
      <c r="FT143" s="855">
        <f t="shared" si="78"/>
        <v>28.3</v>
      </c>
      <c r="FV143" s="1693"/>
    </row>
    <row r="144" spans="5:178" ht="18">
      <c r="E144" s="38" t="s">
        <v>578</v>
      </c>
      <c r="F144" s="38"/>
      <c r="G144" s="38"/>
      <c r="I144" s="1651" t="s">
        <v>407</v>
      </c>
      <c r="J144" s="40" t="s">
        <v>579</v>
      </c>
      <c r="K144" s="22" t="s">
        <v>580</v>
      </c>
      <c r="L144" s="22"/>
      <c r="M144" s="22"/>
      <c r="N144" s="22"/>
      <c r="O144" s="1663" t="s">
        <v>414</v>
      </c>
      <c r="P144" s="1173"/>
      <c r="U144" s="1720">
        <v>3.3000000000000002E-2</v>
      </c>
      <c r="V144" s="1688">
        <v>3.3561209950998976E-2</v>
      </c>
      <c r="W144" s="1688">
        <v>3.3800349104344582E-2</v>
      </c>
      <c r="X144" s="1688">
        <v>3.5519854995165967E-2</v>
      </c>
      <c r="Y144" s="1688">
        <v>3.754522720369069E-2</v>
      </c>
      <c r="Z144" s="465">
        <v>3.7133613686563406E-2</v>
      </c>
      <c r="AA144" s="272">
        <v>4.5847628530670419E-2</v>
      </c>
      <c r="AB144" s="272">
        <v>4.3571305960750373E-2</v>
      </c>
      <c r="AC144" s="272">
        <v>4.6458845526733947E-2</v>
      </c>
      <c r="AD144" s="272">
        <v>4.9621904539870115E-2</v>
      </c>
      <c r="AE144" s="465">
        <v>5.2693222479582635E-2</v>
      </c>
      <c r="AF144" s="272">
        <v>5.7683838369769688E-2</v>
      </c>
      <c r="AG144" s="272">
        <v>6.6398404931141519E-2</v>
      </c>
      <c r="AH144" s="272">
        <f t="shared" ref="AH144:AP144" si="79">1-AH142+AH193/AG197</f>
        <v>6.7131977155365022E-2</v>
      </c>
      <c r="AI144" s="272">
        <f t="shared" si="79"/>
        <v>6.416779673349142E-2</v>
      </c>
      <c r="AJ144" s="2166">
        <f t="shared" si="79"/>
        <v>5.7035583477791654E-2</v>
      </c>
      <c r="AK144" s="272">
        <f t="shared" si="79"/>
        <v>6.8941067554336086E-2</v>
      </c>
      <c r="AL144" s="272">
        <f t="shared" si="79"/>
        <v>7.0916741312827491E-2</v>
      </c>
      <c r="AM144" s="272">
        <f t="shared" si="79"/>
        <v>6.9331039858081464E-2</v>
      </c>
      <c r="AN144" s="272">
        <f t="shared" si="79"/>
        <v>6.5806060194369881E-2</v>
      </c>
      <c r="AO144" s="2151">
        <f t="shared" si="79"/>
        <v>6.1685368258128676E-2</v>
      </c>
      <c r="AP144" s="1171">
        <f t="shared" si="79"/>
        <v>6.7031502059587592E-2</v>
      </c>
      <c r="AQ144" s="1171">
        <f>1-AQ142+AQ193/AP197</f>
        <v>6.4153545295136727E-2</v>
      </c>
      <c r="AR144" s="1171">
        <f>1-AR142+AR193/AQ197</f>
        <v>7.0782237869197198E-2</v>
      </c>
      <c r="AT144" s="2148"/>
      <c r="AV144" s="1725" t="str">
        <f t="shared" si="55"/>
        <v>kWB</v>
      </c>
      <c r="BO144" s="444" t="str">
        <f t="shared" si="67"/>
        <v>kWB</v>
      </c>
      <c r="BP144" s="1172" t="s">
        <v>581</v>
      </c>
      <c r="CQ144" s="2281">
        <v>2003</v>
      </c>
      <c r="CR144" s="1034">
        <f t="shared" si="73"/>
        <v>25.102032873598898</v>
      </c>
      <c r="CS144" s="1871">
        <v>1.0330352262657319</v>
      </c>
      <c r="CT144" s="1201">
        <v>154.91739999999999</v>
      </c>
      <c r="CU144" s="1382">
        <f t="shared" si="74"/>
        <v>6.1715081316356093</v>
      </c>
      <c r="CV144" s="1382"/>
      <c r="CW144" s="1382"/>
      <c r="CX144" s="1035">
        <f>НАСТРОЙКА!DR144</f>
        <v>6.2538338401999489</v>
      </c>
      <c r="DL144" s="1328">
        <f t="shared" si="72"/>
        <v>6.1715081316356093</v>
      </c>
      <c r="DN144" s="2281">
        <v>2001</v>
      </c>
      <c r="DO144" s="1321">
        <f t="shared" si="76"/>
        <v>98.781899999999993</v>
      </c>
      <c r="DP144" s="1201">
        <f t="shared" si="77"/>
        <v>8943.5825999999997</v>
      </c>
      <c r="DQ144" s="1794"/>
      <c r="EF144" s="2281">
        <v>2003</v>
      </c>
      <c r="EG144" s="2119">
        <v>1.0330352262657319</v>
      </c>
      <c r="EH144" s="1966"/>
      <c r="EX144" s="1966">
        <f t="shared" si="75"/>
        <v>1.0330352262657319</v>
      </c>
      <c r="EZ144" s="1734">
        <v>2001</v>
      </c>
      <c r="FA144" s="1530">
        <v>24.4</v>
      </c>
      <c r="FB144" s="1522"/>
      <c r="FC144" s="854"/>
      <c r="FS144" s="2729">
        <v>2001</v>
      </c>
      <c r="FT144" s="855">
        <f t="shared" si="78"/>
        <v>24.4</v>
      </c>
      <c r="FV144" s="1693"/>
    </row>
    <row r="145" spans="1:178" ht="18">
      <c r="A145" s="484" t="s">
        <v>772</v>
      </c>
      <c r="B145" s="484"/>
      <c r="E145" s="1735" t="s">
        <v>774</v>
      </c>
      <c r="F145" s="1735"/>
      <c r="G145" s="1735"/>
      <c r="H145" s="1699"/>
      <c r="I145" s="1651" t="s">
        <v>407</v>
      </c>
      <c r="J145" s="40" t="s">
        <v>582</v>
      </c>
      <c r="K145" s="46" t="s">
        <v>773</v>
      </c>
      <c r="L145" s="22"/>
      <c r="M145" s="22"/>
      <c r="N145" s="22"/>
      <c r="O145" s="1663" t="s">
        <v>400</v>
      </c>
      <c r="P145" s="1173"/>
      <c r="U145" s="1672">
        <f>U56</f>
        <v>1447.9952000000001</v>
      </c>
      <c r="V145" s="1673">
        <f t="shared" ref="V145:AR145" si="80">V149-V199</f>
        <v>1418.8795016000001</v>
      </c>
      <c r="W145" s="1673">
        <f t="shared" si="80"/>
        <v>1438.7438146224004</v>
      </c>
      <c r="X145" s="1673">
        <f t="shared" si="80"/>
        <v>1368.1606270079908</v>
      </c>
      <c r="Y145" s="1673">
        <f t="shared" si="80"/>
        <v>1439.579749342538</v>
      </c>
      <c r="Z145" s="467">
        <f t="shared" si="80"/>
        <v>1566.4582633307773</v>
      </c>
      <c r="AA145" s="1673">
        <f t="shared" si="80"/>
        <v>1640.1193246690002</v>
      </c>
      <c r="AB145" s="1673">
        <f t="shared" si="80"/>
        <v>1707.4046869992378</v>
      </c>
      <c r="AC145" s="1673">
        <f t="shared" si="80"/>
        <v>1842.2766859002736</v>
      </c>
      <c r="AD145" s="1673">
        <f t="shared" si="80"/>
        <v>2004.2780671866872</v>
      </c>
      <c r="AE145" s="1736">
        <f t="shared" si="80"/>
        <v>2104.809063879628</v>
      </c>
      <c r="AF145" s="1673">
        <f t="shared" si="80"/>
        <v>2306.727546302363</v>
      </c>
      <c r="AG145" s="271">
        <f t="shared" si="80"/>
        <v>2516.485382411794</v>
      </c>
      <c r="AH145" s="271">
        <f t="shared" si="80"/>
        <v>2637.4157141605283</v>
      </c>
      <c r="AI145" s="271">
        <f t="shared" si="80"/>
        <v>2455.1180066006277</v>
      </c>
      <c r="AJ145" s="2168">
        <f t="shared" si="80"/>
        <v>2589.7281488508879</v>
      </c>
      <c r="AK145" s="468">
        <f t="shared" si="80"/>
        <v>2701.0864592514768</v>
      </c>
      <c r="AL145" s="468">
        <f t="shared" si="80"/>
        <v>2812.7365069294915</v>
      </c>
      <c r="AM145" s="468">
        <f t="shared" si="80"/>
        <v>2880.2318845143186</v>
      </c>
      <c r="AN145" s="468">
        <f t="shared" si="80"/>
        <v>2904.9477054983777</v>
      </c>
      <c r="AO145" s="2152">
        <f t="shared" si="80"/>
        <v>2894.648386496252</v>
      </c>
      <c r="AP145" s="1154">
        <f t="shared" si="80"/>
        <v>2956.2174732766653</v>
      </c>
      <c r="AQ145" s="1154">
        <f t="shared" si="80"/>
        <v>3048.9437910369015</v>
      </c>
      <c r="AR145" s="1154">
        <f t="shared" si="80"/>
        <v>3116.9561043335252</v>
      </c>
      <c r="AT145" s="2148"/>
      <c r="AV145" s="1725" t="str">
        <f t="shared" si="55"/>
        <v>ZS</v>
      </c>
      <c r="BO145" s="444" t="str">
        <f t="shared" si="67"/>
        <v>ZS</v>
      </c>
      <c r="CQ145" s="2281">
        <v>2004</v>
      </c>
      <c r="CR145" s="1034">
        <f t="shared" si="73"/>
        <v>22.315707224629421</v>
      </c>
      <c r="CS145" s="1871">
        <v>0.91836831615023562</v>
      </c>
      <c r="CT145" s="1201">
        <v>149.55099999999999</v>
      </c>
      <c r="CU145" s="1382">
        <f t="shared" si="74"/>
        <v>6.7016025302099056</v>
      </c>
      <c r="CV145" s="1382"/>
      <c r="CW145" s="1382"/>
      <c r="CX145" s="1035">
        <f>НАСТРОЙКА!DR145</f>
        <v>6.9855323995033425</v>
      </c>
      <c r="DL145" s="1328">
        <f t="shared" si="72"/>
        <v>6.7016025302099056</v>
      </c>
      <c r="DN145" s="2281">
        <v>2002</v>
      </c>
      <c r="DO145" s="1321">
        <f t="shared" si="76"/>
        <v>132.51599999999999</v>
      </c>
      <c r="DP145" s="1201">
        <f t="shared" si="77"/>
        <v>10819.270899999998</v>
      </c>
      <c r="DQ145" s="2436"/>
      <c r="EF145" s="2281">
        <v>2004</v>
      </c>
      <c r="EG145" s="2119">
        <v>0.91836831615023562</v>
      </c>
      <c r="EH145" s="1966"/>
      <c r="EX145" s="1966">
        <f t="shared" si="75"/>
        <v>0.91836831615023562</v>
      </c>
      <c r="EZ145" s="1734">
        <v>2002</v>
      </c>
      <c r="FA145" s="1530">
        <v>25</v>
      </c>
      <c r="FB145" s="1522"/>
      <c r="FC145" s="854"/>
      <c r="FS145" s="2729">
        <v>2002</v>
      </c>
      <c r="FT145" s="855">
        <f t="shared" si="78"/>
        <v>25</v>
      </c>
      <c r="FV145" s="1693"/>
    </row>
    <row r="146" spans="1:178" ht="18">
      <c r="E146" s="38" t="s">
        <v>1449</v>
      </c>
      <c r="F146" s="38"/>
      <c r="G146" s="1699"/>
      <c r="H146" s="1699"/>
      <c r="I146" s="1651" t="s">
        <v>407</v>
      </c>
      <c r="J146" s="40" t="s">
        <v>583</v>
      </c>
      <c r="K146" s="46" t="s">
        <v>584</v>
      </c>
      <c r="L146" s="22"/>
      <c r="M146" s="22"/>
      <c r="N146" s="22"/>
      <c r="O146" s="1663" t="s">
        <v>414</v>
      </c>
      <c r="P146" s="1173"/>
      <c r="U146" s="440">
        <f>U194/(U195+U78)</f>
        <v>1.3855382921183337</v>
      </c>
      <c r="V146" s="441">
        <f>V194/(V195+V78)</f>
        <v>1.7137366177238973</v>
      </c>
      <c r="W146" s="441">
        <f t="shared" ref="W146:AR146" si="81">W194/(W195+W78)</f>
        <v>1.8111490149418872</v>
      </c>
      <c r="X146" s="441">
        <f t="shared" si="81"/>
        <v>1.7000103253886349</v>
      </c>
      <c r="Y146" s="441">
        <f t="shared" si="81"/>
        <v>1.343817685783397</v>
      </c>
      <c r="Z146" s="441">
        <f t="shared" si="81"/>
        <v>1.5155150050913269</v>
      </c>
      <c r="AA146" s="441">
        <f t="shared" si="81"/>
        <v>1.6353784645849134</v>
      </c>
      <c r="AB146" s="441">
        <f t="shared" si="81"/>
        <v>1.8230970042940766</v>
      </c>
      <c r="AC146" s="441">
        <f t="shared" si="81"/>
        <v>1.9008824764772907</v>
      </c>
      <c r="AD146" s="441">
        <f t="shared" si="81"/>
        <v>2.0613791499529461</v>
      </c>
      <c r="AE146" s="441">
        <f t="shared" si="81"/>
        <v>2.1810962693694509</v>
      </c>
      <c r="AF146" s="441">
        <f t="shared" si="81"/>
        <v>2.2670692157199177</v>
      </c>
      <c r="AG146" s="219">
        <f t="shared" si="81"/>
        <v>2.3317370417591983</v>
      </c>
      <c r="AH146" s="219">
        <f t="shared" si="81"/>
        <v>2.4445973734607849</v>
      </c>
      <c r="AI146" s="441">
        <f t="shared" si="81"/>
        <v>1.9669823952933017</v>
      </c>
      <c r="AJ146" s="2149">
        <f t="shared" si="81"/>
        <v>2.3278117152201068</v>
      </c>
      <c r="AK146" s="441">
        <f t="shared" si="81"/>
        <v>2.5273984597561263</v>
      </c>
      <c r="AL146" s="441">
        <f t="shared" si="81"/>
        <v>2.5960263205547474</v>
      </c>
      <c r="AM146" s="441">
        <f t="shared" si="81"/>
        <v>2.665562739855321</v>
      </c>
      <c r="AN146" s="441">
        <f t="shared" si="81"/>
        <v>2.5086057460364293</v>
      </c>
      <c r="AO146" s="2149">
        <f t="shared" si="81"/>
        <v>2.0900397149958683</v>
      </c>
      <c r="AP146" s="441">
        <f t="shared" si="81"/>
        <v>2.0188359571703578</v>
      </c>
      <c r="AQ146" s="441">
        <f t="shared" si="81"/>
        <v>2.2615586008759538</v>
      </c>
      <c r="AR146" s="441">
        <f t="shared" si="81"/>
        <v>2.22686546797661</v>
      </c>
      <c r="AT146" s="2148"/>
      <c r="AV146" s="1725" t="str">
        <f t="shared" si="55"/>
        <v>bS</v>
      </c>
      <c r="BO146" s="444" t="str">
        <f t="shared" si="67"/>
        <v>bS</v>
      </c>
      <c r="CQ146" s="2281">
        <v>2005</v>
      </c>
      <c r="CR146" s="1034">
        <f t="shared" si="73"/>
        <v>18.231932802522234</v>
      </c>
      <c r="CS146" s="1871">
        <v>0.7503069142947425</v>
      </c>
      <c r="CT146" s="1201">
        <v>139.37289999999999</v>
      </c>
      <c r="CU146" s="1382">
        <f t="shared" si="74"/>
        <v>7.6444391008680617</v>
      </c>
      <c r="CV146" s="1382"/>
      <c r="CW146" s="1382"/>
      <c r="CX146" s="1035">
        <f>НАСТРОЙКА!DR146</f>
        <v>7.7469554310492068</v>
      </c>
      <c r="DL146" s="1328">
        <f t="shared" si="72"/>
        <v>7.6444391008680617</v>
      </c>
      <c r="DN146" s="2281">
        <v>2003</v>
      </c>
      <c r="DO146" s="1321">
        <f t="shared" si="76"/>
        <v>154.91739999999999</v>
      </c>
      <c r="DP146" s="1201">
        <f t="shared" si="77"/>
        <v>13208.250299999998</v>
      </c>
      <c r="DQ146" s="2436"/>
      <c r="EF146" s="2281">
        <v>2005</v>
      </c>
      <c r="EG146" s="2119">
        <v>0.7503069142947425</v>
      </c>
      <c r="EH146" s="1966"/>
      <c r="EX146" s="1966">
        <f t="shared" si="75"/>
        <v>0.7503069142947425</v>
      </c>
      <c r="EZ146" s="1734">
        <v>2003</v>
      </c>
      <c r="FA146" s="1530">
        <v>28.9</v>
      </c>
      <c r="FB146" s="1522"/>
      <c r="FC146" s="854"/>
      <c r="FS146" s="2729">
        <v>2003</v>
      </c>
      <c r="FT146" s="855">
        <f t="shared" si="78"/>
        <v>28.9</v>
      </c>
      <c r="FV146" s="1693"/>
    </row>
    <row r="147" spans="1:178" ht="18">
      <c r="E147" s="38" t="s">
        <v>812</v>
      </c>
      <c r="F147" s="38"/>
      <c r="G147" s="1699"/>
      <c r="H147" s="1699"/>
      <c r="I147" s="1651" t="s">
        <v>407</v>
      </c>
      <c r="J147" s="40" t="s">
        <v>810</v>
      </c>
      <c r="K147" s="22" t="s">
        <v>585</v>
      </c>
      <c r="L147" s="22"/>
      <c r="M147" s="22"/>
      <c r="N147" s="22"/>
      <c r="O147" s="1663" t="s">
        <v>414</v>
      </c>
      <c r="P147" s="1173"/>
      <c r="U147" s="1720">
        <f t="shared" ref="U147:AO147" si="82">U102/U65</f>
        <v>0.34028203577560534</v>
      </c>
      <c r="V147" s="1688">
        <f t="shared" si="82"/>
        <v>0.32507809942817723</v>
      </c>
      <c r="W147" s="1688">
        <f t="shared" si="82"/>
        <v>0.35837570555083637</v>
      </c>
      <c r="X147" s="1688">
        <f t="shared" si="82"/>
        <v>0.32023603080122254</v>
      </c>
      <c r="Y147" s="1688">
        <f t="shared" si="82"/>
        <v>0.26082091121911194</v>
      </c>
      <c r="Z147" s="1720">
        <f t="shared" si="82"/>
        <v>0.26829931795496376</v>
      </c>
      <c r="AA147" s="1688">
        <f t="shared" si="82"/>
        <v>0.27051799130250104</v>
      </c>
      <c r="AB147" s="1688">
        <f t="shared" si="82"/>
        <v>0.31631692817415186</v>
      </c>
      <c r="AC147" s="1688">
        <f t="shared" si="82"/>
        <v>0.30018396555033727</v>
      </c>
      <c r="AD147" s="1688">
        <f t="shared" si="82"/>
        <v>0.27424958276588063</v>
      </c>
      <c r="AE147" s="465">
        <f t="shared" si="82"/>
        <v>0.31562582203865192</v>
      </c>
      <c r="AF147" s="272">
        <f t="shared" si="82"/>
        <v>0.31114675985594847</v>
      </c>
      <c r="AG147" s="272">
        <f t="shared" si="82"/>
        <v>0.34223846853003126</v>
      </c>
      <c r="AH147" s="272">
        <f t="shared" si="82"/>
        <v>0.33897422577496544</v>
      </c>
      <c r="AI147" s="272">
        <f t="shared" si="82"/>
        <v>0.41353903767234651</v>
      </c>
      <c r="AJ147" s="2166">
        <f t="shared" si="82"/>
        <v>0.38042010436044621</v>
      </c>
      <c r="AK147" s="272">
        <f t="shared" si="82"/>
        <v>0.33168807862649402</v>
      </c>
      <c r="AL147" s="272">
        <f t="shared" si="82"/>
        <v>0.33998943349517013</v>
      </c>
      <c r="AM147" s="272">
        <f t="shared" si="82"/>
        <v>0.3458040894091528</v>
      </c>
      <c r="AN147" s="272">
        <f t="shared" si="82"/>
        <v>0.34926044619122454</v>
      </c>
      <c r="AO147" s="2149">
        <f t="shared" si="82"/>
        <v>0.357930688386568</v>
      </c>
      <c r="AP147" s="1054">
        <f>AP102/AP65</f>
        <v>0.36417242734339217</v>
      </c>
      <c r="AQ147" s="1054">
        <f>AQ102/AQ65</f>
        <v>0.35174298224108358</v>
      </c>
      <c r="AR147" s="1054">
        <f>AR102/AR65</f>
        <v>0.33005762651166104</v>
      </c>
      <c r="AT147" s="2148"/>
      <c r="AV147" s="1725" t="str">
        <f t="shared" si="55"/>
        <v>r</v>
      </c>
      <c r="BO147" s="444" t="str">
        <f t="shared" si="67"/>
        <v>r</v>
      </c>
      <c r="CQ147" s="2281">
        <v>2006</v>
      </c>
      <c r="CR147" s="1034">
        <f t="shared" si="73"/>
        <v>17.921989944879357</v>
      </c>
      <c r="CS147" s="1871">
        <v>0.73755169675173182</v>
      </c>
      <c r="CT147" s="1201">
        <v>154.58760000000001</v>
      </c>
      <c r="CU147" s="1382">
        <f t="shared" si="74"/>
        <v>8.6255823418854529</v>
      </c>
      <c r="CV147" s="1382"/>
      <c r="CW147" s="1382"/>
      <c r="CX147" s="1035">
        <f>НАСТРОЙКА!DR147</f>
        <v>8.4441814198436358</v>
      </c>
      <c r="DL147" s="1328">
        <f t="shared" si="72"/>
        <v>8.6255823418854529</v>
      </c>
      <c r="DN147" s="2281">
        <v>2004</v>
      </c>
      <c r="DO147" s="1321">
        <f t="shared" si="76"/>
        <v>149.55099999999999</v>
      </c>
      <c r="DP147" s="1201">
        <f t="shared" si="77"/>
        <v>17027.166999999998</v>
      </c>
      <c r="DQ147" s="2436"/>
      <c r="EF147" s="2281">
        <v>2006</v>
      </c>
      <c r="EG147" s="2119">
        <v>0.73755169675173182</v>
      </c>
      <c r="EH147" s="1966"/>
      <c r="EX147" s="1966">
        <f t="shared" si="75"/>
        <v>0.73755169675173182</v>
      </c>
      <c r="EZ147" s="1734">
        <v>2004</v>
      </c>
      <c r="FA147" s="1530">
        <v>38.299999999999997</v>
      </c>
      <c r="FB147" s="1522"/>
      <c r="FC147" s="854"/>
      <c r="FS147" s="2729">
        <v>2004</v>
      </c>
      <c r="FT147" s="855">
        <f t="shared" si="78"/>
        <v>38.299999999999997</v>
      </c>
      <c r="FV147" s="1693"/>
    </row>
    <row r="148" spans="1:178" ht="18">
      <c r="E148" s="38" t="s">
        <v>811</v>
      </c>
      <c r="F148" s="38"/>
      <c r="G148" s="1699"/>
      <c r="H148" s="1699"/>
      <c r="I148" s="1651" t="s">
        <v>407</v>
      </c>
      <c r="J148" s="40" t="s">
        <v>586</v>
      </c>
      <c r="K148" s="22" t="s">
        <v>587</v>
      </c>
      <c r="L148" s="22"/>
      <c r="M148" s="22"/>
      <c r="N148" s="22"/>
      <c r="O148" s="1663" t="s">
        <v>414</v>
      </c>
      <c r="P148" s="1173"/>
      <c r="U148" s="1720">
        <f t="shared" ref="U148:AO148" si="83">U103/U65</f>
        <v>0.30591082006570569</v>
      </c>
      <c r="V148" s="1688">
        <f t="shared" si="83"/>
        <v>0.27816166467080888</v>
      </c>
      <c r="W148" s="1688">
        <f t="shared" si="83"/>
        <v>0.30377623832039924</v>
      </c>
      <c r="X148" s="1688">
        <f t="shared" si="83"/>
        <v>0.26117813318403943</v>
      </c>
      <c r="Y148" s="1688">
        <f t="shared" si="83"/>
        <v>0.25161546729373147</v>
      </c>
      <c r="Z148" s="1720">
        <f t="shared" si="83"/>
        <v>0.28713406421821713</v>
      </c>
      <c r="AA148" s="1688">
        <f t="shared" si="83"/>
        <v>0.30006990710858972</v>
      </c>
      <c r="AB148" s="1688">
        <f t="shared" si="83"/>
        <v>0.32527321790330338</v>
      </c>
      <c r="AC148" s="1688">
        <f t="shared" si="83"/>
        <v>0.31334242432928466</v>
      </c>
      <c r="AD148" s="1688">
        <f t="shared" si="83"/>
        <v>0.31889581974440651</v>
      </c>
      <c r="AE148" s="465">
        <f t="shared" si="83"/>
        <v>0.39702420648664605</v>
      </c>
      <c r="AF148" s="272">
        <f t="shared" si="83"/>
        <v>0.39475872109052162</v>
      </c>
      <c r="AG148" s="272">
        <f t="shared" si="83"/>
        <v>0.40208306466662297</v>
      </c>
      <c r="AH148" s="272">
        <f t="shared" si="83"/>
        <v>0.38772000068261031</v>
      </c>
      <c r="AI148" s="272">
        <f t="shared" si="83"/>
        <v>0.35044252977777157</v>
      </c>
      <c r="AJ148" s="2149">
        <f t="shared" si="83"/>
        <v>0.34619747575290699</v>
      </c>
      <c r="AK148" s="272">
        <f t="shared" si="83"/>
        <v>0.34595423254591307</v>
      </c>
      <c r="AL148" s="272">
        <f t="shared" si="83"/>
        <v>0.34380377018163161</v>
      </c>
      <c r="AM148" s="272">
        <f t="shared" si="83"/>
        <v>0.33420891867688862</v>
      </c>
      <c r="AN148" s="272">
        <f t="shared" si="83"/>
        <v>0.33855950683595232</v>
      </c>
      <c r="AO148" s="2149">
        <f t="shared" si="83"/>
        <v>0.32399334250363743</v>
      </c>
      <c r="AP148" s="1054">
        <f>AP103/AP65</f>
        <v>0.32764357513061798</v>
      </c>
      <c r="AQ148" s="1054">
        <f>AQ103/AQ65</f>
        <v>0.33709607265214603</v>
      </c>
      <c r="AR148" s="1054">
        <f>AR103/AR65</f>
        <v>0.35927521135817964</v>
      </c>
      <c r="AT148" s="2148"/>
      <c r="AV148" s="1725" t="str">
        <f t="shared" si="55"/>
        <v>d</v>
      </c>
      <c r="BO148" s="444" t="str">
        <f t="shared" si="67"/>
        <v>d</v>
      </c>
      <c r="CQ148" s="2281">
        <v>2007</v>
      </c>
      <c r="CR148" s="1034">
        <f t="shared" si="73"/>
        <v>18.405883673391099</v>
      </c>
      <c r="CS148" s="1871">
        <v>0.75746559256402857</v>
      </c>
      <c r="CT148" s="1201">
        <v>185.87559999999999</v>
      </c>
      <c r="CU148" s="1382">
        <f t="shared" si="74"/>
        <v>10.098705571453516</v>
      </c>
      <c r="CV148" s="1382"/>
      <c r="CW148" s="1382"/>
      <c r="CX148" s="1035">
        <f>НАСТРОЙКА!DR148</f>
        <v>9.4465057543790749</v>
      </c>
      <c r="DL148" s="1328">
        <f t="shared" si="72"/>
        <v>10.098705571453516</v>
      </c>
      <c r="DN148" s="2281">
        <v>2005</v>
      </c>
      <c r="DO148" s="1321">
        <f t="shared" si="76"/>
        <v>139.37289999999999</v>
      </c>
      <c r="DP148" s="1201">
        <f t="shared" si="77"/>
        <v>21609.765799999997</v>
      </c>
      <c r="DQ148" s="2436"/>
      <c r="EF148" s="2281">
        <v>2007</v>
      </c>
      <c r="EG148" s="2119">
        <v>0.75746559256402857</v>
      </c>
      <c r="EH148" s="1966"/>
      <c r="EX148" s="1966">
        <f t="shared" si="75"/>
        <v>0.75746559256402857</v>
      </c>
      <c r="EZ148" s="1734">
        <v>2005</v>
      </c>
      <c r="FA148" s="1530">
        <v>54.4</v>
      </c>
      <c r="FB148" s="1159">
        <v>54.4</v>
      </c>
      <c r="FC148" s="854"/>
      <c r="FS148" s="2729">
        <v>2005</v>
      </c>
      <c r="FT148" s="855">
        <f t="shared" si="78"/>
        <v>54.4</v>
      </c>
      <c r="FV148" s="1693"/>
    </row>
    <row r="149" spans="1:178" ht="18">
      <c r="E149" s="38" t="s">
        <v>771</v>
      </c>
      <c r="F149" s="38"/>
      <c r="G149" s="38"/>
      <c r="H149" s="1699"/>
      <c r="I149" s="1729" t="s">
        <v>498</v>
      </c>
      <c r="J149" s="40" t="s">
        <v>588</v>
      </c>
      <c r="K149" s="22" t="s">
        <v>589</v>
      </c>
      <c r="L149" s="22"/>
      <c r="M149" s="22"/>
      <c r="N149" s="22"/>
      <c r="O149" s="1663" t="s">
        <v>400</v>
      </c>
      <c r="P149" s="1173"/>
      <c r="U149" s="1672">
        <f>U55</f>
        <v>2876.5161000000003</v>
      </c>
      <c r="V149" s="1673">
        <f t="shared" ref="V149:AJ149" si="84">$U149*V153</f>
        <v>2795.9736492000002</v>
      </c>
      <c r="W149" s="1673">
        <f t="shared" si="84"/>
        <v>2835.1172802888004</v>
      </c>
      <c r="X149" s="1673">
        <f t="shared" si="84"/>
        <v>2690.5262989940716</v>
      </c>
      <c r="Y149" s="1673">
        <f t="shared" si="84"/>
        <v>2846.5768243357279</v>
      </c>
      <c r="Z149" s="1673">
        <f t="shared" si="84"/>
        <v>3114.1550458232864</v>
      </c>
      <c r="AA149" s="1673">
        <f t="shared" si="84"/>
        <v>3266.7486430686272</v>
      </c>
      <c r="AB149" s="1673">
        <f t="shared" si="84"/>
        <v>3410.485583363647</v>
      </c>
      <c r="AC149" s="1673">
        <f t="shared" si="84"/>
        <v>3669.6824876992846</v>
      </c>
      <c r="AD149" s="1673">
        <f t="shared" si="84"/>
        <v>3963.2570867152272</v>
      </c>
      <c r="AE149" s="1720">
        <f t="shared" si="84"/>
        <v>4189.1627406579946</v>
      </c>
      <c r="AF149" s="1673">
        <f t="shared" si="84"/>
        <v>4561.9982245765559</v>
      </c>
      <c r="AG149" s="271">
        <f t="shared" si="84"/>
        <v>4963.4540683392934</v>
      </c>
      <c r="AH149" s="271">
        <f t="shared" si="84"/>
        <v>5211.6267717562578</v>
      </c>
      <c r="AI149" s="271">
        <f t="shared" si="84"/>
        <v>4825.9663906462947</v>
      </c>
      <c r="AJ149" s="2168">
        <f t="shared" si="84"/>
        <v>5067.2647101786097</v>
      </c>
      <c r="AK149" s="468">
        <f t="shared" ref="AK149:AR149" si="85">$U149*AK153</f>
        <v>5285.1570927162902</v>
      </c>
      <c r="AL149" s="468">
        <f t="shared" si="85"/>
        <v>5491.2782193322255</v>
      </c>
      <c r="AM149" s="468">
        <f t="shared" si="85"/>
        <v>5606.595061938202</v>
      </c>
      <c r="AN149" s="468">
        <f t="shared" si="85"/>
        <v>5651.4478224337081</v>
      </c>
      <c r="AO149" s="2152">
        <f t="shared" si="85"/>
        <v>5577.9790007420697</v>
      </c>
      <c r="AP149" s="1154">
        <f t="shared" si="85"/>
        <v>5644.9147487509745</v>
      </c>
      <c r="AQ149" s="1154">
        <f t="shared" si="85"/>
        <v>5786.0376174697485</v>
      </c>
      <c r="AR149" s="1154">
        <f t="shared" si="85"/>
        <v>5930.688557906492</v>
      </c>
      <c r="AT149" s="2148"/>
      <c r="AV149" s="1725" t="str">
        <f t="shared" si="55"/>
        <v>XS</v>
      </c>
      <c r="BO149" s="444" t="str">
        <f t="shared" si="67"/>
        <v>XS</v>
      </c>
      <c r="CQ149" s="2281">
        <v>2008</v>
      </c>
      <c r="CR149" s="1034">
        <f t="shared" si="73"/>
        <v>18.148201301963624</v>
      </c>
      <c r="CS149" s="1871">
        <v>0.7468610742681322</v>
      </c>
      <c r="CT149" s="1201">
        <v>216.71250000000001</v>
      </c>
      <c r="CU149" s="1382">
        <f t="shared" si="74"/>
        <v>11.941266045828566</v>
      </c>
      <c r="CV149" s="1382"/>
      <c r="CW149" s="1382"/>
      <c r="CX149" s="1035">
        <f>НАСТРОЙКА!DR149</f>
        <v>10.701001718560617</v>
      </c>
      <c r="DL149" s="1328">
        <f t="shared" si="72"/>
        <v>11.941266045828566</v>
      </c>
      <c r="DN149" s="2281">
        <v>2006</v>
      </c>
      <c r="DO149" s="1321">
        <f t="shared" si="76"/>
        <v>154.58760000000001</v>
      </c>
      <c r="DP149" s="1201">
        <f t="shared" si="77"/>
        <v>26917.203699999998</v>
      </c>
      <c r="DQ149" s="2436"/>
      <c r="EF149" s="2281">
        <v>2008</v>
      </c>
      <c r="EG149" s="2119">
        <v>0.7468610742681322</v>
      </c>
      <c r="EH149" s="1966"/>
      <c r="EX149" s="1966">
        <f t="shared" si="75"/>
        <v>0.7468610742681322</v>
      </c>
      <c r="EZ149" s="1734">
        <v>2006</v>
      </c>
      <c r="FA149" s="1530">
        <v>65.400000000000006</v>
      </c>
      <c r="FB149" s="1159">
        <v>65.400000000000006</v>
      </c>
      <c r="FC149" s="854"/>
      <c r="FS149" s="2729">
        <v>2006</v>
      </c>
      <c r="FT149" s="855">
        <f t="shared" si="78"/>
        <v>65.400000000000006</v>
      </c>
      <c r="FV149" s="1693"/>
    </row>
    <row r="150" spans="1:178" ht="18">
      <c r="J150" s="40"/>
      <c r="K150" s="1426"/>
      <c r="L150" s="1426"/>
      <c r="M150" s="1426"/>
      <c r="N150" s="1426"/>
      <c r="O150" s="1663"/>
      <c r="P150" s="1737">
        <v>1990</v>
      </c>
      <c r="Q150" s="1649">
        <v>1991</v>
      </c>
      <c r="R150" s="1649">
        <v>1992</v>
      </c>
      <c r="S150" s="1649">
        <v>1993</v>
      </c>
      <c r="T150" s="1649">
        <v>1994</v>
      </c>
      <c r="U150" s="1738">
        <v>1995</v>
      </c>
      <c r="V150" s="1739">
        <v>1996</v>
      </c>
      <c r="W150" s="1739">
        <v>1997</v>
      </c>
      <c r="X150" s="1739">
        <v>1998</v>
      </c>
      <c r="Y150" s="1739">
        <v>1999</v>
      </c>
      <c r="Z150" s="1738">
        <v>2000</v>
      </c>
      <c r="AA150" s="1739">
        <v>2001</v>
      </c>
      <c r="AB150" s="1739">
        <v>2002</v>
      </c>
      <c r="AC150" s="1739">
        <v>2003</v>
      </c>
      <c r="AD150" s="1739">
        <v>2004</v>
      </c>
      <c r="AE150" s="442">
        <v>2005</v>
      </c>
      <c r="AF150" s="443">
        <v>2006</v>
      </c>
      <c r="AG150" s="1137">
        <v>2007</v>
      </c>
      <c r="AH150" s="1138">
        <v>2008</v>
      </c>
      <c r="AI150" s="1140">
        <v>2009</v>
      </c>
      <c r="AJ150" s="2169">
        <v>2010</v>
      </c>
      <c r="AK150" s="1140">
        <v>2011</v>
      </c>
      <c r="AL150" s="1163">
        <v>2012</v>
      </c>
      <c r="AM150" s="1140">
        <v>2013</v>
      </c>
      <c r="AN150" s="1140">
        <v>2014</v>
      </c>
      <c r="AO150" s="2153">
        <v>2015</v>
      </c>
      <c r="AP150" s="1140">
        <v>2016</v>
      </c>
      <c r="AQ150" s="1740">
        <v>2017</v>
      </c>
      <c r="AR150" s="1140">
        <v>2018</v>
      </c>
      <c r="AS150" s="1140">
        <v>2019</v>
      </c>
      <c r="AT150" s="2171">
        <v>2020</v>
      </c>
      <c r="AU150" s="1140">
        <v>2021</v>
      </c>
      <c r="AV150" s="1725">
        <f t="shared" si="55"/>
        <v>0</v>
      </c>
      <c r="AW150" s="1740">
        <v>2023</v>
      </c>
      <c r="AX150" s="1140">
        <v>2024</v>
      </c>
      <c r="AY150" s="1140">
        <v>2025</v>
      </c>
      <c r="AZ150" s="1740">
        <v>2026</v>
      </c>
      <c r="BA150" s="1140">
        <v>2027</v>
      </c>
      <c r="BB150" s="1140">
        <v>2028</v>
      </c>
      <c r="BC150" s="1740">
        <v>2029</v>
      </c>
      <c r="BD150" s="1140">
        <v>2030</v>
      </c>
      <c r="BE150" s="1140">
        <v>2031</v>
      </c>
      <c r="BF150" s="1740">
        <v>2032</v>
      </c>
      <c r="BG150" s="1140">
        <v>2033</v>
      </c>
      <c r="BH150" s="1140">
        <v>2034</v>
      </c>
      <c r="BI150" s="1740">
        <v>2035</v>
      </c>
      <c r="BJ150" s="1140">
        <v>2036</v>
      </c>
      <c r="BK150" s="1140">
        <v>2037</v>
      </c>
      <c r="BL150" s="1740">
        <v>2038</v>
      </c>
      <c r="BM150" s="1140">
        <v>2039</v>
      </c>
      <c r="BN150" s="1140">
        <v>2040</v>
      </c>
      <c r="BO150" s="444"/>
      <c r="CQ150" s="2281">
        <v>2009</v>
      </c>
      <c r="CR150" s="1034">
        <f t="shared" si="73"/>
        <v>16.696345197806533</v>
      </c>
      <c r="CS150" s="1871">
        <v>0.68711218832668164</v>
      </c>
      <c r="CT150" s="1201">
        <v>216.99639999999999</v>
      </c>
      <c r="CU150" s="1382">
        <f t="shared" si="74"/>
        <v>12.996640727607122</v>
      </c>
      <c r="CV150" s="1382"/>
      <c r="CW150" s="1382"/>
      <c r="CX150" s="1035">
        <f>НАСТРОЙКА!DR150</f>
        <v>11.642689869793951</v>
      </c>
      <c r="DL150" s="1328">
        <f t="shared" si="72"/>
        <v>12.996640727607122</v>
      </c>
      <c r="DN150" s="2281">
        <v>2007</v>
      </c>
      <c r="DO150" s="1321">
        <f t="shared" si="76"/>
        <v>185.87559999999999</v>
      </c>
      <c r="DP150" s="1201">
        <f t="shared" si="77"/>
        <v>33247.513200000001</v>
      </c>
      <c r="DQ150" s="2436"/>
      <c r="EF150" s="2281">
        <v>2009</v>
      </c>
      <c r="EG150" s="2119">
        <v>0.68711218832668164</v>
      </c>
      <c r="EH150" s="1966"/>
      <c r="EX150" s="1966">
        <f t="shared" si="75"/>
        <v>0.68711218832668164</v>
      </c>
      <c r="EZ150" s="1734">
        <v>2007</v>
      </c>
      <c r="FA150" s="1530">
        <v>72.7</v>
      </c>
      <c r="FB150" s="1159">
        <f>FB149+0.87*(FB149-FB148)</f>
        <v>74.970000000000013</v>
      </c>
      <c r="FC150" s="854"/>
      <c r="FS150" s="2729">
        <v>2007</v>
      </c>
      <c r="FT150" s="855">
        <f t="shared" si="78"/>
        <v>72.7</v>
      </c>
      <c r="FV150" s="1693"/>
    </row>
    <row r="151" spans="1:178" ht="18">
      <c r="I151" s="1651" t="s">
        <v>407</v>
      </c>
      <c r="J151" s="40" t="s">
        <v>590</v>
      </c>
      <c r="K151" s="22" t="s">
        <v>591</v>
      </c>
      <c r="L151" s="22"/>
      <c r="M151" s="22"/>
      <c r="N151" s="22"/>
      <c r="O151" s="1663" t="s">
        <v>414</v>
      </c>
      <c r="P151" s="1741"/>
      <c r="U151" s="1691">
        <v>1</v>
      </c>
      <c r="V151" s="1688">
        <f t="shared" ref="V151:AI152" si="86">U151*V126</f>
        <v>1.218</v>
      </c>
      <c r="W151" s="1688">
        <f t="shared" si="86"/>
        <v>1.3519800000000002</v>
      </c>
      <c r="X151" s="1688">
        <f t="shared" si="86"/>
        <v>2.4930511200000005</v>
      </c>
      <c r="Y151" s="1688">
        <f t="shared" si="86"/>
        <v>3.4030147788000007</v>
      </c>
      <c r="Z151" s="465">
        <f t="shared" si="86"/>
        <v>4.0904237641176007</v>
      </c>
      <c r="AA151" s="1742">
        <f t="shared" si="86"/>
        <v>4.8512425842434741</v>
      </c>
      <c r="AB151" s="1742">
        <f t="shared" si="86"/>
        <v>5.5837802144642392</v>
      </c>
      <c r="AC151" s="1742">
        <f t="shared" si="86"/>
        <v>6.2538338401999489</v>
      </c>
      <c r="AD151" s="1742">
        <f t="shared" si="86"/>
        <v>6.9855323995033425</v>
      </c>
      <c r="AE151" s="1720">
        <f t="shared" si="86"/>
        <v>7.7469554310492068</v>
      </c>
      <c r="AF151" s="1742">
        <f t="shared" si="86"/>
        <v>8.4441814198436358</v>
      </c>
      <c r="AG151" s="1742">
        <f t="shared" si="86"/>
        <v>9.4465057543790749</v>
      </c>
      <c r="AH151" s="1742">
        <f t="shared" si="86"/>
        <v>10.701001718560617</v>
      </c>
      <c r="AI151" s="1742">
        <f t="shared" si="86"/>
        <v>11.642689869793951</v>
      </c>
      <c r="AJ151" s="2149">
        <f t="shared" ref="AJ151:AP152" si="87">AI151*AJ126</f>
        <v>12.664918040361862</v>
      </c>
      <c r="AK151" s="1742">
        <f t="shared" si="87"/>
        <v>13.437478040823935</v>
      </c>
      <c r="AL151" s="1742">
        <f t="shared" si="87"/>
        <v>14.321664095910151</v>
      </c>
      <c r="AM151" s="1742">
        <f t="shared" si="87"/>
        <v>15.245411430096356</v>
      </c>
      <c r="AN151" s="1742">
        <f t="shared" si="87"/>
        <v>17.318787384589459</v>
      </c>
      <c r="AO151" s="2154">
        <f t="shared" si="87"/>
        <v>19.552910957201501</v>
      </c>
      <c r="AP151" s="1743">
        <f t="shared" si="87"/>
        <v>20.608768148890384</v>
      </c>
      <c r="AQ151" s="1743">
        <f>AP151*AQ126</f>
        <v>21.123987352612641</v>
      </c>
      <c r="AR151" s="1743">
        <f>AQ151*AR126</f>
        <v>22.032318808774981</v>
      </c>
      <c r="AS151" s="1743">
        <f>AR151*AS126</f>
        <v>22.693288373038232</v>
      </c>
      <c r="AT151" s="2148"/>
      <c r="AV151" s="1725" t="str">
        <f t="shared" si="55"/>
        <v>IPC</v>
      </c>
      <c r="BO151" s="444" t="str">
        <f t="shared" ref="BO151:BO182" si="88">J151</f>
        <v>IPC</v>
      </c>
      <c r="BP151" s="1651" t="s">
        <v>407</v>
      </c>
      <c r="CQ151" s="2281">
        <v>2010</v>
      </c>
      <c r="CR151" s="1034">
        <f t="shared" si="73"/>
        <v>16.612863471817501</v>
      </c>
      <c r="CS151" s="1871">
        <v>0.6836766273850482</v>
      </c>
      <c r="CT151" s="1201">
        <v>225.726</v>
      </c>
      <c r="CU151" s="1382">
        <f t="shared" si="74"/>
        <v>13.587422805401822</v>
      </c>
      <c r="CV151" s="1382">
        <f>CU151</f>
        <v>13.587422805401822</v>
      </c>
      <c r="CW151" s="1382"/>
      <c r="CX151" s="1035">
        <f>НАСТРОЙКА!DR151</f>
        <v>12.664918040361862</v>
      </c>
      <c r="DL151" s="1328">
        <f t="shared" si="72"/>
        <v>13.587422805401822</v>
      </c>
      <c r="DN151" s="2281">
        <v>2008</v>
      </c>
      <c r="DO151" s="1321">
        <f t="shared" si="76"/>
        <v>216.71250000000001</v>
      </c>
      <c r="DP151" s="1201">
        <f t="shared" si="77"/>
        <v>41276.849199999997</v>
      </c>
      <c r="DQ151" s="2436"/>
      <c r="EF151" s="2281">
        <v>2010</v>
      </c>
      <c r="EG151" s="2119">
        <v>0.6836766273850482</v>
      </c>
      <c r="EH151" s="1966"/>
      <c r="EX151" s="1966">
        <f t="shared" si="75"/>
        <v>0.6836766273850482</v>
      </c>
      <c r="EZ151" s="1734">
        <v>2008</v>
      </c>
      <c r="FA151" s="1530">
        <v>97.7</v>
      </c>
      <c r="FB151" s="1159">
        <f t="shared" ref="FB151:FB173" si="89">FB150+0.87*(FB150-FB149)</f>
        <v>83.295900000000017</v>
      </c>
      <c r="FC151" s="854"/>
      <c r="FS151" s="2729">
        <v>2008</v>
      </c>
      <c r="FT151" s="855">
        <f t="shared" si="78"/>
        <v>97.7</v>
      </c>
      <c r="FV151" s="1693"/>
    </row>
    <row r="152" spans="1:178" ht="18">
      <c r="I152" s="1651" t="s">
        <v>407</v>
      </c>
      <c r="J152" s="40" t="s">
        <v>592</v>
      </c>
      <c r="K152" s="22" t="s">
        <v>593</v>
      </c>
      <c r="L152" s="22"/>
      <c r="M152" s="22"/>
      <c r="N152" s="22"/>
      <c r="O152" s="1663" t="s">
        <v>414</v>
      </c>
      <c r="P152" s="1741"/>
      <c r="U152" s="1691">
        <v>1</v>
      </c>
      <c r="V152" s="1688">
        <f t="shared" si="86"/>
        <v>0.96399999999999997</v>
      </c>
      <c r="W152" s="1688">
        <f t="shared" si="86"/>
        <v>0.97749600000000003</v>
      </c>
      <c r="X152" s="1688">
        <f t="shared" si="86"/>
        <v>0.92568871200000002</v>
      </c>
      <c r="Y152" s="1688">
        <f t="shared" si="86"/>
        <v>0.98493278956800012</v>
      </c>
      <c r="Z152" s="465">
        <f t="shared" si="86"/>
        <v>1.0834260685248003</v>
      </c>
      <c r="AA152" s="1688">
        <f t="shared" si="86"/>
        <v>1.138680798019565</v>
      </c>
      <c r="AB152" s="1688">
        <f t="shared" si="86"/>
        <v>1.1921987955264846</v>
      </c>
      <c r="AC152" s="1688">
        <f t="shared" si="86"/>
        <v>1.2792293075999179</v>
      </c>
      <c r="AD152" s="1688">
        <f t="shared" si="86"/>
        <v>1.3713338177471122</v>
      </c>
      <c r="AE152" s="1720">
        <f t="shared" si="86"/>
        <v>1.4590991820829273</v>
      </c>
      <c r="AF152" s="1688">
        <f t="shared" si="86"/>
        <v>1.5787453150137274</v>
      </c>
      <c r="AG152" s="1688">
        <f t="shared" ref="AG152:AN152" si="90">AF152*AG127</f>
        <v>1.7129386667898943</v>
      </c>
      <c r="AH152" s="1688">
        <f t="shared" si="90"/>
        <v>1.8020114774629687</v>
      </c>
      <c r="AI152" s="272">
        <f t="shared" si="90"/>
        <v>1.6596525707433942</v>
      </c>
      <c r="AJ152" s="2155">
        <f t="shared" si="90"/>
        <v>1.7343369364268468</v>
      </c>
      <c r="AK152" s="1743">
        <f t="shared" si="90"/>
        <v>1.808913424693201</v>
      </c>
      <c r="AL152" s="1743">
        <f t="shared" si="90"/>
        <v>1.8750455190419226</v>
      </c>
      <c r="AM152" s="1743">
        <f t="shared" si="90"/>
        <v>1.9085217286102596</v>
      </c>
      <c r="AN152" s="1743">
        <f t="shared" si="90"/>
        <v>1.9226180848563927</v>
      </c>
      <c r="AO152" s="2154">
        <f t="shared" si="87"/>
        <v>1.8783978689046956</v>
      </c>
      <c r="AP152" s="1743">
        <f t="shared" si="87"/>
        <v>1.8821546646425049</v>
      </c>
      <c r="AQ152" s="1743">
        <f>AP152*AQ127</f>
        <v>1.9160334486060699</v>
      </c>
      <c r="AR152" s="1743">
        <f>AQ152*AR127</f>
        <v>1.96968238516704</v>
      </c>
      <c r="AT152" s="2148"/>
      <c r="AV152" s="1725" t="str">
        <f t="shared" si="55"/>
        <v>Рw</v>
      </c>
      <c r="BO152" s="444" t="str">
        <f t="shared" si="88"/>
        <v>Рw</v>
      </c>
      <c r="BP152" s="1651" t="s">
        <v>407</v>
      </c>
      <c r="CQ152" s="2281">
        <v>2011</v>
      </c>
      <c r="CR152" s="1034">
        <f t="shared" si="73"/>
        <v>15.798833161698441</v>
      </c>
      <c r="CS152" s="1871">
        <v>0.65017647264318079</v>
      </c>
      <c r="CT152" s="1201">
        <v>225.33240000000001</v>
      </c>
      <c r="CU152" s="1382">
        <f t="shared" si="74"/>
        <v>14.262597604124318</v>
      </c>
      <c r="CV152" s="1382">
        <f t="shared" ref="CV152:CV156" si="91">CU152</f>
        <v>14.262597604124318</v>
      </c>
      <c r="CW152" s="1382"/>
      <c r="CX152" s="1035">
        <f>НАСТРОЙКА!DR152</f>
        <v>13.437478040823935</v>
      </c>
      <c r="DL152" s="1328">
        <f t="shared" si="72"/>
        <v>14.262597604124318</v>
      </c>
      <c r="DN152" s="2281">
        <v>2009</v>
      </c>
      <c r="DO152" s="1321">
        <f t="shared" si="76"/>
        <v>216.99639999999999</v>
      </c>
      <c r="DP152" s="1201">
        <f t="shared" si="77"/>
        <v>38807.270899999996</v>
      </c>
      <c r="DQ152" s="2436"/>
      <c r="EF152" s="2281">
        <v>2011</v>
      </c>
      <c r="EG152" s="2119">
        <v>0.65017647264318079</v>
      </c>
      <c r="EH152" s="1966"/>
      <c r="EX152" s="1966">
        <f t="shared" si="75"/>
        <v>0.65017647264318079</v>
      </c>
      <c r="EZ152" s="1734">
        <v>2009</v>
      </c>
      <c r="FA152" s="1530">
        <v>61.9</v>
      </c>
      <c r="FB152" s="1159">
        <f t="shared" si="89"/>
        <v>90.539433000000017</v>
      </c>
      <c r="FC152" s="854"/>
      <c r="FS152" s="2729">
        <v>2009</v>
      </c>
      <c r="FT152" s="855">
        <f t="shared" si="78"/>
        <v>61.9</v>
      </c>
      <c r="FV152" s="1693"/>
    </row>
    <row r="153" spans="1:178" ht="18">
      <c r="I153" s="1651" t="s">
        <v>407</v>
      </c>
      <c r="J153" s="40" t="s">
        <v>594</v>
      </c>
      <c r="K153" s="22" t="s">
        <v>595</v>
      </c>
      <c r="L153" s="22"/>
      <c r="M153" s="22"/>
      <c r="N153" s="22"/>
      <c r="O153" s="1663" t="s">
        <v>414</v>
      </c>
      <c r="P153" s="1741"/>
      <c r="U153" s="1691">
        <v>1</v>
      </c>
      <c r="V153" s="1688">
        <f t="shared" ref="V153:AJ153" si="92">U153*V129</f>
        <v>0.97199999999999998</v>
      </c>
      <c r="W153" s="1688">
        <f t="shared" si="92"/>
        <v>0.98560800000000004</v>
      </c>
      <c r="X153" s="1688">
        <f t="shared" si="92"/>
        <v>0.93534199200000001</v>
      </c>
      <c r="Y153" s="1688">
        <f t="shared" si="92"/>
        <v>0.98959182753600006</v>
      </c>
      <c r="Z153" s="465">
        <f t="shared" si="92"/>
        <v>1.0826134593243841</v>
      </c>
      <c r="AA153" s="1688">
        <f t="shared" si="92"/>
        <v>1.1356615188312789</v>
      </c>
      <c r="AB153" s="1688">
        <f t="shared" si="92"/>
        <v>1.1856306256598552</v>
      </c>
      <c r="AC153" s="1688">
        <f t="shared" si="92"/>
        <v>1.2757385532100043</v>
      </c>
      <c r="AD153" s="1688">
        <f t="shared" si="92"/>
        <v>1.3777976374668046</v>
      </c>
      <c r="AE153" s="1720">
        <f t="shared" si="92"/>
        <v>1.4563321028024123</v>
      </c>
      <c r="AF153" s="1688">
        <f t="shared" si="92"/>
        <v>1.5859456599518269</v>
      </c>
      <c r="AG153" s="1688">
        <f t="shared" si="92"/>
        <v>1.7255088780275878</v>
      </c>
      <c r="AH153" s="1688">
        <f t="shared" si="92"/>
        <v>1.8117843219289673</v>
      </c>
      <c r="AI153" s="272">
        <f t="shared" si="92"/>
        <v>1.6777122821062238</v>
      </c>
      <c r="AJ153" s="2155">
        <f t="shared" si="92"/>
        <v>1.7615978962115351</v>
      </c>
      <c r="AK153" s="1743">
        <f t="shared" ref="AK153:AP153" si="93">AJ153*AK129</f>
        <v>1.837346605748631</v>
      </c>
      <c r="AL153" s="1743">
        <f t="shared" si="93"/>
        <v>1.9090031233728277</v>
      </c>
      <c r="AM153" s="1743">
        <f t="shared" si="93"/>
        <v>1.949092188963657</v>
      </c>
      <c r="AN153" s="1743">
        <f t="shared" si="93"/>
        <v>1.9646849264753663</v>
      </c>
      <c r="AO153" s="2154">
        <f t="shared" si="93"/>
        <v>1.9391440224311864</v>
      </c>
      <c r="AP153" s="1743">
        <f t="shared" si="93"/>
        <v>1.9624137507003607</v>
      </c>
      <c r="AQ153" s="1743">
        <f>AP153*AQ129</f>
        <v>2.0114740944678697</v>
      </c>
      <c r="AR153" s="1743">
        <f>AQ153*AR129</f>
        <v>2.0617609468295663</v>
      </c>
      <c r="AT153" s="2148"/>
      <c r="AV153" s="1725" t="str">
        <f t="shared" si="55"/>
        <v>Рх</v>
      </c>
      <c r="BO153" s="444" t="str">
        <f t="shared" si="88"/>
        <v>Рх</v>
      </c>
      <c r="BP153" s="1651" t="s">
        <v>407</v>
      </c>
      <c r="CQ153" s="2281">
        <v>2012</v>
      </c>
      <c r="CR153" s="1034">
        <f t="shared" si="73"/>
        <v>15.640844830081457</v>
      </c>
      <c r="CS153" s="1871">
        <v>0.64367470791674897</v>
      </c>
      <c r="CT153" s="1201">
        <v>247.44670000000002</v>
      </c>
      <c r="CU153" s="1382">
        <f t="shared" si="74"/>
        <v>15.820545673088896</v>
      </c>
      <c r="CV153" s="1382">
        <f t="shared" si="91"/>
        <v>15.820545673088896</v>
      </c>
      <c r="CW153" s="1382"/>
      <c r="CX153" s="1035">
        <f>НАСТРОЙКА!DR153</f>
        <v>14.321664095910151</v>
      </c>
      <c r="DL153" s="1328">
        <f t="shared" si="72"/>
        <v>15.820545673088896</v>
      </c>
      <c r="DN153" s="2281">
        <v>2010</v>
      </c>
      <c r="DO153" s="1321">
        <f t="shared" si="76"/>
        <v>225.726</v>
      </c>
      <c r="DP153" s="1201">
        <f t="shared" si="77"/>
        <v>46308.53100000001</v>
      </c>
      <c r="DQ153" s="2436"/>
      <c r="EF153" s="2281">
        <v>2012</v>
      </c>
      <c r="EG153" s="2119">
        <v>0.64367470791674897</v>
      </c>
      <c r="EH153" s="1966"/>
      <c r="EX153" s="1966">
        <f t="shared" si="75"/>
        <v>0.64367470791674897</v>
      </c>
      <c r="EZ153" s="1734">
        <v>2010</v>
      </c>
      <c r="FA153" s="1530">
        <v>79.599999999999994</v>
      </c>
      <c r="FB153" s="1159">
        <f t="shared" si="89"/>
        <v>96.841306710000012</v>
      </c>
      <c r="FC153" s="854"/>
      <c r="FS153" s="2729">
        <v>2010</v>
      </c>
      <c r="FT153" s="855">
        <f t="shared" si="78"/>
        <v>79.599999999999994</v>
      </c>
      <c r="FV153" s="1693"/>
    </row>
    <row r="154" spans="1:178" ht="18">
      <c r="I154" s="1651" t="s">
        <v>407</v>
      </c>
      <c r="J154" s="40" t="s">
        <v>596</v>
      </c>
      <c r="K154" s="22" t="s">
        <v>597</v>
      </c>
      <c r="L154" s="22"/>
      <c r="M154" s="22"/>
      <c r="N154" s="22"/>
      <c r="O154" s="1663" t="s">
        <v>414</v>
      </c>
      <c r="P154" s="1741"/>
      <c r="U154" s="1691">
        <v>1</v>
      </c>
      <c r="V154" s="1688">
        <f t="shared" ref="V154:AK154" si="94">U154*V129</f>
        <v>0.97199999999999998</v>
      </c>
      <c r="W154" s="1688">
        <f t="shared" si="94"/>
        <v>0.98560800000000004</v>
      </c>
      <c r="X154" s="1688">
        <f t="shared" si="94"/>
        <v>0.93534199200000001</v>
      </c>
      <c r="Y154" s="1688">
        <f t="shared" si="94"/>
        <v>0.98959182753600006</v>
      </c>
      <c r="Z154" s="465">
        <f t="shared" si="94"/>
        <v>1.0826134593243841</v>
      </c>
      <c r="AA154" s="1688">
        <f t="shared" si="94"/>
        <v>1.1356615188312789</v>
      </c>
      <c r="AB154" s="1688">
        <f t="shared" si="94"/>
        <v>1.1856306256598552</v>
      </c>
      <c r="AC154" s="1688">
        <f t="shared" si="94"/>
        <v>1.2757385532100043</v>
      </c>
      <c r="AD154" s="1688">
        <f t="shared" si="94"/>
        <v>1.3777976374668046</v>
      </c>
      <c r="AE154" s="1720">
        <f t="shared" si="94"/>
        <v>1.4563321028024123</v>
      </c>
      <c r="AF154" s="1688">
        <f t="shared" si="94"/>
        <v>1.5859456599518269</v>
      </c>
      <c r="AG154" s="1688">
        <f t="shared" si="94"/>
        <v>1.7255088780275878</v>
      </c>
      <c r="AH154" s="1688">
        <f t="shared" si="94"/>
        <v>1.8117843219289673</v>
      </c>
      <c r="AI154" s="272">
        <f t="shared" si="94"/>
        <v>1.6777122821062238</v>
      </c>
      <c r="AJ154" s="2155">
        <f t="shared" si="94"/>
        <v>1.7615978962115351</v>
      </c>
      <c r="AK154" s="469">
        <f t="shared" si="94"/>
        <v>1.837346605748631</v>
      </c>
      <c r="AL154" s="469">
        <f t="shared" ref="AL154:AR154" si="95">AK154*AL129</f>
        <v>1.9090031233728277</v>
      </c>
      <c r="AM154" s="469">
        <f t="shared" si="95"/>
        <v>1.949092188963657</v>
      </c>
      <c r="AN154" s="469">
        <f t="shared" si="95"/>
        <v>1.9646849264753663</v>
      </c>
      <c r="AO154" s="2155">
        <f t="shared" si="95"/>
        <v>1.9391440224311864</v>
      </c>
      <c r="AP154" s="469">
        <f t="shared" si="95"/>
        <v>1.9624137507003607</v>
      </c>
      <c r="AQ154" s="469">
        <f t="shared" si="95"/>
        <v>2.0114740944678697</v>
      </c>
      <c r="AR154" s="469">
        <f t="shared" si="95"/>
        <v>2.0617609468295663</v>
      </c>
      <c r="AT154" s="2148"/>
      <c r="AV154" s="1725" t="str">
        <f t="shared" si="55"/>
        <v>РОх</v>
      </c>
      <c r="BO154" s="444" t="str">
        <f t="shared" si="88"/>
        <v>РОх</v>
      </c>
      <c r="BP154" s="1651" t="s">
        <v>407</v>
      </c>
      <c r="CQ154" s="2281">
        <v>2013</v>
      </c>
      <c r="CR154" s="1034">
        <f t="shared" si="73"/>
        <v>15.453154692120481</v>
      </c>
      <c r="CS154" s="1871">
        <v>0.63595061142174802</v>
      </c>
      <c r="CT154" s="1201">
        <v>257.19670000000002</v>
      </c>
      <c r="CU154" s="1382">
        <f t="shared" si="74"/>
        <v>16.643637181160418</v>
      </c>
      <c r="CV154" s="1382">
        <f t="shared" si="91"/>
        <v>16.643637181160418</v>
      </c>
      <c r="CW154" s="1382"/>
      <c r="CX154" s="1035">
        <f>НАСТРОЙКА!DR154</f>
        <v>15.245411430096356</v>
      </c>
      <c r="DL154" s="1328">
        <f t="shared" si="72"/>
        <v>16.643637181160418</v>
      </c>
      <c r="DN154" s="2281">
        <v>2011</v>
      </c>
      <c r="DO154" s="1321">
        <f t="shared" si="76"/>
        <v>225.33240000000001</v>
      </c>
      <c r="DP154" s="1201">
        <f t="shared" si="77"/>
        <v>60282.540400000005</v>
      </c>
      <c r="DQ154" s="2436"/>
      <c r="EF154" s="2281">
        <v>2013</v>
      </c>
      <c r="EG154" s="2119">
        <v>0.63595061142174802</v>
      </c>
      <c r="EH154" s="1966"/>
      <c r="EX154" s="1966">
        <f t="shared" si="75"/>
        <v>0.63595061142174802</v>
      </c>
      <c r="EZ154" s="1734">
        <v>2011</v>
      </c>
      <c r="FA154" s="1530">
        <v>111</v>
      </c>
      <c r="FB154" s="1159">
        <f t="shared" si="89"/>
        <v>102.3239368377</v>
      </c>
      <c r="FC154" s="854"/>
      <c r="FS154" s="2729">
        <v>2011</v>
      </c>
      <c r="FT154" s="855">
        <f t="shared" si="78"/>
        <v>111</v>
      </c>
      <c r="FV154" s="1693"/>
    </row>
    <row r="155" spans="1:178" ht="18">
      <c r="E155" s="38" t="s">
        <v>777</v>
      </c>
      <c r="F155" s="38"/>
      <c r="G155" s="38"/>
      <c r="H155" s="1699"/>
      <c r="I155" s="1651" t="s">
        <v>407</v>
      </c>
      <c r="J155" s="40" t="s">
        <v>598</v>
      </c>
      <c r="K155" s="22" t="s">
        <v>599</v>
      </c>
      <c r="L155" s="22"/>
      <c r="M155" s="22"/>
      <c r="N155" s="22"/>
      <c r="O155" s="1663" t="s">
        <v>414</v>
      </c>
      <c r="P155" s="1741"/>
      <c r="U155" s="1691">
        <v>1</v>
      </c>
      <c r="V155" s="1688">
        <f t="shared" ref="V155:AK155" si="96">V145/$U145</f>
        <v>0.97989240682565804</v>
      </c>
      <c r="W155" s="1688">
        <f t="shared" si="96"/>
        <v>0.99361090052121737</v>
      </c>
      <c r="X155" s="1688">
        <f t="shared" si="96"/>
        <v>0.94486544362024871</v>
      </c>
      <c r="Y155" s="1688">
        <f t="shared" si="96"/>
        <v>0.99418820541845576</v>
      </c>
      <c r="Z155" s="465">
        <f t="shared" si="96"/>
        <v>1.08181177902439</v>
      </c>
      <c r="AA155" s="1688">
        <f t="shared" si="96"/>
        <v>1.1326828463720047</v>
      </c>
      <c r="AB155" s="1688">
        <f t="shared" si="96"/>
        <v>1.1791507920739224</v>
      </c>
      <c r="AC155" s="1688">
        <f t="shared" si="96"/>
        <v>1.2722947464882988</v>
      </c>
      <c r="AD155" s="1688">
        <f t="shared" si="96"/>
        <v>1.3841745243262458</v>
      </c>
      <c r="AE155" s="1720">
        <f t="shared" si="96"/>
        <v>1.4536022383773288</v>
      </c>
      <c r="AF155" s="1688">
        <f t="shared" si="96"/>
        <v>1.5930491663938962</v>
      </c>
      <c r="AG155" s="1688">
        <f t="shared" si="96"/>
        <v>1.7379100306491306</v>
      </c>
      <c r="AH155" s="1688">
        <f t="shared" si="96"/>
        <v>1.8214257299751602</v>
      </c>
      <c r="AI155" s="272">
        <f t="shared" si="96"/>
        <v>1.6955291057599</v>
      </c>
      <c r="AJ155" s="2155">
        <f t="shared" si="96"/>
        <v>1.7884922193463679</v>
      </c>
      <c r="AK155" s="1743">
        <f t="shared" si="96"/>
        <v>1.8653973847782621</v>
      </c>
      <c r="AL155" s="1743">
        <f t="shared" ref="AL155:AR155" si="97">AL145/$U145</f>
        <v>1.9425040268983567</v>
      </c>
      <c r="AM155" s="1743">
        <f t="shared" si="97"/>
        <v>1.9891170112403125</v>
      </c>
      <c r="AN155" s="1743">
        <f t="shared" si="97"/>
        <v>2.0061860049662994</v>
      </c>
      <c r="AO155" s="2154">
        <f t="shared" si="97"/>
        <v>1.999073192021805</v>
      </c>
      <c r="AP155" s="1743">
        <f t="shared" si="97"/>
        <v>2.0415934205283728</v>
      </c>
      <c r="AQ155" s="1743">
        <f t="shared" si="97"/>
        <v>2.1056311450734793</v>
      </c>
      <c r="AR155" s="1743">
        <f t="shared" si="97"/>
        <v>2.152601130399828</v>
      </c>
      <c r="AT155" s="2148"/>
      <c r="AV155" s="1725" t="str">
        <f t="shared" si="55"/>
        <v>Рz</v>
      </c>
      <c r="BO155" s="444" t="str">
        <f t="shared" si="88"/>
        <v>Рz</v>
      </c>
      <c r="BP155" s="1651" t="s">
        <v>407</v>
      </c>
      <c r="CQ155" s="2281">
        <v>2014</v>
      </c>
      <c r="CR155" s="1034">
        <f t="shared" si="73"/>
        <v>15.453154692120481</v>
      </c>
      <c r="CS155" s="1871">
        <v>0.63595061142174802</v>
      </c>
      <c r="CT155" s="1201">
        <v>290.19099999999997</v>
      </c>
      <c r="CU155" s="1382">
        <f t="shared" si="74"/>
        <v>18.778754615584578</v>
      </c>
      <c r="CV155" s="1382">
        <f t="shared" si="91"/>
        <v>18.778754615584578</v>
      </c>
      <c r="CW155" s="1382"/>
      <c r="CX155" s="1035">
        <f>НАСТРОЙКА!DR155</f>
        <v>17.318787384589459</v>
      </c>
      <c r="DL155" s="1328">
        <f t="shared" si="72"/>
        <v>18.778754615584578</v>
      </c>
      <c r="DN155" s="2281">
        <v>2012</v>
      </c>
      <c r="DO155" s="1321">
        <f t="shared" si="76"/>
        <v>247.44670000000002</v>
      </c>
      <c r="DP155" s="1201">
        <f t="shared" si="77"/>
        <v>68163.883100000006</v>
      </c>
      <c r="DQ155" s="2436"/>
      <c r="EF155" s="2281">
        <v>2014</v>
      </c>
      <c r="EG155" s="2119">
        <v>0.63595061142174802</v>
      </c>
      <c r="EH155" s="1966"/>
      <c r="EX155" s="1966">
        <f t="shared" si="75"/>
        <v>0.63595061142174802</v>
      </c>
      <c r="EZ155" s="1734">
        <v>2012</v>
      </c>
      <c r="FA155" s="1530">
        <v>111.4</v>
      </c>
      <c r="FB155" s="1159">
        <f t="shared" si="89"/>
        <v>107.09382504879899</v>
      </c>
      <c r="FC155" s="854"/>
      <c r="FS155" s="2729">
        <v>2012</v>
      </c>
      <c r="FT155" s="855">
        <f t="shared" si="78"/>
        <v>111.4</v>
      </c>
      <c r="FV155" s="1693"/>
    </row>
    <row r="156" spans="1:178" ht="18">
      <c r="I156" s="1651" t="s">
        <v>407</v>
      </c>
      <c r="J156" s="40" t="s">
        <v>1243</v>
      </c>
      <c r="K156" s="22" t="s">
        <v>1244</v>
      </c>
      <c r="L156" s="22"/>
      <c r="M156" s="22"/>
      <c r="N156" s="22"/>
      <c r="O156" s="1663" t="s">
        <v>414</v>
      </c>
      <c r="P156" s="1741"/>
      <c r="U156" s="1691">
        <v>1</v>
      </c>
      <c r="V156" s="1688">
        <f>U156*V132</f>
        <v>0.78800000000000003</v>
      </c>
      <c r="W156" s="1688">
        <f t="shared" ref="W156:AP156" si="98">V156*W132</f>
        <v>0.72574800000000006</v>
      </c>
      <c r="X156" s="1688">
        <f t="shared" si="98"/>
        <v>0.63575524800000005</v>
      </c>
      <c r="Y156" s="1688">
        <f t="shared" si="98"/>
        <v>0.6764435838720001</v>
      </c>
      <c r="Z156" s="465">
        <f t="shared" si="98"/>
        <v>0.7988798725528321</v>
      </c>
      <c r="AA156" s="1688">
        <f t="shared" si="98"/>
        <v>0.88036561955322101</v>
      </c>
      <c r="AB156" s="1688">
        <f t="shared" si="98"/>
        <v>0.90501585690071118</v>
      </c>
      <c r="AC156" s="1688">
        <f t="shared" si="98"/>
        <v>1.03081306100991</v>
      </c>
      <c r="AD156" s="1688">
        <f t="shared" si="98"/>
        <v>1.1606955066971585</v>
      </c>
      <c r="AE156" s="465">
        <f t="shared" si="98"/>
        <v>1.2833622609573379</v>
      </c>
      <c r="AF156" s="272">
        <f t="shared" si="98"/>
        <v>1.5143674679296586</v>
      </c>
      <c r="AG156" s="272">
        <f t="shared" si="98"/>
        <v>1.8323846361948868</v>
      </c>
      <c r="AH156" s="272">
        <f t="shared" si="98"/>
        <v>2.0266174076315449</v>
      </c>
      <c r="AI156" s="272">
        <f t="shared" si="98"/>
        <v>1.7347845009326024</v>
      </c>
      <c r="AJ156" s="2155">
        <f t="shared" si="98"/>
        <v>1.8371367864876262</v>
      </c>
      <c r="AK156" s="272">
        <f t="shared" si="98"/>
        <v>2.0043162340580003</v>
      </c>
      <c r="AL156" s="272">
        <f t="shared" si="98"/>
        <v>2.1045320457609002</v>
      </c>
      <c r="AM156" s="272">
        <f t="shared" si="98"/>
        <v>2.1318909623557918</v>
      </c>
      <c r="AN156" s="272">
        <f t="shared" si="98"/>
        <v>2.0935169250333874</v>
      </c>
      <c r="AO156" s="2155">
        <f t="shared" si="98"/>
        <v>1.869510614054815</v>
      </c>
      <c r="AP156" s="469">
        <f t="shared" si="98"/>
        <v>1.8882057201953633</v>
      </c>
      <c r="AQ156" s="469">
        <f>AP156*AQ132</f>
        <v>1.9863924176455223</v>
      </c>
      <c r="AR156" s="469">
        <f>AQ156*AR132</f>
        <v>2.0439977977572421</v>
      </c>
      <c r="AT156" s="2148"/>
      <c r="AV156" s="1725" t="str">
        <f t="shared" si="55"/>
        <v>РOk</v>
      </c>
      <c r="BO156" s="444" t="str">
        <f t="shared" si="88"/>
        <v>РOk</v>
      </c>
      <c r="BP156" s="1651" t="s">
        <v>407</v>
      </c>
      <c r="CQ156" s="2281">
        <v>2015</v>
      </c>
      <c r="CR156" s="1034">
        <f t="shared" si="73"/>
        <v>15.005013206048986</v>
      </c>
      <c r="CS156" s="1871">
        <v>0.61750804369051726</v>
      </c>
      <c r="CT156" s="1201">
        <v>314.08699999999999</v>
      </c>
      <c r="CU156" s="1382">
        <f t="shared" si="74"/>
        <v>20.932137525435952</v>
      </c>
      <c r="CV156" s="1382">
        <f t="shared" si="91"/>
        <v>20.932137525435952</v>
      </c>
      <c r="CW156" s="1382"/>
      <c r="CX156" s="1035">
        <f>НАСТРОЙКА!DR156</f>
        <v>19.552910957201501</v>
      </c>
      <c r="DL156" s="1328">
        <f t="shared" si="72"/>
        <v>20.932137525435952</v>
      </c>
      <c r="DN156" s="2281">
        <v>2013</v>
      </c>
      <c r="DO156" s="1321">
        <f t="shared" si="76"/>
        <v>257.19670000000002</v>
      </c>
      <c r="DP156" s="1201">
        <f t="shared" si="77"/>
        <v>73133.89509999998</v>
      </c>
      <c r="DQ156" s="2436"/>
      <c r="EF156" s="2281">
        <v>2015</v>
      </c>
      <c r="EG156" s="2119">
        <v>0.61750804369051726</v>
      </c>
      <c r="EH156" s="1966"/>
      <c r="EX156" s="1966">
        <f t="shared" si="75"/>
        <v>0.61750804369051726</v>
      </c>
      <c r="EZ156" s="1734">
        <v>2013</v>
      </c>
      <c r="FA156" s="1530">
        <v>108.8</v>
      </c>
      <c r="FB156" s="1159">
        <f t="shared" si="89"/>
        <v>111.24362779245511</v>
      </c>
      <c r="FC156" s="854"/>
      <c r="FS156" s="2729">
        <v>2013</v>
      </c>
      <c r="FT156" s="855">
        <f t="shared" si="78"/>
        <v>108.8</v>
      </c>
      <c r="FV156" s="1693"/>
    </row>
    <row r="157" spans="1:178" ht="18">
      <c r="I157" s="1651" t="s">
        <v>407</v>
      </c>
      <c r="J157" s="40" t="s">
        <v>600</v>
      </c>
      <c r="K157" s="22" t="s">
        <v>601</v>
      </c>
      <c r="L157" s="22"/>
      <c r="M157" s="22"/>
      <c r="N157" s="22"/>
      <c r="O157" s="1663" t="s">
        <v>414</v>
      </c>
      <c r="P157" s="1741"/>
      <c r="U157" s="1691">
        <v>1</v>
      </c>
      <c r="V157" s="1688">
        <f t="shared" ref="V157:AK157" si="99">U157*V141</f>
        <v>0.81899999999999995</v>
      </c>
      <c r="W157" s="1688">
        <f t="shared" si="99"/>
        <v>0.77804999999999991</v>
      </c>
      <c r="X157" s="1688">
        <f t="shared" si="99"/>
        <v>0.68468399999999996</v>
      </c>
      <c r="Y157" s="1688">
        <f t="shared" si="99"/>
        <v>0.71891819999999995</v>
      </c>
      <c r="Z157" s="465">
        <f t="shared" si="99"/>
        <v>0.84400996679999984</v>
      </c>
      <c r="AA157" s="1688">
        <f t="shared" si="99"/>
        <v>0.92841096347999985</v>
      </c>
      <c r="AB157" s="1688">
        <f t="shared" si="99"/>
        <v>0.95440647045743987</v>
      </c>
      <c r="AC157" s="1688">
        <f t="shared" si="99"/>
        <v>1.0737072792646198</v>
      </c>
      <c r="AD157" s="1688">
        <f t="shared" si="99"/>
        <v>1.2208051765238728</v>
      </c>
      <c r="AE157" s="1720">
        <f t="shared" si="99"/>
        <v>1.3453273045293079</v>
      </c>
      <c r="AF157" s="1688">
        <f t="shared" si="99"/>
        <v>1.5699969643857024</v>
      </c>
      <c r="AG157" s="1688">
        <f t="shared" si="99"/>
        <v>1.9263862753012568</v>
      </c>
      <c r="AH157" s="1688">
        <f t="shared" si="99"/>
        <v>2.1093929714548763</v>
      </c>
      <c r="AI157" s="272">
        <f t="shared" si="99"/>
        <v>1.8246249203084679</v>
      </c>
      <c r="AJ157" s="2155">
        <f t="shared" si="99"/>
        <v>1.9395762902879012</v>
      </c>
      <c r="AK157" s="1743">
        <f t="shared" si="99"/>
        <v>2.1490505296389948</v>
      </c>
      <c r="AL157" s="1743">
        <f t="shared" ref="AL157:AR157" si="100">AK157*AL141</f>
        <v>2.2951859656544467</v>
      </c>
      <c r="AM157" s="1743">
        <f t="shared" si="100"/>
        <v>2.313547453379682</v>
      </c>
      <c r="AN157" s="1743">
        <f t="shared" si="100"/>
        <v>2.2788442415789869</v>
      </c>
      <c r="AO157" s="2154">
        <f t="shared" si="100"/>
        <v>2.0486809731795095</v>
      </c>
      <c r="AP157" s="1743">
        <f t="shared" si="100"/>
        <v>2.0445836112331506</v>
      </c>
      <c r="AQ157" s="1743">
        <f t="shared" si="100"/>
        <v>2.142723624572342</v>
      </c>
      <c r="AR157" s="1743">
        <f t="shared" si="100"/>
        <v>2.2348607404289527</v>
      </c>
      <c r="AT157" s="2148"/>
      <c r="AV157" s="1725" t="str">
        <f t="shared" si="55"/>
        <v>Рn</v>
      </c>
      <c r="BO157" s="444" t="str">
        <f t="shared" si="88"/>
        <v>Рn</v>
      </c>
      <c r="BP157" s="1651" t="s">
        <v>407</v>
      </c>
      <c r="CQ157" s="2281">
        <v>2016</v>
      </c>
      <c r="CR157" s="1034">
        <f t="shared" si="73"/>
        <v>15.155063338109475</v>
      </c>
      <c r="CS157" s="1871">
        <v>0.62368312412742244</v>
      </c>
      <c r="CT157" s="1201">
        <v>344.22899999999998</v>
      </c>
      <c r="CU157" s="1382">
        <f t="shared" si="74"/>
        <v>22.713794876355891</v>
      </c>
      <c r="CV157" s="1382"/>
      <c r="CW157" s="1382">
        <f>CU157</f>
        <v>22.713794876355891</v>
      </c>
      <c r="CX157" s="1035">
        <f>НАСТРОЙКА!DR157</f>
        <v>20.606812857794662</v>
      </c>
      <c r="DL157" s="1328">
        <f t="shared" si="72"/>
        <v>22.713794876355891</v>
      </c>
      <c r="DN157" s="2281">
        <v>2014</v>
      </c>
      <c r="DO157" s="1321">
        <f t="shared" si="76"/>
        <v>290.19099999999997</v>
      </c>
      <c r="DP157" s="1201">
        <f t="shared" si="77"/>
        <v>79058</v>
      </c>
      <c r="DQ157" s="2436"/>
      <c r="EF157" s="2281">
        <v>2016</v>
      </c>
      <c r="EG157" s="2119">
        <v>0.62368312412742244</v>
      </c>
      <c r="EH157" s="1966"/>
      <c r="EX157" s="1966">
        <f t="shared" si="75"/>
        <v>0.62368312412742244</v>
      </c>
      <c r="EZ157" s="1734">
        <v>2014</v>
      </c>
      <c r="FA157" s="1530">
        <v>98.9</v>
      </c>
      <c r="FB157" s="1159">
        <f t="shared" si="89"/>
        <v>114.85395617943594</v>
      </c>
      <c r="FC157" s="854"/>
      <c r="FS157" s="2729">
        <v>2014</v>
      </c>
      <c r="FT157" s="855">
        <f t="shared" si="78"/>
        <v>98.9</v>
      </c>
      <c r="FU157" s="1693"/>
      <c r="FV157" s="1693"/>
    </row>
    <row r="158" spans="1:178" ht="18">
      <c r="I158" s="1651" t="s">
        <v>407</v>
      </c>
      <c r="J158" s="40" t="s">
        <v>602</v>
      </c>
      <c r="K158" s="22" t="s">
        <v>603</v>
      </c>
      <c r="L158" s="22"/>
      <c r="M158" s="22"/>
      <c r="N158" s="22"/>
      <c r="O158" s="1663" t="s">
        <v>414</v>
      </c>
      <c r="P158" s="1741"/>
      <c r="U158" s="1691">
        <v>1</v>
      </c>
      <c r="V158" s="1688">
        <f t="shared" ref="V158:AK158" si="101">U158*V131</f>
        <v>0.86</v>
      </c>
      <c r="W158" s="1688">
        <f t="shared" si="101"/>
        <v>0.82473999999999992</v>
      </c>
      <c r="X158" s="1688">
        <f t="shared" si="101"/>
        <v>0.45195752</v>
      </c>
      <c r="Y158" s="1688">
        <f t="shared" si="101"/>
        <v>0.42212832368000003</v>
      </c>
      <c r="Z158" s="465">
        <f t="shared" si="101"/>
        <v>0.73956882308736005</v>
      </c>
      <c r="AA158" s="1688">
        <f t="shared" si="101"/>
        <v>0.86307681654294921</v>
      </c>
      <c r="AB158" s="1688">
        <f t="shared" si="101"/>
        <v>0.84408912657900426</v>
      </c>
      <c r="AC158" s="1688">
        <f t="shared" si="101"/>
        <v>0.96479387167980191</v>
      </c>
      <c r="AD158" s="1688">
        <f t="shared" si="101"/>
        <v>1.0824987240247379</v>
      </c>
      <c r="AE158" s="1720">
        <f t="shared" si="101"/>
        <v>1.1857316682944767</v>
      </c>
      <c r="AF158" s="1688">
        <f t="shared" si="101"/>
        <v>1.3956061735825991</v>
      </c>
      <c r="AG158" s="1688">
        <f t="shared" si="101"/>
        <v>1.7026395317707708</v>
      </c>
      <c r="AH158" s="1688">
        <f t="shared" si="101"/>
        <v>1.8814166826067016</v>
      </c>
      <c r="AI158" s="272">
        <f t="shared" si="101"/>
        <v>1.110035842737954</v>
      </c>
      <c r="AJ158" s="2155">
        <f t="shared" si="101"/>
        <v>1.4263960579182708</v>
      </c>
      <c r="AK158" s="1743">
        <f t="shared" si="101"/>
        <v>1.7259392300811076</v>
      </c>
      <c r="AL158" s="1743">
        <f t="shared" ref="AL158:AR158" si="102">AK158*AL131</f>
        <v>1.8018805562046765</v>
      </c>
      <c r="AM158" s="1743">
        <f t="shared" si="102"/>
        <v>1.7009752450572146</v>
      </c>
      <c r="AN158" s="1743">
        <f t="shared" si="102"/>
        <v>1.5972157551087247</v>
      </c>
      <c r="AO158" s="2154">
        <f t="shared" si="102"/>
        <v>1.4087442960058951</v>
      </c>
      <c r="AP158" s="1743">
        <f t="shared" si="102"/>
        <v>1.3918393644538243</v>
      </c>
      <c r="AQ158" s="1743">
        <f t="shared" si="102"/>
        <v>1.4753497263210538</v>
      </c>
      <c r="AR158" s="1743">
        <f t="shared" si="102"/>
        <v>1.4871525241316221</v>
      </c>
      <c r="AT158" s="2148"/>
      <c r="AV158" s="1725" t="str">
        <f t="shared" si="55"/>
        <v>Рk</v>
      </c>
      <c r="BO158" s="444" t="str">
        <f t="shared" si="88"/>
        <v>Рk</v>
      </c>
      <c r="BP158" s="1651" t="s">
        <v>407</v>
      </c>
      <c r="CQ158" s="2281">
        <v>2017</v>
      </c>
      <c r="CR158" s="1034">
        <f t="shared" si="73"/>
        <v>15.230838654800023</v>
      </c>
      <c r="CS158" s="838">
        <v>0.62680153974805952</v>
      </c>
      <c r="CT158" s="1201">
        <v>380.678</v>
      </c>
      <c r="CU158" s="1382">
        <f t="shared" si="74"/>
        <v>24.993896175246313</v>
      </c>
      <c r="CV158" s="1382"/>
      <c r="CW158" s="1382">
        <f t="shared" ref="CW158:CW159" si="103">CU158</f>
        <v>24.993896175246313</v>
      </c>
      <c r="CX158" s="1035">
        <f>НАСТРОЙКА!DR158</f>
        <v>21.124043860525305</v>
      </c>
      <c r="DL158" s="1328">
        <f t="shared" si="72"/>
        <v>24.993896175246313</v>
      </c>
      <c r="DN158" s="2281">
        <v>2015</v>
      </c>
      <c r="DO158" s="1321">
        <f t="shared" si="76"/>
        <v>314.08699999999999</v>
      </c>
      <c r="DP158" s="1201">
        <f t="shared" si="77"/>
        <v>83094</v>
      </c>
      <c r="DQ158" s="2436"/>
      <c r="EF158" s="2281">
        <v>2017</v>
      </c>
      <c r="EG158" s="2119">
        <v>0.62680153974805952</v>
      </c>
      <c r="EH158" s="2551">
        <f>EG158</f>
        <v>0.62680153974805952</v>
      </c>
      <c r="EX158" s="2046">
        <v>0.62680153974805952</v>
      </c>
      <c r="EZ158" s="1734">
        <v>2015</v>
      </c>
      <c r="FA158" s="1522">
        <v>50.2</v>
      </c>
      <c r="FB158" s="1159">
        <f t="shared" si="89"/>
        <v>117.99494187610925</v>
      </c>
      <c r="FC158" s="854"/>
      <c r="FS158" s="2729">
        <v>2015</v>
      </c>
      <c r="FT158" s="855">
        <f t="shared" si="78"/>
        <v>50.2</v>
      </c>
      <c r="FU158" s="1693"/>
      <c r="FV158" s="1693"/>
    </row>
    <row r="159" spans="1:178" ht="18">
      <c r="I159" s="1651" t="s">
        <v>407</v>
      </c>
      <c r="J159" s="40" t="s">
        <v>604</v>
      </c>
      <c r="K159" s="22" t="s">
        <v>605</v>
      </c>
      <c r="L159" s="22"/>
      <c r="M159" s="22"/>
      <c r="N159" s="22"/>
      <c r="O159" s="1663" t="s">
        <v>414</v>
      </c>
      <c r="P159" s="1741"/>
      <c r="U159" s="1691">
        <v>1</v>
      </c>
      <c r="V159" s="1175">
        <f t="shared" ref="V159:AK161" si="104">U159*V135</f>
        <v>0.95099999999999996</v>
      </c>
      <c r="W159" s="1688">
        <f t="shared" si="104"/>
        <v>0.99855000000000005</v>
      </c>
      <c r="X159" s="1688">
        <f t="shared" si="104"/>
        <v>0.96459930000000005</v>
      </c>
      <c r="Y159" s="1688">
        <f t="shared" si="104"/>
        <v>0.94144891679999998</v>
      </c>
      <c r="Z159" s="465">
        <f t="shared" si="104"/>
        <v>0.99699440289119989</v>
      </c>
      <c r="AA159" s="1688">
        <f t="shared" si="104"/>
        <v>1.0787479439282783</v>
      </c>
      <c r="AB159" s="1688">
        <f t="shared" si="104"/>
        <v>1.1618115356107557</v>
      </c>
      <c r="AC159" s="1688">
        <f t="shared" si="104"/>
        <v>1.2512710238527838</v>
      </c>
      <c r="AD159" s="1688">
        <f t="shared" si="104"/>
        <v>1.4076799018343817</v>
      </c>
      <c r="AE159" s="1720">
        <f t="shared" si="104"/>
        <v>1.5794168498581764</v>
      </c>
      <c r="AF159" s="1688">
        <f t="shared" si="104"/>
        <v>1.7721057055408742</v>
      </c>
      <c r="AG159" s="1688">
        <f t="shared" si="104"/>
        <v>2.0255168214332193</v>
      </c>
      <c r="AH159" s="1688">
        <f t="shared" si="104"/>
        <v>2.2402216045051406</v>
      </c>
      <c r="AI159" s="272">
        <f t="shared" si="104"/>
        <v>2.1259703026753782</v>
      </c>
      <c r="AJ159" s="2155">
        <f t="shared" si="104"/>
        <v>2.2428986693225239</v>
      </c>
      <c r="AK159" s="1743">
        <f t="shared" si="104"/>
        <v>2.3954157788364556</v>
      </c>
      <c r="AL159" s="1743">
        <f t="shared" ref="AL159:AP161" si="105">AK159*AL135</f>
        <v>2.5846536253645356</v>
      </c>
      <c r="AM159" s="1743">
        <f t="shared" si="105"/>
        <v>2.7190556138834916</v>
      </c>
      <c r="AN159" s="1743">
        <f t="shared" si="105"/>
        <v>2.7734367261611617</v>
      </c>
      <c r="AO159" s="2154">
        <f t="shared" si="105"/>
        <v>2.5127336739020127</v>
      </c>
      <c r="AP159" s="1743">
        <f t="shared" si="105"/>
        <v>2.4649917340978744</v>
      </c>
      <c r="AQ159" s="1743">
        <f t="shared" ref="AQ159:AR161" si="106">AP159*AQ135</f>
        <v>2.5463364613231039</v>
      </c>
      <c r="AR159" s="1743">
        <f t="shared" si="106"/>
        <v>2.6049021999335351</v>
      </c>
      <c r="AT159" s="2148"/>
      <c r="AV159" s="1725" t="str">
        <f t="shared" si="55"/>
        <v>Рd</v>
      </c>
      <c r="BO159" s="444" t="str">
        <f t="shared" si="88"/>
        <v>Рd</v>
      </c>
      <c r="BP159" s="1651" t="s">
        <v>407</v>
      </c>
      <c r="CQ159" s="2281">
        <v>2018</v>
      </c>
      <c r="CR159" s="1034">
        <f t="shared" si="73"/>
        <v>15.916226394266022</v>
      </c>
      <c r="CS159" s="838">
        <v>0.65500760903672217</v>
      </c>
      <c r="CT159" s="1201">
        <v>432.62599999999998</v>
      </c>
      <c r="CU159" s="1382">
        <f t="shared" si="74"/>
        <v>27.181442967904612</v>
      </c>
      <c r="CV159" s="1382"/>
      <c r="CW159" s="1382">
        <f t="shared" si="103"/>
        <v>27.181442967904612</v>
      </c>
      <c r="CX159" s="1035">
        <f>НАСТРОЙКА!DR159</f>
        <v>22.02392812898368</v>
      </c>
      <c r="DL159" s="1328">
        <f t="shared" si="72"/>
        <v>27.181442967904612</v>
      </c>
      <c r="DN159" s="2281">
        <v>2016</v>
      </c>
      <c r="DO159" s="1321">
        <f t="shared" si="76"/>
        <v>344.22899999999998</v>
      </c>
      <c r="DP159" s="1201">
        <f t="shared" si="77"/>
        <v>86014</v>
      </c>
      <c r="DQ159" s="2436"/>
      <c r="EF159" s="2281">
        <v>2018</v>
      </c>
      <c r="EG159" s="2119">
        <v>0.65500760903672217</v>
      </c>
      <c r="EH159" s="2551">
        <f>EG159</f>
        <v>0.65500760903672217</v>
      </c>
      <c r="EX159" s="2046">
        <v>0.65500760903672217</v>
      </c>
      <c r="EZ159" s="1734">
        <v>2016</v>
      </c>
      <c r="FA159" s="1522">
        <v>44</v>
      </c>
      <c r="FB159" s="1159">
        <f t="shared" si="89"/>
        <v>120.72759943221503</v>
      </c>
      <c r="FC159" s="854"/>
      <c r="FS159" s="2729">
        <v>2016</v>
      </c>
      <c r="FT159" s="855">
        <f t="shared" si="78"/>
        <v>44</v>
      </c>
      <c r="FU159" s="1693"/>
      <c r="FV159" s="1693"/>
    </row>
    <row r="160" spans="1:178" ht="18">
      <c r="I160" s="1651" t="s">
        <v>407</v>
      </c>
      <c r="J160" s="40" t="s">
        <v>606</v>
      </c>
      <c r="K160" s="22" t="s">
        <v>607</v>
      </c>
      <c r="L160" s="22"/>
      <c r="M160" s="22"/>
      <c r="N160" s="22"/>
      <c r="O160" s="1663" t="s">
        <v>414</v>
      </c>
      <c r="P160" s="1741"/>
      <c r="U160" s="1691">
        <v>1</v>
      </c>
      <c r="V160" s="1175">
        <f t="shared" si="104"/>
        <v>1.0309999999999999</v>
      </c>
      <c r="W160" s="1688">
        <f t="shared" si="104"/>
        <v>1.0062559999999998</v>
      </c>
      <c r="X160" s="1688">
        <f t="shared" si="104"/>
        <v>1.0163185599999998</v>
      </c>
      <c r="Y160" s="1688">
        <f t="shared" si="104"/>
        <v>1.0478244353599997</v>
      </c>
      <c r="Z160" s="465">
        <f t="shared" si="104"/>
        <v>1.0687809240671997</v>
      </c>
      <c r="AA160" s="1688">
        <f t="shared" si="104"/>
        <v>1.0602306766746621</v>
      </c>
      <c r="AB160" s="1688">
        <f t="shared" si="104"/>
        <v>1.0877966742682033</v>
      </c>
      <c r="AC160" s="1688">
        <f t="shared" si="104"/>
        <v>1.1139037944506402</v>
      </c>
      <c r="AD160" s="1688">
        <f t="shared" si="104"/>
        <v>1.1372957741341037</v>
      </c>
      <c r="AE160" s="1720">
        <f t="shared" si="104"/>
        <v>1.1532179149719812</v>
      </c>
      <c r="AF160" s="1688">
        <f t="shared" si="104"/>
        <v>1.1797419270163367</v>
      </c>
      <c r="AG160" s="1688">
        <f t="shared" si="104"/>
        <v>1.2115949590457777</v>
      </c>
      <c r="AH160" s="1688">
        <f t="shared" si="104"/>
        <v>1.2527891876533341</v>
      </c>
      <c r="AI160" s="272">
        <f t="shared" si="104"/>
        <v>1.2452724525274141</v>
      </c>
      <c r="AJ160" s="2155">
        <f t="shared" si="104"/>
        <v>1.2265933657395029</v>
      </c>
      <c r="AK160" s="1743">
        <f t="shared" si="104"/>
        <v>1.2437656728598561</v>
      </c>
      <c r="AL160" s="1743">
        <f t="shared" si="105"/>
        <v>1.2761035803542125</v>
      </c>
      <c r="AM160" s="1743">
        <f t="shared" si="105"/>
        <v>1.2875885125774005</v>
      </c>
      <c r="AN160" s="1743">
        <f t="shared" si="105"/>
        <v>1.2605491538132751</v>
      </c>
      <c r="AO160" s="2154">
        <f t="shared" si="105"/>
        <v>1.2151693842759972</v>
      </c>
      <c r="AP160" s="1743">
        <f t="shared" si="105"/>
        <v>1.2333969250401371</v>
      </c>
      <c r="AQ160" s="1743">
        <f t="shared" si="106"/>
        <v>1.2642318481661403</v>
      </c>
      <c r="AR160" s="1743">
        <f t="shared" si="106"/>
        <v>1.2680245437106386</v>
      </c>
      <c r="AT160" s="2148"/>
      <c r="AV160" s="1725" t="str">
        <f t="shared" si="55"/>
        <v>Рg</v>
      </c>
      <c r="BO160" s="444" t="str">
        <f t="shared" si="88"/>
        <v>Рg</v>
      </c>
      <c r="BP160" s="1651" t="s">
        <v>407</v>
      </c>
      <c r="CQ160" s="2281">
        <v>2019</v>
      </c>
      <c r="CR160" s="838"/>
      <c r="CS160" s="838"/>
      <c r="CT160" s="838"/>
      <c r="CU160" s="838"/>
      <c r="CV160" s="838"/>
      <c r="CW160" s="1382">
        <f>1.071*CX160+4</f>
        <v>28.304690887736221</v>
      </c>
      <c r="CX160" s="1035">
        <f>НАСТРОЙКА!DR160</f>
        <v>22.693455544104783</v>
      </c>
      <c r="DL160" s="1328">
        <f>CW160</f>
        <v>28.304690887736221</v>
      </c>
      <c r="DN160" s="2281">
        <v>2017</v>
      </c>
      <c r="DO160" s="1321">
        <f t="shared" si="76"/>
        <v>380.678</v>
      </c>
      <c r="DP160" s="1201">
        <f t="shared" si="77"/>
        <v>92101</v>
      </c>
      <c r="DQ160" s="2436"/>
      <c r="EF160" s="2281">
        <v>2019</v>
      </c>
      <c r="EG160" s="2137"/>
      <c r="EH160" s="2046">
        <f>EH159+0.95*(EH159-EH158)</f>
        <v>0.68180337486095166</v>
      </c>
      <c r="EX160" s="2046">
        <v>0.68180337486095166</v>
      </c>
      <c r="EZ160" s="1734">
        <v>2017</v>
      </c>
      <c r="FA160" s="1522">
        <v>54.53</v>
      </c>
      <c r="FB160" s="1159">
        <f t="shared" si="89"/>
        <v>123.10501150602705</v>
      </c>
      <c r="FC160" s="854"/>
      <c r="FS160" s="2729">
        <v>2017</v>
      </c>
      <c r="FT160" s="855">
        <f t="shared" si="78"/>
        <v>54.53</v>
      </c>
      <c r="FU160" s="1693"/>
      <c r="FV160" s="1693"/>
    </row>
    <row r="161" spans="6:178" ht="18">
      <c r="I161" s="1651" t="s">
        <v>407</v>
      </c>
      <c r="J161" s="40" t="s">
        <v>608</v>
      </c>
      <c r="K161" s="22" t="s">
        <v>609</v>
      </c>
      <c r="L161" s="22"/>
      <c r="M161" s="22"/>
      <c r="N161" s="22"/>
      <c r="O161" s="1663" t="s">
        <v>414</v>
      </c>
      <c r="P161" s="1741"/>
      <c r="U161" s="1691">
        <v>1</v>
      </c>
      <c r="V161" s="1175">
        <f t="shared" si="104"/>
        <v>1.006</v>
      </c>
      <c r="W161" s="1688">
        <f t="shared" si="104"/>
        <v>0.99795199999999995</v>
      </c>
      <c r="X161" s="1688">
        <f t="shared" si="104"/>
        <v>1.0029417599999999</v>
      </c>
      <c r="Y161" s="1688">
        <f t="shared" si="104"/>
        <v>0.98890057535999987</v>
      </c>
      <c r="Z161" s="465">
        <f t="shared" si="104"/>
        <v>1.0047229845657599</v>
      </c>
      <c r="AA161" s="1688">
        <f t="shared" si="104"/>
        <v>1.0238127212725092</v>
      </c>
      <c r="AB161" s="1688">
        <f t="shared" si="104"/>
        <v>1.0320032230426892</v>
      </c>
      <c r="AC161" s="1688">
        <f t="shared" si="104"/>
        <v>1.0330352262657319</v>
      </c>
      <c r="AD161" s="1688">
        <f t="shared" si="104"/>
        <v>0.91836831615023562</v>
      </c>
      <c r="AE161" s="1720">
        <f t="shared" si="104"/>
        <v>0.7503069142947425</v>
      </c>
      <c r="AF161" s="1688">
        <f t="shared" si="104"/>
        <v>0.73755169675173182</v>
      </c>
      <c r="AG161" s="1688">
        <f t="shared" si="104"/>
        <v>0.75746559256402857</v>
      </c>
      <c r="AH161" s="1688">
        <f t="shared" si="104"/>
        <v>0.7468610742681322</v>
      </c>
      <c r="AI161" s="272">
        <f>AH161*AI137</f>
        <v>0.68711218832668164</v>
      </c>
      <c r="AJ161" s="2155">
        <f>AI161*AJ137</f>
        <v>0.6836766273850482</v>
      </c>
      <c r="AK161" s="1743">
        <f>AJ161*AK137</f>
        <v>0.65017647264318079</v>
      </c>
      <c r="AL161" s="1743">
        <f t="shared" si="105"/>
        <v>0.64367470791674897</v>
      </c>
      <c r="AM161" s="1743">
        <f t="shared" si="105"/>
        <v>0.63595061142174802</v>
      </c>
      <c r="AN161" s="1743">
        <f t="shared" si="105"/>
        <v>0.63595061142174802</v>
      </c>
      <c r="AO161" s="2154">
        <f t="shared" si="105"/>
        <v>0.61750804369051726</v>
      </c>
      <c r="AP161" s="1743">
        <f t="shared" si="105"/>
        <v>0.62368312412742244</v>
      </c>
      <c r="AQ161" s="1743">
        <f t="shared" si="106"/>
        <v>0.62680153974805952</v>
      </c>
      <c r="AR161" s="1743">
        <f t="shared" si="106"/>
        <v>0.65500760903672217</v>
      </c>
      <c r="AT161" s="2148"/>
      <c r="AV161" s="1725" t="str">
        <f t="shared" si="55"/>
        <v>Рnk</v>
      </c>
      <c r="BO161" s="444" t="str">
        <f t="shared" si="88"/>
        <v>Рnk</v>
      </c>
      <c r="BP161" s="1651" t="s">
        <v>407</v>
      </c>
      <c r="CQ161" s="2281">
        <v>2020</v>
      </c>
      <c r="CR161" s="838"/>
      <c r="CS161" s="838"/>
      <c r="CT161" s="838"/>
      <c r="CU161" s="838"/>
      <c r="CV161" s="838"/>
      <c r="CW161" s="1382">
        <f t="shared" ref="CW161:CW176" si="107">1.071*CX161+4</f>
        <v>29.498051210324068</v>
      </c>
      <c r="CX161" s="1035">
        <f>НАСТРОЙКА!DR161</f>
        <v>23.807704211320324</v>
      </c>
      <c r="DL161" s="1328">
        <f t="shared" ref="DL161:DL176" si="108">CW161</f>
        <v>29.498051210324068</v>
      </c>
      <c r="DN161" s="2281">
        <v>2018</v>
      </c>
      <c r="DO161" s="1321">
        <f t="shared" si="76"/>
        <v>432.62599999999998</v>
      </c>
      <c r="DP161" s="1201">
        <f t="shared" si="77"/>
        <v>103876</v>
      </c>
      <c r="DQ161" s="1160"/>
      <c r="EF161" s="2281">
        <v>2020</v>
      </c>
      <c r="EG161" s="2137"/>
      <c r="EH161" s="2046">
        <f t="shared" ref="EH161:EH176" si="109">EH160+0.95*(EH160-EH159)</f>
        <v>0.70725935239396964</v>
      </c>
      <c r="EX161" s="2046">
        <v>0.70725935239396964</v>
      </c>
      <c r="EZ161" s="1734">
        <v>2018</v>
      </c>
      <c r="FA161" s="1522">
        <v>72.930000000000007</v>
      </c>
      <c r="FB161" s="1159">
        <f t="shared" si="89"/>
        <v>125.17336001024351</v>
      </c>
      <c r="FC161" s="854"/>
      <c r="FS161" s="2729">
        <v>2018</v>
      </c>
      <c r="FT161" s="855">
        <f t="shared" si="78"/>
        <v>72.930000000000007</v>
      </c>
      <c r="FU161" s="1693"/>
      <c r="FV161" s="1693"/>
    </row>
    <row r="162" spans="6:178" ht="18">
      <c r="I162" s="1651" t="s">
        <v>407</v>
      </c>
      <c r="J162" s="40" t="s">
        <v>610</v>
      </c>
      <c r="K162" s="22" t="s">
        <v>611</v>
      </c>
      <c r="L162" s="22"/>
      <c r="M162" s="22"/>
      <c r="N162" s="22"/>
      <c r="O162" s="1663" t="s">
        <v>414</v>
      </c>
      <c r="P162" s="1741"/>
      <c r="U162" s="1691">
        <v>1</v>
      </c>
      <c r="V162" s="1175">
        <f t="shared" ref="V162:AP166" si="110">U162*V139</f>
        <v>1.0369999999999999</v>
      </c>
      <c r="W162" s="1688">
        <f t="shared" si="110"/>
        <v>1.0318149999999999</v>
      </c>
      <c r="X162" s="1688">
        <f t="shared" si="110"/>
        <v>1.0514194849999998</v>
      </c>
      <c r="Y162" s="1688">
        <f t="shared" si="110"/>
        <v>1.1691784673199999</v>
      </c>
      <c r="Z162" s="465">
        <f t="shared" si="110"/>
        <v>1.2802504217153998</v>
      </c>
      <c r="AA162" s="1688">
        <f t="shared" si="110"/>
        <v>1.3340209394274467</v>
      </c>
      <c r="AB162" s="1688">
        <f t="shared" si="110"/>
        <v>1.4714250961884736</v>
      </c>
      <c r="AC162" s="1688">
        <f t="shared" si="110"/>
        <v>1.6568246583082211</v>
      </c>
      <c r="AD162" s="1688">
        <f t="shared" si="110"/>
        <v>1.8523299679885914</v>
      </c>
      <c r="AE162" s="1720">
        <f t="shared" si="110"/>
        <v>1.9727314159078497</v>
      </c>
      <c r="AF162" s="1688">
        <f t="shared" si="110"/>
        <v>2.1167408092691224</v>
      </c>
      <c r="AG162" s="1688">
        <f t="shared" si="110"/>
        <v>2.2500954802530773</v>
      </c>
      <c r="AH162" s="1688">
        <f t="shared" si="110"/>
        <v>2.2635960531345956</v>
      </c>
      <c r="AI162" s="272">
        <f t="shared" ref="AI162:AK165" si="111">AH162*AI139</f>
        <v>2.1572070386372695</v>
      </c>
      <c r="AJ162" s="2155">
        <f t="shared" si="111"/>
        <v>2.3082115313418785</v>
      </c>
      <c r="AK162" s="1743">
        <f t="shared" si="111"/>
        <v>2.315136165935904</v>
      </c>
      <c r="AL162" s="1743">
        <f t="shared" ref="AL162:AP164" si="112">AK162*AL139</f>
        <v>2.3475480722590065</v>
      </c>
      <c r="AM162" s="1743">
        <f t="shared" si="112"/>
        <v>2.4555352835829209</v>
      </c>
      <c r="AN162" s="1743">
        <f t="shared" si="112"/>
        <v>2.4678129600008352</v>
      </c>
      <c r="AO162" s="2154">
        <f t="shared" si="112"/>
        <v>2.559122039520866</v>
      </c>
      <c r="AP162" s="1743">
        <f t="shared" si="112"/>
        <v>2.6410139447855339</v>
      </c>
      <c r="AQ162" s="1743">
        <f t="shared" ref="AQ162:AR166" si="113">AP162*AQ139</f>
        <v>2.7730646420248108</v>
      </c>
      <c r="AR162" s="1743">
        <f t="shared" si="113"/>
        <v>2.9255831973361754</v>
      </c>
      <c r="AT162" s="2148"/>
      <c r="AV162" s="1725" t="str">
        <f t="shared" si="55"/>
        <v>Рe</v>
      </c>
      <c r="BO162" s="444" t="str">
        <f t="shared" si="88"/>
        <v>Рe</v>
      </c>
      <c r="BP162" s="1651" t="s">
        <v>407</v>
      </c>
      <c r="CQ162" s="2281">
        <v>2021</v>
      </c>
      <c r="CR162" s="838"/>
      <c r="CS162" s="838"/>
      <c r="CT162" s="838"/>
      <c r="CU162" s="838"/>
      <c r="CV162" s="838"/>
      <c r="CW162" s="1382">
        <f t="shared" si="107"/>
        <v>30.772953770840271</v>
      </c>
      <c r="CX162" s="1035">
        <f>НАСТРОЙКА!DR162</f>
        <v>24.998089421886341</v>
      </c>
      <c r="DL162" s="1328">
        <f t="shared" si="108"/>
        <v>30.772953770840271</v>
      </c>
      <c r="DN162" s="2281">
        <v>2019</v>
      </c>
      <c r="DO162" s="1780"/>
      <c r="DP162" s="788"/>
      <c r="DQ162" s="1160"/>
      <c r="EF162" s="2281">
        <v>2021</v>
      </c>
      <c r="EG162" s="2137"/>
      <c r="EH162" s="2046">
        <f t="shared" si="109"/>
        <v>0.73144253105033674</v>
      </c>
      <c r="EX162" s="2046">
        <v>0.73144253105033674</v>
      </c>
      <c r="EZ162" s="1734">
        <v>2019</v>
      </c>
      <c r="FA162" s="1522">
        <v>63.33</v>
      </c>
      <c r="FB162" s="1159">
        <f t="shared" si="89"/>
        <v>126.97282320891183</v>
      </c>
      <c r="FC162" s="854"/>
      <c r="FS162" s="2729">
        <v>2019</v>
      </c>
      <c r="FT162" s="855">
        <f t="shared" si="78"/>
        <v>63.33</v>
      </c>
      <c r="FU162" s="1693"/>
      <c r="FV162" s="1693"/>
    </row>
    <row r="163" spans="6:178" ht="18">
      <c r="I163" s="1651" t="s">
        <v>407</v>
      </c>
      <c r="J163" s="40" t="s">
        <v>612</v>
      </c>
      <c r="K163" s="22" t="s">
        <v>613</v>
      </c>
      <c r="L163" s="22"/>
      <c r="M163" s="22"/>
      <c r="N163" s="22"/>
      <c r="O163" s="1663" t="s">
        <v>414</v>
      </c>
      <c r="P163" s="1741"/>
      <c r="U163" s="1691">
        <v>1</v>
      </c>
      <c r="V163" s="1175">
        <f t="shared" si="110"/>
        <v>1.0129999999999999</v>
      </c>
      <c r="W163" s="1688">
        <f t="shared" si="110"/>
        <v>1.0170519999999998</v>
      </c>
      <c r="X163" s="1688">
        <f t="shared" si="110"/>
        <v>0.84008495199999977</v>
      </c>
      <c r="Y163" s="1688">
        <f t="shared" si="110"/>
        <v>0.69727051015999975</v>
      </c>
      <c r="Z163" s="465">
        <f t="shared" si="110"/>
        <v>0.92318615545183969</v>
      </c>
      <c r="AA163" s="1688">
        <f t="shared" si="110"/>
        <v>1.0958219665213338</v>
      </c>
      <c r="AB163" s="1688">
        <f t="shared" si="110"/>
        <v>1.2558119736334483</v>
      </c>
      <c r="AC163" s="1688">
        <f t="shared" si="110"/>
        <v>1.4730674450720349</v>
      </c>
      <c r="AD163" s="1688">
        <f t="shared" si="110"/>
        <v>1.8162921597738191</v>
      </c>
      <c r="AE163" s="1720">
        <f t="shared" si="110"/>
        <v>2.1177966582962728</v>
      </c>
      <c r="AF163" s="1688">
        <f t="shared" si="110"/>
        <v>2.568887346513379</v>
      </c>
      <c r="AG163" s="1688">
        <f t="shared" si="110"/>
        <v>3.2419358312998843</v>
      </c>
      <c r="AH163" s="1688">
        <f t="shared" si="110"/>
        <v>3.7217423343322666</v>
      </c>
      <c r="AI163" s="272">
        <f t="shared" si="111"/>
        <v>2.5903326646952576</v>
      </c>
      <c r="AJ163" s="2155">
        <f t="shared" si="111"/>
        <v>3.258638492186634</v>
      </c>
      <c r="AK163" s="1743">
        <f t="shared" si="111"/>
        <v>3.9201421061005211</v>
      </c>
      <c r="AL163" s="1743">
        <f t="shared" si="112"/>
        <v>4.3003958903922719</v>
      </c>
      <c r="AM163" s="1743">
        <f>AL163*AM140</f>
        <v>4.4509097465560012</v>
      </c>
      <c r="AN163" s="1743">
        <f>AM163*AN140</f>
        <v>4.1259933350574132</v>
      </c>
      <c r="AO163" s="2154">
        <f>AN163*AO140</f>
        <v>3.0903690079580026</v>
      </c>
      <c r="AP163" s="1743">
        <f>AO163*AP140</f>
        <v>2.9791157236715144</v>
      </c>
      <c r="AQ163" s="1743">
        <f t="shared" si="113"/>
        <v>3.4974818595903576</v>
      </c>
      <c r="AR163" s="1743">
        <f t="shared" si="113"/>
        <v>3.5919138697992969</v>
      </c>
      <c r="AT163" s="2148"/>
      <c r="AV163" s="1725" t="str">
        <f t="shared" si="55"/>
        <v>Рm</v>
      </c>
      <c r="BO163" s="444" t="str">
        <f t="shared" si="88"/>
        <v>Рm</v>
      </c>
      <c r="BP163" s="1651" t="s">
        <v>407</v>
      </c>
      <c r="CQ163" s="2281">
        <v>2022</v>
      </c>
      <c r="CR163" s="838"/>
      <c r="CS163" s="838"/>
      <c r="CT163" s="838"/>
      <c r="CU163" s="838"/>
      <c r="CV163" s="838"/>
      <c r="CW163" s="1382">
        <f t="shared" si="107"/>
        <v>32.111601459382285</v>
      </c>
      <c r="CX163" s="1035">
        <f>НАСТРОЙКА!DR163</f>
        <v>26.247993892980659</v>
      </c>
      <c r="DL163" s="1328">
        <f t="shared" si="108"/>
        <v>32.111601459382285</v>
      </c>
      <c r="DN163" s="2281">
        <v>2020</v>
      </c>
      <c r="DO163" s="1780"/>
      <c r="DP163" s="788"/>
      <c r="DQ163" s="1160"/>
      <c r="EF163" s="2281">
        <v>2022</v>
      </c>
      <c r="EG163" s="2137"/>
      <c r="EH163" s="2046">
        <f t="shared" si="109"/>
        <v>0.75441655077388547</v>
      </c>
      <c r="EX163" s="2046">
        <v>0.75441655077388547</v>
      </c>
      <c r="EZ163" s="1734">
        <v>2020</v>
      </c>
      <c r="FA163" s="1522">
        <v>40</v>
      </c>
      <c r="FB163" s="1159">
        <f t="shared" si="89"/>
        <v>128.53835619175328</v>
      </c>
      <c r="FC163" s="854">
        <f t="shared" ref="FC163" si="114">FA163</f>
        <v>40</v>
      </c>
      <c r="FS163" s="2729">
        <v>2020</v>
      </c>
      <c r="FT163" s="855">
        <f>FA163</f>
        <v>40</v>
      </c>
      <c r="FU163" s="1693"/>
      <c r="FV163" s="1693"/>
    </row>
    <row r="164" spans="6:178" ht="18">
      <c r="I164" s="1651" t="s">
        <v>407</v>
      </c>
      <c r="J164" s="40" t="s">
        <v>614</v>
      </c>
      <c r="K164" s="22" t="s">
        <v>601</v>
      </c>
      <c r="L164" s="22"/>
      <c r="M164" s="22"/>
      <c r="N164" s="22"/>
      <c r="O164" s="1663" t="s">
        <v>414</v>
      </c>
      <c r="P164" s="1741"/>
      <c r="U164" s="1691">
        <v>1</v>
      </c>
      <c r="V164" s="1175">
        <f t="shared" si="110"/>
        <v>0.81899999999999995</v>
      </c>
      <c r="W164" s="1688">
        <f t="shared" si="110"/>
        <v>0.77804999999999991</v>
      </c>
      <c r="X164" s="1688">
        <f t="shared" si="110"/>
        <v>0.68468399999999996</v>
      </c>
      <c r="Y164" s="1688">
        <f t="shared" si="110"/>
        <v>0.71891819999999995</v>
      </c>
      <c r="Z164" s="465">
        <f t="shared" si="110"/>
        <v>0.84400996679999984</v>
      </c>
      <c r="AA164" s="1688">
        <f t="shared" si="110"/>
        <v>0.92841096347999985</v>
      </c>
      <c r="AB164" s="1688">
        <f t="shared" si="110"/>
        <v>0.95440647045743987</v>
      </c>
      <c r="AC164" s="1688">
        <f t="shared" si="110"/>
        <v>1.0737072792646198</v>
      </c>
      <c r="AD164" s="1688">
        <f t="shared" si="110"/>
        <v>1.2208051765238728</v>
      </c>
      <c r="AE164" s="1720">
        <f t="shared" si="110"/>
        <v>1.3453273045293079</v>
      </c>
      <c r="AF164" s="1688">
        <f t="shared" si="110"/>
        <v>1.5699969643857024</v>
      </c>
      <c r="AG164" s="1688">
        <f>AF164*AG141</f>
        <v>1.9263862753012568</v>
      </c>
      <c r="AH164" s="1688">
        <f>AG164*AH141</f>
        <v>2.1093929714548763</v>
      </c>
      <c r="AI164" s="272">
        <f t="shared" si="111"/>
        <v>1.8246249203084679</v>
      </c>
      <c r="AJ164" s="2155">
        <f t="shared" si="111"/>
        <v>1.9395762902879012</v>
      </c>
      <c r="AK164" s="1743">
        <f>AJ164*AK141</f>
        <v>2.1490505296389948</v>
      </c>
      <c r="AL164" s="1743">
        <f t="shared" si="112"/>
        <v>2.2951859656544467</v>
      </c>
      <c r="AM164" s="1743">
        <f t="shared" si="112"/>
        <v>2.313547453379682</v>
      </c>
      <c r="AN164" s="1743">
        <f t="shared" si="112"/>
        <v>2.2788442415789869</v>
      </c>
      <c r="AO164" s="2154">
        <f t="shared" si="112"/>
        <v>2.0486809731795095</v>
      </c>
      <c r="AP164" s="1743">
        <f t="shared" si="112"/>
        <v>2.0445836112331506</v>
      </c>
      <c r="AQ164" s="1743">
        <f t="shared" si="113"/>
        <v>2.142723624572342</v>
      </c>
      <c r="AR164" s="1743">
        <f t="shared" si="113"/>
        <v>2.2348607404289527</v>
      </c>
      <c r="AT164" s="2148"/>
      <c r="AV164" s="1725" t="str">
        <f t="shared" si="55"/>
        <v>Pn</v>
      </c>
      <c r="BO164" s="444" t="str">
        <f t="shared" si="88"/>
        <v>Pn</v>
      </c>
      <c r="BP164" s="1651" t="s">
        <v>407</v>
      </c>
      <c r="CQ164" s="2281">
        <v>2023</v>
      </c>
      <c r="CR164" s="838"/>
      <c r="CS164" s="838"/>
      <c r="CT164" s="838"/>
      <c r="CU164" s="838"/>
      <c r="CV164" s="838"/>
      <c r="CW164" s="1382">
        <f t="shared" si="107"/>
        <v>33.517181532351401</v>
      </c>
      <c r="CX164" s="1035">
        <f>НАСТРОЙКА!DR164</f>
        <v>27.560393587629694</v>
      </c>
      <c r="DL164" s="1328">
        <f t="shared" si="108"/>
        <v>33.517181532351401</v>
      </c>
      <c r="DN164" s="2281">
        <v>2021</v>
      </c>
      <c r="DO164" s="1780"/>
      <c r="DP164" s="788"/>
      <c r="DQ164" s="1160"/>
      <c r="EF164" s="2281">
        <v>2023</v>
      </c>
      <c r="EG164" s="2137"/>
      <c r="EH164" s="2046">
        <f t="shared" si="109"/>
        <v>0.77624186951125673</v>
      </c>
      <c r="EX164" s="2046">
        <v>0.77624186951125673</v>
      </c>
      <c r="EZ164" s="1734">
        <v>2021</v>
      </c>
      <c r="FA164" s="1522"/>
      <c r="FB164" s="1159">
        <f t="shared" si="89"/>
        <v>129.90036988682533</v>
      </c>
      <c r="FC164" s="1744">
        <v>50</v>
      </c>
      <c r="FS164" s="2729">
        <v>2021</v>
      </c>
      <c r="FT164" s="855">
        <f>FC164</f>
        <v>50</v>
      </c>
      <c r="FU164" s="1693"/>
      <c r="FV164" s="1693"/>
    </row>
    <row r="165" spans="6:178" ht="18">
      <c r="I165" s="1651" t="s">
        <v>407</v>
      </c>
      <c r="J165" s="40" t="s">
        <v>615</v>
      </c>
      <c r="K165" s="22" t="s">
        <v>616</v>
      </c>
      <c r="L165" s="22"/>
      <c r="M165" s="22"/>
      <c r="N165" s="22"/>
      <c r="O165" s="1663" t="s">
        <v>414</v>
      </c>
      <c r="P165" s="1741"/>
      <c r="U165" s="1691">
        <v>1</v>
      </c>
      <c r="V165" s="1175">
        <f t="shared" si="110"/>
        <v>0.99900000000000011</v>
      </c>
      <c r="W165" s="1688">
        <f t="shared" si="110"/>
        <v>0.99500400000000011</v>
      </c>
      <c r="X165" s="1688">
        <f t="shared" si="110"/>
        <v>0.9920189880000001</v>
      </c>
      <c r="Y165" s="1688">
        <f t="shared" si="110"/>
        <v>0.9940030259760001</v>
      </c>
      <c r="Z165" s="465">
        <f t="shared" si="110"/>
        <v>0.99897304110588003</v>
      </c>
      <c r="AA165" s="1688">
        <f t="shared" si="110"/>
        <v>1.0079637984758332</v>
      </c>
      <c r="AB165" s="1688">
        <f t="shared" si="110"/>
        <v>1.0180434364605915</v>
      </c>
      <c r="AC165" s="1688">
        <f t="shared" si="110"/>
        <v>1.031278001134579</v>
      </c>
      <c r="AD165" s="1688">
        <f t="shared" si="110"/>
        <v>1.0477784491527322</v>
      </c>
      <c r="AE165" s="1720">
        <f t="shared" si="110"/>
        <v>1.0676862396866342</v>
      </c>
      <c r="AF165" s="1688">
        <f t="shared" si="110"/>
        <v>1.0933107094391135</v>
      </c>
      <c r="AG165" s="1688">
        <f t="shared" si="110"/>
        <v>1.127203341431726</v>
      </c>
      <c r="AH165" s="1688">
        <f t="shared" si="110"/>
        <v>1.1677826617232681</v>
      </c>
      <c r="AI165" s="272">
        <f t="shared" si="110"/>
        <v>1.2051517068984128</v>
      </c>
      <c r="AJ165" s="2155">
        <f t="shared" si="111"/>
        <v>1.2413062581053651</v>
      </c>
      <c r="AK165" s="1743">
        <f>AJ165*AK142</f>
        <v>1.2909585084295798</v>
      </c>
      <c r="AL165" s="1743">
        <f>AK165*AL142</f>
        <v>1.3464697242920516</v>
      </c>
      <c r="AM165" s="1743">
        <f>AL165*AM142</f>
        <v>1.4016749829880255</v>
      </c>
      <c r="AN165" s="1743">
        <f>AM165*AN142</f>
        <v>1.4535369573585823</v>
      </c>
      <c r="AO165" s="2154">
        <f>AN165*AO142</f>
        <v>1.5000501399940571</v>
      </c>
      <c r="AP165" s="1743">
        <f>AO165*AP142</f>
        <v>1.5585520954538252</v>
      </c>
      <c r="AQ165" s="1743">
        <f t="shared" si="113"/>
        <v>1.6177770750810707</v>
      </c>
      <c r="AR165" s="1743">
        <f t="shared" si="113"/>
        <v>1.6857237122344757</v>
      </c>
      <c r="AT165" s="2148"/>
      <c r="AV165" s="1725" t="str">
        <f t="shared" si="55"/>
        <v>Рf</v>
      </c>
      <c r="BO165" s="444" t="str">
        <f t="shared" si="88"/>
        <v>Рf</v>
      </c>
      <c r="BP165" s="1651" t="s">
        <v>407</v>
      </c>
      <c r="CQ165" s="2431">
        <v>2024</v>
      </c>
      <c r="CR165" s="1805"/>
      <c r="CS165" s="1805"/>
      <c r="CT165" s="1805"/>
      <c r="CU165" s="1805"/>
      <c r="CV165" s="1805"/>
      <c r="CW165" s="1382">
        <f t="shared" si="107"/>
        <v>34.993040608968968</v>
      </c>
      <c r="CX165" s="1035">
        <f>НАСТРОЙКА!DR165</f>
        <v>28.938413267011178</v>
      </c>
      <c r="DL165" s="1328">
        <f t="shared" si="108"/>
        <v>34.993040608968968</v>
      </c>
      <c r="DN165" s="2281">
        <v>2022</v>
      </c>
      <c r="DO165" s="1780"/>
      <c r="DP165" s="788"/>
      <c r="DQ165" s="1160"/>
      <c r="EF165" s="2281">
        <v>2024</v>
      </c>
      <c r="EG165" s="2137"/>
      <c r="EH165" s="2046">
        <f t="shared" si="109"/>
        <v>0.7969759223117594</v>
      </c>
      <c r="EX165" s="2046">
        <v>0.7969759223117594</v>
      </c>
      <c r="EZ165" s="1734">
        <v>2022</v>
      </c>
      <c r="FA165" s="1522"/>
      <c r="FB165" s="1159">
        <f t="shared" si="89"/>
        <v>131.08532180153802</v>
      </c>
      <c r="FC165" s="1744">
        <f>FC164+0.7*(FC164-FC163)</f>
        <v>57</v>
      </c>
      <c r="FS165" s="2729">
        <v>2022</v>
      </c>
      <c r="FT165" s="855">
        <f t="shared" ref="FT165:FT173" si="115">FC165</f>
        <v>57</v>
      </c>
      <c r="FU165" s="1693"/>
      <c r="FV165" s="1693"/>
    </row>
    <row r="166" spans="6:178" ht="18">
      <c r="I166" s="1651" t="s">
        <v>407</v>
      </c>
      <c r="J166" s="40" t="s">
        <v>617</v>
      </c>
      <c r="K166" s="22" t="s">
        <v>618</v>
      </c>
      <c r="L166" s="22"/>
      <c r="M166" s="22"/>
      <c r="N166" s="22"/>
      <c r="O166" s="1663" t="s">
        <v>414</v>
      </c>
      <c r="P166" s="1741"/>
      <c r="U166" s="1691">
        <v>1</v>
      </c>
      <c r="V166" s="1175">
        <f t="shared" si="110"/>
        <v>0.85579937304075238</v>
      </c>
      <c r="W166" s="1688">
        <f t="shared" si="110"/>
        <v>0.73040752351097182</v>
      </c>
      <c r="X166" s="1688">
        <f t="shared" si="110"/>
        <v>0.6959247648902821</v>
      </c>
      <c r="Y166" s="1688">
        <f t="shared" si="110"/>
        <v>0.74294670846394983</v>
      </c>
      <c r="Z166" s="465">
        <f t="shared" si="110"/>
        <v>0.92789968652037635</v>
      </c>
      <c r="AA166" s="1688">
        <f t="shared" si="110"/>
        <v>1.103448275862069</v>
      </c>
      <c r="AB166" s="1688">
        <f t="shared" si="110"/>
        <v>1.1912225705329151</v>
      </c>
      <c r="AC166" s="1688">
        <f t="shared" si="110"/>
        <v>1.3354231974921627</v>
      </c>
      <c r="AD166" s="1688">
        <f t="shared" si="110"/>
        <v>1.4921630094043885</v>
      </c>
      <c r="AE166" s="1720">
        <f t="shared" si="110"/>
        <v>1.6551724137931032</v>
      </c>
      <c r="AF166" s="1688">
        <f t="shared" si="110"/>
        <v>1.9247648902821313</v>
      </c>
      <c r="AG166" s="1688">
        <f t="shared" si="110"/>
        <v>2.3479623824451408</v>
      </c>
      <c r="AH166" s="1688">
        <f t="shared" si="110"/>
        <v>2.6771159874608146</v>
      </c>
      <c r="AI166" s="272">
        <f t="shared" si="110"/>
        <v>2.5862068965517233</v>
      </c>
      <c r="AJ166" s="2155">
        <f t="shared" si="110"/>
        <v>2.4155172413793098</v>
      </c>
      <c r="AK166" s="1743">
        <f t="shared" si="110"/>
        <v>3.1141687910908358</v>
      </c>
      <c r="AL166" s="1743">
        <f t="shared" si="110"/>
        <v>3.3866585603112838</v>
      </c>
      <c r="AM166" s="1743">
        <f t="shared" si="110"/>
        <v>3.4211008778696494</v>
      </c>
      <c r="AN166" s="1743">
        <f t="shared" si="110"/>
        <v>3.3184678515335597</v>
      </c>
      <c r="AO166" s="2154">
        <f t="shared" si="110"/>
        <v>3.1359521196992137</v>
      </c>
      <c r="AP166" s="1743">
        <f t="shared" si="110"/>
        <v>3.6627920758086816</v>
      </c>
      <c r="AQ166" s="1743">
        <f t="shared" si="113"/>
        <v>3.6664548678844899</v>
      </c>
      <c r="AR166" s="1743">
        <f t="shared" si="113"/>
        <v>4.2017572785956254</v>
      </c>
      <c r="AT166" s="2148"/>
      <c r="AV166" s="1725" t="str">
        <f t="shared" si="55"/>
        <v>Рww</v>
      </c>
      <c r="BO166" s="444" t="str">
        <f t="shared" si="88"/>
        <v>Рww</v>
      </c>
      <c r="BP166" s="1651" t="s">
        <v>407</v>
      </c>
      <c r="CQ166" s="2431">
        <v>2025</v>
      </c>
      <c r="CR166" s="1805"/>
      <c r="CS166" s="1805"/>
      <c r="CT166" s="1805"/>
      <c r="CU166" s="1805"/>
      <c r="CV166" s="1805"/>
      <c r="CW166" s="1382">
        <f t="shared" si="107"/>
        <v>36.542692639417417</v>
      </c>
      <c r="CX166" s="1035">
        <f>НАСТРОЙКА!DR166</f>
        <v>30.385333930361739</v>
      </c>
      <c r="DL166" s="1328">
        <f t="shared" si="108"/>
        <v>36.542692639417417</v>
      </c>
      <c r="DN166" s="2281">
        <v>2023</v>
      </c>
      <c r="DO166" s="1780"/>
      <c r="DP166" s="788"/>
      <c r="DQ166" s="1160"/>
      <c r="EF166" s="2281">
        <v>2025</v>
      </c>
      <c r="EG166" s="2137"/>
      <c r="EH166" s="2046">
        <f t="shared" si="109"/>
        <v>0.81667327247223698</v>
      </c>
      <c r="EX166" s="2046">
        <v>0.81667327247223698</v>
      </c>
      <c r="EZ166" s="1734">
        <v>2023</v>
      </c>
      <c r="FA166" s="1522"/>
      <c r="FB166" s="1159">
        <f t="shared" si="89"/>
        <v>132.11622996733806</v>
      </c>
      <c r="FC166" s="1744">
        <f t="shared" ref="FC166:FC173" si="116">FC165+0.7*(FC165-FC164)</f>
        <v>61.9</v>
      </c>
      <c r="FS166" s="2729">
        <v>2023</v>
      </c>
      <c r="FT166" s="855">
        <f t="shared" si="115"/>
        <v>61.9</v>
      </c>
      <c r="FU166" s="1693"/>
      <c r="FV166" s="1693"/>
    </row>
    <row r="167" spans="6:178" ht="18">
      <c r="I167" s="1651" t="s">
        <v>407</v>
      </c>
      <c r="J167" s="40" t="s">
        <v>619</v>
      </c>
      <c r="K167" s="22" t="s">
        <v>620</v>
      </c>
      <c r="L167" s="22"/>
      <c r="M167" s="22"/>
      <c r="N167" s="22"/>
      <c r="O167" s="1663" t="s">
        <v>400</v>
      </c>
      <c r="P167" s="1741"/>
      <c r="U167" s="1714">
        <f>U51</f>
        <v>2767.6205</v>
      </c>
      <c r="V167" s="1174">
        <f t="shared" ref="V167:AR167" si="117">$U167*V154</f>
        <v>2690.1271259999999</v>
      </c>
      <c r="W167" s="1673">
        <f t="shared" si="117"/>
        <v>2727.788905764</v>
      </c>
      <c r="X167" s="1673">
        <f t="shared" si="117"/>
        <v>2588.6716715700359</v>
      </c>
      <c r="Y167" s="1673">
        <f t="shared" si="117"/>
        <v>2738.8146285210983</v>
      </c>
      <c r="Z167" s="467">
        <f t="shared" si="117"/>
        <v>2996.2632036020818</v>
      </c>
      <c r="AA167" s="1673">
        <f t="shared" si="117"/>
        <v>3143.0801005785834</v>
      </c>
      <c r="AB167" s="1673">
        <f t="shared" si="117"/>
        <v>3281.3756250040415</v>
      </c>
      <c r="AC167" s="1673">
        <f t="shared" si="117"/>
        <v>3530.7601725043487</v>
      </c>
      <c r="AD167" s="1673">
        <f t="shared" si="117"/>
        <v>3813.2209863046965</v>
      </c>
      <c r="AE167" s="1672">
        <f t="shared" si="117"/>
        <v>4030.5745825240638</v>
      </c>
      <c r="AF167" s="1673">
        <f t="shared" si="117"/>
        <v>4389.2957203687056</v>
      </c>
      <c r="AG167" s="1673">
        <f t="shared" si="117"/>
        <v>4775.553743761152</v>
      </c>
      <c r="AH167" s="1673">
        <f t="shared" si="117"/>
        <v>5014.3314309492098</v>
      </c>
      <c r="AI167" s="271">
        <f t="shared" si="117"/>
        <v>4643.2709050589683</v>
      </c>
      <c r="AJ167" s="2158">
        <f t="shared" si="117"/>
        <v>4875.4344503119164</v>
      </c>
      <c r="AK167" s="271">
        <f t="shared" si="117"/>
        <v>5085.0781316753291</v>
      </c>
      <c r="AL167" s="271">
        <f t="shared" si="117"/>
        <v>5283.3961788106672</v>
      </c>
      <c r="AM167" s="271">
        <f t="shared" si="117"/>
        <v>5394.3474985656912</v>
      </c>
      <c r="AN167" s="271">
        <f t="shared" si="117"/>
        <v>5437.5022785542169</v>
      </c>
      <c r="AO167" s="271">
        <f t="shared" si="117"/>
        <v>5366.8147489330113</v>
      </c>
      <c r="AP167" s="271">
        <f t="shared" si="117"/>
        <v>5431.2165259202075</v>
      </c>
      <c r="AQ167" s="271">
        <f t="shared" si="117"/>
        <v>5566.9969390682127</v>
      </c>
      <c r="AR167" s="271">
        <f t="shared" si="117"/>
        <v>5706.1718625449175</v>
      </c>
      <c r="AT167" s="2148"/>
      <c r="AV167" s="1725" t="str">
        <f t="shared" si="55"/>
        <v>XOS</v>
      </c>
      <c r="BO167" s="444" t="str">
        <f t="shared" si="88"/>
        <v>XOS</v>
      </c>
      <c r="BP167" s="1651" t="s">
        <v>407</v>
      </c>
      <c r="CQ167" s="2431">
        <v>2026</v>
      </c>
      <c r="CR167" s="1805"/>
      <c r="CS167" s="1805"/>
      <c r="CT167" s="1805"/>
      <c r="CU167" s="1805"/>
      <c r="CV167" s="1805"/>
      <c r="CW167" s="1382">
        <f t="shared" si="107"/>
        <v>38.169827271388293</v>
      </c>
      <c r="CX167" s="1035">
        <f>НАСТРОЙКА!DR167</f>
        <v>31.904600626879827</v>
      </c>
      <c r="DL167" s="1328">
        <f t="shared" si="108"/>
        <v>38.169827271388293</v>
      </c>
      <c r="DN167" s="2281">
        <v>2024</v>
      </c>
      <c r="DO167" s="1780"/>
      <c r="DP167" s="788"/>
      <c r="DQ167" s="1160"/>
      <c r="EF167" s="2281">
        <v>2026</v>
      </c>
      <c r="EG167" s="2137"/>
      <c r="EH167" s="2046">
        <f t="shared" si="109"/>
        <v>0.83538575512469071</v>
      </c>
      <c r="EX167" s="2046">
        <v>0.83538575512469071</v>
      </c>
      <c r="EZ167" s="1734">
        <v>2024</v>
      </c>
      <c r="FA167" s="1522"/>
      <c r="FB167" s="1159">
        <f t="shared" si="89"/>
        <v>133.0131200715841</v>
      </c>
      <c r="FC167" s="1744">
        <f t="shared" si="116"/>
        <v>65.33</v>
      </c>
      <c r="FS167" s="2729">
        <v>2024</v>
      </c>
      <c r="FT167" s="855">
        <f t="shared" si="115"/>
        <v>65.33</v>
      </c>
      <c r="FU167" s="1693"/>
      <c r="FV167" s="1693"/>
    </row>
    <row r="168" spans="6:178" ht="18">
      <c r="F168" s="38" t="s">
        <v>621</v>
      </c>
      <c r="G168" s="38"/>
      <c r="H168" s="38"/>
      <c r="I168" s="1651" t="s">
        <v>407</v>
      </c>
      <c r="J168" s="40" t="s">
        <v>537</v>
      </c>
      <c r="K168" s="46" t="s">
        <v>622</v>
      </c>
      <c r="L168" s="22"/>
      <c r="M168" s="22"/>
      <c r="N168" s="22"/>
      <c r="O168" s="1663" t="s">
        <v>414</v>
      </c>
      <c r="P168" s="1741"/>
      <c r="U168" s="1714">
        <f t="shared" ref="U168:AR168" si="118">U66/U51</f>
        <v>3.9346290432521365E-2</v>
      </c>
      <c r="V168" s="1745">
        <f t="shared" si="118"/>
        <v>4.7278242416808509E-2</v>
      </c>
      <c r="W168" s="1728">
        <f t="shared" si="118"/>
        <v>4.9588252516273142E-2</v>
      </c>
      <c r="X168" s="1728">
        <f t="shared" si="118"/>
        <v>5.3861945523556415E-2</v>
      </c>
      <c r="Y168" s="1728">
        <f t="shared" si="118"/>
        <v>5.9658936395862713E-2</v>
      </c>
      <c r="Z168" s="465">
        <f t="shared" si="118"/>
        <v>6.6398456303956632E-2</v>
      </c>
      <c r="AA168" s="1728">
        <f t="shared" si="118"/>
        <v>6.8925699444092325E-2</v>
      </c>
      <c r="AB168" s="1728">
        <f t="shared" si="118"/>
        <v>6.5843864838066993E-2</v>
      </c>
      <c r="AC168" s="1728">
        <f t="shared" si="118"/>
        <v>6.8254797026411129E-2</v>
      </c>
      <c r="AD168" s="1728">
        <f t="shared" si="118"/>
        <v>7.3528457822385887E-2</v>
      </c>
      <c r="AE168" s="1720">
        <f t="shared" si="118"/>
        <v>8.3523763335885251E-2</v>
      </c>
      <c r="AF168" s="1728">
        <f t="shared" si="118"/>
        <v>8.5234323701588219E-2</v>
      </c>
      <c r="AG168" s="1728">
        <f t="shared" si="118"/>
        <v>8.2473872285148936E-2</v>
      </c>
      <c r="AH168" s="1728">
        <f t="shared" si="118"/>
        <v>8.5111867102295305E-2</v>
      </c>
      <c r="AI168" s="286">
        <f t="shared" si="118"/>
        <v>7.304977354972729E-2</v>
      </c>
      <c r="AJ168" s="2155">
        <f t="shared" si="118"/>
        <v>7.6393864573101322E-2</v>
      </c>
      <c r="AK168" s="286">
        <f t="shared" si="118"/>
        <v>8.1204218240015197E-2</v>
      </c>
      <c r="AL168" s="286">
        <f t="shared" si="118"/>
        <v>8.1063522765026014E-2</v>
      </c>
      <c r="AM168" s="286">
        <f t="shared" si="118"/>
        <v>7.5219491828234591E-2</v>
      </c>
      <c r="AN168" s="286">
        <f t="shared" si="118"/>
        <v>7.7474904945541753E-2</v>
      </c>
      <c r="AO168" s="2154">
        <f t="shared" si="118"/>
        <v>5.8009631663219277E-2</v>
      </c>
      <c r="AP168" s="469">
        <f t="shared" si="118"/>
        <v>5.5499247675593819E-2</v>
      </c>
      <c r="AQ168" s="469">
        <f t="shared" si="118"/>
        <v>5.3783428415799264E-2</v>
      </c>
      <c r="AR168" s="469">
        <f t="shared" si="118"/>
        <v>5.9699343840650398E-2</v>
      </c>
      <c r="AT168" s="2148"/>
      <c r="AV168" s="1725" t="str">
        <f t="shared" si="55"/>
        <v>n1</v>
      </c>
      <c r="BO168" s="444" t="str">
        <f t="shared" si="88"/>
        <v>n1</v>
      </c>
      <c r="BP168" s="1651" t="s">
        <v>407</v>
      </c>
      <c r="CQ168" s="2431">
        <v>2027</v>
      </c>
      <c r="CR168" s="1805"/>
      <c r="CS168" s="1805"/>
      <c r="CT168" s="1805"/>
      <c r="CU168" s="1805"/>
      <c r="CV168" s="1805"/>
      <c r="CW168" s="1382">
        <f t="shared" si="107"/>
        <v>39.878318634957708</v>
      </c>
      <c r="CX168" s="1035">
        <f>НАСТРОЙКА!DR168</f>
        <v>33.499830658223821</v>
      </c>
      <c r="DL168" s="1328">
        <f t="shared" si="108"/>
        <v>39.878318634957708</v>
      </c>
      <c r="DN168" s="2281">
        <v>2025</v>
      </c>
      <c r="DO168" s="1780"/>
      <c r="DP168" s="788"/>
      <c r="DQ168" s="1160"/>
      <c r="EF168" s="2281">
        <v>2027</v>
      </c>
      <c r="EG168" s="2137"/>
      <c r="EH168" s="2046">
        <f t="shared" si="109"/>
        <v>0.85316261364452173</v>
      </c>
      <c r="EX168" s="2046">
        <v>0.85316261364452173</v>
      </c>
      <c r="EZ168" s="1734">
        <v>2025</v>
      </c>
      <c r="FA168" s="1522"/>
      <c r="FB168" s="1159">
        <f t="shared" si="89"/>
        <v>133.79341446227815</v>
      </c>
      <c r="FC168" s="1744">
        <f t="shared" si="116"/>
        <v>67.730999999999995</v>
      </c>
      <c r="FS168" s="2729">
        <v>2025</v>
      </c>
      <c r="FT168" s="855">
        <f t="shared" si="115"/>
        <v>67.730999999999995</v>
      </c>
      <c r="FU168" s="1693"/>
      <c r="FV168" s="1693"/>
    </row>
    <row r="169" spans="6:178" ht="18">
      <c r="F169" s="38" t="s">
        <v>623</v>
      </c>
      <c r="G169" s="38"/>
      <c r="H169" s="38"/>
      <c r="I169" s="1651" t="s">
        <v>407</v>
      </c>
      <c r="J169" s="40" t="s">
        <v>540</v>
      </c>
      <c r="K169" s="46" t="s">
        <v>624</v>
      </c>
      <c r="L169" s="22"/>
      <c r="M169" s="22"/>
      <c r="N169" s="22"/>
      <c r="O169" s="1663" t="s">
        <v>414</v>
      </c>
      <c r="P169" s="1741"/>
      <c r="U169" s="1714">
        <f>U100/(U51+U52)</f>
        <v>5.4136428377645138E-2</v>
      </c>
      <c r="V169" s="1175">
        <f>V100/(V51+V52)</f>
        <v>6.7443827250803473E-2</v>
      </c>
      <c r="W169" s="1175">
        <f t="shared" ref="W169:AR169" si="119">W100/(W51+W52)</f>
        <v>7.3378422743912652E-2</v>
      </c>
      <c r="X169" s="1175">
        <f t="shared" si="119"/>
        <v>8.0444251496902736E-2</v>
      </c>
      <c r="Y169" s="1175">
        <f t="shared" si="119"/>
        <v>7.9254765355388307E-2</v>
      </c>
      <c r="Z169" s="1175">
        <f t="shared" si="119"/>
        <v>8.725766032131918E-2</v>
      </c>
      <c r="AA169" s="1175">
        <f t="shared" si="119"/>
        <v>7.7539085692981194E-2</v>
      </c>
      <c r="AB169" s="1175">
        <f t="shared" si="119"/>
        <v>8.5441880577529258E-2</v>
      </c>
      <c r="AC169" s="1175">
        <f t="shared" si="119"/>
        <v>7.9938087537364033E-2</v>
      </c>
      <c r="AD169" s="1175">
        <f t="shared" si="119"/>
        <v>8.6441962043970547E-2</v>
      </c>
      <c r="AE169" s="1175">
        <f t="shared" si="119"/>
        <v>0.10195514871018198</v>
      </c>
      <c r="AF169" s="1175">
        <f t="shared" si="119"/>
        <v>0.10383564125667144</v>
      </c>
      <c r="AG169" s="1175">
        <f t="shared" si="119"/>
        <v>9.757961920258694E-2</v>
      </c>
      <c r="AH169" s="1175">
        <f t="shared" si="119"/>
        <v>0.10182322919675864</v>
      </c>
      <c r="AI169" s="1175">
        <f t="shared" si="119"/>
        <v>8.5111435576858616E-2</v>
      </c>
      <c r="AJ169" s="1175">
        <f t="shared" si="119"/>
        <v>8.949031890021944E-2</v>
      </c>
      <c r="AK169" s="1175">
        <f t="shared" si="119"/>
        <v>7.7426878329772769E-2</v>
      </c>
      <c r="AL169" s="1175">
        <f t="shared" si="119"/>
        <v>7.7480791741336263E-2</v>
      </c>
      <c r="AM169" s="1175">
        <f t="shared" si="119"/>
        <v>7.2870418821904245E-2</v>
      </c>
      <c r="AN169" s="1175">
        <f t="shared" si="119"/>
        <v>7.3756723229490298E-2</v>
      </c>
      <c r="AO169" s="1175">
        <f t="shared" si="119"/>
        <v>5.6839240897772238E-2</v>
      </c>
      <c r="AP169" s="1175">
        <f t="shared" si="119"/>
        <v>5.4905885518075605E-2</v>
      </c>
      <c r="AQ169" s="1175">
        <f t="shared" si="119"/>
        <v>5.3859001171776499E-2</v>
      </c>
      <c r="AR169" s="1175">
        <f t="shared" si="119"/>
        <v>5.9026548886211824E-2</v>
      </c>
      <c r="AT169" s="2148"/>
      <c r="AV169" s="1725" t="str">
        <f t="shared" si="55"/>
        <v>n2</v>
      </c>
      <c r="BO169" s="444" t="str">
        <f t="shared" si="88"/>
        <v>n2</v>
      </c>
      <c r="BP169" s="1651" t="s">
        <v>407</v>
      </c>
      <c r="CQ169" s="2431">
        <v>2028</v>
      </c>
      <c r="CR169" s="1805"/>
      <c r="CS169" s="1805"/>
      <c r="CT169" s="1805"/>
      <c r="CU169" s="1805"/>
      <c r="CV169" s="1805"/>
      <c r="CW169" s="1382">
        <f t="shared" si="107"/>
        <v>41.672234566705598</v>
      </c>
      <c r="CX169" s="1035">
        <f>НАСТРОЙКА!DR169</f>
        <v>35.174822191135014</v>
      </c>
      <c r="DL169" s="1328">
        <f t="shared" si="108"/>
        <v>41.672234566705598</v>
      </c>
      <c r="DN169" s="2281">
        <v>2026</v>
      </c>
      <c r="DO169" s="1780"/>
      <c r="DP169" s="788"/>
      <c r="DQ169" s="1160"/>
      <c r="EF169" s="2281">
        <v>2028</v>
      </c>
      <c r="EG169" s="2137"/>
      <c r="EH169" s="2046">
        <f t="shared" si="109"/>
        <v>0.87005062923836118</v>
      </c>
      <c r="EX169" s="2046">
        <v>0.87005062923836118</v>
      </c>
      <c r="EZ169" s="1734">
        <v>2026</v>
      </c>
      <c r="FA169" s="1522"/>
      <c r="FB169" s="1159">
        <f t="shared" si="89"/>
        <v>134.47227058218198</v>
      </c>
      <c r="FC169" s="1744">
        <f t="shared" si="116"/>
        <v>69.411699999999996</v>
      </c>
      <c r="FS169" s="2729">
        <v>2026</v>
      </c>
      <c r="FT169" s="855">
        <f t="shared" si="115"/>
        <v>69.411699999999996</v>
      </c>
      <c r="FU169" s="1693"/>
      <c r="FV169" s="1693"/>
    </row>
    <row r="170" spans="6:178" ht="18">
      <c r="F170" s="38" t="s">
        <v>1891</v>
      </c>
      <c r="G170" s="38"/>
      <c r="H170" s="38"/>
      <c r="I170" s="1651" t="s">
        <v>407</v>
      </c>
      <c r="J170" s="40" t="s">
        <v>625</v>
      </c>
      <c r="K170" s="22" t="s">
        <v>818</v>
      </c>
      <c r="L170" s="22"/>
      <c r="M170" s="22"/>
      <c r="N170" s="1426"/>
      <c r="O170" s="1663" t="s">
        <v>626</v>
      </c>
      <c r="P170" s="1741"/>
      <c r="U170" s="1714">
        <f>U167/U91</f>
        <v>43.206939348996954</v>
      </c>
      <c r="V170" s="1175">
        <f>V167/V91</f>
        <v>42.749286899313503</v>
      </c>
      <c r="W170" s="1688">
        <f t="shared" ref="W170:AR170" si="120">W167/W91</f>
        <v>45.447241894736841</v>
      </c>
      <c r="X170" s="1688">
        <f t="shared" si="120"/>
        <v>44.298503885723704</v>
      </c>
      <c r="Y170" s="1688">
        <f t="shared" si="120"/>
        <v>43.416737397690277</v>
      </c>
      <c r="Z170" s="483">
        <f t="shared" si="120"/>
        <v>46.046768151253758</v>
      </c>
      <c r="AA170" s="1688">
        <f t="shared" si="120"/>
        <v>48.263748607689806</v>
      </c>
      <c r="AB170" s="1688">
        <f t="shared" si="120"/>
        <v>49.226295399031507</v>
      </c>
      <c r="AC170" s="1688">
        <f t="shared" si="120"/>
        <v>53.222993601114709</v>
      </c>
      <c r="AD170" s="1688">
        <f t="shared" si="120"/>
        <v>56.644052738523989</v>
      </c>
      <c r="AE170" s="1720">
        <f t="shared" si="120"/>
        <v>58.979127328817569</v>
      </c>
      <c r="AF170" s="1688">
        <f t="shared" si="120"/>
        <v>63.457556425113935</v>
      </c>
      <c r="AG170" s="1688">
        <f t="shared" si="120"/>
        <v>67.479917249698346</v>
      </c>
      <c r="AH170" s="1688">
        <f t="shared" si="120"/>
        <v>70.621402348481183</v>
      </c>
      <c r="AI170" s="272">
        <f t="shared" si="120"/>
        <v>66.896281588517056</v>
      </c>
      <c r="AJ170" s="2155">
        <f t="shared" si="120"/>
        <v>69.715085293922698</v>
      </c>
      <c r="AK170" s="272">
        <f t="shared" si="120"/>
        <v>71.765752104766392</v>
      </c>
      <c r="AL170" s="272">
        <f t="shared" si="120"/>
        <v>73.846746364363511</v>
      </c>
      <c r="AM170" s="272">
        <f t="shared" si="120"/>
        <v>75.560123440531513</v>
      </c>
      <c r="AN170" s="272">
        <f t="shared" si="120"/>
        <v>76.007477976215441</v>
      </c>
      <c r="AO170" s="2154">
        <f t="shared" si="120"/>
        <v>74.205557755695821</v>
      </c>
      <c r="AP170" s="1743">
        <f t="shared" si="120"/>
        <v>75.024056551326893</v>
      </c>
      <c r="AQ170" s="1743">
        <f t="shared" si="120"/>
        <v>77.167211043056923</v>
      </c>
      <c r="AR170" s="1743">
        <f t="shared" si="120"/>
        <v>78.864635853510762</v>
      </c>
      <c r="AT170" s="2148"/>
      <c r="AV170" s="1725" t="str">
        <f t="shared" si="55"/>
        <v>POS</v>
      </c>
      <c r="BO170" s="444" t="str">
        <f t="shared" si="88"/>
        <v>POS</v>
      </c>
      <c r="BP170" s="1651" t="s">
        <v>407</v>
      </c>
      <c r="CQ170" s="2431">
        <v>2029</v>
      </c>
      <c r="CR170" s="1805"/>
      <c r="CS170" s="1805"/>
      <c r="CT170" s="1805"/>
      <c r="CU170" s="1805"/>
      <c r="CV170" s="1805"/>
      <c r="CW170" s="1382">
        <f t="shared" si="107"/>
        <v>43.55584629504088</v>
      </c>
      <c r="CX170" s="1035">
        <f>НАСТРОЙКА!DR170</f>
        <v>36.933563300691766</v>
      </c>
      <c r="DL170" s="1328">
        <f t="shared" si="108"/>
        <v>43.55584629504088</v>
      </c>
      <c r="DN170" s="2281">
        <v>2027</v>
      </c>
      <c r="DO170" s="1780"/>
      <c r="DP170" s="788"/>
      <c r="DQ170" s="1160"/>
      <c r="EF170" s="2281">
        <v>2029</v>
      </c>
      <c r="EG170" s="2137"/>
      <c r="EH170" s="2046">
        <f t="shared" si="109"/>
        <v>0.88609424405250869</v>
      </c>
      <c r="EX170" s="2046">
        <v>0.88609424405250869</v>
      </c>
      <c r="EZ170" s="1734">
        <v>2027</v>
      </c>
      <c r="FA170" s="1522"/>
      <c r="FB170" s="1159">
        <f t="shared" si="89"/>
        <v>135.06287540649831</v>
      </c>
      <c r="FC170" s="1744">
        <f t="shared" si="116"/>
        <v>70.588189999999997</v>
      </c>
      <c r="FS170" s="2729">
        <v>2027</v>
      </c>
      <c r="FT170" s="855">
        <f t="shared" si="115"/>
        <v>70.588189999999997</v>
      </c>
      <c r="FU170" s="1693"/>
      <c r="FV170" s="1693"/>
    </row>
    <row r="171" spans="6:178" ht="18">
      <c r="F171" s="38" t="s">
        <v>452</v>
      </c>
      <c r="G171" s="38"/>
      <c r="H171" s="38"/>
      <c r="I171" s="1651" t="s">
        <v>407</v>
      </c>
      <c r="J171" s="40" t="s">
        <v>453</v>
      </c>
      <c r="K171" s="22" t="s">
        <v>781</v>
      </c>
      <c r="L171" s="22"/>
      <c r="M171" s="22"/>
      <c r="N171" s="22"/>
      <c r="O171" s="1663" t="s">
        <v>414</v>
      </c>
      <c r="P171" s="1741"/>
      <c r="U171" s="1714">
        <f>U145/U149</f>
        <v>0.50338504971343634</v>
      </c>
      <c r="V171" s="1745">
        <f>V145/V149</f>
        <v>0.50747241555941625</v>
      </c>
      <c r="W171" s="1728">
        <f t="shared" ref="W171:AR171" si="121">W145/W149</f>
        <v>0.50747241555941636</v>
      </c>
      <c r="X171" s="1728">
        <f t="shared" si="121"/>
        <v>0.50851040836118788</v>
      </c>
      <c r="Y171" s="1728">
        <f t="shared" si="121"/>
        <v>0.50572313279423808</v>
      </c>
      <c r="Z171" s="483">
        <f t="shared" si="121"/>
        <v>0.50301229074374942</v>
      </c>
      <c r="AA171" s="1728">
        <f t="shared" si="121"/>
        <v>0.50206474506356591</v>
      </c>
      <c r="AB171" s="1728">
        <f t="shared" si="121"/>
        <v>0.50063389662984059</v>
      </c>
      <c r="AC171" s="1728">
        <f t="shared" si="121"/>
        <v>0.50202618130466459</v>
      </c>
      <c r="AD171" s="1728">
        <f t="shared" si="121"/>
        <v>0.5057148762579633</v>
      </c>
      <c r="AE171" s="1720">
        <f t="shared" si="121"/>
        <v>0.502441464842453</v>
      </c>
      <c r="AF171" s="1728">
        <f t="shared" si="121"/>
        <v>0.50563972907211574</v>
      </c>
      <c r="AG171" s="1728">
        <f t="shared" si="121"/>
        <v>0.50700285481915963</v>
      </c>
      <c r="AH171" s="1728">
        <f t="shared" si="121"/>
        <v>0.50606381263786271</v>
      </c>
      <c r="AI171" s="286">
        <f t="shared" si="121"/>
        <v>0.50873085468625434</v>
      </c>
      <c r="AJ171" s="2155">
        <f t="shared" si="121"/>
        <v>0.51107023156870091</v>
      </c>
      <c r="AK171" s="286">
        <f t="shared" si="121"/>
        <v>0.51107023156870091</v>
      </c>
      <c r="AL171" s="286">
        <f t="shared" si="121"/>
        <v>0.51221890324681785</v>
      </c>
      <c r="AM171" s="286">
        <f t="shared" si="121"/>
        <v>0.51372211702384318</v>
      </c>
      <c r="AN171" s="286">
        <f t="shared" si="121"/>
        <v>0.51401831827360078</v>
      </c>
      <c r="AO171" s="2154">
        <f t="shared" si="121"/>
        <v>0.51894214483617829</v>
      </c>
      <c r="AP171" s="1743">
        <f t="shared" si="121"/>
        <v>0.52369568095439789</v>
      </c>
      <c r="AQ171" s="1743">
        <f t="shared" si="121"/>
        <v>0.5269484909381239</v>
      </c>
      <c r="AR171" s="1743">
        <f t="shared" si="121"/>
        <v>0.52556394993599154</v>
      </c>
      <c r="AT171" s="2148"/>
      <c r="AV171" s="1725" t="str">
        <f t="shared" si="55"/>
        <v>aS</v>
      </c>
      <c r="BO171" s="444" t="str">
        <f t="shared" si="88"/>
        <v>aS</v>
      </c>
      <c r="BP171" s="1651" t="s">
        <v>407</v>
      </c>
      <c r="CQ171" s="2431">
        <v>2030</v>
      </c>
      <c r="CR171" s="1805"/>
      <c r="CS171" s="1805"/>
      <c r="CT171" s="1805"/>
      <c r="CU171" s="1805"/>
      <c r="CV171" s="1805"/>
      <c r="CW171" s="1382">
        <f t="shared" si="107"/>
        <v>45.533638609792924</v>
      </c>
      <c r="CX171" s="1035">
        <f>НАСТРОЙКА!DR171</f>
        <v>38.780241465726355</v>
      </c>
      <c r="DL171" s="1328">
        <f t="shared" si="108"/>
        <v>45.533638609792924</v>
      </c>
      <c r="DN171" s="2281">
        <v>2028</v>
      </c>
      <c r="DO171" s="1780"/>
      <c r="DP171" s="788"/>
      <c r="DQ171" s="1160"/>
      <c r="EF171" s="2281">
        <v>2030</v>
      </c>
      <c r="EG171" s="830"/>
      <c r="EH171" s="2046">
        <f t="shared" si="109"/>
        <v>0.90133567812594884</v>
      </c>
      <c r="EX171" s="2046">
        <v>0.90133567812594884</v>
      </c>
      <c r="EZ171" s="1734">
        <v>2028</v>
      </c>
      <c r="FA171" s="1522"/>
      <c r="FB171" s="1159">
        <f t="shared" si="89"/>
        <v>135.5767016036535</v>
      </c>
      <c r="FC171" s="1744">
        <f t="shared" si="116"/>
        <v>71.411732999999998</v>
      </c>
      <c r="FS171" s="2729">
        <v>2028</v>
      </c>
      <c r="FT171" s="855">
        <f t="shared" si="115"/>
        <v>71.411732999999998</v>
      </c>
      <c r="FU171" s="1693"/>
      <c r="FV171" s="1693"/>
    </row>
    <row r="172" spans="6:178" ht="18">
      <c r="F172" s="38" t="s">
        <v>793</v>
      </c>
      <c r="G172" s="38"/>
      <c r="H172" s="38"/>
      <c r="I172" s="1651" t="s">
        <v>407</v>
      </c>
      <c r="J172" s="40" t="s">
        <v>791</v>
      </c>
      <c r="K172" s="22" t="s">
        <v>792</v>
      </c>
      <c r="L172" s="22"/>
      <c r="M172" s="22"/>
      <c r="N172" s="22"/>
      <c r="O172" s="1663" t="s">
        <v>414</v>
      </c>
      <c r="P172" s="1741"/>
      <c r="U172" s="1714">
        <f>U177/U193</f>
        <v>1.3068917176995491</v>
      </c>
      <c r="V172" s="1175">
        <f>V177/V193</f>
        <v>1.2033552559031906</v>
      </c>
      <c r="W172" s="1688">
        <f t="shared" ref="W172:AR172" si="122">W177/W193</f>
        <v>1.2985546011051801</v>
      </c>
      <c r="X172" s="1688">
        <f t="shared" si="122"/>
        <v>1.1938981194701628</v>
      </c>
      <c r="Y172" s="1688">
        <f t="shared" si="122"/>
        <v>1.189908383982313</v>
      </c>
      <c r="Z172" s="483">
        <f t="shared" si="122"/>
        <v>1.1251749559172211</v>
      </c>
      <c r="AA172" s="1688">
        <f t="shared" si="122"/>
        <v>1.0426791739220176</v>
      </c>
      <c r="AB172" s="1688">
        <f t="shared" si="122"/>
        <v>0.99289398725980449</v>
      </c>
      <c r="AC172" s="1688">
        <f t="shared" si="122"/>
        <v>1.0087896140041985</v>
      </c>
      <c r="AD172" s="1688">
        <f t="shared" si="122"/>
        <v>1.0165801825358778</v>
      </c>
      <c r="AE172" s="1720">
        <f t="shared" si="122"/>
        <v>1.0133177037488763</v>
      </c>
      <c r="AF172" s="1688">
        <f t="shared" si="122"/>
        <v>1.028236909028827</v>
      </c>
      <c r="AG172" s="1688">
        <f t="shared" si="122"/>
        <v>1.0199176624751358</v>
      </c>
      <c r="AH172" s="1688">
        <f t="shared" si="122"/>
        <v>0.98933685256256187</v>
      </c>
      <c r="AI172" s="272">
        <f t="shared" si="122"/>
        <v>0.87664119188811451</v>
      </c>
      <c r="AJ172" s="2155">
        <f t="shared" si="122"/>
        <v>0.99396469187314052</v>
      </c>
      <c r="AK172" s="272">
        <f t="shared" si="122"/>
        <v>0.8411311209061394</v>
      </c>
      <c r="AL172" s="272">
        <f t="shared" si="122"/>
        <v>0.81212659949558297</v>
      </c>
      <c r="AM172" s="272">
        <f t="shared" si="122"/>
        <v>0.8144017791946162</v>
      </c>
      <c r="AN172" s="272">
        <f t="shared" si="122"/>
        <v>0.82447685275166294</v>
      </c>
      <c r="AO172" s="2154">
        <f t="shared" si="122"/>
        <v>0.77910881429337042</v>
      </c>
      <c r="AP172" s="1743">
        <f t="shared" si="122"/>
        <v>0.67371566989409604</v>
      </c>
      <c r="AQ172" s="1743">
        <f t="shared" si="122"/>
        <v>0.70804084388470445</v>
      </c>
      <c r="AR172" s="1743">
        <f t="shared" si="122"/>
        <v>0.63575395144621361</v>
      </c>
      <c r="AT172" s="2148"/>
      <c r="AV172" s="1725" t="str">
        <f t="shared" si="55"/>
        <v>nS</v>
      </c>
      <c r="BO172" s="444" t="str">
        <f t="shared" si="88"/>
        <v>nS</v>
      </c>
      <c r="BP172" s="1651" t="s">
        <v>407</v>
      </c>
      <c r="CQ172" s="2431">
        <v>2031</v>
      </c>
      <c r="CR172" s="1805"/>
      <c r="CS172" s="1805"/>
      <c r="CT172" s="1805"/>
      <c r="CU172" s="1805"/>
      <c r="CV172" s="1805"/>
      <c r="CW172" s="1382">
        <f t="shared" si="107"/>
        <v>47.610320540282572</v>
      </c>
      <c r="CX172" s="1035">
        <f>НАСТРОЙКА!DR172</f>
        <v>40.719253539012676</v>
      </c>
      <c r="DL172" s="1328">
        <f t="shared" si="108"/>
        <v>47.610320540282572</v>
      </c>
      <c r="DN172" s="2281">
        <v>2029</v>
      </c>
      <c r="DO172" s="1780"/>
      <c r="DP172" s="788"/>
      <c r="DQ172" s="1160"/>
      <c r="EF172" s="2281">
        <v>2031</v>
      </c>
      <c r="EG172" s="830"/>
      <c r="EH172" s="2046">
        <f t="shared" si="109"/>
        <v>0.91581504049571694</v>
      </c>
      <c r="EX172" s="2046">
        <v>0.91581504049571694</v>
      </c>
      <c r="EZ172" s="1734">
        <v>2029</v>
      </c>
      <c r="FA172" s="1522"/>
      <c r="FB172" s="1159">
        <f t="shared" si="89"/>
        <v>136.02373039517852</v>
      </c>
      <c r="FC172" s="1744">
        <f t="shared" si="116"/>
        <v>71.988213099999996</v>
      </c>
      <c r="FS172" s="2729">
        <v>2029</v>
      </c>
      <c r="FT172" s="855">
        <f t="shared" si="115"/>
        <v>71.988213099999996</v>
      </c>
      <c r="FU172" s="1693"/>
      <c r="FV172" s="1693"/>
    </row>
    <row r="173" spans="6:178" ht="18">
      <c r="I173" s="1651" t="s">
        <v>407</v>
      </c>
      <c r="J173" s="40" t="s">
        <v>1551</v>
      </c>
      <c r="K173" s="22" t="s">
        <v>1578</v>
      </c>
      <c r="L173" s="22"/>
      <c r="M173" s="22"/>
      <c r="N173" s="22"/>
      <c r="O173" s="1663" t="s">
        <v>414</v>
      </c>
      <c r="P173" s="1741"/>
      <c r="U173" s="1714"/>
      <c r="V173" s="1175"/>
      <c r="W173" s="1688"/>
      <c r="X173" s="1688"/>
      <c r="Y173" s="1688"/>
      <c r="Z173" s="483"/>
      <c r="AA173" s="1688"/>
      <c r="AB173" s="1688"/>
      <c r="AC173" s="1688"/>
      <c r="AD173" s="1688"/>
      <c r="AE173" s="1720"/>
      <c r="AF173" s="1688"/>
      <c r="AG173" s="1688"/>
      <c r="AH173" s="1688"/>
      <c r="AI173" s="272"/>
      <c r="AJ173" s="2155"/>
      <c r="AK173" s="272"/>
      <c r="AL173" s="272"/>
      <c r="AM173" s="272"/>
      <c r="AN173" s="272"/>
      <c r="AO173" s="2154"/>
      <c r="AP173" s="1743"/>
      <c r="AT173" s="2148"/>
      <c r="AV173" s="1725" t="str">
        <f t="shared" si="55"/>
        <v>v</v>
      </c>
      <c r="BO173" s="444" t="str">
        <f t="shared" si="88"/>
        <v>v</v>
      </c>
      <c r="BP173" s="1651"/>
      <c r="CQ173" s="2431">
        <v>2032</v>
      </c>
      <c r="CR173" s="1805"/>
      <c r="CS173" s="1805"/>
      <c r="CT173" s="1805"/>
      <c r="CU173" s="1805"/>
      <c r="CV173" s="1805"/>
      <c r="CW173" s="1382">
        <f t="shared" si="107"/>
        <v>49.790836567296708</v>
      </c>
      <c r="CX173" s="1035">
        <f>НАСТРОЙКА!DR173</f>
        <v>42.755216215963316</v>
      </c>
      <c r="DL173" s="1328">
        <f t="shared" si="108"/>
        <v>49.790836567296708</v>
      </c>
      <c r="DN173" s="1596">
        <v>2030</v>
      </c>
      <c r="DO173" s="1429"/>
      <c r="DP173" s="1429"/>
      <c r="DQ173" s="1686"/>
      <c r="EF173" s="2281">
        <v>2032</v>
      </c>
      <c r="EG173" s="830"/>
      <c r="EH173" s="2046">
        <f t="shared" si="109"/>
        <v>0.92957043474699663</v>
      </c>
      <c r="EX173" s="2046">
        <v>0.92957043474699663</v>
      </c>
      <c r="EZ173" s="1747">
        <v>2030</v>
      </c>
      <c r="FA173" s="1457"/>
      <c r="FB173" s="1748">
        <f t="shared" si="89"/>
        <v>136.41264544380527</v>
      </c>
      <c r="FC173" s="1744">
        <f t="shared" si="116"/>
        <v>72.391749169999997</v>
      </c>
      <c r="FS173" s="2730">
        <v>2030</v>
      </c>
      <c r="FT173" s="855">
        <f t="shared" si="115"/>
        <v>72.391749169999997</v>
      </c>
      <c r="FU173" s="1693"/>
      <c r="FV173" s="1693"/>
    </row>
    <row r="174" spans="6:178" ht="18">
      <c r="I174" s="1651" t="s">
        <v>407</v>
      </c>
      <c r="J174" s="40" t="s">
        <v>816</v>
      </c>
      <c r="K174" s="22" t="s">
        <v>817</v>
      </c>
      <c r="L174" s="22"/>
      <c r="M174" s="22"/>
      <c r="N174" s="22"/>
      <c r="O174" s="1663" t="s">
        <v>626</v>
      </c>
      <c r="P174" s="1741"/>
      <c r="U174" s="1714">
        <f>U199/U91</f>
        <v>22.301473733510264</v>
      </c>
      <c r="V174" s="947">
        <f>V199/V91</f>
        <v>21.883647145944572</v>
      </c>
      <c r="W174" s="947">
        <f t="shared" ref="W174:AP174" si="123">W199/W91</f>
        <v>23.264748432488631</v>
      </c>
      <c r="X174" s="947">
        <f t="shared" si="123"/>
        <v>22.628910997930777</v>
      </c>
      <c r="Y174" s="947">
        <f t="shared" si="123"/>
        <v>22.304255968314099</v>
      </c>
      <c r="Z174" s="483">
        <f t="shared" si="123"/>
        <v>23.785105002190093</v>
      </c>
      <c r="AA174" s="947">
        <f t="shared" si="123"/>
        <v>24.977800752416609</v>
      </c>
      <c r="AB174" s="947">
        <f t="shared" si="123"/>
        <v>25.549151597899893</v>
      </c>
      <c r="AC174" s="947">
        <f t="shared" si="123"/>
        <v>27.546477966188984</v>
      </c>
      <c r="AD174" s="947">
        <f t="shared" si="123"/>
        <v>29.099942356965194</v>
      </c>
      <c r="AE174" s="1104">
        <f t="shared" si="123"/>
        <v>30.500207447846275</v>
      </c>
      <c r="AF174" s="947">
        <f t="shared" si="123"/>
        <v>32.605223124147997</v>
      </c>
      <c r="AG174" s="947">
        <f t="shared" si="123"/>
        <v>34.576355601632038</v>
      </c>
      <c r="AH174" s="947">
        <f t="shared" si="123"/>
        <v>36.254961869156645</v>
      </c>
      <c r="AI174" s="947">
        <f t="shared" si="123"/>
        <v>34.157158680963363</v>
      </c>
      <c r="AJ174" s="2152">
        <f t="shared" si="123"/>
        <v>35.426929528449264</v>
      </c>
      <c r="AK174" s="947">
        <f t="shared" si="123"/>
        <v>36.469011429199981</v>
      </c>
      <c r="AL174" s="947">
        <f t="shared" si="123"/>
        <v>37.438341507582962</v>
      </c>
      <c r="AM174" s="947">
        <f t="shared" si="123"/>
        <v>38.188926146237897</v>
      </c>
      <c r="AN174" s="947">
        <f t="shared" si="123"/>
        <v>38.39162476730791</v>
      </c>
      <c r="AO174" s="2156">
        <f t="shared" si="123"/>
        <v>37.101717534154105</v>
      </c>
      <c r="AP174" s="1066">
        <f t="shared" si="123"/>
        <v>37.140293612287223</v>
      </c>
      <c r="AQ174" s="1066"/>
      <c r="AR174" s="1066"/>
      <c r="AT174" s="2148"/>
      <c r="AV174" s="1725" t="str">
        <f t="shared" si="55"/>
        <v>PTSw</v>
      </c>
      <c r="BO174" s="444" t="str">
        <f t="shared" si="88"/>
        <v>PTSw</v>
      </c>
      <c r="BP174" s="1651" t="s">
        <v>407</v>
      </c>
      <c r="CQ174" s="2431">
        <v>2033</v>
      </c>
      <c r="CR174" s="1805"/>
      <c r="CS174" s="1805"/>
      <c r="CT174" s="1805"/>
      <c r="CU174" s="1805"/>
      <c r="CV174" s="1805"/>
      <c r="CW174" s="1382">
        <f t="shared" si="107"/>
        <v>52.080378395661548</v>
      </c>
      <c r="CX174" s="1035">
        <f>НАСТРОЙКА!DR174</f>
        <v>44.892977026761486</v>
      </c>
      <c r="DL174" s="1328">
        <f t="shared" si="108"/>
        <v>52.080378395661548</v>
      </c>
      <c r="EF174" s="2281">
        <v>2033</v>
      </c>
      <c r="EG174" s="830"/>
      <c r="EH174" s="2046">
        <f t="shared" si="109"/>
        <v>0.94263805928571232</v>
      </c>
      <c r="EX174" s="2046">
        <v>0.94263805928571232</v>
      </c>
    </row>
    <row r="175" spans="6:178" ht="18">
      <c r="I175" s="1651" t="s">
        <v>407</v>
      </c>
      <c r="J175" s="1746" t="s">
        <v>739</v>
      </c>
      <c r="K175" s="22" t="s">
        <v>1379</v>
      </c>
      <c r="L175" s="22"/>
      <c r="M175" s="22"/>
      <c r="N175" s="22"/>
      <c r="O175" s="1663" t="s">
        <v>400</v>
      </c>
      <c r="P175" s="1741"/>
      <c r="U175" s="1714">
        <v>418.46850000000001</v>
      </c>
      <c r="V175" s="1016">
        <f>$U175*V162</f>
        <v>433.95183449999996</v>
      </c>
      <c r="W175" s="1016">
        <f t="shared" ref="W175:AN175" si="124">$U175*W162</f>
        <v>431.78207532749997</v>
      </c>
      <c r="X175" s="1016">
        <f t="shared" si="124"/>
        <v>439.98593475872241</v>
      </c>
      <c r="Y175" s="1016">
        <f t="shared" si="124"/>
        <v>489.26435945169936</v>
      </c>
      <c r="Z175" s="483">
        <f t="shared" si="124"/>
        <v>535.74447359961084</v>
      </c>
      <c r="AA175" s="1016">
        <f t="shared" si="124"/>
        <v>558.24574149079444</v>
      </c>
      <c r="AB175" s="1016">
        <f t="shared" si="124"/>
        <v>615.74505286434623</v>
      </c>
      <c r="AC175" s="1016">
        <f t="shared" si="124"/>
        <v>693.32892952525378</v>
      </c>
      <c r="AD175" s="1016">
        <f t="shared" si="124"/>
        <v>775.14174320923382</v>
      </c>
      <c r="AE175" s="1164">
        <f t="shared" si="124"/>
        <v>825.52595651783406</v>
      </c>
      <c r="AF175" s="1016">
        <f t="shared" si="124"/>
        <v>885.78935134363576</v>
      </c>
      <c r="AG175" s="1016">
        <f t="shared" si="124"/>
        <v>941.59408047828492</v>
      </c>
      <c r="AH175" s="1016">
        <f t="shared" si="124"/>
        <v>947.24364496115447</v>
      </c>
      <c r="AI175" s="1016">
        <f t="shared" si="124"/>
        <v>902.72319364798022</v>
      </c>
      <c r="AJ175" s="2152">
        <f t="shared" si="124"/>
        <v>965.91381720333891</v>
      </c>
      <c r="AK175" s="1016">
        <f t="shared" si="124"/>
        <v>968.81155865494884</v>
      </c>
      <c r="AL175" s="1016">
        <f t="shared" si="124"/>
        <v>982.37492047611806</v>
      </c>
      <c r="AM175" s="1016">
        <f t="shared" si="124"/>
        <v>1027.5641668180197</v>
      </c>
      <c r="AN175" s="1016">
        <f t="shared" si="124"/>
        <v>1032.7019876521094</v>
      </c>
      <c r="AO175" s="2157">
        <f>$U175*AO162</f>
        <v>1070.9119611952376</v>
      </c>
      <c r="AP175" s="1165">
        <f>$U175*AP162</f>
        <v>1105.1811439534852</v>
      </c>
      <c r="AQ175" s="1165">
        <f>$U175*AQ162</f>
        <v>1160.4402011511595</v>
      </c>
      <c r="AR175" s="1165">
        <f>$U175*AR162</f>
        <v>1224.2644122144734</v>
      </c>
      <c r="AT175" s="2148"/>
      <c r="AV175" s="1725" t="str">
        <f t="shared" si="55"/>
        <v>EXS</v>
      </c>
      <c r="BO175" s="444" t="str">
        <f t="shared" si="88"/>
        <v>EXS</v>
      </c>
      <c r="BP175" s="1651" t="s">
        <v>407</v>
      </c>
      <c r="CQ175" s="2431">
        <v>2034</v>
      </c>
      <c r="CR175" s="1805"/>
      <c r="CS175" s="1805"/>
      <c r="CT175" s="1805"/>
      <c r="CU175" s="1805"/>
      <c r="CV175" s="1805"/>
      <c r="CW175" s="1382">
        <f t="shared" si="107"/>
        <v>54.484397315444632</v>
      </c>
      <c r="CX175" s="1035">
        <f>НАСТРОЙКА!DR175</f>
        <v>47.137625878099563</v>
      </c>
      <c r="DL175" s="1328">
        <f t="shared" si="108"/>
        <v>54.484397315444632</v>
      </c>
      <c r="EF175" s="2281">
        <v>2034</v>
      </c>
      <c r="EG175" s="830"/>
      <c r="EH175" s="2046">
        <f t="shared" si="109"/>
        <v>0.95505230259749219</v>
      </c>
      <c r="EX175" s="2046">
        <v>0.95505230259749219</v>
      </c>
    </row>
    <row r="176" spans="6:178" ht="18">
      <c r="I176" s="1651"/>
      <c r="J176" s="40" t="s">
        <v>727</v>
      </c>
      <c r="K176" s="22"/>
      <c r="L176" s="22"/>
      <c r="M176" s="22"/>
      <c r="N176" s="22"/>
      <c r="O176" s="1663" t="s">
        <v>400</v>
      </c>
      <c r="P176" s="1741"/>
      <c r="U176" s="1714">
        <f>U61</f>
        <v>363.36200000000002</v>
      </c>
      <c r="V176" s="1174">
        <f t="shared" ref="V176:AP176" si="125">U176*V131</f>
        <v>312.49132000000003</v>
      </c>
      <c r="W176" s="1673">
        <f t="shared" si="125"/>
        <v>299.67917588</v>
      </c>
      <c r="X176" s="1673">
        <f t="shared" si="125"/>
        <v>164.22418838224002</v>
      </c>
      <c r="Y176" s="1673">
        <f t="shared" si="125"/>
        <v>153.38539194901219</v>
      </c>
      <c r="Z176" s="465">
        <f t="shared" si="125"/>
        <v>268.73120669466937</v>
      </c>
      <c r="AA176" s="1673">
        <f t="shared" si="125"/>
        <v>313.60931821267917</v>
      </c>
      <c r="AB176" s="1673">
        <f t="shared" si="125"/>
        <v>306.70991321200023</v>
      </c>
      <c r="AC176" s="1673">
        <f t="shared" si="125"/>
        <v>350.56943080131629</v>
      </c>
      <c r="AD176" s="1673">
        <f t="shared" si="125"/>
        <v>393.33890135907689</v>
      </c>
      <c r="AE176" s="1720">
        <f t="shared" si="125"/>
        <v>430.84983045481778</v>
      </c>
      <c r="AF176" s="1673">
        <f t="shared" si="125"/>
        <v>507.11025044532056</v>
      </c>
      <c r="AG176" s="1673">
        <f t="shared" si="125"/>
        <v>618.67450554329105</v>
      </c>
      <c r="AH176" s="1673">
        <f t="shared" si="125"/>
        <v>683.63532862533657</v>
      </c>
      <c r="AI176" s="271">
        <f t="shared" si="125"/>
        <v>403.34484388894856</v>
      </c>
      <c r="AJ176" s="2158">
        <f t="shared" si="125"/>
        <v>518.29812439729892</v>
      </c>
      <c r="AK176" s="271">
        <f t="shared" si="125"/>
        <v>627.14073052073172</v>
      </c>
      <c r="AL176" s="271">
        <f t="shared" si="125"/>
        <v>654.73492266364394</v>
      </c>
      <c r="AM176" s="271">
        <f t="shared" si="125"/>
        <v>618.06976699447989</v>
      </c>
      <c r="AN176" s="271">
        <f t="shared" si="125"/>
        <v>580.36751120781662</v>
      </c>
      <c r="AO176" s="2158">
        <f t="shared" si="125"/>
        <v>511.88414488529423</v>
      </c>
      <c r="AP176" s="468">
        <f t="shared" si="125"/>
        <v>505.74153514667069</v>
      </c>
      <c r="AQ176" s="468">
        <f>AP176*AQ131</f>
        <v>536.08602725547098</v>
      </c>
      <c r="AR176" s="468">
        <f>AQ176*AR131</f>
        <v>540.3747154735147</v>
      </c>
      <c r="AT176" s="2148"/>
      <c r="AV176" s="1725" t="str">
        <f t="shared" si="55"/>
        <v>WNS</v>
      </c>
      <c r="BO176" s="444" t="str">
        <f t="shared" si="88"/>
        <v>WNS</v>
      </c>
      <c r="BP176" s="1651" t="s">
        <v>407</v>
      </c>
      <c r="CQ176" s="2432">
        <v>2035</v>
      </c>
      <c r="CR176" s="1777"/>
      <c r="CS176" s="1777"/>
      <c r="CT176" s="1777"/>
      <c r="CU176" s="1777"/>
      <c r="CV176" s="1777"/>
      <c r="CW176" s="1984">
        <f t="shared" si="107"/>
        <v>57.00861718121687</v>
      </c>
      <c r="CX176" s="1808">
        <f>НАСТРОЙКА!DR176</f>
        <v>49.494507172004546</v>
      </c>
      <c r="DL176" s="1976">
        <f t="shared" si="108"/>
        <v>57.00861718121687</v>
      </c>
      <c r="EF176" s="1596">
        <v>2035</v>
      </c>
      <c r="EG176" s="1769"/>
      <c r="EH176" s="2046">
        <f t="shared" si="109"/>
        <v>0.96684583374368305</v>
      </c>
      <c r="EX176" s="2574">
        <v>0.96684583374368305</v>
      </c>
    </row>
    <row r="177" spans="5:183">
      <c r="I177" s="1651"/>
      <c r="J177" s="40" t="s">
        <v>789</v>
      </c>
      <c r="K177" s="22"/>
      <c r="L177" s="22"/>
      <c r="M177" s="22"/>
      <c r="N177" s="22"/>
      <c r="O177" s="1663" t="s">
        <v>400</v>
      </c>
      <c r="P177" s="1741"/>
      <c r="U177" s="1714">
        <f>U80</f>
        <v>301.11700000000002</v>
      </c>
      <c r="V177" s="1174">
        <f t="shared" ref="V177:AP177" si="126">U177*V132</f>
        <v>237.28019600000002</v>
      </c>
      <c r="W177" s="1673">
        <f t="shared" si="126"/>
        <v>218.53506051600002</v>
      </c>
      <c r="X177" s="1673">
        <f t="shared" si="126"/>
        <v>191.43671301201601</v>
      </c>
      <c r="Y177" s="1673">
        <f t="shared" si="126"/>
        <v>203.68866264478504</v>
      </c>
      <c r="Z177" s="465">
        <f t="shared" si="126"/>
        <v>240.55631058349115</v>
      </c>
      <c r="AA177" s="1673">
        <f t="shared" si="126"/>
        <v>265.09305426300728</v>
      </c>
      <c r="AB177" s="1673">
        <f t="shared" si="126"/>
        <v>272.51565978237147</v>
      </c>
      <c r="AC177" s="1673">
        <f t="shared" si="126"/>
        <v>310.39533649212109</v>
      </c>
      <c r="AD177" s="1673">
        <f t="shared" si="126"/>
        <v>349.50514889012834</v>
      </c>
      <c r="AE177" s="1720">
        <f t="shared" si="126"/>
        <v>386.44219393269077</v>
      </c>
      <c r="AF177" s="1673">
        <f t="shared" si="126"/>
        <v>456.0017888405751</v>
      </c>
      <c r="AG177" s="1673">
        <f t="shared" si="126"/>
        <v>551.76216449709591</v>
      </c>
      <c r="AH177" s="1673">
        <f t="shared" si="126"/>
        <v>610.24895393378813</v>
      </c>
      <c r="AI177" s="271">
        <f t="shared" si="126"/>
        <v>522.37310456732268</v>
      </c>
      <c r="AJ177" s="2158">
        <f t="shared" si="126"/>
        <v>553.19311773679476</v>
      </c>
      <c r="AK177" s="271">
        <f t="shared" si="126"/>
        <v>603.53369145084309</v>
      </c>
      <c r="AL177" s="271">
        <f t="shared" si="126"/>
        <v>633.71037602338527</v>
      </c>
      <c r="AM177" s="271">
        <f t="shared" si="126"/>
        <v>641.94861091168923</v>
      </c>
      <c r="AN177" s="271">
        <f t="shared" si="126"/>
        <v>630.39353591527879</v>
      </c>
      <c r="AO177" s="2158">
        <f t="shared" si="126"/>
        <v>562.94142757234397</v>
      </c>
      <c r="AP177" s="468">
        <f t="shared" si="126"/>
        <v>568.5708418480674</v>
      </c>
      <c r="AQ177" s="468">
        <f>AP177*AQ132</f>
        <v>598.13652562416689</v>
      </c>
      <c r="AR177" s="468">
        <f>AQ177*AR132</f>
        <v>615.48248486726766</v>
      </c>
      <c r="AT177" s="2148"/>
      <c r="AV177" s="1725" t="str">
        <f t="shared" si="55"/>
        <v>WNOKS</v>
      </c>
      <c r="BO177" s="444" t="str">
        <f t="shared" si="88"/>
        <v>WNOKS</v>
      </c>
      <c r="BP177" s="1651" t="s">
        <v>407</v>
      </c>
    </row>
    <row r="178" spans="5:183">
      <c r="E178" s="38" t="s">
        <v>627</v>
      </c>
      <c r="F178" s="38"/>
      <c r="G178" s="38"/>
      <c r="H178" s="38"/>
      <c r="I178" s="1651" t="s">
        <v>407</v>
      </c>
      <c r="J178" s="40" t="s">
        <v>628</v>
      </c>
      <c r="K178" s="1426" t="s">
        <v>629</v>
      </c>
      <c r="L178" s="1426"/>
      <c r="M178" s="1426"/>
      <c r="N178" s="1426"/>
      <c r="O178" s="1663" t="s">
        <v>414</v>
      </c>
      <c r="P178" s="1741"/>
      <c r="U178" s="1714">
        <f t="shared" ref="U178:AH178" si="127">(U176-U177)/U167</f>
        <v>2.2490438989016016E-2</v>
      </c>
      <c r="V178" s="1745">
        <f t="shared" si="127"/>
        <v>2.7958204381156079E-2</v>
      </c>
      <c r="W178" s="1728">
        <f t="shared" si="127"/>
        <v>2.9747212180728889E-2</v>
      </c>
      <c r="X178" s="1728">
        <f t="shared" si="127"/>
        <v>-1.0512157616833476E-2</v>
      </c>
      <c r="Y178" s="1728">
        <f t="shared" si="127"/>
        <v>-1.8366803715713885E-2</v>
      </c>
      <c r="Z178" s="465">
        <f t="shared" si="127"/>
        <v>9.4033448320917194E-3</v>
      </c>
      <c r="AA178" s="1728">
        <f t="shared" si="127"/>
        <v>1.5435898035414669E-2</v>
      </c>
      <c r="AB178" s="1728">
        <f t="shared" si="127"/>
        <v>1.0420706842907277E-2</v>
      </c>
      <c r="AC178" s="1728">
        <f t="shared" si="127"/>
        <v>1.1378312982583559E-2</v>
      </c>
      <c r="AD178" s="1728">
        <f t="shared" si="127"/>
        <v>1.1495203825421829E-2</v>
      </c>
      <c r="AE178" s="1720">
        <f t="shared" si="127"/>
        <v>1.1017693783579027E-2</v>
      </c>
      <c r="AF178" s="447">
        <f t="shared" si="127"/>
        <v>1.164388659610574E-2</v>
      </c>
      <c r="AG178" s="447">
        <f t="shared" si="127"/>
        <v>1.4011430848958683E-2</v>
      </c>
      <c r="AH178" s="447">
        <f t="shared" si="127"/>
        <v>1.4635325905782108E-2</v>
      </c>
      <c r="AI178" s="447">
        <f t="shared" ref="AI178:AR178" si="128">(AI176-AI177)/AI167</f>
        <v>-2.5634571644029994E-2</v>
      </c>
      <c r="AJ178" s="2158">
        <f t="shared" si="128"/>
        <v>-7.1573095064919514E-3</v>
      </c>
      <c r="AK178" s="447">
        <f t="shared" si="128"/>
        <v>4.6424142281784484E-3</v>
      </c>
      <c r="AL178" s="447">
        <f t="shared" si="128"/>
        <v>3.9793621240403485E-3</v>
      </c>
      <c r="AM178" s="447">
        <f t="shared" si="128"/>
        <v>-4.4266417622443694E-3</v>
      </c>
      <c r="AN178" s="447">
        <f t="shared" si="128"/>
        <v>-9.2001845966607383E-3</v>
      </c>
      <c r="AO178" s="2159">
        <f t="shared" si="128"/>
        <v>-9.5135168765049238E-3</v>
      </c>
      <c r="AP178" s="441">
        <f t="shared" si="128"/>
        <v>-1.1568183003116708E-2</v>
      </c>
      <c r="AQ178" s="441">
        <f t="shared" si="128"/>
        <v>-1.1146134809817541E-2</v>
      </c>
      <c r="AR178" s="441">
        <f t="shared" si="128"/>
        <v>-1.316254946451181E-2</v>
      </c>
      <c r="AT178" s="2148"/>
      <c r="AV178" s="1725" t="str">
        <f t="shared" si="55"/>
        <v>eS</v>
      </c>
      <c r="BO178" s="444" t="str">
        <f t="shared" si="88"/>
        <v>eS</v>
      </c>
      <c r="BP178" s="1651" t="s">
        <v>407</v>
      </c>
    </row>
    <row r="179" spans="5:183" ht="16.2" thickBot="1">
      <c r="I179" s="1651" t="s">
        <v>407</v>
      </c>
      <c r="J179" s="40" t="s">
        <v>630</v>
      </c>
      <c r="K179" s="22" t="s">
        <v>631</v>
      </c>
      <c r="L179" s="22"/>
      <c r="M179" s="22"/>
      <c r="N179" s="22"/>
      <c r="O179" s="1663" t="s">
        <v>414</v>
      </c>
      <c r="P179" s="1749"/>
      <c r="Q179" s="449"/>
      <c r="R179" s="447"/>
      <c r="S179" s="449"/>
      <c r="T179" s="449"/>
      <c r="U179" s="1691">
        <v>1</v>
      </c>
      <c r="V179" s="447">
        <f t="shared" ref="V179:AR179" si="129">V65/V199</f>
        <v>1.458015926869807</v>
      </c>
      <c r="W179" s="447">
        <f t="shared" si="129"/>
        <v>1.6775696170093486</v>
      </c>
      <c r="X179" s="447">
        <f t="shared" si="129"/>
        <v>1.988574685283935</v>
      </c>
      <c r="Y179" s="447">
        <f t="shared" si="129"/>
        <v>3.4280333525379545</v>
      </c>
      <c r="Z179" s="465">
        <f t="shared" si="129"/>
        <v>4.7203345530217637</v>
      </c>
      <c r="AA179" s="447">
        <f t="shared" si="129"/>
        <v>5.4982302967459242</v>
      </c>
      <c r="AB179" s="447">
        <f t="shared" si="129"/>
        <v>6.3527295286418424</v>
      </c>
      <c r="AC179" s="447">
        <f t="shared" si="129"/>
        <v>7.2278602743829534</v>
      </c>
      <c r="AD179" s="447">
        <f t="shared" si="129"/>
        <v>8.6918699640274202</v>
      </c>
      <c r="AE179" s="1720">
        <f t="shared" si="129"/>
        <v>10.367609749128871</v>
      </c>
      <c r="AF179" s="447">
        <f t="shared" si="129"/>
        <v>11.935242035159135</v>
      </c>
      <c r="AG179" s="447">
        <f t="shared" si="129"/>
        <v>13.587224630705832</v>
      </c>
      <c r="AH179" s="447">
        <f t="shared" si="129"/>
        <v>16.03475716499792</v>
      </c>
      <c r="AI179" s="447">
        <f t="shared" si="129"/>
        <v>16.368494611949213</v>
      </c>
      <c r="AJ179" s="2158">
        <f t="shared" si="129"/>
        <v>18.691365335566658</v>
      </c>
      <c r="AK179" s="1102">
        <f t="shared" si="129"/>
        <v>23.328518818067689</v>
      </c>
      <c r="AL179" s="1102">
        <f t="shared" si="129"/>
        <v>25.448132013167307</v>
      </c>
      <c r="AM179" s="1102">
        <f t="shared" si="129"/>
        <v>26.82470761987901</v>
      </c>
      <c r="AN179" s="1102">
        <f t="shared" si="129"/>
        <v>28.785172632075849</v>
      </c>
      <c r="AO179" s="2184">
        <f t="shared" si="129"/>
        <v>30.966851255246702</v>
      </c>
      <c r="AP179" s="470">
        <f t="shared" si="129"/>
        <v>31.991031785021747</v>
      </c>
      <c r="AQ179" s="470">
        <f t="shared" si="129"/>
        <v>33.649317794864295</v>
      </c>
      <c r="AR179" s="470">
        <f t="shared" si="129"/>
        <v>36.91744034444185</v>
      </c>
      <c r="AT179" s="2148"/>
      <c r="AV179" s="1725" t="str">
        <f t="shared" si="55"/>
        <v>Dw</v>
      </c>
      <c r="BO179" s="444" t="str">
        <f t="shared" si="88"/>
        <v>Dw</v>
      </c>
      <c r="BP179" s="1651" t="s">
        <v>407</v>
      </c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</row>
    <row r="180" spans="5:183" ht="17.399999999999999">
      <c r="I180" s="1651" t="s">
        <v>407</v>
      </c>
      <c r="J180" s="40" t="s">
        <v>632</v>
      </c>
      <c r="K180" s="22" t="s">
        <v>633</v>
      </c>
      <c r="L180" s="22"/>
      <c r="M180" s="22"/>
      <c r="N180" s="22"/>
      <c r="O180" s="1663" t="s">
        <v>414</v>
      </c>
      <c r="P180" s="1749"/>
      <c r="Q180" s="449"/>
      <c r="R180" s="449"/>
      <c r="S180" s="449"/>
      <c r="T180" s="449"/>
      <c r="U180" s="1691">
        <v>1</v>
      </c>
      <c r="V180" s="448">
        <f t="shared" ref="V180:AR180" si="130">V55/V149</f>
        <v>1.4230255714814841</v>
      </c>
      <c r="W180" s="448">
        <f t="shared" si="130"/>
        <v>1.6020944641617485</v>
      </c>
      <c r="X180" s="448">
        <f t="shared" si="130"/>
        <v>1.7915975405266318</v>
      </c>
      <c r="Y180" s="448">
        <f t="shared" si="130"/>
        <v>3.0909273639762795</v>
      </c>
      <c r="Z180" s="465">
        <f t="shared" si="130"/>
        <v>4.2983278940953449</v>
      </c>
      <c r="AA180" s="448">
        <f t="shared" si="130"/>
        <v>5.2101582214210298</v>
      </c>
      <c r="AB180" s="448">
        <f t="shared" si="130"/>
        <v>5.9296464112464475</v>
      </c>
      <c r="AC180" s="448">
        <f t="shared" si="130"/>
        <v>6.7748611993914016</v>
      </c>
      <c r="AD180" s="448">
        <f t="shared" si="130"/>
        <v>7.9881324646136438</v>
      </c>
      <c r="AE180" s="1720">
        <f t="shared" si="130"/>
        <v>9.5753506090096341</v>
      </c>
      <c r="AF180" s="448">
        <f t="shared" si="130"/>
        <v>10.995998689731229</v>
      </c>
      <c r="AG180" s="448">
        <f t="shared" si="130"/>
        <v>12.595094794725632</v>
      </c>
      <c r="AH180" s="448">
        <f t="shared" si="130"/>
        <v>14.90816825584335</v>
      </c>
      <c r="AI180" s="448">
        <f t="shared" si="130"/>
        <v>15.145649385720535</v>
      </c>
      <c r="AJ180" s="2158">
        <f t="shared" si="130"/>
        <v>17.430127110309737</v>
      </c>
      <c r="AK180" s="450">
        <f t="shared" si="130"/>
        <v>20.653842144150566</v>
      </c>
      <c r="AL180" s="450">
        <f t="shared" si="130"/>
        <v>22.264364965078673</v>
      </c>
      <c r="AM180" s="450">
        <f t="shared" si="130"/>
        <v>23.620384357528209</v>
      </c>
      <c r="AN180" s="450">
        <f t="shared" si="130"/>
        <v>25.327500226014692</v>
      </c>
      <c r="AO180" s="2155">
        <f t="shared" si="130"/>
        <v>27.684392425904839</v>
      </c>
      <c r="AP180" s="463">
        <f t="shared" si="130"/>
        <v>28.768445092272216</v>
      </c>
      <c r="AQ180" s="463">
        <f t="shared" si="130"/>
        <v>30.292761918932754</v>
      </c>
      <c r="AR180" s="463">
        <f t="shared" si="130"/>
        <v>33.151373247864946</v>
      </c>
      <c r="AT180" s="2148"/>
      <c r="AV180" s="1725" t="str">
        <f t="shared" si="55"/>
        <v>Dх</v>
      </c>
      <c r="BO180" s="444" t="str">
        <f t="shared" si="88"/>
        <v>Dх</v>
      </c>
      <c r="BP180" s="1651" t="s">
        <v>407</v>
      </c>
      <c r="EJ180" s="1602" t="s">
        <v>351</v>
      </c>
      <c r="EK180" s="2050" t="s">
        <v>1662</v>
      </c>
      <c r="EL180" s="2050" t="s">
        <v>1607</v>
      </c>
      <c r="EM180" s="2050" t="s">
        <v>1876</v>
      </c>
      <c r="FB180"/>
      <c r="FC180"/>
      <c r="FE180" s="2357" t="s">
        <v>1830</v>
      </c>
      <c r="FF180"/>
    </row>
    <row r="181" spans="5:183" ht="18" thickBot="1">
      <c r="I181" s="1651" t="s">
        <v>407</v>
      </c>
      <c r="J181" s="40" t="s">
        <v>634</v>
      </c>
      <c r="K181" s="22" t="s">
        <v>635</v>
      </c>
      <c r="L181" s="22"/>
      <c r="M181" s="22"/>
      <c r="N181" s="22"/>
      <c r="O181" s="1663" t="s">
        <v>414</v>
      </c>
      <c r="P181" s="1750"/>
      <c r="Q181" s="1690"/>
      <c r="R181" s="1690"/>
      <c r="S181" s="1690"/>
      <c r="T181" s="1690"/>
      <c r="U181" s="1691">
        <v>1</v>
      </c>
      <c r="V181" s="448">
        <f t="shared" ref="V181:AR181" si="131">V51/V167</f>
        <v>1.4122477570972609</v>
      </c>
      <c r="W181" s="448">
        <f t="shared" si="131"/>
        <v>1.5864611043969121</v>
      </c>
      <c r="X181" s="448">
        <f t="shared" si="131"/>
        <v>1.7669204828999698</v>
      </c>
      <c r="Y181" s="448">
        <f t="shared" si="131"/>
        <v>3.0316772495419131</v>
      </c>
      <c r="Z181" s="465">
        <f t="shared" si="131"/>
        <v>4.1892888398154868</v>
      </c>
      <c r="AA181" s="448">
        <f t="shared" si="131"/>
        <v>5.0659822500447591</v>
      </c>
      <c r="AB181" s="448">
        <f t="shared" si="131"/>
        <v>5.7822315297952604</v>
      </c>
      <c r="AC181" s="448">
        <f t="shared" si="131"/>
        <v>6.5915237407621836</v>
      </c>
      <c r="AD181" s="448">
        <f t="shared" si="131"/>
        <v>7.7337827274937645</v>
      </c>
      <c r="AE181" s="1720">
        <f t="shared" si="131"/>
        <v>9.1849440425976727</v>
      </c>
      <c r="AF181" s="448">
        <f t="shared" si="131"/>
        <v>10.5310440318469</v>
      </c>
      <c r="AG181" s="448">
        <f t="shared" si="131"/>
        <v>12.093285009188341</v>
      </c>
      <c r="AH181" s="448">
        <f t="shared" si="131"/>
        <v>14.279402745112492</v>
      </c>
      <c r="AI181" s="448">
        <f t="shared" si="131"/>
        <v>14.669938798054028</v>
      </c>
      <c r="AJ181" s="2158">
        <f t="shared" si="131"/>
        <v>16.830212945381799</v>
      </c>
      <c r="AK181" s="450">
        <f t="shared" si="131"/>
        <v>19.85424571376991</v>
      </c>
      <c r="AL181" s="450">
        <f t="shared" si="131"/>
        <v>21.405203901528715</v>
      </c>
      <c r="AM181" s="450">
        <f t="shared" si="131"/>
        <v>22.832323118365768</v>
      </c>
      <c r="AN181" s="450">
        <f t="shared" si="131"/>
        <v>24.43123573923766</v>
      </c>
      <c r="AO181" s="2160">
        <f t="shared" si="131"/>
        <v>27.196038400434425</v>
      </c>
      <c r="AP181" s="463">
        <f t="shared" si="131"/>
        <v>28.328183799288354</v>
      </c>
      <c r="AQ181" s="463">
        <f t="shared" si="131"/>
        <v>29.877742312507845</v>
      </c>
      <c r="AR181" s="463">
        <f t="shared" si="131"/>
        <v>32.514653338403463</v>
      </c>
      <c r="AT181" s="2148"/>
      <c r="AV181" s="1725" t="str">
        <f t="shared" ref="AV181:AV210" si="132">J181</f>
        <v>DОх</v>
      </c>
      <c r="BO181" s="444" t="str">
        <f t="shared" si="88"/>
        <v>DОх</v>
      </c>
      <c r="BP181" s="1651" t="s">
        <v>407</v>
      </c>
      <c r="EJ181" s="1981">
        <v>43926</v>
      </c>
      <c r="EK181" s="1593" t="s">
        <v>46</v>
      </c>
      <c r="EL181" s="1593" t="s">
        <v>46</v>
      </c>
      <c r="EM181" s="1593" t="s">
        <v>46</v>
      </c>
      <c r="FB181"/>
      <c r="FC181"/>
      <c r="FE181" s="2440" t="s">
        <v>1906</v>
      </c>
      <c r="FF181"/>
    </row>
    <row r="182" spans="5:183" ht="21">
      <c r="I182" s="1651"/>
      <c r="J182" s="40"/>
      <c r="K182" s="22"/>
      <c r="L182" s="22"/>
      <c r="M182" s="22"/>
      <c r="N182" s="22"/>
      <c r="O182" s="1663"/>
      <c r="P182" s="1749"/>
      <c r="Q182" s="449"/>
      <c r="R182" s="449"/>
      <c r="S182" s="449"/>
      <c r="T182" s="449"/>
      <c r="U182" s="1714"/>
      <c r="V182" s="1751"/>
      <c r="W182" s="1751"/>
      <c r="X182" s="1751"/>
      <c r="Y182" s="1751"/>
      <c r="Z182" s="1751"/>
      <c r="AA182" s="1751"/>
      <c r="AB182" s="1751"/>
      <c r="AC182" s="1751"/>
      <c r="AD182" s="1751"/>
      <c r="AE182" s="1751"/>
      <c r="AF182" s="1751"/>
      <c r="AG182" s="1751"/>
      <c r="AH182" s="1751"/>
      <c r="AI182" s="1751"/>
      <c r="AJ182" s="2162"/>
      <c r="AK182" s="1751"/>
      <c r="AL182" s="1751"/>
      <c r="AM182" s="1751"/>
      <c r="AN182" s="438"/>
      <c r="AO182" s="2161"/>
      <c r="AT182" s="2148"/>
      <c r="AV182" s="1725">
        <f t="shared" si="132"/>
        <v>0</v>
      </c>
      <c r="BO182" s="444">
        <f t="shared" si="88"/>
        <v>0</v>
      </c>
      <c r="BP182" s="438"/>
      <c r="CS182" s="1670" t="s">
        <v>351</v>
      </c>
      <c r="CT182" s="2707" t="s">
        <v>1785</v>
      </c>
      <c r="CU182" s="2712" t="s">
        <v>37</v>
      </c>
      <c r="CV182" s="2707" t="s">
        <v>1538</v>
      </c>
      <c r="CW182" s="2707" t="s">
        <v>1785</v>
      </c>
      <c r="CX182" s="2714" t="s">
        <v>2266</v>
      </c>
      <c r="CY182" s="2714" t="s">
        <v>2266</v>
      </c>
      <c r="CZ182" s="2715" t="s">
        <v>619</v>
      </c>
      <c r="DP182" s="1602" t="s">
        <v>351</v>
      </c>
      <c r="DQ182" s="1865" t="s">
        <v>824</v>
      </c>
      <c r="DR182" s="1868" t="s">
        <v>590</v>
      </c>
      <c r="DS182" s="1865" t="s">
        <v>824</v>
      </c>
      <c r="DT182" s="1865" t="s">
        <v>824</v>
      </c>
      <c r="EJ182" s="2097">
        <v>1995</v>
      </c>
      <c r="EK182" s="2437">
        <v>266.97399999999999</v>
      </c>
      <c r="EL182" s="2438"/>
      <c r="EM182" s="1241"/>
      <c r="FB182"/>
      <c r="FC182"/>
      <c r="FE182" s="2283">
        <v>266.97399999999999</v>
      </c>
      <c r="FF182"/>
      <c r="FG182" s="1602" t="s">
        <v>351</v>
      </c>
      <c r="FH182" s="1868" t="s">
        <v>37</v>
      </c>
      <c r="FI182" s="1868" t="s">
        <v>1590</v>
      </c>
      <c r="FJ182" s="1868" t="s">
        <v>37</v>
      </c>
      <c r="FK182" s="1869" t="s">
        <v>1905</v>
      </c>
    </row>
    <row r="183" spans="5:183" ht="21.6" thickBot="1">
      <c r="I183" s="1651" t="s">
        <v>407</v>
      </c>
      <c r="J183" s="40" t="s">
        <v>636</v>
      </c>
      <c r="K183" s="22" t="s">
        <v>637</v>
      </c>
      <c r="L183" s="22"/>
      <c r="M183" s="22"/>
      <c r="N183" s="22"/>
      <c r="O183" s="1663" t="s">
        <v>414</v>
      </c>
      <c r="P183" s="1749"/>
      <c r="Q183" s="449"/>
      <c r="R183" s="449"/>
      <c r="S183" s="449"/>
      <c r="T183" s="449"/>
      <c r="U183" s="1691">
        <v>1</v>
      </c>
      <c r="V183" s="448">
        <f t="shared" ref="V183:AR183" si="133">V61/V176</f>
        <v>1.5208627234830072</v>
      </c>
      <c r="W183" s="448">
        <f t="shared" si="133"/>
        <v>1.7178414165358655</v>
      </c>
      <c r="X183" s="448">
        <f t="shared" si="133"/>
        <v>2.3960063610370872</v>
      </c>
      <c r="Y183" s="448">
        <f t="shared" si="133"/>
        <v>4.6635438415007853</v>
      </c>
      <c r="Z183" s="483">
        <f t="shared" si="133"/>
        <v>5.0821555739588433</v>
      </c>
      <c r="AA183" s="448">
        <f t="shared" si="133"/>
        <v>6.2597323676099617</v>
      </c>
      <c r="AB183" s="448">
        <f t="shared" si="133"/>
        <v>7.0728069310904971</v>
      </c>
      <c r="AC183" s="448">
        <f t="shared" si="133"/>
        <v>7.8586429903564081</v>
      </c>
      <c r="AD183" s="448">
        <f t="shared" si="133"/>
        <v>9.0480534412004499</v>
      </c>
      <c r="AE183" s="1720">
        <f t="shared" si="133"/>
        <v>10.070168753275144</v>
      </c>
      <c r="AF183" s="448">
        <f t="shared" si="133"/>
        <v>11.237649593940652</v>
      </c>
      <c r="AG183" s="448">
        <f t="shared" si="133"/>
        <v>12.985985567555964</v>
      </c>
      <c r="AH183" s="448">
        <f t="shared" si="133"/>
        <v>15.397267606350976</v>
      </c>
      <c r="AI183" s="448">
        <f t="shared" si="133"/>
        <v>18.209619166526906</v>
      </c>
      <c r="AJ183" s="2158">
        <f t="shared" si="133"/>
        <v>20.205803391972641</v>
      </c>
      <c r="AK183" s="450">
        <f t="shared" si="133"/>
        <v>23.496938857350884</v>
      </c>
      <c r="AL183" s="450">
        <f t="shared" si="133"/>
        <v>25.552634846384674</v>
      </c>
      <c r="AM183" s="450">
        <f t="shared" si="133"/>
        <v>27.368855432385324</v>
      </c>
      <c r="AN183" s="450">
        <f t="shared" si="133"/>
        <v>30.814371333057377</v>
      </c>
      <c r="AO183" s="2160">
        <f t="shared" si="133"/>
        <v>36.34296976353653</v>
      </c>
      <c r="AP183" s="463">
        <f t="shared" si="133"/>
        <v>40.026077735793137</v>
      </c>
      <c r="AQ183" s="463">
        <f t="shared" si="133"/>
        <v>41.391134765438991</v>
      </c>
      <c r="AR183" s="463">
        <f t="shared" si="133"/>
        <v>43.694161336379651</v>
      </c>
      <c r="AT183" s="2148"/>
      <c r="AV183" s="1725" t="str">
        <f t="shared" si="132"/>
        <v>Dk</v>
      </c>
      <c r="BO183" s="444" t="str">
        <f t="shared" ref="BO183:BO211" si="134">J183</f>
        <v>Dk</v>
      </c>
      <c r="BP183" s="438"/>
      <c r="CS183" s="1979">
        <v>44339</v>
      </c>
      <c r="CT183" s="1605" t="s">
        <v>46</v>
      </c>
      <c r="CU183" s="1605" t="s">
        <v>1454</v>
      </c>
      <c r="CV183" s="1605" t="s">
        <v>46</v>
      </c>
      <c r="CW183" s="1605" t="s">
        <v>46</v>
      </c>
      <c r="CX183" s="1605" t="s">
        <v>1454</v>
      </c>
      <c r="CY183" s="2713" t="s">
        <v>1550</v>
      </c>
      <c r="CZ183" s="1606" t="s">
        <v>46</v>
      </c>
      <c r="DP183" s="1981">
        <v>44340</v>
      </c>
      <c r="DQ183" s="1593" t="s">
        <v>1623</v>
      </c>
      <c r="DR183" s="1593" t="s">
        <v>1623</v>
      </c>
      <c r="DS183" s="1822" t="s">
        <v>1841</v>
      </c>
      <c r="DT183" s="1822" t="s">
        <v>1842</v>
      </c>
      <c r="EJ183" s="2281">
        <v>1996</v>
      </c>
      <c r="EK183" s="2326">
        <f t="shared" ref="EK183:EK205" si="135">CT185</f>
        <v>218.65170599999999</v>
      </c>
      <c r="EL183" s="1247"/>
      <c r="EM183" s="1245"/>
      <c r="FB183"/>
      <c r="FC183"/>
      <c r="FE183" s="2283">
        <f>EK183</f>
        <v>218.65170599999999</v>
      </c>
      <c r="FF183"/>
      <c r="FG183" s="720">
        <v>43850</v>
      </c>
      <c r="FH183" s="1593" t="s">
        <v>1454</v>
      </c>
      <c r="FI183" s="1593" t="s">
        <v>1454</v>
      </c>
      <c r="FJ183" s="1593" t="s">
        <v>1456</v>
      </c>
      <c r="FK183" s="1593" t="s">
        <v>1454</v>
      </c>
    </row>
    <row r="184" spans="5:183" ht="21">
      <c r="I184" s="1651" t="s">
        <v>407</v>
      </c>
      <c r="J184" s="40" t="s">
        <v>638</v>
      </c>
      <c r="K184" s="22" t="s">
        <v>639</v>
      </c>
      <c r="L184" s="22"/>
      <c r="M184" s="22"/>
      <c r="N184" s="22"/>
      <c r="O184" s="1663" t="s">
        <v>414</v>
      </c>
      <c r="P184" s="1749"/>
      <c r="Q184" s="449"/>
      <c r="R184" s="449"/>
      <c r="S184" s="449"/>
      <c r="T184" s="449"/>
      <c r="U184" s="1691">
        <v>1</v>
      </c>
      <c r="V184" s="448">
        <f t="shared" ref="V184:AR184" si="136">V69/($U69*V159)</f>
        <v>1.4723042021668387</v>
      </c>
      <c r="W184" s="448">
        <f t="shared" si="136"/>
        <v>1.718558670886825</v>
      </c>
      <c r="X184" s="448">
        <f t="shared" si="136"/>
        <v>2.1060897046594418</v>
      </c>
      <c r="Y184" s="448">
        <f t="shared" si="136"/>
        <v>3.7278422973468679</v>
      </c>
      <c r="Z184" s="483">
        <f t="shared" si="136"/>
        <v>4.5918326760987345</v>
      </c>
      <c r="AA184" s="448">
        <f t="shared" si="136"/>
        <v>5.5611795404054956</v>
      </c>
      <c r="AB184" s="448">
        <f t="shared" si="136"/>
        <v>6.4682386989177063</v>
      </c>
      <c r="AC184" s="448">
        <f t="shared" si="136"/>
        <v>7.2584827706254744</v>
      </c>
      <c r="AD184" s="448">
        <f t="shared" si="136"/>
        <v>8.3282279936178867</v>
      </c>
      <c r="AE184" s="1720">
        <f t="shared" si="136"/>
        <v>9.3704714639566831</v>
      </c>
      <c r="AF184" s="448">
        <f t="shared" si="136"/>
        <v>10.171880121895711</v>
      </c>
      <c r="AG184" s="448">
        <f t="shared" si="136"/>
        <v>10.996054426330467</v>
      </c>
      <c r="AH184" s="448">
        <f t="shared" si="136"/>
        <v>12.382630991276981</v>
      </c>
      <c r="AI184" s="448">
        <f t="shared" si="136"/>
        <v>13.714036448863869</v>
      </c>
      <c r="AJ184" s="2158">
        <f t="shared" si="136"/>
        <v>14.629133800462956</v>
      </c>
      <c r="AK184" s="450">
        <f t="shared" si="136"/>
        <v>17.36421630879255</v>
      </c>
      <c r="AL184" s="450">
        <f t="shared" si="136"/>
        <v>18.540125110660799</v>
      </c>
      <c r="AM184" s="450">
        <f t="shared" si="136"/>
        <v>19.653563919076568</v>
      </c>
      <c r="AN184" s="450">
        <f t="shared" si="136"/>
        <v>21.016276952701091</v>
      </c>
      <c r="AO184" s="2160">
        <f t="shared" si="136"/>
        <v>23.908625308988828</v>
      </c>
      <c r="AP184" s="463">
        <f t="shared" si="136"/>
        <v>25.541020349632802</v>
      </c>
      <c r="AQ184" s="463">
        <f t="shared" si="136"/>
        <v>26.262932750374507</v>
      </c>
      <c r="AR184" s="463">
        <f t="shared" si="136"/>
        <v>27.120680464307846</v>
      </c>
      <c r="AT184" s="2148"/>
      <c r="AV184" s="1725" t="str">
        <f t="shared" si="132"/>
        <v>Dd</v>
      </c>
      <c r="BO184" s="444" t="str">
        <f t="shared" si="134"/>
        <v>Dd</v>
      </c>
      <c r="BP184" s="438"/>
      <c r="CS184" s="2441">
        <v>1995</v>
      </c>
      <c r="CT184" s="1201">
        <f>CV184</f>
        <v>266.97399999999999</v>
      </c>
      <c r="CU184" s="1382">
        <f t="array" ref="CU184:CU207">TRANSPOSE(U157:AR157)</f>
        <v>1</v>
      </c>
      <c r="CV184" s="1201">
        <f t="array" ref="CV184:CV207">TRANSPOSE(U79:AR79)</f>
        <v>266.97399999999999</v>
      </c>
      <c r="CW184" s="838"/>
      <c r="CX184" s="1871">
        <f>CT184/CZ184</f>
        <v>9.6463369887598391E-2</v>
      </c>
      <c r="CY184" s="1201">
        <f>4000*CX184</f>
        <v>385.85347955039356</v>
      </c>
      <c r="CZ184" s="1788">
        <f t="array" ref="CZ184:CZ207">TRANSPOSE(U167:AR167)</f>
        <v>2767.6205</v>
      </c>
      <c r="DP184" s="2097">
        <v>1995</v>
      </c>
      <c r="DQ184" s="1799">
        <f t="array" ref="DQ184:DQ207">TRANSPOSE(U189:AR189)</f>
        <v>1</v>
      </c>
      <c r="DR184" s="1802">
        <v>1</v>
      </c>
      <c r="DS184" s="1968"/>
      <c r="DT184" s="1970"/>
      <c r="EJ184" s="2281">
        <v>1997</v>
      </c>
      <c r="EK184" s="2326">
        <f t="shared" si="135"/>
        <v>207.71912069999996</v>
      </c>
      <c r="EL184" s="1247"/>
      <c r="EM184" s="1245"/>
      <c r="FB184"/>
      <c r="FC184"/>
      <c r="FE184" s="2283">
        <f t="shared" ref="FE184:FE205" si="137">EK184</f>
        <v>207.71912069999996</v>
      </c>
      <c r="FF184"/>
      <c r="FG184" s="1857">
        <v>1995</v>
      </c>
      <c r="FH184" s="1055">
        <v>1</v>
      </c>
      <c r="FI184" s="2123">
        <v>1</v>
      </c>
      <c r="FJ184" s="1803"/>
      <c r="FK184" s="2122"/>
    </row>
    <row r="185" spans="5:183" ht="21">
      <c r="I185" s="1651" t="s">
        <v>407</v>
      </c>
      <c r="J185" s="40" t="s">
        <v>640</v>
      </c>
      <c r="K185" s="22" t="s">
        <v>641</v>
      </c>
      <c r="L185" s="22"/>
      <c r="M185" s="22"/>
      <c r="N185" s="22"/>
      <c r="O185" s="1663" t="s">
        <v>414</v>
      </c>
      <c r="P185" s="1749"/>
      <c r="Q185" s="449"/>
      <c r="R185" s="449"/>
      <c r="S185" s="449"/>
      <c r="T185" s="449"/>
      <c r="U185" s="1691">
        <v>1</v>
      </c>
      <c r="V185" s="448">
        <f t="shared" ref="V185:AR185" si="138">V70/($U70*V160)</f>
        <v>1.3930686182271845</v>
      </c>
      <c r="W185" s="448">
        <f t="shared" si="138"/>
        <v>1.8000080782573098</v>
      </c>
      <c r="X185" s="448">
        <f t="shared" si="138"/>
        <v>1.7787455021088285</v>
      </c>
      <c r="Y185" s="448">
        <f t="shared" si="138"/>
        <v>2.4627881934761957</v>
      </c>
      <c r="Z185" s="483">
        <f t="shared" si="138"/>
        <v>3.7854704885295649</v>
      </c>
      <c r="AA185" s="448">
        <f t="shared" si="138"/>
        <v>5.0878645956391404</v>
      </c>
      <c r="AB185" s="448">
        <f t="shared" si="138"/>
        <v>6.5528675715584006</v>
      </c>
      <c r="AC185" s="448">
        <f t="shared" si="138"/>
        <v>7.7958923176158716</v>
      </c>
      <c r="AD185" s="448">
        <f t="shared" si="138"/>
        <v>9.32454487174126</v>
      </c>
      <c r="AE185" s="1720">
        <f t="shared" si="138"/>
        <v>11.601834838997735</v>
      </c>
      <c r="AF185" s="448">
        <f t="shared" si="138"/>
        <v>14.558879763670303</v>
      </c>
      <c r="AG185" s="448">
        <f t="shared" si="138"/>
        <v>17.418642331419541</v>
      </c>
      <c r="AH185" s="448">
        <f t="shared" si="138"/>
        <v>21.558658204106848</v>
      </c>
      <c r="AI185" s="448">
        <f t="shared" si="138"/>
        <v>23.771830652990928</v>
      </c>
      <c r="AJ185" s="2158">
        <f t="shared" si="138"/>
        <v>25.942740710668115</v>
      </c>
      <c r="AK185" s="450">
        <f t="shared" si="138"/>
        <v>31.060937552257776</v>
      </c>
      <c r="AL185" s="450">
        <f t="shared" si="138"/>
        <v>34.957056458668305</v>
      </c>
      <c r="AM185" s="450">
        <f t="shared" si="138"/>
        <v>38.623860073036887</v>
      </c>
      <c r="AN185" s="450">
        <f t="shared" si="138"/>
        <v>41.260921847659759</v>
      </c>
      <c r="AO185" s="2160">
        <f t="shared" si="138"/>
        <v>44.344749772395339</v>
      </c>
      <c r="AP185" s="463">
        <f t="shared" si="138"/>
        <v>46.796704667591264</v>
      </c>
      <c r="AQ185" s="463">
        <f t="shared" si="138"/>
        <v>48.327851197265097</v>
      </c>
      <c r="AR185" s="463">
        <f t="shared" si="138"/>
        <v>52.235265501486438</v>
      </c>
      <c r="AT185" s="2148"/>
      <c r="AV185" s="1725" t="str">
        <f t="shared" si="132"/>
        <v>Dg</v>
      </c>
      <c r="BO185" s="444" t="str">
        <f t="shared" si="134"/>
        <v>Dg</v>
      </c>
      <c r="BP185" s="438"/>
      <c r="CS185" s="2442">
        <v>1996</v>
      </c>
      <c r="CT185" s="1201">
        <f t="shared" ref="CT185:CT207" si="139">CT$184*CU185</f>
        <v>218.65170599999999</v>
      </c>
      <c r="CU185" s="1382">
        <v>0.81899999999999995</v>
      </c>
      <c r="CV185" s="1201">
        <v>375.95800000000003</v>
      </c>
      <c r="CW185" s="1382"/>
      <c r="CX185" s="1871">
        <f>CT185/CZ185</f>
        <v>8.1279320923809753E-2</v>
      </c>
      <c r="CY185" s="2716">
        <f>4000*CX185</f>
        <v>325.117283695239</v>
      </c>
      <c r="CZ185" s="1788">
        <v>2690.1271259999999</v>
      </c>
      <c r="DP185" s="2281">
        <v>1996</v>
      </c>
      <c r="DQ185" s="2119">
        <v>1.7194377618988257</v>
      </c>
      <c r="DR185" s="1382">
        <f>НАСТРОЙКА!DR137</f>
        <v>1.218</v>
      </c>
      <c r="DS185" s="1616"/>
      <c r="DT185" s="1035"/>
      <c r="EJ185" s="2281">
        <v>1998</v>
      </c>
      <c r="EK185" s="2326">
        <f t="shared" si="135"/>
        <v>182.79282621599998</v>
      </c>
      <c r="EL185" s="2327"/>
      <c r="EM185" s="1245"/>
      <c r="FB185"/>
      <c r="FC185"/>
      <c r="FE185" s="2283">
        <f t="shared" si="137"/>
        <v>182.79282621599998</v>
      </c>
      <c r="FF185"/>
      <c r="FG185" s="1857">
        <v>1996</v>
      </c>
      <c r="FH185" s="1860">
        <f t="shared" ref="FH185:FH207" si="140">CU185</f>
        <v>0.81899999999999995</v>
      </c>
      <c r="FI185" s="2121" t="e">
        <f>#REF!</f>
        <v>#REF!</v>
      </c>
      <c r="FJ185" s="1034"/>
      <c r="FK185" s="1160"/>
    </row>
    <row r="186" spans="5:183" ht="21">
      <c r="I186" s="1651" t="s">
        <v>407</v>
      </c>
      <c r="J186" s="40" t="s">
        <v>642</v>
      </c>
      <c r="K186" s="22" t="s">
        <v>643</v>
      </c>
      <c r="L186" s="22"/>
      <c r="M186" s="22"/>
      <c r="N186" s="22"/>
      <c r="O186" s="1663" t="s">
        <v>414</v>
      </c>
      <c r="P186" s="1749"/>
      <c r="Q186" s="449"/>
      <c r="R186" s="449"/>
      <c r="S186" s="449"/>
      <c r="T186" s="449"/>
      <c r="U186" s="1691">
        <v>1</v>
      </c>
      <c r="V186" s="448">
        <f t="shared" ref="V186:AR186" si="141">V71/($U71*V161)</f>
        <v>1.4997486735151189</v>
      </c>
      <c r="W186" s="448">
        <f t="shared" si="141"/>
        <v>1.9526312539350381</v>
      </c>
      <c r="X186" s="448">
        <f t="shared" si="141"/>
        <v>2.0059060303554479</v>
      </c>
      <c r="Y186" s="448">
        <f t="shared" si="141"/>
        <v>2.3429902839701637</v>
      </c>
      <c r="Z186" s="483">
        <f t="shared" si="141"/>
        <v>3.2406114791110681</v>
      </c>
      <c r="AA186" s="448">
        <f t="shared" si="141"/>
        <v>3.97066356566005</v>
      </c>
      <c r="AB186" s="448">
        <f t="shared" si="141"/>
        <v>5.2843734476785453</v>
      </c>
      <c r="AC186" s="448">
        <f t="shared" si="141"/>
        <v>6.1715081316356093</v>
      </c>
      <c r="AD186" s="448">
        <f t="shared" si="141"/>
        <v>6.7016025302099056</v>
      </c>
      <c r="AE186" s="1720">
        <f t="shared" si="141"/>
        <v>7.6444391008680617</v>
      </c>
      <c r="AF186" s="448">
        <f t="shared" si="141"/>
        <v>8.6255823418854529</v>
      </c>
      <c r="AG186" s="448">
        <f t="shared" si="141"/>
        <v>10.098705571453516</v>
      </c>
      <c r="AH186" s="448">
        <f t="shared" si="141"/>
        <v>11.941266045828566</v>
      </c>
      <c r="AI186" s="448">
        <f t="shared" si="141"/>
        <v>12.996640727607122</v>
      </c>
      <c r="AJ186" s="2158">
        <f t="shared" si="141"/>
        <v>13.587422805401822</v>
      </c>
      <c r="AK186" s="450">
        <f t="shared" si="141"/>
        <v>14.262597604124318</v>
      </c>
      <c r="AL186" s="450">
        <f t="shared" si="141"/>
        <v>15.820545673088896</v>
      </c>
      <c r="AM186" s="450">
        <f t="shared" si="141"/>
        <v>16.643637181160418</v>
      </c>
      <c r="AN186" s="450">
        <f t="shared" si="141"/>
        <v>18.778754615584578</v>
      </c>
      <c r="AO186" s="2160">
        <f t="shared" si="141"/>
        <v>20.932137525435952</v>
      </c>
      <c r="AP186" s="463">
        <f t="shared" si="141"/>
        <v>22.713794876355891</v>
      </c>
      <c r="AQ186" s="463">
        <f t="shared" si="141"/>
        <v>24.993896175246313</v>
      </c>
      <c r="AR186" s="463">
        <f t="shared" si="141"/>
        <v>27.181442967904612</v>
      </c>
      <c r="AT186" s="2148"/>
      <c r="AV186" s="1725" t="str">
        <f t="shared" si="132"/>
        <v>Dnk</v>
      </c>
      <c r="BO186" s="444" t="str">
        <f t="shared" si="134"/>
        <v>Dnk</v>
      </c>
      <c r="BP186" s="438"/>
      <c r="CS186" s="2442">
        <v>1997</v>
      </c>
      <c r="CT186" s="1201">
        <f t="shared" si="139"/>
        <v>207.71912069999996</v>
      </c>
      <c r="CU186" s="1382">
        <v>0.77804999999999991</v>
      </c>
      <c r="CV186" s="1201">
        <v>408.79700000000003</v>
      </c>
      <c r="CW186" s="1382"/>
      <c r="CX186" s="1871">
        <f t="shared" ref="CX186:CX207" si="142">CT186/CZ186</f>
        <v>7.6149265165304986E-2</v>
      </c>
      <c r="CY186" s="2716">
        <f t="shared" ref="CY186:CY224" si="143">4000*CX186</f>
        <v>304.59706066121993</v>
      </c>
      <c r="CZ186" s="1788">
        <v>2727.788905764</v>
      </c>
      <c r="DP186" s="2281">
        <v>1997</v>
      </c>
      <c r="DQ186" s="1616">
        <v>1.9680277801214476</v>
      </c>
      <c r="DR186" s="1382">
        <f>НАСТРОЙКА!DR138</f>
        <v>1.3519800000000002</v>
      </c>
      <c r="DS186" s="1616"/>
      <c r="DT186" s="1035"/>
      <c r="EJ186" s="2281">
        <v>1999</v>
      </c>
      <c r="EK186" s="2326">
        <f t="shared" si="135"/>
        <v>191.93246752679997</v>
      </c>
      <c r="EL186" s="2327"/>
      <c r="EM186" s="1245"/>
      <c r="FB186"/>
      <c r="FC186"/>
      <c r="FE186" s="2283">
        <f t="shared" si="137"/>
        <v>191.93246752679997</v>
      </c>
      <c r="FF186"/>
      <c r="FG186" s="1857">
        <v>1997</v>
      </c>
      <c r="FH186" s="1860">
        <f t="shared" si="140"/>
        <v>0.77804999999999991</v>
      </c>
      <c r="FI186" s="2121" t="e">
        <f>#REF!</f>
        <v>#REF!</v>
      </c>
      <c r="FJ186" s="1034"/>
      <c r="FK186" s="1035" t="e">
        <f>0.4*FI186+0.5*FI185+0.1*FI184</f>
        <v>#REF!</v>
      </c>
    </row>
    <row r="187" spans="5:183" ht="24.6">
      <c r="I187" s="1651" t="s">
        <v>407</v>
      </c>
      <c r="J187" s="40" t="s">
        <v>644</v>
      </c>
      <c r="K187" s="22" t="s">
        <v>645</v>
      </c>
      <c r="L187" s="22"/>
      <c r="M187" s="22"/>
      <c r="N187" s="22"/>
      <c r="O187" s="1663" t="s">
        <v>414</v>
      </c>
      <c r="P187" s="1749"/>
      <c r="Q187" s="449"/>
      <c r="R187" s="449"/>
      <c r="S187" s="449"/>
      <c r="T187" s="449"/>
      <c r="U187" s="1691">
        <v>1</v>
      </c>
      <c r="V187" s="448">
        <f t="shared" ref="V187:AR187" si="144">V62/($U62*V162)</f>
        <v>1.2062700474653716</v>
      </c>
      <c r="W187" s="448">
        <f t="shared" si="144"/>
        <v>1.3416177583578945</v>
      </c>
      <c r="X187" s="448">
        <f t="shared" si="144"/>
        <v>1.8660673788361899</v>
      </c>
      <c r="Y187" s="448">
        <f t="shared" si="144"/>
        <v>4.2606518536034752</v>
      </c>
      <c r="Z187" s="483">
        <f t="shared" si="144"/>
        <v>6.0082118596068304</v>
      </c>
      <c r="AA187" s="448">
        <f t="shared" si="144"/>
        <v>5.9105900050191611</v>
      </c>
      <c r="AB187" s="448">
        <f t="shared" si="144"/>
        <v>6.1936348205467269</v>
      </c>
      <c r="AC187" s="448">
        <f t="shared" si="144"/>
        <v>6.7152546240758211</v>
      </c>
      <c r="AD187" s="448">
        <f t="shared" si="144"/>
        <v>7.5604196927091616</v>
      </c>
      <c r="AE187" s="1720">
        <f t="shared" si="144"/>
        <v>9.215042167890525</v>
      </c>
      <c r="AF187" s="448">
        <f t="shared" si="144"/>
        <v>10.249953881504441</v>
      </c>
      <c r="AG187" s="448">
        <f t="shared" si="144"/>
        <v>10.650833844352405</v>
      </c>
      <c r="AH187" s="448">
        <f t="shared" si="144"/>
        <v>13.643325842032947</v>
      </c>
      <c r="AI187" s="448">
        <f t="shared" si="144"/>
        <v>12.010355196687106</v>
      </c>
      <c r="AJ187" s="2158">
        <f t="shared" si="144"/>
        <v>14.006747557636276</v>
      </c>
      <c r="AK187" s="450">
        <f t="shared" si="144"/>
        <v>17.408124468926459</v>
      </c>
      <c r="AL187" s="450">
        <f t="shared" si="144"/>
        <v>18.653542469425737</v>
      </c>
      <c r="AM187" s="450">
        <f t="shared" si="144"/>
        <v>18.357364736075578</v>
      </c>
      <c r="AN187" s="450">
        <f t="shared" si="144"/>
        <v>20.747451690988555</v>
      </c>
      <c r="AO187" s="2160">
        <f t="shared" si="144"/>
        <v>22.274520095355602</v>
      </c>
      <c r="AP187" s="450">
        <f t="shared" si="144"/>
        <v>20.030786917707065</v>
      </c>
      <c r="AQ187" s="450">
        <f t="shared" si="144"/>
        <v>20.67689483369983</v>
      </c>
      <c r="AR187" s="450">
        <f t="shared" si="144"/>
        <v>26.083050100459737</v>
      </c>
      <c r="AT187" s="2148"/>
      <c r="AV187" s="1725" t="str">
        <f t="shared" si="132"/>
        <v>De</v>
      </c>
      <c r="BO187" s="444" t="str">
        <f t="shared" si="134"/>
        <v>De</v>
      </c>
      <c r="BP187" s="1051"/>
      <c r="CS187" s="2442">
        <v>1998</v>
      </c>
      <c r="CT187" s="1201">
        <f t="shared" si="139"/>
        <v>182.79282621599998</v>
      </c>
      <c r="CU187" s="1382">
        <v>0.68468399999999996</v>
      </c>
      <c r="CV187" s="1201">
        <v>407.08600000000001</v>
      </c>
      <c r="CW187" s="1382"/>
      <c r="CX187" s="1871">
        <f t="shared" si="142"/>
        <v>7.0612595727574709E-2</v>
      </c>
      <c r="CY187" s="2716">
        <f t="shared" si="143"/>
        <v>282.45038291029886</v>
      </c>
      <c r="CZ187" s="1788">
        <v>2588.6716715700359</v>
      </c>
      <c r="DP187" s="2281">
        <v>1998</v>
      </c>
      <c r="DQ187" s="1616">
        <v>2.2270348811115843</v>
      </c>
      <c r="DR187" s="1382">
        <f>НАСТРОЙКА!DR139</f>
        <v>2.4930511200000005</v>
      </c>
      <c r="DS187" s="1616"/>
      <c r="DT187" s="1035"/>
      <c r="EJ187" s="2281">
        <v>2000</v>
      </c>
      <c r="EK187" s="2326">
        <f t="shared" si="135"/>
        <v>225.32871687646315</v>
      </c>
      <c r="EL187" s="2327"/>
      <c r="EM187" s="1245"/>
      <c r="EQ187" s="2141" t="s">
        <v>1839</v>
      </c>
      <c r="FB187"/>
      <c r="FC187"/>
      <c r="FE187" s="2283">
        <f t="shared" si="137"/>
        <v>225.32871687646315</v>
      </c>
      <c r="FF187"/>
      <c r="FG187" s="1857">
        <v>1998</v>
      </c>
      <c r="FH187" s="1860">
        <f t="shared" si="140"/>
        <v>0.68468399999999996</v>
      </c>
      <c r="FI187" s="2121" t="e">
        <f>#REF!</f>
        <v>#REF!</v>
      </c>
      <c r="FJ187" s="1034"/>
      <c r="FK187" s="1035" t="e">
        <f t="shared" ref="FK187:FK207" si="145">0.4*FI187+0.5*FI186+0.1*FI185</f>
        <v>#REF!</v>
      </c>
    </row>
    <row r="188" spans="5:183" ht="21">
      <c r="I188" s="1651" t="s">
        <v>407</v>
      </c>
      <c r="J188" s="40" t="s">
        <v>646</v>
      </c>
      <c r="K188" s="22" t="s">
        <v>647</v>
      </c>
      <c r="L188" s="22"/>
      <c r="M188" s="22"/>
      <c r="N188" s="22"/>
      <c r="O188" s="1663" t="s">
        <v>414</v>
      </c>
      <c r="P188" s="1749"/>
      <c r="Q188" s="449"/>
      <c r="R188" s="449"/>
      <c r="S188" s="449"/>
      <c r="T188" s="449"/>
      <c r="U188" s="1691">
        <v>1</v>
      </c>
      <c r="V188" s="448">
        <f t="shared" ref="V188:AR188" si="146">V52/V194</f>
        <v>1.170751567490661</v>
      </c>
      <c r="W188" s="448">
        <f t="shared" si="146"/>
        <v>1.4027022303089887</v>
      </c>
      <c r="X188" s="448">
        <f t="shared" si="146"/>
        <v>2.0776657762662092</v>
      </c>
      <c r="Y188" s="448">
        <f t="shared" si="146"/>
        <v>4.8943006185343938</v>
      </c>
      <c r="Z188" s="483">
        <f t="shared" si="146"/>
        <v>5.1416113994451775</v>
      </c>
      <c r="AA188" s="448">
        <f t="shared" si="146"/>
        <v>5.3433855590626722</v>
      </c>
      <c r="AB188" s="448">
        <f t="shared" si="146"/>
        <v>5.6965406483895409</v>
      </c>
      <c r="AC188" s="448">
        <f t="shared" si="146"/>
        <v>5.788123461724906</v>
      </c>
      <c r="AD188" s="448">
        <f t="shared" si="146"/>
        <v>5.6171649663435321</v>
      </c>
      <c r="AE188" s="1720">
        <f t="shared" si="146"/>
        <v>5.9336563381172764</v>
      </c>
      <c r="AF188" s="448">
        <f t="shared" si="146"/>
        <v>5.9494755268032087</v>
      </c>
      <c r="AG188" s="448">
        <f t="shared" si="146"/>
        <v>5.9724865903412292</v>
      </c>
      <c r="AH188" s="448">
        <f t="shared" si="146"/>
        <v>6.6180737006266304</v>
      </c>
      <c r="AI188" s="448">
        <f t="shared" si="146"/>
        <v>8.3015732196072296</v>
      </c>
      <c r="AJ188" s="2158">
        <f t="shared" si="146"/>
        <v>8.121605375451491</v>
      </c>
      <c r="AK188" s="450">
        <f t="shared" si="146"/>
        <v>8.2828741918760365</v>
      </c>
      <c r="AL188" s="450">
        <f t="shared" si="146"/>
        <v>8.6670199170643638</v>
      </c>
      <c r="AM188" s="450">
        <f t="shared" si="146"/>
        <v>9.0619465420277994</v>
      </c>
      <c r="AN188" s="450">
        <f t="shared" si="146"/>
        <v>10.713774916786434</v>
      </c>
      <c r="AO188" s="2160">
        <f t="shared" si="146"/>
        <v>15.005583237946571</v>
      </c>
      <c r="AP188" s="450">
        <f t="shared" si="146"/>
        <v>16.052012422908835</v>
      </c>
      <c r="AQ188" s="450">
        <f t="shared" si="146"/>
        <v>14.742627700481552</v>
      </c>
      <c r="AR188" s="450">
        <f t="shared" si="146"/>
        <v>16.237654558609503</v>
      </c>
      <c r="AT188" s="2148"/>
      <c r="AV188" s="1725" t="str">
        <f t="shared" si="132"/>
        <v>Dm</v>
      </c>
      <c r="BO188" s="444" t="str">
        <f t="shared" si="134"/>
        <v>Dm</v>
      </c>
      <c r="BP188" s="438"/>
      <c r="CS188" s="2442">
        <v>1999</v>
      </c>
      <c r="CT188" s="1201">
        <f t="shared" si="139"/>
        <v>191.93246752679997</v>
      </c>
      <c r="CU188" s="1382">
        <v>0.71891819999999995</v>
      </c>
      <c r="CV188" s="1201">
        <v>670.43899999999996</v>
      </c>
      <c r="CW188" s="1382"/>
      <c r="CX188" s="1871">
        <f t="shared" si="142"/>
        <v>7.0078663056666754E-2</v>
      </c>
      <c r="CY188" s="2716">
        <f t="shared" si="143"/>
        <v>280.31465222666702</v>
      </c>
      <c r="CZ188" s="1788">
        <v>2738.8146285210983</v>
      </c>
      <c r="DP188" s="2281">
        <v>1999</v>
      </c>
      <c r="DQ188" s="1616">
        <v>3.493098424873764</v>
      </c>
      <c r="DR188" s="1382">
        <f>НАСТРОЙКА!DR140</f>
        <v>3.4030147788000007</v>
      </c>
      <c r="DS188" s="1616"/>
      <c r="DT188" s="1035"/>
      <c r="EJ188" s="2281">
        <v>2001</v>
      </c>
      <c r="EK188" s="2326">
        <f t="shared" si="135"/>
        <v>247.86158856410947</v>
      </c>
      <c r="EL188" s="2327"/>
      <c r="EM188" s="1245"/>
      <c r="FB188"/>
      <c r="FC188"/>
      <c r="FE188" s="2283">
        <f t="shared" si="137"/>
        <v>247.86158856410947</v>
      </c>
      <c r="FF188"/>
      <c r="FG188" s="1857">
        <v>1999</v>
      </c>
      <c r="FH188" s="1860">
        <f t="shared" si="140"/>
        <v>0.71891819999999995</v>
      </c>
      <c r="FI188" s="2121" t="e">
        <f>#REF!</f>
        <v>#REF!</v>
      </c>
      <c r="FJ188" s="1034"/>
      <c r="FK188" s="1035" t="e">
        <f t="shared" si="145"/>
        <v>#REF!</v>
      </c>
    </row>
    <row r="189" spans="5:183" ht="21">
      <c r="I189" s="1651" t="s">
        <v>407</v>
      </c>
      <c r="J189" s="40" t="s">
        <v>648</v>
      </c>
      <c r="K189" s="22" t="s">
        <v>649</v>
      </c>
      <c r="L189" s="22"/>
      <c r="M189" s="22"/>
      <c r="N189" s="22"/>
      <c r="O189" s="1663" t="s">
        <v>414</v>
      </c>
      <c r="P189" s="1741"/>
      <c r="U189" s="1691">
        <v>1</v>
      </c>
      <c r="V189" s="1752">
        <f t="shared" ref="V189:AR189" si="147">V79/V195</f>
        <v>1.7194377618988257</v>
      </c>
      <c r="W189" s="1719">
        <f t="shared" si="147"/>
        <v>1.9680277801214476</v>
      </c>
      <c r="X189" s="1719">
        <f t="shared" si="147"/>
        <v>2.2270348811115843</v>
      </c>
      <c r="Y189" s="1719">
        <f t="shared" si="147"/>
        <v>3.493098424873764</v>
      </c>
      <c r="Z189" s="483">
        <f t="shared" si="147"/>
        <v>5.1712627496070169</v>
      </c>
      <c r="AA189" s="448">
        <f t="shared" si="147"/>
        <v>6.0707268468539191</v>
      </c>
      <c r="AB189" s="448">
        <f t="shared" si="147"/>
        <v>6.9167509862711283</v>
      </c>
      <c r="AC189" s="448">
        <f t="shared" si="147"/>
        <v>7.6273689193439225</v>
      </c>
      <c r="AD189" s="448">
        <f t="shared" si="147"/>
        <v>8.7904133177964692</v>
      </c>
      <c r="AE189" s="1720">
        <f t="shared" si="147"/>
        <v>10.054085870175701</v>
      </c>
      <c r="AF189" s="448">
        <f t="shared" si="147"/>
        <v>11.28478682823815</v>
      </c>
      <c r="AG189" s="448">
        <f t="shared" si="147"/>
        <v>13.059083510568804</v>
      </c>
      <c r="AH189" s="448">
        <f t="shared" si="147"/>
        <v>15.593657080025292</v>
      </c>
      <c r="AI189" s="448">
        <f t="shared" si="147"/>
        <v>16.373566297801105</v>
      </c>
      <c r="AJ189" s="2158">
        <f t="shared" si="147"/>
        <v>17.674409856030426</v>
      </c>
      <c r="AK189" s="450">
        <f t="shared" si="147"/>
        <v>19.234566440524752</v>
      </c>
      <c r="AL189" s="450">
        <f t="shared" si="147"/>
        <v>20.540168341333807</v>
      </c>
      <c r="AM189" s="450">
        <f t="shared" si="147"/>
        <v>21.776225011581559</v>
      </c>
      <c r="AN189" s="450">
        <f t="shared" si="147"/>
        <v>22.851453644141124</v>
      </c>
      <c r="AO189" s="2160">
        <f t="shared" si="147"/>
        <v>25.408791247612854</v>
      </c>
      <c r="AP189" s="463">
        <f t="shared" si="147"/>
        <v>27.019844336572895</v>
      </c>
      <c r="AQ189" s="463">
        <f t="shared" si="147"/>
        <v>28.017232863734257</v>
      </c>
      <c r="AR189" s="463">
        <f t="shared" si="147"/>
        <v>29.489664817255768</v>
      </c>
      <c r="AT189" s="2148"/>
      <c r="AV189" s="1725" t="str">
        <f t="shared" si="132"/>
        <v>Dn</v>
      </c>
      <c r="BO189" s="444" t="str">
        <f t="shared" si="134"/>
        <v>Dn</v>
      </c>
      <c r="CS189" s="2442">
        <v>2000</v>
      </c>
      <c r="CT189" s="1201">
        <f t="shared" si="139"/>
        <v>225.32871687646315</v>
      </c>
      <c r="CU189" s="1382">
        <v>0.84400996679999984</v>
      </c>
      <c r="CV189" s="1201">
        <v>1165.2339999999999</v>
      </c>
      <c r="CW189" s="1382"/>
      <c r="CX189" s="1871">
        <f t="shared" si="142"/>
        <v>7.5203245364284049E-2</v>
      </c>
      <c r="CY189" s="2716">
        <f t="shared" si="143"/>
        <v>300.81298145713617</v>
      </c>
      <c r="CZ189" s="1788">
        <v>2996.2632036020818</v>
      </c>
      <c r="DP189" s="2281">
        <v>2000</v>
      </c>
      <c r="DQ189" s="1616">
        <v>5.1712627496070169</v>
      </c>
      <c r="DR189" s="1382">
        <f>НАСТРОЙКА!DR141</f>
        <v>4.0904237641176007</v>
      </c>
      <c r="DS189" s="1616"/>
      <c r="DT189" s="1035"/>
      <c r="EJ189" s="2281">
        <v>2002</v>
      </c>
      <c r="EK189" s="2326">
        <f t="shared" si="135"/>
        <v>254.80171304390456</v>
      </c>
      <c r="EL189" s="2327"/>
      <c r="EM189" s="1245"/>
      <c r="FB189"/>
      <c r="FC189"/>
      <c r="FE189" s="2283">
        <f t="shared" si="137"/>
        <v>254.80171304390456</v>
      </c>
      <c r="FF189"/>
      <c r="FG189" s="1857">
        <v>2000</v>
      </c>
      <c r="FH189" s="1860">
        <f t="shared" si="140"/>
        <v>0.84400996679999984</v>
      </c>
      <c r="FI189" s="2121" t="e">
        <f>#REF!</f>
        <v>#REF!</v>
      </c>
      <c r="FJ189" s="1034"/>
      <c r="FK189" s="1035" t="e">
        <f t="shared" si="145"/>
        <v>#REF!</v>
      </c>
    </row>
    <row r="190" spans="5:183" ht="21">
      <c r="I190" s="1651" t="s">
        <v>407</v>
      </c>
      <c r="J190" s="40" t="s">
        <v>650</v>
      </c>
      <c r="K190" s="22" t="s">
        <v>651</v>
      </c>
      <c r="L190" s="22"/>
      <c r="M190" s="22"/>
      <c r="N190" s="22"/>
      <c r="O190" s="1663" t="s">
        <v>414</v>
      </c>
      <c r="P190" s="1749"/>
      <c r="Q190" s="449"/>
      <c r="R190" s="449"/>
      <c r="S190" s="449"/>
      <c r="T190" s="449"/>
      <c r="U190" s="1691">
        <v>1</v>
      </c>
      <c r="V190" s="448">
        <f t="shared" ref="V190:AR190" si="148">V82/V197</f>
        <v>2.4661634872716665</v>
      </c>
      <c r="W190" s="448">
        <f t="shared" si="148"/>
        <v>2.5165818894824628</v>
      </c>
      <c r="X190" s="448">
        <f t="shared" si="148"/>
        <v>2.6836249787031963</v>
      </c>
      <c r="Y190" s="448">
        <f t="shared" si="148"/>
        <v>2.701164323022275</v>
      </c>
      <c r="Z190" s="483">
        <f t="shared" si="148"/>
        <v>3.2947518370474893</v>
      </c>
      <c r="AA190" s="448">
        <f t="shared" si="148"/>
        <v>3.7846782806927575</v>
      </c>
      <c r="AB190" s="448">
        <f t="shared" si="148"/>
        <v>4.5228031897927927</v>
      </c>
      <c r="AC190" s="448">
        <f t="shared" si="148"/>
        <v>5.542638112686384</v>
      </c>
      <c r="AD190" s="448">
        <f t="shared" si="148"/>
        <v>6.2728522161048463</v>
      </c>
      <c r="AE190" s="1720">
        <f t="shared" si="148"/>
        <v>7.3244397581202456</v>
      </c>
      <c r="AF190" s="448">
        <f t="shared" si="148"/>
        <v>8.1861967165379976</v>
      </c>
      <c r="AG190" s="448">
        <f t="shared" si="148"/>
        <v>10.097240670067599</v>
      </c>
      <c r="AH190" s="448">
        <f t="shared" si="148"/>
        <v>12.014838376677151</v>
      </c>
      <c r="AI190" s="448">
        <f t="shared" si="148"/>
        <v>12.870829474853368</v>
      </c>
      <c r="AJ190" s="2158">
        <f t="shared" si="148"/>
        <v>14.148307151553455</v>
      </c>
      <c r="AK190" s="450">
        <f t="shared" si="148"/>
        <v>15.766970202222982</v>
      </c>
      <c r="AL190" s="450">
        <f t="shared" si="148"/>
        <v>16.974068796381736</v>
      </c>
      <c r="AM190" s="450">
        <f t="shared" si="148"/>
        <v>17.953158422730532</v>
      </c>
      <c r="AN190" s="450">
        <f t="shared" si="148"/>
        <v>19.115802786548628</v>
      </c>
      <c r="AO190" s="2160">
        <f t="shared" si="148"/>
        <v>20.193444864834213</v>
      </c>
      <c r="AP190" s="450">
        <f t="shared" si="148"/>
        <v>22.177890468882978</v>
      </c>
      <c r="AQ190" s="450">
        <f t="shared" si="148"/>
        <v>22.675989872141365</v>
      </c>
      <c r="AR190" s="450">
        <f t="shared" si="148"/>
        <v>23.085153319082956</v>
      </c>
      <c r="AT190" s="2148"/>
      <c r="AV190" s="1725" t="str">
        <f t="shared" si="132"/>
        <v>Df</v>
      </c>
      <c r="BO190" s="444" t="str">
        <f t="shared" si="134"/>
        <v>Df</v>
      </c>
      <c r="CS190" s="2442">
        <v>2001</v>
      </c>
      <c r="CT190" s="1201">
        <f t="shared" si="139"/>
        <v>247.86158856410947</v>
      </c>
      <c r="CU190" s="1382">
        <v>0.92841096347999985</v>
      </c>
      <c r="CV190" s="1201">
        <v>1504.7</v>
      </c>
      <c r="CW190" s="1382"/>
      <c r="CX190" s="1871">
        <f t="shared" si="142"/>
        <v>7.8859456530707792E-2</v>
      </c>
      <c r="CY190" s="2716">
        <f t="shared" si="143"/>
        <v>315.43782612283115</v>
      </c>
      <c r="CZ190" s="1788">
        <v>3143.0801005785834</v>
      </c>
      <c r="DP190" s="2281">
        <v>2001</v>
      </c>
      <c r="DQ190" s="1616">
        <v>6.0707268468539191</v>
      </c>
      <c r="DR190" s="1382">
        <f>НАСТРОЙКА!DR142</f>
        <v>4.8512425842434741</v>
      </c>
      <c r="DS190" s="1616"/>
      <c r="DT190" s="1035"/>
      <c r="EJ190" s="2281">
        <v>2003</v>
      </c>
      <c r="EK190" s="2326">
        <f t="shared" si="135"/>
        <v>286.6519271743926</v>
      </c>
      <c r="EL190" s="2327"/>
      <c r="EM190" s="1245"/>
      <c r="FB190"/>
      <c r="FC190"/>
      <c r="FE190" s="2283">
        <f t="shared" si="137"/>
        <v>286.6519271743926</v>
      </c>
      <c r="FF190"/>
      <c r="FG190" s="1857">
        <v>2001</v>
      </c>
      <c r="FH190" s="1860">
        <f t="shared" si="140"/>
        <v>0.92841096347999985</v>
      </c>
      <c r="FI190" s="2121" t="e">
        <f>#REF!</f>
        <v>#REF!</v>
      </c>
      <c r="FJ190" s="1034"/>
      <c r="FK190" s="1035" t="e">
        <f t="shared" si="145"/>
        <v>#REF!</v>
      </c>
    </row>
    <row r="191" spans="5:183" ht="21">
      <c r="I191" s="1651" t="s">
        <v>407</v>
      </c>
      <c r="J191" s="40" t="s">
        <v>652</v>
      </c>
      <c r="K191" s="22" t="s">
        <v>653</v>
      </c>
      <c r="L191" s="22"/>
      <c r="M191" s="22"/>
      <c r="N191" s="22"/>
      <c r="O191" s="1663" t="s">
        <v>414</v>
      </c>
      <c r="P191" s="1749"/>
      <c r="U191" s="1691">
        <f>1</f>
        <v>1</v>
      </c>
      <c r="V191" s="1752">
        <f t="shared" ref="V191:AR191" si="149">V83/V193</f>
        <v>1.6953967315458069</v>
      </c>
      <c r="W191" s="1719">
        <f t="shared" si="149"/>
        <v>2.415292468742241</v>
      </c>
      <c r="X191" s="1719">
        <f t="shared" si="149"/>
        <v>2.6727462335842294</v>
      </c>
      <c r="Y191" s="1719">
        <f t="shared" si="149"/>
        <v>3.4893420575027583</v>
      </c>
      <c r="Z191" s="483">
        <f t="shared" si="149"/>
        <v>3.9448052793534916</v>
      </c>
      <c r="AA191" s="1719">
        <f t="shared" si="149"/>
        <v>4.3960246162225971</v>
      </c>
      <c r="AB191" s="1719">
        <f t="shared" si="149"/>
        <v>5.8843823618297426</v>
      </c>
      <c r="AC191" s="1719">
        <f t="shared" si="149"/>
        <v>5.9009164044902702</v>
      </c>
      <c r="AD191" s="1719">
        <f t="shared" si="149"/>
        <v>5.7361386042739939</v>
      </c>
      <c r="AE191" s="1720">
        <f t="shared" si="149"/>
        <v>7.7188495068870884</v>
      </c>
      <c r="AF191" s="448">
        <f t="shared" si="149"/>
        <v>7.333907061981483</v>
      </c>
      <c r="AG191" s="448">
        <f t="shared" si="149"/>
        <v>7.9418012798076241</v>
      </c>
      <c r="AH191" s="448">
        <f t="shared" si="149"/>
        <v>9.313557709187231</v>
      </c>
      <c r="AI191" s="448">
        <f t="shared" si="149"/>
        <v>10.66694831320229</v>
      </c>
      <c r="AJ191" s="2158">
        <f t="shared" si="149"/>
        <v>11.27644871677545</v>
      </c>
      <c r="AK191" s="448">
        <f t="shared" si="149"/>
        <v>12.282914423380722</v>
      </c>
      <c r="AL191" s="448">
        <f t="shared" si="149"/>
        <v>13.249096044334456</v>
      </c>
      <c r="AM191" s="448">
        <f t="shared" si="149"/>
        <v>14.15863931501705</v>
      </c>
      <c r="AN191" s="448">
        <f t="shared" si="149"/>
        <v>14.240158664898729</v>
      </c>
      <c r="AO191" s="2160">
        <f t="shared" si="149"/>
        <v>14.837823597492827</v>
      </c>
      <c r="AP191" s="448">
        <f t="shared" si="149"/>
        <v>15.707409284457475</v>
      </c>
      <c r="AQ191" s="448">
        <f t="shared" si="149"/>
        <v>14.777985159687598</v>
      </c>
      <c r="AR191" s="448">
        <f t="shared" si="149"/>
        <v>15.400454434924034</v>
      </c>
      <c r="AT191" s="2148"/>
      <c r="AV191" s="1725" t="str">
        <f t="shared" si="132"/>
        <v>Dww</v>
      </c>
      <c r="BO191" s="444" t="str">
        <f t="shared" si="134"/>
        <v>Dww</v>
      </c>
      <c r="CS191" s="2442">
        <v>2002</v>
      </c>
      <c r="CT191" s="1201">
        <f t="shared" si="139"/>
        <v>254.80171304390456</v>
      </c>
      <c r="CU191" s="1382">
        <v>0.95440647045743987</v>
      </c>
      <c r="CV191" s="1201">
        <v>1762.4</v>
      </c>
      <c r="CW191" s="1382"/>
      <c r="CX191" s="1871">
        <f t="shared" si="142"/>
        <v>7.7650882484260164E-2</v>
      </c>
      <c r="CY191" s="2716">
        <f t="shared" si="143"/>
        <v>310.60352993704066</v>
      </c>
      <c r="CZ191" s="1788">
        <v>3281.3756250040415</v>
      </c>
      <c r="DP191" s="2281">
        <v>2002</v>
      </c>
      <c r="DQ191" s="1616">
        <v>6.9167509862711283</v>
      </c>
      <c r="DR191" s="1382">
        <f>НАСТРОЙКА!DR143</f>
        <v>5.5837802144642392</v>
      </c>
      <c r="DS191" s="1616"/>
      <c r="DT191" s="1035"/>
      <c r="EJ191" s="2281">
        <v>2004</v>
      </c>
      <c r="EK191" s="2326">
        <f t="shared" si="135"/>
        <v>325.92324119728437</v>
      </c>
      <c r="EL191" s="2327"/>
      <c r="EM191" s="1245"/>
      <c r="FB191"/>
      <c r="FC191"/>
      <c r="FE191" s="2283">
        <f t="shared" si="137"/>
        <v>325.92324119728437</v>
      </c>
      <c r="FF191"/>
      <c r="FG191" s="1857">
        <v>2002</v>
      </c>
      <c r="FH191" s="1860">
        <f t="shared" si="140"/>
        <v>0.95440647045743987</v>
      </c>
      <c r="FI191" s="2121" t="e">
        <f>#REF!</f>
        <v>#REF!</v>
      </c>
      <c r="FJ191" s="1034"/>
      <c r="FK191" s="1035" t="e">
        <f t="shared" si="145"/>
        <v>#REF!</v>
      </c>
    </row>
    <row r="192" spans="5:183" ht="21">
      <c r="G192" s="38" t="s">
        <v>776</v>
      </c>
      <c r="H192" s="38"/>
      <c r="I192" s="1651" t="s">
        <v>407</v>
      </c>
      <c r="J192" s="40" t="s">
        <v>654</v>
      </c>
      <c r="K192" s="22" t="s">
        <v>655</v>
      </c>
      <c r="L192" s="22"/>
      <c r="M192" s="22"/>
      <c r="N192" s="22"/>
      <c r="O192" s="1663" t="s">
        <v>414</v>
      </c>
      <c r="P192" s="1749"/>
      <c r="U192" s="1691">
        <v>1</v>
      </c>
      <c r="V192" s="1174">
        <f t="shared" ref="V192:AR192" si="150">V56/V145</f>
        <v>1.3890656660960248</v>
      </c>
      <c r="W192" s="1673">
        <f t="shared" si="150"/>
        <v>1.5288420201321875</v>
      </c>
      <c r="X192" s="1673">
        <f t="shared" si="150"/>
        <v>1.6012135978440234</v>
      </c>
      <c r="Y192" s="1673">
        <f t="shared" si="150"/>
        <v>2.7614512511832352</v>
      </c>
      <c r="Z192" s="483">
        <f t="shared" si="150"/>
        <v>3.8813756116757316</v>
      </c>
      <c r="AA192" s="1673">
        <f t="shared" si="150"/>
        <v>4.9244555432757879</v>
      </c>
      <c r="AB192" s="1673">
        <f t="shared" si="150"/>
        <v>5.5076003782834864</v>
      </c>
      <c r="AC192" s="1673">
        <f t="shared" si="150"/>
        <v>6.3255097831872691</v>
      </c>
      <c r="AD192" s="1673">
        <f t="shared" si="150"/>
        <v>7.3003121869901326</v>
      </c>
      <c r="AE192" s="1720">
        <f t="shared" si="150"/>
        <v>8.7907908216125801</v>
      </c>
      <c r="AF192" s="448">
        <f t="shared" si="150"/>
        <v>10.077706332186347</v>
      </c>
      <c r="AG192" s="448">
        <f t="shared" si="150"/>
        <v>11.630372067549995</v>
      </c>
      <c r="AH192" s="448">
        <f t="shared" si="150"/>
        <v>13.808577618030881</v>
      </c>
      <c r="AI192" s="448">
        <f t="shared" si="150"/>
        <v>13.964756035279709</v>
      </c>
      <c r="AJ192" s="2158">
        <f t="shared" si="150"/>
        <v>16.223531809175668</v>
      </c>
      <c r="AK192" s="450">
        <f t="shared" si="150"/>
        <v>18.09503717757504</v>
      </c>
      <c r="AL192" s="450">
        <f t="shared" si="150"/>
        <v>19.232494464635629</v>
      </c>
      <c r="AM192" s="450">
        <f t="shared" si="150"/>
        <v>20.587243519803909</v>
      </c>
      <c r="AN192" s="450">
        <f t="shared" si="150"/>
        <v>22.05840052773225</v>
      </c>
      <c r="AO192" s="2160">
        <f t="shared" si="150"/>
        <v>24.641576618684894</v>
      </c>
      <c r="AP192" s="450">
        <f t="shared" si="150"/>
        <v>25.837490201740536</v>
      </c>
      <c r="AQ192" s="450">
        <f t="shared" si="150"/>
        <v>27.279512414925115</v>
      </c>
      <c r="AR192" s="450">
        <f t="shared" si="150"/>
        <v>29.751686227172179</v>
      </c>
      <c r="AT192" s="2148"/>
      <c r="AV192" s="1725" t="str">
        <f t="shared" si="132"/>
        <v>Dz</v>
      </c>
      <c r="BO192" s="444" t="str">
        <f t="shared" si="134"/>
        <v>Dz</v>
      </c>
      <c r="CS192" s="2442">
        <v>2003</v>
      </c>
      <c r="CT192" s="1201">
        <f t="shared" si="139"/>
        <v>286.6519271743926</v>
      </c>
      <c r="CU192" s="1382">
        <v>1.0737072792646198</v>
      </c>
      <c r="CV192" s="1201">
        <v>2186.4</v>
      </c>
      <c r="CW192" s="1382"/>
      <c r="CX192" s="1871">
        <f t="shared" si="142"/>
        <v>8.1187028619695789E-2</v>
      </c>
      <c r="CY192" s="2716">
        <f t="shared" si="143"/>
        <v>324.74811447878318</v>
      </c>
      <c r="CZ192" s="1788">
        <v>3530.7601725043487</v>
      </c>
      <c r="DP192" s="2281">
        <v>2003</v>
      </c>
      <c r="DQ192" s="1616">
        <v>7.6273689193439225</v>
      </c>
      <c r="DR192" s="1382">
        <f>НАСТРОЙКА!DR144</f>
        <v>6.2538338401999489</v>
      </c>
      <c r="DS192" s="1616"/>
      <c r="DT192" s="1035"/>
      <c r="EJ192" s="2281">
        <v>2005</v>
      </c>
      <c r="EK192" s="2326">
        <f t="shared" si="135"/>
        <v>359.16741179940743</v>
      </c>
      <c r="EL192" s="2327"/>
      <c r="EM192" s="1245"/>
      <c r="FB192"/>
      <c r="FC192"/>
      <c r="FE192" s="2283">
        <f t="shared" si="137"/>
        <v>359.16741179940743</v>
      </c>
      <c r="FF192"/>
      <c r="FG192" s="1857">
        <v>2003</v>
      </c>
      <c r="FH192" s="1860">
        <f t="shared" si="140"/>
        <v>1.0737072792646198</v>
      </c>
      <c r="FI192" s="2121" t="e">
        <f>#REF!</f>
        <v>#REF!</v>
      </c>
      <c r="FJ192" s="1034"/>
      <c r="FK192" s="1035" t="e">
        <f t="shared" si="145"/>
        <v>#REF!</v>
      </c>
    </row>
    <row r="193" spans="6:167" ht="21">
      <c r="I193" s="1651" t="s">
        <v>407</v>
      </c>
      <c r="J193" s="40" t="s">
        <v>656</v>
      </c>
      <c r="K193" s="22" t="s">
        <v>657</v>
      </c>
      <c r="L193" s="22"/>
      <c r="M193" s="22"/>
      <c r="N193" s="22"/>
      <c r="O193" s="1663" t="s">
        <v>400</v>
      </c>
      <c r="P193" s="1749"/>
      <c r="U193" s="1691">
        <f>U83</f>
        <v>230.40700000000001</v>
      </c>
      <c r="V193" s="1174">
        <f>U193*V143</f>
        <v>197.18216614420064</v>
      </c>
      <c r="W193" s="1673">
        <f t="shared" ref="W193:AG193" si="151">V193*W143</f>
        <v>168.29100626959249</v>
      </c>
      <c r="X193" s="1673">
        <f t="shared" si="151"/>
        <v>160.34593730407522</v>
      </c>
      <c r="Y193" s="1673">
        <f t="shared" si="151"/>
        <v>171.18012225705328</v>
      </c>
      <c r="Z193" s="483">
        <f t="shared" si="151"/>
        <v>213.79458307210035</v>
      </c>
      <c r="AA193" s="1673">
        <f t="shared" si="151"/>
        <v>254.24220689655175</v>
      </c>
      <c r="AB193" s="1673">
        <f t="shared" si="151"/>
        <v>274.46601880877739</v>
      </c>
      <c r="AC193" s="1673">
        <f t="shared" si="151"/>
        <v>307.69085266457677</v>
      </c>
      <c r="AD193" s="1673">
        <f t="shared" si="151"/>
        <v>343.804802507837</v>
      </c>
      <c r="AE193" s="1720">
        <f t="shared" si="151"/>
        <v>381.3633103448276</v>
      </c>
      <c r="AF193" s="472">
        <f t="shared" si="151"/>
        <v>443.47930407523512</v>
      </c>
      <c r="AG193" s="472">
        <f t="shared" si="151"/>
        <v>540.98696865203772</v>
      </c>
      <c r="AH193" s="472">
        <f t="shared" ref="AH193:AP193" si="152">AG193*AH143</f>
        <v>616.82626332288407</v>
      </c>
      <c r="AI193" s="472">
        <f t="shared" si="152"/>
        <v>595.88017241379305</v>
      </c>
      <c r="AJ193" s="2158">
        <f t="shared" si="152"/>
        <v>556.55208103448274</v>
      </c>
      <c r="AK193" s="472">
        <f t="shared" si="152"/>
        <v>717.5262886488664</v>
      </c>
      <c r="AL193" s="472">
        <f t="shared" si="152"/>
        <v>780.3098389056421</v>
      </c>
      <c r="AM193" s="472">
        <f t="shared" si="152"/>
        <v>788.24558996731253</v>
      </c>
      <c r="AN193" s="472">
        <f t="shared" si="152"/>
        <v>764.59822226829317</v>
      </c>
      <c r="AO193" s="2160">
        <f t="shared" si="152"/>
        <v>722.545320043537</v>
      </c>
      <c r="AP193" s="472">
        <f t="shared" si="152"/>
        <v>843.93293381085118</v>
      </c>
      <c r="AQ193" s="472">
        <f>AP193*AQ143</f>
        <v>844.7768667446619</v>
      </c>
      <c r="AR193" s="472">
        <f>AQ193*AR143</f>
        <v>968.11428928938244</v>
      </c>
      <c r="AT193" s="2148"/>
      <c r="AV193" s="1725" t="str">
        <f t="shared" si="132"/>
        <v>WWS</v>
      </c>
      <c r="BO193" s="444" t="str">
        <f t="shared" si="134"/>
        <v>WWS</v>
      </c>
      <c r="CS193" s="2442">
        <v>2004</v>
      </c>
      <c r="CT193" s="1201">
        <f t="shared" si="139"/>
        <v>325.92324119728437</v>
      </c>
      <c r="CU193" s="1382">
        <v>1.2208051765238728</v>
      </c>
      <c r="CV193" s="1201">
        <v>2865</v>
      </c>
      <c r="CW193" s="1382"/>
      <c r="CX193" s="1871">
        <f t="shared" si="142"/>
        <v>8.5471899574624172E-2</v>
      </c>
      <c r="CY193" s="2716">
        <f t="shared" si="143"/>
        <v>341.8875982984967</v>
      </c>
      <c r="CZ193" s="1788">
        <v>3813.2209863046965</v>
      </c>
      <c r="DP193" s="2281">
        <v>2004</v>
      </c>
      <c r="DQ193" s="1616">
        <v>8.7904133177964692</v>
      </c>
      <c r="DR193" s="1382">
        <f>НАСТРОЙКА!DR145</f>
        <v>6.9855323995033425</v>
      </c>
      <c r="DS193" s="1616"/>
      <c r="DT193" s="1035"/>
      <c r="EJ193" s="2281">
        <v>2006</v>
      </c>
      <c r="EK193" s="2326">
        <f t="shared" si="135"/>
        <v>419.14836956990848</v>
      </c>
      <c r="EL193" s="2327"/>
      <c r="EM193" s="1245"/>
      <c r="FB193"/>
      <c r="FC193"/>
      <c r="FE193" s="2283">
        <f t="shared" si="137"/>
        <v>419.14836956990848</v>
      </c>
      <c r="FF193"/>
      <c r="FG193" s="1857">
        <v>2004</v>
      </c>
      <c r="FH193" s="1860">
        <f t="shared" si="140"/>
        <v>1.2208051765238728</v>
      </c>
      <c r="FI193" s="2121" t="e">
        <f>#REF!</f>
        <v>#REF!</v>
      </c>
      <c r="FJ193" s="1034"/>
      <c r="FK193" s="1035" t="e">
        <f t="shared" si="145"/>
        <v>#REF!</v>
      </c>
    </row>
    <row r="194" spans="6:167" ht="21">
      <c r="I194" s="1651" t="s">
        <v>407</v>
      </c>
      <c r="J194" s="40" t="s">
        <v>658</v>
      </c>
      <c r="K194" s="22" t="s">
        <v>659</v>
      </c>
      <c r="L194" s="22"/>
      <c r="M194" s="22"/>
      <c r="N194" s="22"/>
      <c r="O194" s="1663" t="s">
        <v>400</v>
      </c>
      <c r="P194" s="1749"/>
      <c r="U194" s="1691">
        <f>U52</f>
        <v>369.90269999999998</v>
      </c>
      <c r="V194" s="1174">
        <f t="shared" ref="V194:AH194" si="153">U194*V140</f>
        <v>374.71143509999996</v>
      </c>
      <c r="W194" s="1673">
        <f t="shared" si="153"/>
        <v>376.21028084039995</v>
      </c>
      <c r="X194" s="1673">
        <f t="shared" si="153"/>
        <v>310.74969197417033</v>
      </c>
      <c r="Y194" s="1673">
        <f t="shared" si="153"/>
        <v>257.92224433856137</v>
      </c>
      <c r="Z194" s="483">
        <f t="shared" si="153"/>
        <v>341.48905150425526</v>
      </c>
      <c r="AA194" s="1673">
        <f t="shared" si="153"/>
        <v>405.34750413555099</v>
      </c>
      <c r="AB194" s="1673">
        <f t="shared" si="153"/>
        <v>464.52823973934142</v>
      </c>
      <c r="AC194" s="1673">
        <f t="shared" si="153"/>
        <v>544.89162521424748</v>
      </c>
      <c r="AD194" s="1673">
        <f t="shared" si="153"/>
        <v>671.85137388916723</v>
      </c>
      <c r="AE194" s="1720">
        <f t="shared" si="153"/>
        <v>783.37870195476899</v>
      </c>
      <c r="AF194" s="472">
        <f t="shared" si="153"/>
        <v>950.23836547113478</v>
      </c>
      <c r="AG194" s="472">
        <f t="shared" si="153"/>
        <v>1199.2008172245721</v>
      </c>
      <c r="AH194" s="472">
        <f t="shared" si="153"/>
        <v>1376.6825381738088</v>
      </c>
      <c r="AI194" s="472">
        <f t="shared" ref="AI194:AP195" si="154">AH194*AI140</f>
        <v>958.17104656897084</v>
      </c>
      <c r="AJ194" s="2158">
        <f t="shared" si="154"/>
        <v>1205.3791765837652</v>
      </c>
      <c r="AK194" s="472">
        <f t="shared" si="154"/>
        <v>1450.0711494302695</v>
      </c>
      <c r="AL194" s="472">
        <f t="shared" si="154"/>
        <v>1590.7280509250056</v>
      </c>
      <c r="AM194" s="472">
        <f t="shared" si="154"/>
        <v>1646.4035327073807</v>
      </c>
      <c r="AN194" s="472">
        <f t="shared" si="154"/>
        <v>1526.2160748197421</v>
      </c>
      <c r="AO194" s="2162">
        <f t="shared" si="154"/>
        <v>1143.1358400399868</v>
      </c>
      <c r="AP194" s="455">
        <f t="shared" si="154"/>
        <v>1101.9829497985472</v>
      </c>
      <c r="AQ194" s="455">
        <f>AP194*AQ140</f>
        <v>1293.7279830634943</v>
      </c>
      <c r="AR194" s="455">
        <f>AQ194*AR140</f>
        <v>1328.6586386062086</v>
      </c>
      <c r="AT194" s="2148"/>
      <c r="AV194" s="1725" t="str">
        <f t="shared" si="132"/>
        <v>IMS</v>
      </c>
      <c r="BO194" s="444" t="str">
        <f t="shared" si="134"/>
        <v>IMS</v>
      </c>
      <c r="CS194" s="2442">
        <v>2005</v>
      </c>
      <c r="CT194" s="1201">
        <f t="shared" si="139"/>
        <v>359.16741179940743</v>
      </c>
      <c r="CU194" s="1382">
        <v>1.3453273045293079</v>
      </c>
      <c r="CV194" s="1201">
        <v>3611.1</v>
      </c>
      <c r="CW194" s="1382"/>
      <c r="CX194" s="1871">
        <f t="shared" si="142"/>
        <v>8.9110722167678208E-2</v>
      </c>
      <c r="CY194" s="2716">
        <f t="shared" si="143"/>
        <v>356.44288867071282</v>
      </c>
      <c r="CZ194" s="1788">
        <v>4030.5745825240638</v>
      </c>
      <c r="DP194" s="2281">
        <v>2005</v>
      </c>
      <c r="DQ194" s="1616">
        <v>10.054085870175701</v>
      </c>
      <c r="DR194" s="1382">
        <f>НАСТРОЙКА!DR146</f>
        <v>7.7469554310492068</v>
      </c>
      <c r="DS194" s="1616"/>
      <c r="DT194" s="1035"/>
      <c r="EJ194" s="2281">
        <v>2007</v>
      </c>
      <c r="EK194" s="2326">
        <f t="shared" si="135"/>
        <v>514.29504946227769</v>
      </c>
      <c r="EL194" s="2327"/>
      <c r="EM194" s="1245"/>
      <c r="FB194"/>
      <c r="FC194"/>
      <c r="FE194" s="2283">
        <f t="shared" si="137"/>
        <v>514.29504946227769</v>
      </c>
      <c r="FF194"/>
      <c r="FG194" s="1857">
        <v>2005</v>
      </c>
      <c r="FH194" s="1860">
        <f t="shared" si="140"/>
        <v>1.3453273045293079</v>
      </c>
      <c r="FI194" s="2121" t="e">
        <f>#REF!</f>
        <v>#REF!</v>
      </c>
      <c r="FJ194" s="1034"/>
      <c r="FK194" s="1035" t="e">
        <f t="shared" si="145"/>
        <v>#REF!</v>
      </c>
    </row>
    <row r="195" spans="6:167" ht="21">
      <c r="I195" s="1651" t="s">
        <v>407</v>
      </c>
      <c r="J195" s="40" t="s">
        <v>660</v>
      </c>
      <c r="K195" s="22" t="s">
        <v>661</v>
      </c>
      <c r="L195" s="22"/>
      <c r="M195" s="22"/>
      <c r="N195" s="22"/>
      <c r="O195" s="1663" t="s">
        <v>400</v>
      </c>
      <c r="P195" s="1749"/>
      <c r="S195" s="1174">
        <v>392.29556398346608</v>
      </c>
      <c r="T195" s="1174">
        <v>296.96774193548384</v>
      </c>
      <c r="U195" s="1691">
        <f>U79</f>
        <v>266.97399999999999</v>
      </c>
      <c r="V195" s="1673">
        <f t="shared" ref="V195:AH195" si="155">U195*V141</f>
        <v>218.65170599999999</v>
      </c>
      <c r="W195" s="1673">
        <f t="shared" si="155"/>
        <v>207.71912069999999</v>
      </c>
      <c r="X195" s="1673">
        <f t="shared" si="155"/>
        <v>182.79282621599998</v>
      </c>
      <c r="Y195" s="1673">
        <f t="shared" si="155"/>
        <v>191.9324675268</v>
      </c>
      <c r="Z195" s="1673">
        <f t="shared" si="155"/>
        <v>225.32871687646318</v>
      </c>
      <c r="AA195" s="1673">
        <f t="shared" si="155"/>
        <v>247.86158856410952</v>
      </c>
      <c r="AB195" s="1673">
        <f t="shared" si="155"/>
        <v>254.80171304390458</v>
      </c>
      <c r="AC195" s="1673">
        <f t="shared" si="155"/>
        <v>286.65192717439265</v>
      </c>
      <c r="AD195" s="1673">
        <f t="shared" si="155"/>
        <v>325.92324119728443</v>
      </c>
      <c r="AE195" s="1673">
        <f t="shared" si="155"/>
        <v>359.16741179940749</v>
      </c>
      <c r="AF195" s="1673">
        <f t="shared" si="155"/>
        <v>419.14836956990854</v>
      </c>
      <c r="AG195" s="1673">
        <f t="shared" si="155"/>
        <v>514.2950494622778</v>
      </c>
      <c r="AH195" s="1673">
        <f t="shared" si="155"/>
        <v>563.15307916119423</v>
      </c>
      <c r="AI195" s="1673">
        <f t="shared" si="154"/>
        <v>487.12741347443301</v>
      </c>
      <c r="AJ195" s="2163">
        <f t="shared" si="154"/>
        <v>517.81644052332229</v>
      </c>
      <c r="AK195" s="1673">
        <f t="shared" si="154"/>
        <v>573.74061609984119</v>
      </c>
      <c r="AL195" s="1673">
        <f t="shared" si="154"/>
        <v>612.75497799463039</v>
      </c>
      <c r="AM195" s="1673">
        <f>AL195*AM141</f>
        <v>617.65701781858741</v>
      </c>
      <c r="AN195" s="1673">
        <f>AM195*AN141</f>
        <v>608.39216255130862</v>
      </c>
      <c r="AO195" s="2162">
        <f>AN195*AO141</f>
        <v>546.94455413362641</v>
      </c>
      <c r="AP195" s="1673">
        <f>AO195*AP141</f>
        <v>545.85066502535915</v>
      </c>
      <c r="AQ195" s="1673">
        <f>AP195*AQ141</f>
        <v>572.05149694657644</v>
      </c>
      <c r="AR195" s="1673">
        <f>AQ195*AR141</f>
        <v>596.64971131527921</v>
      </c>
      <c r="AT195" s="2148"/>
      <c r="AV195" s="1725" t="str">
        <f t="shared" si="132"/>
        <v>INS</v>
      </c>
      <c r="BO195" s="444" t="str">
        <f t="shared" si="134"/>
        <v>INS</v>
      </c>
      <c r="CS195" s="2442">
        <v>2006</v>
      </c>
      <c r="CT195" s="1201">
        <f t="shared" si="139"/>
        <v>419.14836956990848</v>
      </c>
      <c r="CU195" s="1382">
        <v>1.5699969643857024</v>
      </c>
      <c r="CV195" s="1201">
        <v>4730</v>
      </c>
      <c r="CW195" s="1382"/>
      <c r="CX195" s="1871">
        <f t="shared" si="142"/>
        <v>9.5493308328448545E-2</v>
      </c>
      <c r="CY195" s="2716">
        <f t="shared" si="143"/>
        <v>381.9732333137942</v>
      </c>
      <c r="CZ195" s="1788">
        <v>4389.2957203687056</v>
      </c>
      <c r="DP195" s="2281">
        <v>2006</v>
      </c>
      <c r="DQ195" s="1616">
        <v>11.28478682823815</v>
      </c>
      <c r="DR195" s="1382">
        <f>НАСТРОЙКА!DR147</f>
        <v>8.4441814198436358</v>
      </c>
      <c r="DS195" s="1616"/>
      <c r="DT195" s="1035"/>
      <c r="EJ195" s="2281">
        <v>2008</v>
      </c>
      <c r="EK195" s="2326">
        <f t="shared" si="135"/>
        <v>563.15307916119411</v>
      </c>
      <c r="EL195" s="2327"/>
      <c r="EM195" s="1245"/>
      <c r="FB195"/>
      <c r="FC195"/>
      <c r="FE195" s="2283">
        <f t="shared" si="137"/>
        <v>563.15307916119411</v>
      </c>
      <c r="FF195"/>
      <c r="FG195" s="1857">
        <v>2006</v>
      </c>
      <c r="FH195" s="1860">
        <f t="shared" si="140"/>
        <v>1.5699969643857024</v>
      </c>
      <c r="FI195" s="2121" t="e">
        <f>#REF!</f>
        <v>#REF!</v>
      </c>
      <c r="FJ195" s="1034"/>
      <c r="FK195" s="1035" t="e">
        <f t="shared" si="145"/>
        <v>#REF!</v>
      </c>
    </row>
    <row r="196" spans="6:167" ht="21">
      <c r="I196" s="1651" t="s">
        <v>407</v>
      </c>
      <c r="J196" s="40" t="s">
        <v>662</v>
      </c>
      <c r="K196" s="22" t="s">
        <v>663</v>
      </c>
      <c r="L196" s="22"/>
      <c r="M196" s="22"/>
      <c r="N196" s="22"/>
      <c r="O196" s="1663" t="s">
        <v>400</v>
      </c>
      <c r="P196" s="1749"/>
      <c r="U196" s="1672">
        <f>U69+U70+U71</f>
        <v>1016.5943000000001</v>
      </c>
      <c r="V196" s="1673">
        <f t="shared" ref="V196:AR196" si="156">$U69*V159+$U70*V160+$U71*V161</f>
        <v>989.9177608</v>
      </c>
      <c r="W196" s="1673">
        <f t="shared" si="156"/>
        <v>1017.2056038426</v>
      </c>
      <c r="X196" s="1673">
        <f t="shared" si="156"/>
        <v>995.63142103115797</v>
      </c>
      <c r="Y196" s="1673">
        <f t="shared" si="156"/>
        <v>987.21213301777902</v>
      </c>
      <c r="Z196" s="1673">
        <f t="shared" si="156"/>
        <v>1033.2885609360237</v>
      </c>
      <c r="AA196" s="1673">
        <f t="shared" si="156"/>
        <v>1090.2681403758168</v>
      </c>
      <c r="AB196" s="1673">
        <f t="shared" si="156"/>
        <v>1157.7675729084185</v>
      </c>
      <c r="AC196" s="1673">
        <f t="shared" si="156"/>
        <v>1229.2992374246687</v>
      </c>
      <c r="AD196" s="1673">
        <f t="shared" si="156"/>
        <v>1345.4693550408599</v>
      </c>
      <c r="AE196" s="1673">
        <f t="shared" si="156"/>
        <v>1469.3395267776507</v>
      </c>
      <c r="AF196" s="1673">
        <f t="shared" si="156"/>
        <v>1614.9536028309569</v>
      </c>
      <c r="AG196" s="1673">
        <f t="shared" si="156"/>
        <v>1806.5211696140962</v>
      </c>
      <c r="AH196" s="1673">
        <f t="shared" si="156"/>
        <v>1972.0320836036494</v>
      </c>
      <c r="AI196" s="1673">
        <f t="shared" si="156"/>
        <v>1886.2945614789755</v>
      </c>
      <c r="AJ196" s="2163">
        <f t="shared" si="156"/>
        <v>1965.2852788628827</v>
      </c>
      <c r="AK196" s="1673">
        <f t="shared" si="156"/>
        <v>2078.9315520684368</v>
      </c>
      <c r="AL196" s="1673">
        <f t="shared" si="156"/>
        <v>2223.7978639208027</v>
      </c>
      <c r="AM196" s="1673">
        <f t="shared" si="156"/>
        <v>2323.4815127640777</v>
      </c>
      <c r="AN196" s="1673">
        <f t="shared" si="156"/>
        <v>2355.2564180820523</v>
      </c>
      <c r="AO196" s="2163">
        <f t="shared" si="156"/>
        <v>2154.7898588811231</v>
      </c>
      <c r="AP196" s="1673">
        <f t="shared" si="156"/>
        <v>2125.5426032643127</v>
      </c>
      <c r="AQ196" s="1673">
        <f t="shared" si="156"/>
        <v>2192.5723473012172</v>
      </c>
      <c r="AR196" s="1673">
        <f t="shared" si="156"/>
        <v>2236.4464882400898</v>
      </c>
      <c r="AT196" s="2148"/>
      <c r="AV196" s="1725" t="str">
        <f t="shared" si="132"/>
        <v>YS</v>
      </c>
      <c r="BO196" s="444" t="str">
        <f t="shared" si="134"/>
        <v>YS</v>
      </c>
      <c r="CS196" s="2442">
        <v>2007</v>
      </c>
      <c r="CT196" s="1201">
        <f t="shared" si="139"/>
        <v>514.29504946227769</v>
      </c>
      <c r="CU196" s="1382">
        <v>1.9263862753012568</v>
      </c>
      <c r="CV196" s="1201">
        <v>6716.2219999999998</v>
      </c>
      <c r="CW196" s="1382"/>
      <c r="CX196" s="1871">
        <f t="shared" si="142"/>
        <v>0.10769328062408673</v>
      </c>
      <c r="CY196" s="2716">
        <f t="shared" si="143"/>
        <v>430.7731224963469</v>
      </c>
      <c r="CZ196" s="1788">
        <v>4775.553743761152</v>
      </c>
      <c r="DP196" s="2281">
        <v>2007</v>
      </c>
      <c r="DQ196" s="1616">
        <v>13.059083510568804</v>
      </c>
      <c r="DR196" s="1382">
        <f>НАСТРОЙКА!DR148</f>
        <v>9.4465057543790749</v>
      </c>
      <c r="DS196" s="1616"/>
      <c r="DT196" s="1035"/>
      <c r="EJ196" s="2281">
        <v>2009</v>
      </c>
      <c r="EK196" s="2326">
        <f t="shared" si="135"/>
        <v>487.1274134744329</v>
      </c>
      <c r="EL196" s="2327"/>
      <c r="EM196" s="1245"/>
      <c r="FB196"/>
      <c r="FC196"/>
      <c r="FE196" s="2283">
        <f t="shared" si="137"/>
        <v>487.1274134744329</v>
      </c>
      <c r="FF196"/>
      <c r="FG196" s="1857">
        <v>2007</v>
      </c>
      <c r="FH196" s="1860">
        <f t="shared" si="140"/>
        <v>1.9263862753012568</v>
      </c>
      <c r="FI196" s="2121" t="e">
        <f>#REF!</f>
        <v>#REF!</v>
      </c>
      <c r="FJ196" s="1034"/>
      <c r="FK196" s="1035" t="e">
        <f t="shared" si="145"/>
        <v>#REF!</v>
      </c>
    </row>
    <row r="197" spans="6:167" ht="21">
      <c r="I197" s="1651" t="s">
        <v>407</v>
      </c>
      <c r="J197" s="40" t="s">
        <v>664</v>
      </c>
      <c r="K197" s="22" t="s">
        <v>665</v>
      </c>
      <c r="L197" s="22"/>
      <c r="M197" s="22"/>
      <c r="N197" s="22"/>
      <c r="O197" s="1663" t="s">
        <v>400</v>
      </c>
      <c r="P197" s="1749"/>
      <c r="T197" s="739">
        <v>5300</v>
      </c>
      <c r="U197" s="1691">
        <f>U82</f>
        <v>5306</v>
      </c>
      <c r="V197" s="1174">
        <f t="shared" ref="V197:AI197" si="157">U197*V142</f>
        <v>5300.6940000000004</v>
      </c>
      <c r="W197" s="1673">
        <f t="shared" si="157"/>
        <v>5279.4912240000003</v>
      </c>
      <c r="X197" s="1673">
        <f t="shared" si="157"/>
        <v>5263.6527503280004</v>
      </c>
      <c r="Y197" s="1673">
        <f t="shared" si="157"/>
        <v>5274.1800558286568</v>
      </c>
      <c r="Z197" s="483">
        <f t="shared" si="157"/>
        <v>5300.5509561077997</v>
      </c>
      <c r="AA197" s="1673">
        <f t="shared" si="157"/>
        <v>5348.2559147127704</v>
      </c>
      <c r="AB197" s="1673">
        <f t="shared" si="157"/>
        <v>5401.7384738598985</v>
      </c>
      <c r="AC197" s="1673">
        <f t="shared" si="157"/>
        <v>5471.9610740200769</v>
      </c>
      <c r="AD197" s="1673">
        <f t="shared" si="157"/>
        <v>5559.5124512043985</v>
      </c>
      <c r="AE197" s="1720">
        <f t="shared" si="157"/>
        <v>5665.1431877772829</v>
      </c>
      <c r="AF197" s="472">
        <f t="shared" si="157"/>
        <v>5801.1066242839379</v>
      </c>
      <c r="AG197" s="472">
        <f t="shared" si="157"/>
        <v>5980.9409296367394</v>
      </c>
      <c r="AH197" s="472">
        <f t="shared" si="157"/>
        <v>6196.2548031036622</v>
      </c>
      <c r="AI197" s="472">
        <f t="shared" si="157"/>
        <v>6394.5349568029797</v>
      </c>
      <c r="AJ197" s="2158">
        <f t="shared" ref="AJ197:AP197" si="158">AI197*AJ142</f>
        <v>6586.3710055070696</v>
      </c>
      <c r="AK197" s="472">
        <f t="shared" si="158"/>
        <v>6849.8258457273523</v>
      </c>
      <c r="AL197" s="472">
        <f t="shared" si="158"/>
        <v>7144.3683570936282</v>
      </c>
      <c r="AM197" s="472">
        <f t="shared" si="158"/>
        <v>7437.2874597344662</v>
      </c>
      <c r="AN197" s="472">
        <f t="shared" si="158"/>
        <v>7712.4670957446406</v>
      </c>
      <c r="AO197" s="2162">
        <f t="shared" si="158"/>
        <v>7959.2660428084691</v>
      </c>
      <c r="AP197" s="472">
        <f t="shared" si="158"/>
        <v>8269.6774184779988</v>
      </c>
      <c r="AQ197" s="472">
        <f>AP197*AQ142</f>
        <v>8583.9251603801622</v>
      </c>
      <c r="AR197" s="472">
        <f>AQ197*AR142</f>
        <v>8944.4500171161289</v>
      </c>
      <c r="AT197" s="2148"/>
      <c r="AV197" s="1725" t="str">
        <f t="shared" si="132"/>
        <v>FS</v>
      </c>
      <c r="BN197" s="751"/>
      <c r="BO197" s="1701" t="str">
        <f t="shared" si="134"/>
        <v>FS</v>
      </c>
      <c r="CS197" s="2442">
        <v>2008</v>
      </c>
      <c r="CT197" s="1201">
        <f t="shared" si="139"/>
        <v>563.15307916119411</v>
      </c>
      <c r="CU197" s="1382">
        <v>2.1093929714548763</v>
      </c>
      <c r="CV197" s="1201">
        <v>8781.616</v>
      </c>
      <c r="CW197" s="1382"/>
      <c r="CX197" s="1871">
        <f t="shared" si="142"/>
        <v>0.11230870693654758</v>
      </c>
      <c r="CY197" s="2716">
        <f t="shared" si="143"/>
        <v>449.23482774619032</v>
      </c>
      <c r="CZ197" s="1788">
        <v>5014.3314309492098</v>
      </c>
      <c r="DP197" s="2281">
        <v>2008</v>
      </c>
      <c r="DQ197" s="1616">
        <v>15.593657080025292</v>
      </c>
      <c r="DR197" s="1382">
        <f>НАСТРОЙКА!DR149</f>
        <v>10.701001718560617</v>
      </c>
      <c r="DS197" s="1616"/>
      <c r="DT197" s="1035"/>
      <c r="EJ197" s="2281">
        <v>2010</v>
      </c>
      <c r="EK197" s="2326">
        <f t="shared" si="135"/>
        <v>517.81644052332217</v>
      </c>
      <c r="EL197" s="2327"/>
      <c r="EM197" s="1245"/>
      <c r="FB197"/>
      <c r="FC197"/>
      <c r="FE197" s="2283">
        <f t="shared" si="137"/>
        <v>517.81644052332217</v>
      </c>
      <c r="FF197"/>
      <c r="FG197" s="1857">
        <v>2008</v>
      </c>
      <c r="FH197" s="1860">
        <f t="shared" si="140"/>
        <v>2.1093929714548763</v>
      </c>
      <c r="FI197" s="2121" t="e">
        <f>#REF!</f>
        <v>#REF!</v>
      </c>
      <c r="FJ197" s="1034"/>
      <c r="FK197" s="1035" t="e">
        <f t="shared" si="145"/>
        <v>#REF!</v>
      </c>
    </row>
    <row r="198" spans="6:167" ht="21">
      <c r="F198" s="90" t="s">
        <v>666</v>
      </c>
      <c r="G198" s="90"/>
      <c r="H198" s="1741"/>
      <c r="I198" s="1651" t="s">
        <v>407</v>
      </c>
      <c r="J198" s="40" t="s">
        <v>667</v>
      </c>
      <c r="K198" s="22" t="s">
        <v>668</v>
      </c>
      <c r="L198" s="22"/>
      <c r="M198" s="22"/>
      <c r="N198" s="22"/>
      <c r="O198" s="1663" t="s">
        <v>414</v>
      </c>
      <c r="P198" s="1749"/>
      <c r="U198" s="1727">
        <f>U167/U197</f>
        <v>0.52160205427817563</v>
      </c>
      <c r="V198" s="1753">
        <f>V167/V197</f>
        <v>0.5075047014598465</v>
      </c>
      <c r="W198" s="1753">
        <f t="shared" ref="W198:AR198" si="159">W167/W197</f>
        <v>0.51667647317297627</v>
      </c>
      <c r="X198" s="1753">
        <f t="shared" si="159"/>
        <v>0.49180137717267253</v>
      </c>
      <c r="Y198" s="1753">
        <f t="shared" si="159"/>
        <v>0.51928728248372014</v>
      </c>
      <c r="Z198" s="1753">
        <f t="shared" si="159"/>
        <v>0.56527391744994016</v>
      </c>
      <c r="AA198" s="1753">
        <f t="shared" si="159"/>
        <v>0.58768319068878805</v>
      </c>
      <c r="AB198" s="1753">
        <f t="shared" si="159"/>
        <v>0.60746658522682651</v>
      </c>
      <c r="AC198" s="1753">
        <f t="shared" si="159"/>
        <v>0.64524584965850473</v>
      </c>
      <c r="AD198" s="1753">
        <f t="shared" si="159"/>
        <v>0.68589125751100888</v>
      </c>
      <c r="AE198" s="1753">
        <f t="shared" si="159"/>
        <v>0.71146914542604145</v>
      </c>
      <c r="AF198" s="1105">
        <f t="shared" si="159"/>
        <v>0.75663076110249916</v>
      </c>
      <c r="AG198" s="1105">
        <f t="shared" si="159"/>
        <v>0.79846194770079459</v>
      </c>
      <c r="AH198" s="1105">
        <f t="shared" si="159"/>
        <v>0.80925197402107563</v>
      </c>
      <c r="AI198" s="1105">
        <f t="shared" si="159"/>
        <v>0.7261311317282132</v>
      </c>
      <c r="AJ198" s="2158">
        <f t="shared" si="159"/>
        <v>0.74023076535400356</v>
      </c>
      <c r="AK198" s="1105">
        <f t="shared" si="159"/>
        <v>0.74236604640790949</v>
      </c>
      <c r="AL198" s="1105">
        <f t="shared" si="159"/>
        <v>0.73951900500270173</v>
      </c>
      <c r="AM198" s="1105">
        <f t="shared" si="159"/>
        <v>0.72531114707757793</v>
      </c>
      <c r="AN198" s="1105">
        <f t="shared" si="159"/>
        <v>0.70502761451706719</v>
      </c>
      <c r="AO198" s="2160">
        <f t="shared" si="159"/>
        <v>0.67428513132591583</v>
      </c>
      <c r="AP198" s="1105">
        <f t="shared" si="159"/>
        <v>0.65676280356287475</v>
      </c>
      <c r="AQ198" s="1105">
        <f t="shared" si="159"/>
        <v>0.64853745053174061</v>
      </c>
      <c r="AR198" s="1105">
        <f t="shared" si="159"/>
        <v>0.63795670517757586</v>
      </c>
      <c r="AT198" s="2148"/>
      <c r="AV198" s="1725" t="str">
        <f t="shared" si="132"/>
        <v>fOS</v>
      </c>
      <c r="BO198" s="444" t="str">
        <f t="shared" si="134"/>
        <v>fOS</v>
      </c>
      <c r="CS198" s="2442">
        <v>2009</v>
      </c>
      <c r="CT198" s="1201">
        <f t="shared" si="139"/>
        <v>487.1274134744329</v>
      </c>
      <c r="CU198" s="1382">
        <v>1.8246249203084679</v>
      </c>
      <c r="CV198" s="1201">
        <v>7976.0129999999999</v>
      </c>
      <c r="CW198" s="1382"/>
      <c r="CX198" s="1871">
        <f t="shared" si="142"/>
        <v>0.10491040118802772</v>
      </c>
      <c r="CY198" s="2716">
        <f t="shared" si="143"/>
        <v>419.64160475211088</v>
      </c>
      <c r="CZ198" s="1788">
        <v>4643.2709050589683</v>
      </c>
      <c r="DP198" s="2281">
        <v>2009</v>
      </c>
      <c r="DQ198" s="1616">
        <v>16.373566297801105</v>
      </c>
      <c r="DR198" s="1382">
        <f>НАСТРОЙКА!DR150</f>
        <v>11.642689869793951</v>
      </c>
      <c r="DS198" s="1616">
        <f t="shared" ref="DS198:DS202" si="160">DQ198</f>
        <v>16.373566297801105</v>
      </c>
      <c r="DT198" s="1035"/>
      <c r="EJ198" s="2281">
        <v>2011</v>
      </c>
      <c r="EK198" s="2326">
        <f t="shared" si="135"/>
        <v>573.74061609984096</v>
      </c>
      <c r="EL198" s="2327"/>
      <c r="EM198" s="1245"/>
      <c r="FB198"/>
      <c r="FC198"/>
      <c r="FE198" s="2283">
        <f t="shared" si="137"/>
        <v>573.74061609984096</v>
      </c>
      <c r="FF198"/>
      <c r="FG198" s="1857">
        <v>2009</v>
      </c>
      <c r="FH198" s="1860">
        <f t="shared" si="140"/>
        <v>1.8246249203084679</v>
      </c>
      <c r="FI198" s="2121" t="e">
        <f>#REF!</f>
        <v>#REF!</v>
      </c>
      <c r="FJ198" s="1034"/>
      <c r="FK198" s="1035" t="e">
        <f t="shared" si="145"/>
        <v>#REF!</v>
      </c>
    </row>
    <row r="199" spans="6:167" ht="21">
      <c r="F199" s="1730" t="s">
        <v>778</v>
      </c>
      <c r="G199" s="1730"/>
      <c r="H199" s="1730"/>
      <c r="I199" s="1651" t="s">
        <v>407</v>
      </c>
      <c r="J199" s="40" t="s">
        <v>747</v>
      </c>
      <c r="K199" s="22" t="s">
        <v>775</v>
      </c>
      <c r="L199" s="1426"/>
      <c r="M199" s="1426"/>
      <c r="N199" s="1426"/>
      <c r="O199" s="1663" t="s">
        <v>400</v>
      </c>
      <c r="P199" s="1749"/>
      <c r="U199" s="1672">
        <f>U105</f>
        <v>1428.5209</v>
      </c>
      <c r="V199" s="1174">
        <f t="shared" ref="V199:AG199" si="161">U199*V127</f>
        <v>1377.0941476</v>
      </c>
      <c r="W199" s="1673">
        <f t="shared" si="161"/>
        <v>1396.3734656664001</v>
      </c>
      <c r="X199" s="1673">
        <f t="shared" si="161"/>
        <v>1322.3656719860808</v>
      </c>
      <c r="Y199" s="1673">
        <f t="shared" si="161"/>
        <v>1406.9970749931899</v>
      </c>
      <c r="Z199" s="483">
        <f t="shared" si="161"/>
        <v>1547.6967824925091</v>
      </c>
      <c r="AA199" s="1673">
        <f t="shared" si="161"/>
        <v>1626.629318399627</v>
      </c>
      <c r="AB199" s="1673">
        <f t="shared" si="161"/>
        <v>1703.0808963644092</v>
      </c>
      <c r="AC199" s="1673">
        <f t="shared" si="161"/>
        <v>1827.405801799011</v>
      </c>
      <c r="AD199" s="1673">
        <f t="shared" si="161"/>
        <v>1958.97901952854</v>
      </c>
      <c r="AE199" s="1720">
        <f t="shared" si="161"/>
        <v>2084.3536767783667</v>
      </c>
      <c r="AF199" s="472">
        <f t="shared" si="161"/>
        <v>2255.270678274193</v>
      </c>
      <c r="AG199" s="472">
        <f t="shared" si="161"/>
        <v>2446.9686859274993</v>
      </c>
      <c r="AH199" s="472">
        <f t="shared" ref="AH199:AP199" si="162">AG199*AH127</f>
        <v>2574.2110575957295</v>
      </c>
      <c r="AI199" s="472">
        <f t="shared" si="162"/>
        <v>2370.848384045667</v>
      </c>
      <c r="AJ199" s="2158">
        <f t="shared" si="162"/>
        <v>2477.5365613277218</v>
      </c>
      <c r="AK199" s="472">
        <f t="shared" si="162"/>
        <v>2584.0706334648135</v>
      </c>
      <c r="AL199" s="472">
        <f t="shared" si="162"/>
        <v>2678.541712402734</v>
      </c>
      <c r="AM199" s="472">
        <f t="shared" si="162"/>
        <v>2726.3631774238834</v>
      </c>
      <c r="AN199" s="472">
        <f t="shared" si="162"/>
        <v>2746.5001169353304</v>
      </c>
      <c r="AO199" s="2162">
        <f t="shared" si="162"/>
        <v>2683.3306142458177</v>
      </c>
      <c r="AP199" s="472">
        <f t="shared" si="162"/>
        <v>2688.6972754743092</v>
      </c>
      <c r="AQ199" s="472">
        <f>AP199*AQ127</f>
        <v>2737.093826432847</v>
      </c>
      <c r="AR199" s="472">
        <f>AQ199*AR127</f>
        <v>2813.7324535729667</v>
      </c>
      <c r="AT199" s="2148"/>
      <c r="AV199" s="1725" t="str">
        <f t="shared" si="132"/>
        <v>WWPS</v>
      </c>
      <c r="BO199" s="444" t="str">
        <f t="shared" si="134"/>
        <v>WWPS</v>
      </c>
      <c r="CS199" s="2442">
        <v>2010</v>
      </c>
      <c r="CT199" s="1201">
        <f t="shared" si="139"/>
        <v>517.81644052332217</v>
      </c>
      <c r="CU199" s="1382">
        <v>1.9395762902879012</v>
      </c>
      <c r="CV199" s="1201">
        <v>9152.1</v>
      </c>
      <c r="CW199" s="1382"/>
      <c r="CX199" s="1871">
        <f t="shared" si="142"/>
        <v>0.1062092918694033</v>
      </c>
      <c r="CY199" s="2716">
        <f t="shared" si="143"/>
        <v>424.83716747761321</v>
      </c>
      <c r="CZ199" s="1788">
        <v>4875.4344503119164</v>
      </c>
      <c r="DP199" s="2281">
        <v>2010</v>
      </c>
      <c r="DQ199" s="1616">
        <v>17.674409856030426</v>
      </c>
      <c r="DR199" s="1382">
        <f>НАСТРОЙКА!DR151</f>
        <v>12.664918040361862</v>
      </c>
      <c r="DS199" s="1616">
        <f t="shared" si="160"/>
        <v>17.674409856030426</v>
      </c>
      <c r="DT199" s="1035"/>
      <c r="EJ199" s="2281">
        <v>2012</v>
      </c>
      <c r="EK199" s="2326">
        <f t="shared" si="135"/>
        <v>612.75497799463017</v>
      </c>
      <c r="EL199" s="2327"/>
      <c r="EM199" s="1245"/>
      <c r="FB199"/>
      <c r="FC199"/>
      <c r="FE199" s="2283">
        <f t="shared" si="137"/>
        <v>612.75497799463017</v>
      </c>
      <c r="FF199"/>
      <c r="FG199" s="1857">
        <v>2010</v>
      </c>
      <c r="FH199" s="1860">
        <f t="shared" si="140"/>
        <v>1.9395762902879012</v>
      </c>
      <c r="FI199" s="2121" t="e">
        <f>#REF!</f>
        <v>#REF!</v>
      </c>
      <c r="FJ199" s="1034"/>
      <c r="FK199" s="1035" t="e">
        <f t="shared" si="145"/>
        <v>#REF!</v>
      </c>
    </row>
    <row r="200" spans="6:167" ht="21">
      <c r="I200" s="1651" t="s">
        <v>669</v>
      </c>
      <c r="J200" s="40" t="s">
        <v>670</v>
      </c>
      <c r="K200" s="21" t="s">
        <v>671</v>
      </c>
      <c r="L200" s="21"/>
      <c r="M200" s="21"/>
      <c r="N200" s="21"/>
      <c r="O200" s="1663" t="s">
        <v>400</v>
      </c>
      <c r="P200" s="1754"/>
      <c r="U200" s="1691"/>
      <c r="W200" s="484"/>
      <c r="X200" s="484"/>
      <c r="Y200" s="484"/>
      <c r="Z200" s="466">
        <v>1132</v>
      </c>
      <c r="AA200" s="484">
        <v>1594</v>
      </c>
      <c r="AB200" s="484">
        <v>2205</v>
      </c>
      <c r="AC200" s="484">
        <v>2586</v>
      </c>
      <c r="AD200" s="484">
        <v>3429</v>
      </c>
      <c r="AE200" s="1720">
        <v>5127</v>
      </c>
      <c r="AF200" s="472">
        <v>6279</v>
      </c>
      <c r="AG200" s="472">
        <v>7781</v>
      </c>
      <c r="AH200" s="472">
        <v>9275</v>
      </c>
      <c r="AI200" s="472">
        <v>7337</v>
      </c>
      <c r="AJ200" s="2158">
        <v>7432</v>
      </c>
      <c r="AK200" s="472">
        <v>11367.65</v>
      </c>
      <c r="AL200" s="484">
        <v>12858.3</v>
      </c>
      <c r="AM200" s="484"/>
      <c r="AN200" s="484"/>
      <c r="AO200" s="2161"/>
      <c r="AT200" s="2148"/>
      <c r="AV200" s="1725" t="str">
        <f t="shared" si="132"/>
        <v>DHF</v>
      </c>
      <c r="BO200" s="444" t="str">
        <f t="shared" si="134"/>
        <v>DHF</v>
      </c>
      <c r="CS200" s="2442">
        <v>2011</v>
      </c>
      <c r="CT200" s="1201">
        <f t="shared" si="139"/>
        <v>573.74061609984096</v>
      </c>
      <c r="CU200" s="1382">
        <v>2.1490505296389948</v>
      </c>
      <c r="CV200" s="1201">
        <v>11035.652</v>
      </c>
      <c r="CW200" s="1382"/>
      <c r="CX200" s="1871">
        <f t="shared" si="142"/>
        <v>0.112828279378043</v>
      </c>
      <c r="CY200" s="2716">
        <f t="shared" si="143"/>
        <v>451.31311751217203</v>
      </c>
      <c r="CZ200" s="1788">
        <v>5085.0781316753291</v>
      </c>
      <c r="DP200" s="2281">
        <v>2011</v>
      </c>
      <c r="DQ200" s="1616">
        <v>19.234566440524752</v>
      </c>
      <c r="DR200" s="1382">
        <f>НАСТРОЙКА!DR152</f>
        <v>13.437478040823935</v>
      </c>
      <c r="DS200" s="1616">
        <f t="shared" si="160"/>
        <v>19.234566440524752</v>
      </c>
      <c r="DT200" s="1035"/>
      <c r="EJ200" s="2281">
        <v>2013</v>
      </c>
      <c r="EK200" s="2326">
        <f t="shared" si="135"/>
        <v>617.65701781858718</v>
      </c>
      <c r="EL200" s="2327"/>
      <c r="EM200" s="1245"/>
      <c r="FB200"/>
      <c r="FC200"/>
      <c r="FE200" s="2283">
        <f t="shared" si="137"/>
        <v>617.65701781858718</v>
      </c>
      <c r="FF200"/>
      <c r="FG200" s="1857">
        <v>2011</v>
      </c>
      <c r="FH200" s="1860">
        <f t="shared" si="140"/>
        <v>2.1490505296389948</v>
      </c>
      <c r="FI200" s="2121" t="e">
        <f>#REF!</f>
        <v>#REF!</v>
      </c>
      <c r="FJ200" s="1034"/>
      <c r="FK200" s="1035" t="e">
        <f t="shared" si="145"/>
        <v>#REF!</v>
      </c>
    </row>
    <row r="201" spans="6:167" ht="21">
      <c r="I201" s="1651" t="s">
        <v>669</v>
      </c>
      <c r="J201" s="40" t="s">
        <v>672</v>
      </c>
      <c r="K201" s="22" t="s">
        <v>673</v>
      </c>
      <c r="L201" s="22"/>
      <c r="M201" s="22"/>
      <c r="N201" s="22"/>
      <c r="O201" s="1663" t="s">
        <v>400</v>
      </c>
      <c r="P201" s="1749"/>
      <c r="U201" s="1691"/>
      <c r="W201" s="484"/>
      <c r="X201" s="484"/>
      <c r="Y201" s="484"/>
      <c r="Z201" s="466">
        <v>1029</v>
      </c>
      <c r="AA201" s="484">
        <v>1322</v>
      </c>
      <c r="AB201" s="484">
        <v>2054</v>
      </c>
      <c r="AC201" s="484">
        <v>2359</v>
      </c>
      <c r="AD201" s="484">
        <v>2699</v>
      </c>
      <c r="AE201" s="1720">
        <v>3514</v>
      </c>
      <c r="AF201" s="472">
        <v>4285</v>
      </c>
      <c r="AG201" s="472">
        <v>5987</v>
      </c>
      <c r="AH201" s="472">
        <v>7571</v>
      </c>
      <c r="AI201" s="472">
        <v>9660</v>
      </c>
      <c r="AJ201" s="2158">
        <v>8323</v>
      </c>
      <c r="AK201" s="472">
        <v>10925.6</v>
      </c>
      <c r="AL201" s="484">
        <v>12871.1</v>
      </c>
      <c r="AM201" s="484"/>
      <c r="AN201" s="484"/>
      <c r="AO201" s="2161"/>
      <c r="AT201" s="2148"/>
      <c r="AV201" s="1725" t="str">
        <f t="shared" si="132"/>
        <v>RHF</v>
      </c>
      <c r="BO201" s="444" t="str">
        <f t="shared" si="134"/>
        <v>RHF</v>
      </c>
      <c r="CS201" s="2442">
        <v>2012</v>
      </c>
      <c r="CT201" s="1201">
        <f t="shared" si="139"/>
        <v>612.75497799463017</v>
      </c>
      <c r="CU201" s="1382">
        <v>2.2951859656544467</v>
      </c>
      <c r="CV201" s="1201">
        <v>12586.090400000001</v>
      </c>
      <c r="CW201" s="1382"/>
      <c r="CX201" s="1871">
        <f t="shared" si="142"/>
        <v>0.11597748063113564</v>
      </c>
      <c r="CY201" s="2716">
        <f t="shared" si="143"/>
        <v>463.90992252454254</v>
      </c>
      <c r="CZ201" s="1788">
        <v>5283.3961788106672</v>
      </c>
      <c r="DP201" s="2281">
        <v>2012</v>
      </c>
      <c r="DQ201" s="1616">
        <v>20.540168341333807</v>
      </c>
      <c r="DR201" s="1382">
        <f>НАСТРОЙКА!DR153</f>
        <v>14.321664095910151</v>
      </c>
      <c r="DS201" s="1616">
        <f t="shared" si="160"/>
        <v>20.540168341333807</v>
      </c>
      <c r="DT201" s="1035"/>
      <c r="EJ201" s="2281">
        <v>2014</v>
      </c>
      <c r="EK201" s="2326">
        <f t="shared" si="135"/>
        <v>608.39216255130839</v>
      </c>
      <c r="EL201" s="2327"/>
      <c r="EM201" s="2329"/>
      <c r="FB201"/>
      <c r="FC201"/>
      <c r="FE201" s="2283">
        <f t="shared" si="137"/>
        <v>608.39216255130839</v>
      </c>
      <c r="FF201"/>
      <c r="FG201" s="1857">
        <v>2012</v>
      </c>
      <c r="FH201" s="1860">
        <f t="shared" si="140"/>
        <v>2.2951859656544467</v>
      </c>
      <c r="FI201" s="2121" t="e">
        <f>#REF!</f>
        <v>#REF!</v>
      </c>
      <c r="FJ201" s="1034"/>
      <c r="FK201" s="1035" t="e">
        <f t="shared" si="145"/>
        <v>#REF!</v>
      </c>
    </row>
    <row r="202" spans="6:167" ht="21">
      <c r="I202" s="1651" t="s">
        <v>669</v>
      </c>
      <c r="J202" s="40" t="s">
        <v>674</v>
      </c>
      <c r="K202" s="22" t="s">
        <v>675</v>
      </c>
      <c r="L202" s="22"/>
      <c r="M202" s="22"/>
      <c r="N202" s="22"/>
      <c r="O202" s="1663" t="s">
        <v>400</v>
      </c>
      <c r="P202" s="1749"/>
      <c r="U202" s="1691"/>
      <c r="W202" s="484"/>
      <c r="X202" s="484"/>
      <c r="Y202" s="484"/>
      <c r="Z202" s="466">
        <f>Z200-Z201</f>
        <v>103</v>
      </c>
      <c r="AA202" s="484">
        <f>AA200-AA201</f>
        <v>272</v>
      </c>
      <c r="AB202" s="484">
        <f t="shared" ref="AB202:AJ202" si="163">AB200-AB201</f>
        <v>151</v>
      </c>
      <c r="AC202" s="484">
        <f t="shared" si="163"/>
        <v>227</v>
      </c>
      <c r="AD202" s="484">
        <f t="shared" si="163"/>
        <v>730</v>
      </c>
      <c r="AE202" s="1720">
        <f t="shared" si="163"/>
        <v>1613</v>
      </c>
      <c r="AF202" s="472">
        <f t="shared" si="163"/>
        <v>1994</v>
      </c>
      <c r="AG202" s="472">
        <f t="shared" si="163"/>
        <v>1794</v>
      </c>
      <c r="AH202" s="472">
        <f t="shared" si="163"/>
        <v>1704</v>
      </c>
      <c r="AI202" s="472">
        <f t="shared" si="163"/>
        <v>-2323</v>
      </c>
      <c r="AJ202" s="2158">
        <f t="shared" si="163"/>
        <v>-891</v>
      </c>
      <c r="AK202" s="484"/>
      <c r="AL202" s="484"/>
      <c r="AM202" s="484"/>
      <c r="AN202" s="484"/>
      <c r="AO202" s="2161"/>
      <c r="AT202" s="2148"/>
      <c r="AV202" s="1725" t="str">
        <f t="shared" si="132"/>
        <v>DF</v>
      </c>
      <c r="BO202" s="444" t="str">
        <f t="shared" si="134"/>
        <v>DF</v>
      </c>
      <c r="CS202" s="2442">
        <v>2013</v>
      </c>
      <c r="CT202" s="1201">
        <f t="shared" si="139"/>
        <v>617.65701781858718</v>
      </c>
      <c r="CU202" s="1382">
        <v>2.313547453379682</v>
      </c>
      <c r="CV202" s="1201">
        <v>13450.2382</v>
      </c>
      <c r="CW202" s="1382"/>
      <c r="CX202" s="1871">
        <f t="shared" si="142"/>
        <v>0.1145007840119341</v>
      </c>
      <c r="CY202" s="2716">
        <f t="shared" si="143"/>
        <v>458.0031360477364</v>
      </c>
      <c r="CZ202" s="1788">
        <v>5394.3474985656912</v>
      </c>
      <c r="DP202" s="2281">
        <v>2013</v>
      </c>
      <c r="DQ202" s="1616">
        <v>21.776225011581559</v>
      </c>
      <c r="DR202" s="1382">
        <f>НАСТРОЙКА!DR154</f>
        <v>15.245411430096356</v>
      </c>
      <c r="DS202" s="1616">
        <f t="shared" si="160"/>
        <v>21.776225011581559</v>
      </c>
      <c r="DT202" s="1035"/>
      <c r="EJ202" s="2281">
        <v>2015</v>
      </c>
      <c r="EK202" s="2326">
        <f t="shared" si="135"/>
        <v>546.9445541336263</v>
      </c>
      <c r="EL202" s="2327"/>
      <c r="EM202" s="2329"/>
      <c r="FB202"/>
      <c r="FC202"/>
      <c r="FE202" s="2283">
        <f t="shared" si="137"/>
        <v>546.9445541336263</v>
      </c>
      <c r="FF202"/>
      <c r="FG202" s="1857">
        <v>2013</v>
      </c>
      <c r="FH202" s="1860">
        <f t="shared" si="140"/>
        <v>2.313547453379682</v>
      </c>
      <c r="FI202" s="2121" t="e">
        <f>#REF!</f>
        <v>#REF!</v>
      </c>
      <c r="FJ202" s="1034"/>
      <c r="FK202" s="1035" t="e">
        <f t="shared" si="145"/>
        <v>#REF!</v>
      </c>
    </row>
    <row r="203" spans="6:167" ht="21">
      <c r="I203" s="1651" t="s">
        <v>669</v>
      </c>
      <c r="J203" s="40" t="s">
        <v>676</v>
      </c>
      <c r="K203" s="21" t="s">
        <v>677</v>
      </c>
      <c r="O203" s="1663" t="s">
        <v>400</v>
      </c>
      <c r="P203" s="1754"/>
      <c r="U203" s="1691"/>
      <c r="W203" s="484"/>
      <c r="X203" s="484"/>
      <c r="Y203" s="484"/>
      <c r="Z203" s="466"/>
      <c r="AA203" s="484"/>
      <c r="AB203" s="484"/>
      <c r="AC203" s="484"/>
      <c r="AD203" s="484"/>
      <c r="AE203" s="1720"/>
      <c r="AF203" s="448"/>
      <c r="AG203" s="448"/>
      <c r="AH203" s="448"/>
      <c r="AI203" s="448"/>
      <c r="AJ203" s="2158"/>
      <c r="AK203" s="484"/>
      <c r="AL203" s="484"/>
      <c r="AM203" s="484"/>
      <c r="AN203" s="484"/>
      <c r="AO203" s="2161"/>
      <c r="AT203" s="2148"/>
      <c r="AV203" s="1725" t="str">
        <f t="shared" si="132"/>
        <v>NLF</v>
      </c>
      <c r="BO203" s="444" t="str">
        <f t="shared" si="134"/>
        <v>NLF</v>
      </c>
      <c r="CS203" s="2442">
        <v>2014</v>
      </c>
      <c r="CT203" s="1201">
        <f t="shared" si="139"/>
        <v>608.39216255130839</v>
      </c>
      <c r="CU203" s="1382">
        <v>2.2788442415789869</v>
      </c>
      <c r="CV203" s="1201">
        <v>13902.6453</v>
      </c>
      <c r="CW203" s="1382"/>
      <c r="CX203" s="1871">
        <f t="shared" si="142"/>
        <v>0.1118881669164237</v>
      </c>
      <c r="CY203" s="2716">
        <f t="shared" si="143"/>
        <v>447.5526676656948</v>
      </c>
      <c r="CZ203" s="1788">
        <v>5437.5022785542169</v>
      </c>
      <c r="DP203" s="2281">
        <v>2014</v>
      </c>
      <c r="DQ203" s="1616">
        <v>22.851453644141124</v>
      </c>
      <c r="DR203" s="1382">
        <f>НАСТРОЙКА!DR155</f>
        <v>17.318787384589459</v>
      </c>
      <c r="DS203" s="1616"/>
      <c r="DT203" s="1035"/>
      <c r="EJ203" s="2281">
        <v>2016</v>
      </c>
      <c r="EK203" s="2326">
        <f t="shared" si="135"/>
        <v>545.85066502535915</v>
      </c>
      <c r="EL203" s="2327"/>
      <c r="EM203" s="2329"/>
      <c r="FB203"/>
      <c r="FC203"/>
      <c r="FE203" s="2283">
        <f t="shared" si="137"/>
        <v>545.85066502535915</v>
      </c>
      <c r="FF203"/>
      <c r="FG203" s="1857">
        <v>2014</v>
      </c>
      <c r="FH203" s="1860">
        <f t="shared" si="140"/>
        <v>2.2788442415789869</v>
      </c>
      <c r="FI203" s="2121" t="e">
        <f>#REF!</f>
        <v>#REF!</v>
      </c>
      <c r="FJ203" s="1034"/>
      <c r="FK203" s="1035" t="e">
        <f t="shared" si="145"/>
        <v>#REF!</v>
      </c>
    </row>
    <row r="204" spans="6:167" ht="21">
      <c r="I204" s="1651" t="s">
        <v>407</v>
      </c>
      <c r="J204" s="40" t="s">
        <v>1088</v>
      </c>
      <c r="K204" s="22" t="s">
        <v>1444</v>
      </c>
      <c r="O204" s="1663" t="s">
        <v>414</v>
      </c>
      <c r="P204" s="1754"/>
      <c r="U204" s="1720">
        <f t="shared" ref="U204:AR204" si="164">U101/U56</f>
        <v>0.42181907785329675</v>
      </c>
      <c r="V204" s="1720">
        <f t="shared" si="164"/>
        <v>0.35484349212508615</v>
      </c>
      <c r="W204" s="1720">
        <f t="shared" si="164"/>
        <v>0.35612812623317203</v>
      </c>
      <c r="X204" s="1720">
        <f t="shared" si="164"/>
        <v>0.43213624906617348</v>
      </c>
      <c r="Y204" s="1720">
        <f t="shared" si="164"/>
        <v>0.53618498975669759</v>
      </c>
      <c r="Z204" s="1720">
        <f t="shared" si="164"/>
        <v>0.51314568756918266</v>
      </c>
      <c r="AA204" s="1720">
        <f t="shared" si="164"/>
        <v>0.45719214816922571</v>
      </c>
      <c r="AB204" s="1720">
        <f t="shared" si="164"/>
        <v>0.41546059298535676</v>
      </c>
      <c r="AC204" s="1720">
        <f t="shared" si="164"/>
        <v>0.41741926640220001</v>
      </c>
      <c r="AD204" s="1720">
        <f t="shared" si="164"/>
        <v>0.43102555632109979</v>
      </c>
      <c r="AE204" s="1720">
        <f t="shared" si="164"/>
        <v>0.42626420556970845</v>
      </c>
      <c r="AF204" s="1720">
        <f t="shared" si="164"/>
        <v>0.41058116012085905</v>
      </c>
      <c r="AG204" s="1720">
        <f t="shared" si="164"/>
        <v>0.38906701438423436</v>
      </c>
      <c r="AH204" s="1720">
        <f t="shared" si="164"/>
        <v>0.37065034663977608</v>
      </c>
      <c r="AI204" s="1720">
        <f t="shared" si="164"/>
        <v>0.34770432797617995</v>
      </c>
      <c r="AJ204" s="2164">
        <f t="shared" si="164"/>
        <v>0.35925034708819953</v>
      </c>
      <c r="AK204" s="1720">
        <f t="shared" si="164"/>
        <v>0.51454145123735218</v>
      </c>
      <c r="AL204" s="1720">
        <f t="shared" si="164"/>
        <v>0.52003964001785996</v>
      </c>
      <c r="AM204" s="1720">
        <f t="shared" si="164"/>
        <v>0.49378163820302096</v>
      </c>
      <c r="AN204" s="1720">
        <f t="shared" si="164"/>
        <v>0.47791037555498334</v>
      </c>
      <c r="AO204" s="2164">
        <f t="shared" si="164"/>
        <v>0.47775705992118184</v>
      </c>
      <c r="AP204" s="1721">
        <f t="shared" si="164"/>
        <v>0.46280984702526429</v>
      </c>
      <c r="AQ204" s="1721">
        <f t="shared" si="164"/>
        <v>0.45965792071291767</v>
      </c>
      <c r="AR204" s="1721">
        <f t="shared" si="164"/>
        <v>0.46807214559382843</v>
      </c>
      <c r="AT204" s="2148"/>
      <c r="AV204" s="1725" t="str">
        <f t="shared" si="132"/>
        <v>REN</v>
      </c>
      <c r="BO204" s="444" t="str">
        <f t="shared" si="134"/>
        <v>REN</v>
      </c>
      <c r="CS204" s="2442">
        <v>2015</v>
      </c>
      <c r="CT204" s="1201">
        <f t="shared" si="139"/>
        <v>546.9445541336263</v>
      </c>
      <c r="CU204" s="1382">
        <v>2.0486809731795095</v>
      </c>
      <c r="CV204" s="1201">
        <v>13897.2</v>
      </c>
      <c r="CW204" s="1201">
        <f>CT204</f>
        <v>546.9445541336263</v>
      </c>
      <c r="CX204" s="1871">
        <f t="shared" si="142"/>
        <v>0.10191232224707693</v>
      </c>
      <c r="CY204" s="2716">
        <f t="shared" si="143"/>
        <v>407.64928898830772</v>
      </c>
      <c r="CZ204" s="1788">
        <v>5366.8147489330113</v>
      </c>
      <c r="DP204" s="2281">
        <v>2015</v>
      </c>
      <c r="DQ204" s="1616">
        <v>25.408791247612854</v>
      </c>
      <c r="DR204" s="1382">
        <f>НАСТРОЙКА!DR156</f>
        <v>19.552910957201501</v>
      </c>
      <c r="DS204" s="1616"/>
      <c r="DT204" s="1035">
        <f>DQ204</f>
        <v>25.408791247612854</v>
      </c>
      <c r="EJ204" s="2281">
        <v>2017</v>
      </c>
      <c r="EK204" s="2326">
        <f t="shared" si="135"/>
        <v>572.05149694657644</v>
      </c>
      <c r="EL204" s="2327"/>
      <c r="EM204" s="2329"/>
      <c r="FB204"/>
      <c r="FC204"/>
      <c r="FE204" s="2283">
        <f t="shared" si="137"/>
        <v>572.05149694657644</v>
      </c>
      <c r="FF204"/>
      <c r="FG204" s="1857">
        <v>2015</v>
      </c>
      <c r="FH204" s="1860">
        <f t="shared" si="140"/>
        <v>2.0486809731795095</v>
      </c>
      <c r="FI204" s="2121" t="e">
        <f>#REF!</f>
        <v>#REF!</v>
      </c>
      <c r="FJ204" s="1034"/>
      <c r="FK204" s="1035" t="e">
        <f t="shared" si="145"/>
        <v>#REF!</v>
      </c>
    </row>
    <row r="205" spans="6:167" ht="21">
      <c r="F205" s="459" t="s">
        <v>779</v>
      </c>
      <c r="G205" s="459"/>
      <c r="H205" s="459"/>
      <c r="I205" s="1651" t="s">
        <v>407</v>
      </c>
      <c r="J205" s="40" t="s">
        <v>678</v>
      </c>
      <c r="K205" s="9" t="s">
        <v>679</v>
      </c>
      <c r="L205" s="9"/>
      <c r="M205" s="9"/>
      <c r="N205" s="9"/>
      <c r="O205" s="1663" t="s">
        <v>414</v>
      </c>
      <c r="P205" s="1755"/>
      <c r="Q205" s="1756"/>
      <c r="R205" s="1756"/>
      <c r="S205" s="1756"/>
      <c r="T205" s="1756"/>
      <c r="U205" s="1691"/>
      <c r="V205" s="1756"/>
      <c r="W205" s="1757"/>
      <c r="X205" s="1757"/>
      <c r="Y205" s="1758"/>
      <c r="Z205" s="465">
        <f t="shared" ref="Z205:AI205" si="165">Z200/Z65</f>
        <v>0.15494863931688127</v>
      </c>
      <c r="AA205" s="1759">
        <f t="shared" si="165"/>
        <v>0.17822835336702764</v>
      </c>
      <c r="AB205" s="1759">
        <f t="shared" si="165"/>
        <v>0.20380411612775176</v>
      </c>
      <c r="AC205" s="1759">
        <f t="shared" si="165"/>
        <v>0.19578696434037987</v>
      </c>
      <c r="AD205" s="1759">
        <f t="shared" si="165"/>
        <v>0.20138377611071476</v>
      </c>
      <c r="AE205" s="1720">
        <f t="shared" si="165"/>
        <v>0.23725384710907665</v>
      </c>
      <c r="AF205" s="448">
        <f t="shared" si="165"/>
        <v>0.23327090757659522</v>
      </c>
      <c r="AG205" s="448">
        <f t="shared" si="165"/>
        <v>0.23403254111648866</v>
      </c>
      <c r="AH205" s="448">
        <f t="shared" si="165"/>
        <v>0.22470222848307911</v>
      </c>
      <c r="AI205" s="448">
        <f t="shared" si="165"/>
        <v>0.18906276175059081</v>
      </c>
      <c r="AJ205" s="2155"/>
      <c r="AK205" s="1758"/>
      <c r="AL205" s="1757"/>
      <c r="AM205" s="1757"/>
      <c r="AN205" s="1757"/>
      <c r="AO205" s="2165"/>
      <c r="AT205" s="2148"/>
      <c r="AV205" s="1725" t="str">
        <f t="shared" si="132"/>
        <v>qDHF</v>
      </c>
      <c r="BO205" s="444" t="str">
        <f t="shared" si="134"/>
        <v>qDHF</v>
      </c>
      <c r="CS205" s="2442">
        <v>2016</v>
      </c>
      <c r="CT205" s="1201">
        <f t="shared" si="139"/>
        <v>545.85066502535915</v>
      </c>
      <c r="CU205" s="1382">
        <v>2.0445836112331506</v>
      </c>
      <c r="CV205" s="1201">
        <v>14748.8</v>
      </c>
      <c r="CW205" s="1201">
        <f t="shared" ref="CW205:CW207" si="166">CT205</f>
        <v>545.85066502535915</v>
      </c>
      <c r="CX205" s="1871">
        <f t="shared" si="142"/>
        <v>0.10050246798674189</v>
      </c>
      <c r="CY205" s="2716">
        <f t="shared" si="143"/>
        <v>402.00987194696756</v>
      </c>
      <c r="CZ205" s="1788">
        <v>5431.2165259202075</v>
      </c>
      <c r="DP205" s="2281">
        <v>2016</v>
      </c>
      <c r="DQ205" s="1616">
        <v>27.019844336572895</v>
      </c>
      <c r="DR205" s="1382">
        <f>НАСТРОЙКА!DR157</f>
        <v>20.606812857794662</v>
      </c>
      <c r="DS205" s="1616"/>
      <c r="DT205" s="1035">
        <f t="shared" ref="DT205:DT207" si="167">DQ205</f>
        <v>27.019844336572895</v>
      </c>
      <c r="EJ205" s="2281">
        <v>2018</v>
      </c>
      <c r="EK205" s="2326">
        <f t="shared" si="135"/>
        <v>596.64971131527921</v>
      </c>
      <c r="EL205" s="2327">
        <f>EK205</f>
        <v>596.64971131527921</v>
      </c>
      <c r="EM205" s="2329"/>
      <c r="FB205"/>
      <c r="FC205"/>
      <c r="FE205" s="2283">
        <f t="shared" si="137"/>
        <v>596.64971131527921</v>
      </c>
      <c r="FF205"/>
      <c r="FG205" s="1857">
        <v>2016</v>
      </c>
      <c r="FH205" s="1860">
        <f t="shared" si="140"/>
        <v>2.0445836112331506</v>
      </c>
      <c r="FI205" s="2121" t="e">
        <f>#REF!</f>
        <v>#REF!</v>
      </c>
      <c r="FJ205" s="1034"/>
      <c r="FK205" s="1035" t="e">
        <f t="shared" si="145"/>
        <v>#REF!</v>
      </c>
    </row>
    <row r="206" spans="6:167" ht="21">
      <c r="I206" s="1651" t="s">
        <v>407</v>
      </c>
      <c r="J206" s="40" t="s">
        <v>680</v>
      </c>
      <c r="K206" s="22" t="s">
        <v>129</v>
      </c>
      <c r="L206" s="22"/>
      <c r="M206" s="22"/>
      <c r="N206" s="22"/>
      <c r="O206" s="1663" t="s">
        <v>414</v>
      </c>
      <c r="P206" s="1749"/>
      <c r="U206" s="1691"/>
      <c r="W206" s="484"/>
      <c r="X206" s="484"/>
      <c r="Y206" s="484"/>
      <c r="Z206" s="465">
        <f t="shared" ref="Z206:AI206" si="168">Z201/Z65</f>
        <v>0.14084995570412617</v>
      </c>
      <c r="AA206" s="1719">
        <f t="shared" si="168"/>
        <v>0.14781548503840058</v>
      </c>
      <c r="AB206" s="1719">
        <f t="shared" si="168"/>
        <v>0.18984746237025038</v>
      </c>
      <c r="AC206" s="1719">
        <f t="shared" si="168"/>
        <v>0.17860071495705959</v>
      </c>
      <c r="AD206" s="1719">
        <f t="shared" si="168"/>
        <v>0.15851117285588193</v>
      </c>
      <c r="AE206" s="1720">
        <f t="shared" si="168"/>
        <v>0.16261166739639077</v>
      </c>
      <c r="AF206" s="448">
        <f t="shared" si="168"/>
        <v>0.15919188389324901</v>
      </c>
      <c r="AG206" s="448">
        <f t="shared" si="168"/>
        <v>0.18007361825786117</v>
      </c>
      <c r="AH206" s="448">
        <f t="shared" si="168"/>
        <v>0.1834200077461339</v>
      </c>
      <c r="AI206" s="448">
        <f t="shared" si="168"/>
        <v>0.24892275841770575</v>
      </c>
      <c r="AJ206" s="2155"/>
      <c r="AK206" s="484"/>
      <c r="AL206" s="484"/>
      <c r="AM206" s="484"/>
      <c r="AN206" s="484"/>
      <c r="AO206" s="2161"/>
      <c r="AT206" s="2148"/>
      <c r="AV206" s="1725" t="str">
        <f t="shared" si="132"/>
        <v>qRHF</v>
      </c>
      <c r="BO206" s="444" t="str">
        <f t="shared" si="134"/>
        <v>qRHF</v>
      </c>
      <c r="CS206" s="2442">
        <v>2017</v>
      </c>
      <c r="CT206" s="1201">
        <f t="shared" si="139"/>
        <v>572.05149694657644</v>
      </c>
      <c r="CU206" s="1382">
        <v>2.142723624572342</v>
      </c>
      <c r="CV206" s="1201">
        <v>16027.3</v>
      </c>
      <c r="CW206" s="1201">
        <f t="shared" si="166"/>
        <v>572.05149694657644</v>
      </c>
      <c r="CX206" s="1871">
        <f t="shared" si="142"/>
        <v>0.1027576453171761</v>
      </c>
      <c r="CY206" s="2716">
        <f t="shared" si="143"/>
        <v>411.0305812687044</v>
      </c>
      <c r="CZ206" s="1788">
        <v>5566.9969390682127</v>
      </c>
      <c r="DP206" s="2281">
        <v>2017</v>
      </c>
      <c r="DQ206" s="1616">
        <v>28.017232863734257</v>
      </c>
      <c r="DR206" s="1382">
        <f>НАСТРОЙКА!DR158</f>
        <v>21.124043860525305</v>
      </c>
      <c r="DS206" s="1616"/>
      <c r="DT206" s="1035">
        <f t="shared" si="167"/>
        <v>28.017232863734257</v>
      </c>
      <c r="EJ206" s="2281">
        <v>2019</v>
      </c>
      <c r="EK206" s="2326"/>
      <c r="EL206" s="2327">
        <f t="array" aca="1" ref="EL206:EL222" ca="1">TRANSPOSE(СЧЁТ!AM99:BC99)</f>
        <v>628.00541669800305</v>
      </c>
      <c r="EM206" s="2330"/>
      <c r="FB206"/>
      <c r="FC206"/>
      <c r="FE206" s="2283">
        <f>EM206</f>
        <v>0</v>
      </c>
      <c r="FF206"/>
      <c r="FG206" s="1857">
        <v>2017</v>
      </c>
      <c r="FH206" s="1860">
        <f t="shared" si="140"/>
        <v>2.142723624572342</v>
      </c>
      <c r="FI206" s="2121" t="e">
        <f>#REF!</f>
        <v>#REF!</v>
      </c>
      <c r="FJ206" s="1034"/>
      <c r="FK206" s="1035" t="e">
        <f t="shared" si="145"/>
        <v>#REF!</v>
      </c>
    </row>
    <row r="207" spans="6:167" ht="21">
      <c r="I207" s="1651" t="s">
        <v>407</v>
      </c>
      <c r="J207" s="40" t="s">
        <v>681</v>
      </c>
      <c r="K207" s="22" t="s">
        <v>682</v>
      </c>
      <c r="L207" s="22"/>
      <c r="M207" s="22"/>
      <c r="N207" s="22"/>
      <c r="O207" s="1663" t="s">
        <v>414</v>
      </c>
      <c r="P207" s="1749"/>
      <c r="U207" s="1691"/>
      <c r="W207" s="484"/>
      <c r="X207" s="484"/>
      <c r="Y207" s="484"/>
      <c r="Z207" s="465">
        <f>Z205-Z206</f>
        <v>1.4098683612755097E-2</v>
      </c>
      <c r="AA207" s="1688">
        <f>AA205-AA206</f>
        <v>3.0412868328627052E-2</v>
      </c>
      <c r="AB207" s="1688">
        <f t="shared" ref="AB207:AI207" si="169">AB205-AB206</f>
        <v>1.395665375750138E-2</v>
      </c>
      <c r="AC207" s="1688">
        <f t="shared" si="169"/>
        <v>1.7186249383320279E-2</v>
      </c>
      <c r="AD207" s="1688">
        <f t="shared" si="169"/>
        <v>4.2872603254832831E-2</v>
      </c>
      <c r="AE207" s="1720">
        <f t="shared" si="169"/>
        <v>7.4642179712685885E-2</v>
      </c>
      <c r="AF207" s="448">
        <f t="shared" si="169"/>
        <v>7.4079023683346207E-2</v>
      </c>
      <c r="AG207" s="448">
        <f t="shared" si="169"/>
        <v>5.3958922858627495E-2</v>
      </c>
      <c r="AH207" s="448">
        <f t="shared" si="169"/>
        <v>4.1282220736945208E-2</v>
      </c>
      <c r="AI207" s="448">
        <f t="shared" si="169"/>
        <v>-5.9859996667114945E-2</v>
      </c>
      <c r="AJ207" s="2155"/>
      <c r="AK207" s="484"/>
      <c r="AL207" s="484"/>
      <c r="AM207" s="484"/>
      <c r="AN207" s="484"/>
      <c r="AO207" s="2161"/>
      <c r="AT207" s="2148"/>
      <c r="AV207" s="1725" t="str">
        <f t="shared" si="132"/>
        <v>qDEF</v>
      </c>
      <c r="BO207" s="444" t="str">
        <f t="shared" si="134"/>
        <v>qDEF</v>
      </c>
      <c r="CS207" s="2442">
        <v>2018</v>
      </c>
      <c r="CT207" s="1201">
        <f t="shared" si="139"/>
        <v>596.64971131527921</v>
      </c>
      <c r="CU207" s="1382">
        <v>2.2348607404289527</v>
      </c>
      <c r="CV207" s="1201">
        <v>17595</v>
      </c>
      <c r="CW207" s="1201">
        <f t="shared" si="166"/>
        <v>596.64971131527921</v>
      </c>
      <c r="CX207" s="1871">
        <f t="shared" si="142"/>
        <v>0.10456216982030701</v>
      </c>
      <c r="CY207" s="2716">
        <f t="shared" si="143"/>
        <v>418.24867928122808</v>
      </c>
      <c r="CZ207" s="1788">
        <v>5706.1718625449175</v>
      </c>
      <c r="DP207" s="2281">
        <v>2018</v>
      </c>
      <c r="DQ207" s="1616">
        <v>29.489664817255768</v>
      </c>
      <c r="DR207" s="1382">
        <f>НАСТРОЙКА!DR159</f>
        <v>22.02392812898368</v>
      </c>
      <c r="DS207" s="1616"/>
      <c r="DT207" s="1035">
        <f t="shared" si="167"/>
        <v>29.489664817255768</v>
      </c>
      <c r="EJ207" s="2281">
        <v>2020</v>
      </c>
      <c r="EK207" s="2439"/>
      <c r="EL207" s="2327">
        <f ca="1"/>
        <v>653.33632938239043</v>
      </c>
      <c r="EM207" s="2329"/>
      <c r="FB207"/>
      <c r="FC207"/>
      <c r="FE207" s="2283">
        <f t="shared" ref="FE207:FE222" si="170">EM207</f>
        <v>0</v>
      </c>
      <c r="FF207"/>
      <c r="FG207" s="1857">
        <v>2018</v>
      </c>
      <c r="FH207" s="1860">
        <f t="shared" si="140"/>
        <v>2.2348607404289527</v>
      </c>
      <c r="FI207" s="2121" t="e">
        <f>#REF!</f>
        <v>#REF!</v>
      </c>
      <c r="FJ207" s="1034"/>
      <c r="FK207" s="1035" t="e">
        <f t="shared" si="145"/>
        <v>#REF!</v>
      </c>
    </row>
    <row r="208" spans="6:167" ht="21">
      <c r="I208" s="1651" t="s">
        <v>407</v>
      </c>
      <c r="J208" s="40" t="s">
        <v>683</v>
      </c>
      <c r="K208" s="21" t="s">
        <v>684</v>
      </c>
      <c r="L208" s="21"/>
      <c r="M208" s="21"/>
      <c r="N208" s="21"/>
      <c r="O208" s="1663" t="s">
        <v>414</v>
      </c>
      <c r="P208" s="1754"/>
      <c r="W208" s="484"/>
      <c r="X208" s="484"/>
      <c r="Y208" s="484"/>
      <c r="Z208" s="466">
        <v>0.13200000000000001</v>
      </c>
      <c r="AA208" s="484">
        <v>0.16300000000000001</v>
      </c>
      <c r="AB208" s="484">
        <v>0.188</v>
      </c>
      <c r="AC208" s="484">
        <v>0.18099999999999999</v>
      </c>
      <c r="AD208" s="484">
        <v>0.188</v>
      </c>
      <c r="AE208" s="1720">
        <v>0.14499999999999999</v>
      </c>
      <c r="AF208" s="484"/>
      <c r="AG208" s="484"/>
      <c r="AH208" s="484"/>
      <c r="AI208" s="484"/>
      <c r="AJ208" s="2155"/>
      <c r="AK208" s="484"/>
      <c r="AL208" s="484"/>
      <c r="AM208" s="484"/>
      <c r="AN208" s="484"/>
      <c r="AO208" s="2161"/>
      <c r="AT208" s="2148"/>
      <c r="AV208" s="1725" t="str">
        <f t="shared" si="132"/>
        <v>qNLF</v>
      </c>
      <c r="BO208" s="444" t="str">
        <f t="shared" si="134"/>
        <v>qNLF</v>
      </c>
      <c r="BP208" s="55"/>
      <c r="CS208" s="2442">
        <v>2019</v>
      </c>
      <c r="CT208" s="788"/>
      <c r="CU208" s="788"/>
      <c r="CV208" s="788"/>
      <c r="CW208" s="788"/>
      <c r="CX208" s="1871">
        <f>0.002+CX207</f>
        <v>0.10656216982030702</v>
      </c>
      <c r="CY208" s="2716">
        <f t="shared" si="143"/>
        <v>426.24867928122808</v>
      </c>
      <c r="CZ208" s="2717"/>
      <c r="DP208" s="2281">
        <v>2019</v>
      </c>
      <c r="DQ208" s="1617"/>
      <c r="DR208" s="1382">
        <f>НАСТРОЙКА!DR160</f>
        <v>22.693455544104783</v>
      </c>
      <c r="DS208" s="1616"/>
      <c r="DT208" s="1035"/>
      <c r="EJ208" s="2281">
        <v>2021</v>
      </c>
      <c r="EK208" s="2439"/>
      <c r="EL208" s="2327">
        <f ca="1"/>
        <v>696.7576153240384</v>
      </c>
      <c r="EM208" s="2329"/>
      <c r="FB208"/>
      <c r="FC208"/>
      <c r="FE208" s="2283">
        <f t="shared" si="170"/>
        <v>0</v>
      </c>
      <c r="FF208"/>
      <c r="FG208" s="1857">
        <v>2019</v>
      </c>
      <c r="FH208" s="1860"/>
      <c r="FI208" s="2121"/>
      <c r="FJ208" s="1034"/>
      <c r="FK208" s="1035"/>
    </row>
    <row r="209" spans="8:183" ht="21">
      <c r="I209" s="1651" t="s">
        <v>407</v>
      </c>
      <c r="J209" s="40" t="s">
        <v>1114</v>
      </c>
      <c r="K209" s="21" t="s">
        <v>1115</v>
      </c>
      <c r="L209" s="21"/>
      <c r="M209" s="21"/>
      <c r="N209" s="21"/>
      <c r="O209" s="1663" t="s">
        <v>414</v>
      </c>
      <c r="P209" s="1754"/>
      <c r="U209" s="1714">
        <f t="shared" ref="U209:AR209" si="171">U88/U65</f>
        <v>0.45352504118070652</v>
      </c>
      <c r="V209" s="1693">
        <f t="shared" si="171"/>
        <v>0.50932720637234741</v>
      </c>
      <c r="W209" s="1693">
        <f t="shared" si="171"/>
        <v>0.51350820274818476</v>
      </c>
      <c r="X209" s="1693">
        <f t="shared" si="171"/>
        <v>0.48031487708750942</v>
      </c>
      <c r="Y209" s="1693">
        <f t="shared" si="171"/>
        <v>0.40089418033286339</v>
      </c>
      <c r="Z209" s="1693">
        <f t="shared" si="171"/>
        <v>0.40204928609604523</v>
      </c>
      <c r="AA209" s="1693">
        <f t="shared" si="171"/>
        <v>0.43029736204370711</v>
      </c>
      <c r="AB209" s="1693">
        <f t="shared" si="171"/>
        <v>0.46815792680212043</v>
      </c>
      <c r="AC209" s="1693">
        <f t="shared" si="171"/>
        <v>0.47178048892502189</v>
      </c>
      <c r="AD209" s="448">
        <f t="shared" si="171"/>
        <v>0.46073583400066298</v>
      </c>
      <c r="AE209" s="448">
        <f t="shared" si="171"/>
        <v>0.43683153341020747</v>
      </c>
      <c r="AF209" s="448">
        <f t="shared" si="171"/>
        <v>0.44528793398261679</v>
      </c>
      <c r="AG209" s="448">
        <f t="shared" si="171"/>
        <v>0.46698560300142988</v>
      </c>
      <c r="AH209" s="448">
        <f t="shared" si="171"/>
        <v>0.47386756448454886</v>
      </c>
      <c r="AI209" s="448">
        <f t="shared" si="171"/>
        <v>0.52597456158865707</v>
      </c>
      <c r="AJ209" s="2159">
        <f t="shared" si="171"/>
        <v>0.49657427125592235</v>
      </c>
      <c r="AK209" s="448">
        <f t="shared" si="171"/>
        <v>0.43771671241645288</v>
      </c>
      <c r="AL209" s="448">
        <f t="shared" si="171"/>
        <v>0.44306691647383573</v>
      </c>
      <c r="AM209" s="448">
        <f t="shared" si="171"/>
        <v>0.46206047351633545</v>
      </c>
      <c r="AN209" s="448">
        <f t="shared" si="171"/>
        <v>0.47345281619378465</v>
      </c>
      <c r="AO209" s="2159">
        <f t="shared" si="171"/>
        <v>0.45424884739386451</v>
      </c>
      <c r="AP209" s="448">
        <f t="shared" si="171"/>
        <v>0.4795180330689584</v>
      </c>
      <c r="AQ209" s="448">
        <f t="shared" si="171"/>
        <v>0.47647862669533364</v>
      </c>
      <c r="AR209" s="448">
        <f t="shared" si="171"/>
        <v>0.46444282498907352</v>
      </c>
      <c r="AT209" s="2148"/>
      <c r="AV209" s="1725" t="str">
        <f t="shared" si="132"/>
        <v>sOT</v>
      </c>
      <c r="BO209" s="444" t="str">
        <f t="shared" si="134"/>
        <v>sOT</v>
      </c>
      <c r="BP209" s="1631"/>
      <c r="CS209" s="2442">
        <v>2020</v>
      </c>
      <c r="CT209" s="788"/>
      <c r="CU209" s="788"/>
      <c r="CV209" s="788"/>
      <c r="CW209" s="788"/>
      <c r="CX209" s="1871">
        <f t="shared" ref="CX209:CX224" si="172">0.002+CX208</f>
        <v>0.10856216982030702</v>
      </c>
      <c r="CY209" s="2716">
        <f t="shared" si="143"/>
        <v>434.24867928122808</v>
      </c>
      <c r="CZ209" s="2467"/>
      <c r="DP209" s="2281">
        <v>2020</v>
      </c>
      <c r="DQ209" s="1617"/>
      <c r="DR209" s="1382">
        <f>НАСТРОЙКА!DR161</f>
        <v>23.807704211320324</v>
      </c>
      <c r="DS209" s="1616"/>
      <c r="DT209" s="1035"/>
      <c r="EJ209" s="2281">
        <v>2022</v>
      </c>
      <c r="EK209" s="2439"/>
      <c r="EL209" s="2327">
        <f ca="1"/>
        <v>731.85649943448288</v>
      </c>
      <c r="EM209" s="2329"/>
      <c r="FB209"/>
      <c r="FC209"/>
      <c r="FE209" s="2283">
        <f t="shared" si="170"/>
        <v>0</v>
      </c>
      <c r="FF209"/>
      <c r="FG209" s="1857">
        <v>2020</v>
      </c>
      <c r="FH209" s="1780"/>
      <c r="FI209" s="1382"/>
      <c r="FJ209" s="1034"/>
      <c r="FK209" s="1495"/>
    </row>
    <row r="210" spans="8:183" ht="21.6" thickBot="1">
      <c r="H210" s="55"/>
      <c r="J210" s="53" t="s">
        <v>447</v>
      </c>
      <c r="K210" s="1760" t="s">
        <v>140</v>
      </c>
      <c r="L210" s="1760"/>
      <c r="M210" s="1760"/>
      <c r="N210" s="1761"/>
      <c r="O210" s="1663" t="s">
        <v>400</v>
      </c>
      <c r="P210" s="1749">
        <v>1.927</v>
      </c>
      <c r="Q210" s="449">
        <v>2.0609999999999999</v>
      </c>
      <c r="R210" s="449">
        <v>43.215000000000003</v>
      </c>
      <c r="S210" s="449">
        <v>63.860999999999997</v>
      </c>
      <c r="T210" s="449">
        <v>1221.4939999999999</v>
      </c>
      <c r="U210" s="1691">
        <v>5306.46</v>
      </c>
      <c r="V210" s="451">
        <v>13250.16</v>
      </c>
      <c r="W210" s="451">
        <v>13411.950999999999</v>
      </c>
      <c r="X210" s="451">
        <v>14277.54</v>
      </c>
      <c r="Y210" s="451">
        <v>14334.782999999999</v>
      </c>
      <c r="Z210" s="466">
        <v>17464.171999999999</v>
      </c>
      <c r="AA210" s="451">
        <v>21495.236000000001</v>
      </c>
      <c r="AB210" s="451">
        <v>26333.273000000001</v>
      </c>
      <c r="AC210" s="451">
        <v>32173.286</v>
      </c>
      <c r="AD210" s="451">
        <v>34873.724000000002</v>
      </c>
      <c r="AE210" s="1720">
        <v>41493.567999999999</v>
      </c>
      <c r="AF210" s="451">
        <v>47489.498</v>
      </c>
      <c r="AG210" s="451">
        <v>60391.453999999998</v>
      </c>
      <c r="AH210" s="452">
        <v>74471.182000000001</v>
      </c>
      <c r="AI210" s="451">
        <v>82302.968999999997</v>
      </c>
      <c r="AJ210" s="452">
        <v>93186</v>
      </c>
      <c r="AK210" s="451">
        <f>AK82</f>
        <v>108001</v>
      </c>
      <c r="AL210" s="451">
        <f>AL82</f>
        <v>121269</v>
      </c>
      <c r="AM210" s="451">
        <f>AM82</f>
        <v>133522.79999999999</v>
      </c>
      <c r="AN210" s="451">
        <f>AN82</f>
        <v>147430</v>
      </c>
      <c r="AO210" s="2161">
        <v>160725</v>
      </c>
      <c r="AP210" s="451">
        <v>183404</v>
      </c>
      <c r="AQ210" s="451">
        <v>194649</v>
      </c>
      <c r="AR210" s="451">
        <v>206484</v>
      </c>
      <c r="AS210" s="451"/>
      <c r="AT210" s="2148"/>
      <c r="AV210" s="1725" t="str">
        <f t="shared" si="132"/>
        <v>F</v>
      </c>
      <c r="BO210" s="1762" t="str">
        <f t="shared" si="134"/>
        <v>F</v>
      </c>
      <c r="BP210" s="55"/>
      <c r="CS210" s="2442">
        <v>2021</v>
      </c>
      <c r="CT210" s="788"/>
      <c r="CU210" s="788"/>
      <c r="CV210" s="788"/>
      <c r="CW210" s="788"/>
      <c r="CX210" s="1871">
        <f t="shared" si="172"/>
        <v>0.11056216982030702</v>
      </c>
      <c r="CY210" s="2716">
        <f t="shared" si="143"/>
        <v>442.24867928122808</v>
      </c>
      <c r="CZ210" s="2467"/>
      <c r="DP210" s="2281">
        <v>2021</v>
      </c>
      <c r="DQ210" s="1617"/>
      <c r="DR210" s="1382">
        <f>НАСТРОЙКА!DR162</f>
        <v>24.998089421886341</v>
      </c>
      <c r="DS210" s="1616"/>
      <c r="DT210" s="1035"/>
      <c r="EJ210" s="2281">
        <v>2023</v>
      </c>
      <c r="EK210" s="2439"/>
      <c r="EL210" s="2327">
        <f ca="1"/>
        <v>766.50187452867749</v>
      </c>
      <c r="EM210" s="2329"/>
      <c r="FB210"/>
      <c r="FC210"/>
      <c r="FE210" s="2283">
        <f t="shared" si="170"/>
        <v>0</v>
      </c>
      <c r="FF210"/>
      <c r="FG210" s="1857">
        <v>2021</v>
      </c>
      <c r="FH210" s="1780"/>
      <c r="FI210" s="1382"/>
      <c r="FJ210" s="1034"/>
      <c r="FK210" s="1160"/>
    </row>
    <row r="211" spans="8:183" ht="21.6" thickBot="1">
      <c r="P211" s="1763">
        <v>1990</v>
      </c>
      <c r="Q211" s="1649">
        <v>1991</v>
      </c>
      <c r="R211" s="1649">
        <v>1992</v>
      </c>
      <c r="S211" s="1649">
        <v>1993</v>
      </c>
      <c r="T211" s="1649">
        <v>1994</v>
      </c>
      <c r="U211" s="1764">
        <v>1995</v>
      </c>
      <c r="V211" s="1649">
        <v>1996</v>
      </c>
      <c r="W211" s="1739">
        <v>1997</v>
      </c>
      <c r="X211" s="1739">
        <v>1998</v>
      </c>
      <c r="Y211" s="1739">
        <v>1999</v>
      </c>
      <c r="Z211" s="1765">
        <v>2000</v>
      </c>
      <c r="AA211" s="1739">
        <v>2001</v>
      </c>
      <c r="AB211" s="1739">
        <v>2002</v>
      </c>
      <c r="AC211" s="1739">
        <v>2003</v>
      </c>
      <c r="AD211" s="1766">
        <v>2004</v>
      </c>
      <c r="AE211" s="1137">
        <v>2005</v>
      </c>
      <c r="AF211" s="1138">
        <v>2006</v>
      </c>
      <c r="AG211" s="1137">
        <v>2007</v>
      </c>
      <c r="AH211" s="1139">
        <v>2008</v>
      </c>
      <c r="AI211" s="1137">
        <v>2009</v>
      </c>
      <c r="AJ211" s="1138">
        <v>2010</v>
      </c>
      <c r="AK211" s="2175">
        <v>2011</v>
      </c>
      <c r="AL211" s="1713">
        <v>2012</v>
      </c>
      <c r="AM211" s="1713">
        <v>2013</v>
      </c>
      <c r="AN211" s="1713">
        <v>2014</v>
      </c>
      <c r="AO211" s="1661">
        <v>2015</v>
      </c>
      <c r="AP211" s="1713">
        <v>2016</v>
      </c>
      <c r="AQ211" s="1661">
        <v>2017</v>
      </c>
      <c r="AR211" s="1713">
        <v>2018</v>
      </c>
      <c r="AS211" s="1713">
        <v>2019</v>
      </c>
      <c r="AT211" s="1661">
        <v>2020</v>
      </c>
      <c r="AU211" s="1713">
        <v>2021</v>
      </c>
      <c r="AV211" s="1725">
        <f>J211</f>
        <v>0</v>
      </c>
      <c r="AW211" s="1661">
        <v>2023</v>
      </c>
      <c r="AX211" s="1713">
        <v>2024</v>
      </c>
      <c r="AY211" s="1713">
        <v>2025</v>
      </c>
      <c r="AZ211" s="1661">
        <v>2026</v>
      </c>
      <c r="BA211" s="1713">
        <v>2027</v>
      </c>
      <c r="BB211" s="1713">
        <v>2028</v>
      </c>
      <c r="BC211" s="1661">
        <v>2029</v>
      </c>
      <c r="BD211" s="1713">
        <v>2030</v>
      </c>
      <c r="BE211" s="1713">
        <v>2031</v>
      </c>
      <c r="BF211" s="1661">
        <v>2032</v>
      </c>
      <c r="BG211" s="1713">
        <v>2033</v>
      </c>
      <c r="BH211" s="1713">
        <v>2034</v>
      </c>
      <c r="BI211" s="1661">
        <v>2035</v>
      </c>
      <c r="BJ211" s="1713">
        <v>2036</v>
      </c>
      <c r="BK211" s="1713">
        <v>2037</v>
      </c>
      <c r="BL211" s="1661">
        <v>2038</v>
      </c>
      <c r="BM211" s="1713">
        <v>2039</v>
      </c>
      <c r="BN211" s="1713">
        <v>2040</v>
      </c>
      <c r="BO211" s="1762">
        <f t="shared" si="134"/>
        <v>0</v>
      </c>
      <c r="CS211" s="2442">
        <v>2022</v>
      </c>
      <c r="CT211" s="788"/>
      <c r="CU211" s="788"/>
      <c r="CV211" s="788"/>
      <c r="CW211" s="788"/>
      <c r="CX211" s="1871">
        <f t="shared" si="172"/>
        <v>0.11256216982030702</v>
      </c>
      <c r="CY211" s="2716">
        <f t="shared" si="143"/>
        <v>450.24867928122808</v>
      </c>
      <c r="CZ211" s="2467"/>
      <c r="DP211" s="2281">
        <v>2022</v>
      </c>
      <c r="DQ211" s="1617"/>
      <c r="DR211" s="1382">
        <f>НАСТРОЙКА!DR163</f>
        <v>26.247993892980659</v>
      </c>
      <c r="DS211" s="1616"/>
      <c r="DT211" s="1035"/>
      <c r="EJ211" s="2281">
        <v>2024</v>
      </c>
      <c r="EK211" s="2439"/>
      <c r="EL211" s="2327">
        <f ca="1"/>
        <v>801.51909210335725</v>
      </c>
      <c r="EM211" s="2329"/>
      <c r="FB211"/>
      <c r="FC211"/>
      <c r="FE211" s="2283">
        <f t="shared" si="170"/>
        <v>0</v>
      </c>
      <c r="FF211"/>
      <c r="FG211" s="1857">
        <v>2022</v>
      </c>
      <c r="FH211" s="1780"/>
      <c r="FI211" s="1382"/>
      <c r="FJ211" s="1034"/>
      <c r="FK211" s="1160"/>
    </row>
    <row r="212" spans="8:183" ht="21">
      <c r="U212" s="1745">
        <v>0.5221387246866992</v>
      </c>
      <c r="V212" s="1745">
        <v>0.50515763739220043</v>
      </c>
      <c r="W212" s="1745">
        <v>0.51425022586426494</v>
      </c>
      <c r="X212" s="1745">
        <v>0.48940682451676792</v>
      </c>
      <c r="Y212" s="1745">
        <v>0.51817112196982673</v>
      </c>
      <c r="Z212" s="1745">
        <v>0.56549297268458631</v>
      </c>
      <c r="AA212" s="1745">
        <v>0.58851091176912462</v>
      </c>
      <c r="AB212" s="1745">
        <v>0.60921021595286973</v>
      </c>
      <c r="AC212" s="1745">
        <v>0.64645065207063979</v>
      </c>
      <c r="AD212" s="1745">
        <v>0.68878846444030373</v>
      </c>
      <c r="AE212" s="1745">
        <v>0.71593986780698682</v>
      </c>
      <c r="AF212" s="1745">
        <v>0.75663062714112717</v>
      </c>
      <c r="AG212" s="1745">
        <v>0.79846268277934673</v>
      </c>
      <c r="AH212" s="1745">
        <v>0.80925272163276107</v>
      </c>
      <c r="AI212" s="1745">
        <v>0.72613332323556101</v>
      </c>
      <c r="AJ212" s="1745">
        <v>0.7402314578604593</v>
      </c>
      <c r="AK212" s="1745">
        <v>0.74236714215984501</v>
      </c>
      <c r="AL212" s="1745">
        <v>0.73827571074551723</v>
      </c>
      <c r="AM212" s="1745">
        <v>0.72123625543753489</v>
      </c>
      <c r="AN212" s="1745"/>
      <c r="AO212" s="1745"/>
      <c r="CS212" s="2442">
        <v>2023</v>
      </c>
      <c r="CT212" s="788"/>
      <c r="CU212" s="788"/>
      <c r="CV212" s="788"/>
      <c r="CW212" s="788"/>
      <c r="CX212" s="1871">
        <f t="shared" si="172"/>
        <v>0.11456216982030702</v>
      </c>
      <c r="CY212" s="2716">
        <f t="shared" si="143"/>
        <v>458.24867928122808</v>
      </c>
      <c r="CZ212" s="2467"/>
      <c r="DP212" s="2281">
        <v>2023</v>
      </c>
      <c r="DQ212" s="1617"/>
      <c r="DR212" s="1382">
        <f>НАСТРОЙКА!DR164</f>
        <v>27.560393587629694</v>
      </c>
      <c r="DS212" s="1616"/>
      <c r="DT212" s="1035"/>
      <c r="EJ212" s="2281">
        <v>2025</v>
      </c>
      <c r="EK212" s="2439"/>
      <c r="EL212" s="2327">
        <f ca="1"/>
        <v>837.44724258142992</v>
      </c>
      <c r="EM212" s="2329"/>
      <c r="FB212"/>
      <c r="FC212"/>
      <c r="FE212" s="2283">
        <f t="shared" si="170"/>
        <v>0</v>
      </c>
      <c r="FF212"/>
      <c r="FG212" s="1857">
        <v>2023</v>
      </c>
      <c r="FH212" s="1780"/>
      <c r="FI212" s="1382"/>
      <c r="FJ212" s="1034"/>
      <c r="FK212" s="1160"/>
    </row>
    <row r="213" spans="8:183" ht="21">
      <c r="U213" s="1693">
        <v>2767.6205</v>
      </c>
      <c r="V213" s="1693">
        <v>2690.1271259999999</v>
      </c>
      <c r="W213" s="1693">
        <v>2727.788905764</v>
      </c>
      <c r="X213" s="1693">
        <v>2588.6716715700359</v>
      </c>
      <c r="Y213" s="1693">
        <v>2738.8146285210983</v>
      </c>
      <c r="Z213" s="1693">
        <v>2996.2632036020818</v>
      </c>
      <c r="AA213" s="1693">
        <v>3143.0801005785834</v>
      </c>
      <c r="AB213" s="1693">
        <v>3281.3756250040415</v>
      </c>
      <c r="AC213" s="1693">
        <v>3530.7601725043487</v>
      </c>
      <c r="AD213" s="1693">
        <v>3813.2209863046965</v>
      </c>
      <c r="AE213" s="1693">
        <v>4030.5745825240638</v>
      </c>
      <c r="AF213" s="1693">
        <v>4389.2957203687056</v>
      </c>
      <c r="AG213" s="1693">
        <v>4775.553743761152</v>
      </c>
      <c r="AH213" s="1693">
        <v>5014.3314309492098</v>
      </c>
      <c r="AI213" s="1693">
        <v>4643.2709050589683</v>
      </c>
      <c r="AJ213" s="1693">
        <v>4875.4344503119164</v>
      </c>
      <c r="AK213" s="1693">
        <v>5085.0781316753291</v>
      </c>
      <c r="AL213" s="1693">
        <v>5273.2260225473156</v>
      </c>
      <c r="AM213" s="1693">
        <v>5352.3244128855249</v>
      </c>
      <c r="AN213" s="1693"/>
      <c r="AO213" s="1693" t="s">
        <v>1319</v>
      </c>
      <c r="CS213" s="2442">
        <v>2024</v>
      </c>
      <c r="CT213" s="788"/>
      <c r="CU213" s="788"/>
      <c r="CV213" s="788"/>
      <c r="CW213" s="788"/>
      <c r="CX213" s="1871">
        <f t="shared" si="172"/>
        <v>0.11656216982030702</v>
      </c>
      <c r="CY213" s="2716">
        <f t="shared" si="143"/>
        <v>466.24867928122808</v>
      </c>
      <c r="CZ213" s="2467"/>
      <c r="DG213" s="739">
        <f t="array" ref="DG213">TRANSPOSE(U62:AR62)</f>
        <v>418.46850000000001</v>
      </c>
      <c r="DP213" s="2281">
        <v>2024</v>
      </c>
      <c r="DQ213" s="1617"/>
      <c r="DR213" s="1382">
        <f>НАСТРОЙКА!DR165</f>
        <v>28.938413267011178</v>
      </c>
      <c r="DS213" s="1616"/>
      <c r="DT213" s="1035"/>
      <c r="EJ213" s="2281">
        <v>2026</v>
      </c>
      <c r="EK213" s="2439"/>
      <c r="EL213" s="2327">
        <f ca="1"/>
        <v>874.65128583892897</v>
      </c>
      <c r="EM213" s="2329"/>
      <c r="FB213"/>
      <c r="FC213"/>
      <c r="FE213" s="2283">
        <f t="shared" si="170"/>
        <v>0</v>
      </c>
      <c r="FF213"/>
      <c r="FG213" s="1857">
        <v>2024</v>
      </c>
      <c r="FH213" s="1780"/>
      <c r="FI213" s="1382"/>
      <c r="FJ213" s="1034"/>
      <c r="FK213" s="1160"/>
    </row>
    <row r="214" spans="8:183" ht="21">
      <c r="U214" s="1693">
        <v>2767.6229163589906</v>
      </c>
      <c r="V214" s="1693">
        <v>2677.6860575790124</v>
      </c>
      <c r="W214" s="1693">
        <v>2714.9795543904047</v>
      </c>
      <c r="X214" s="1693">
        <v>2576.0675778969785</v>
      </c>
      <c r="Y214" s="1693">
        <v>2732.9277969996183</v>
      </c>
      <c r="Z214" s="1693">
        <v>2997.4243170355257</v>
      </c>
      <c r="AA214" s="1693">
        <v>3147.506964742226</v>
      </c>
      <c r="AB214" s="1693">
        <v>3290.7942621811135</v>
      </c>
      <c r="AC214" s="1693">
        <v>3537.3528044054369</v>
      </c>
      <c r="AD214" s="1693">
        <v>3829.3280443018266</v>
      </c>
      <c r="AE214" s="1693">
        <v>4055.9018649649197</v>
      </c>
      <c r="AF214" s="1693">
        <v>4389.294943244503</v>
      </c>
      <c r="AG214" s="1693">
        <v>4775.5581402225507</v>
      </c>
      <c r="AH214" s="1693">
        <v>5014.3360633417069</v>
      </c>
      <c r="AI214" s="1693">
        <v>4643.2849187293123</v>
      </c>
      <c r="AJ214" s="1693">
        <v>4875.4390114163571</v>
      </c>
      <c r="AK214" s="1693">
        <v>5085.0856373852575</v>
      </c>
      <c r="AL214" s="1693">
        <v>5274.5136266610816</v>
      </c>
      <c r="AM214" s="1693">
        <v>5369.1941355527597</v>
      </c>
      <c r="AO214" s="739" t="s">
        <v>1320</v>
      </c>
      <c r="CS214" s="2442">
        <v>2025</v>
      </c>
      <c r="CT214" s="788"/>
      <c r="CU214" s="788"/>
      <c r="CV214" s="788"/>
      <c r="CW214" s="788"/>
      <c r="CX214" s="1871">
        <f t="shared" si="172"/>
        <v>0.11856216982030703</v>
      </c>
      <c r="CY214" s="2716">
        <f t="shared" si="143"/>
        <v>474.24867928122808</v>
      </c>
      <c r="CZ214" s="2467"/>
      <c r="DP214" s="2281">
        <v>2025</v>
      </c>
      <c r="DQ214" s="1617"/>
      <c r="DR214" s="1382">
        <f>НАСТРОЙКА!DR166</f>
        <v>30.385333930361739</v>
      </c>
      <c r="DS214" s="1616"/>
      <c r="DT214" s="1035"/>
      <c r="EJ214" s="2281">
        <v>2027</v>
      </c>
      <c r="EK214" s="2439"/>
      <c r="EL214" s="2327">
        <f ca="1"/>
        <v>913.39094360972103</v>
      </c>
      <c r="EM214" s="2329"/>
      <c r="FB214"/>
      <c r="FC214"/>
      <c r="FE214" s="2283">
        <f t="shared" si="170"/>
        <v>0</v>
      </c>
      <c r="FF214"/>
      <c r="FG214" s="1857">
        <v>2025</v>
      </c>
      <c r="FH214" s="1780"/>
      <c r="FI214" s="1382"/>
      <c r="FJ214" s="1034"/>
      <c r="FK214" s="1160"/>
    </row>
    <row r="215" spans="8:183" ht="21">
      <c r="U215" s="739">
        <v>5306</v>
      </c>
      <c r="V215" s="1767">
        <v>5300.6940000000004</v>
      </c>
      <c r="W215" s="1767">
        <v>5279.4912240000003</v>
      </c>
      <c r="X215" s="1767">
        <v>5263.6527503280004</v>
      </c>
      <c r="Y215" s="1767">
        <v>5274.1800558286568</v>
      </c>
      <c r="Z215" s="1767">
        <v>5300.5509561077997</v>
      </c>
      <c r="AA215" s="1767">
        <v>5348.2559147127704</v>
      </c>
      <c r="AB215" s="1767">
        <v>5401.7384738598985</v>
      </c>
      <c r="AC215" s="1767">
        <v>5471.9610740200769</v>
      </c>
      <c r="AD215" s="1767">
        <v>5559.5124512043985</v>
      </c>
      <c r="AE215" s="1767">
        <v>5665.1431877772829</v>
      </c>
      <c r="AF215" s="1767">
        <v>5801.1066242839379</v>
      </c>
      <c r="AG215" s="1767">
        <v>5980.9409296367394</v>
      </c>
      <c r="AH215" s="1767">
        <v>6196.2548031036622</v>
      </c>
      <c r="AI215" s="1767">
        <v>6394.5349568029797</v>
      </c>
      <c r="AJ215" s="1767">
        <v>6586.3710055070696</v>
      </c>
      <c r="AK215" s="1767">
        <v>6849.8258457273523</v>
      </c>
      <c r="AL215" s="1767">
        <v>7144.3683570936282</v>
      </c>
      <c r="AM215" s="1767">
        <v>7444.4318280915604</v>
      </c>
      <c r="AO215" s="739" t="s">
        <v>1321</v>
      </c>
      <c r="CS215" s="2442">
        <v>2026</v>
      </c>
      <c r="CT215" s="788"/>
      <c r="CU215" s="788"/>
      <c r="CV215" s="788"/>
      <c r="CW215" s="788"/>
      <c r="CX215" s="1871">
        <f t="shared" si="172"/>
        <v>0.12056216982030703</v>
      </c>
      <c r="CY215" s="2716">
        <f t="shared" si="143"/>
        <v>482.24867928122814</v>
      </c>
      <c r="CZ215" s="2467"/>
      <c r="DP215" s="2281">
        <v>2026</v>
      </c>
      <c r="DQ215" s="1617"/>
      <c r="DR215" s="1382">
        <f>НАСТРОЙКА!DR167</f>
        <v>31.904600626879827</v>
      </c>
      <c r="DS215" s="1616"/>
      <c r="DT215" s="1035"/>
      <c r="EJ215" s="2281">
        <v>2028</v>
      </c>
      <c r="EK215" s="2439"/>
      <c r="EL215" s="2327">
        <f ca="1"/>
        <v>953.86307548107789</v>
      </c>
      <c r="EM215" s="2329"/>
      <c r="FB215"/>
      <c r="FC215"/>
      <c r="FE215" s="2283">
        <f t="shared" si="170"/>
        <v>0</v>
      </c>
      <c r="FF215"/>
      <c r="FG215" s="1857">
        <v>2026</v>
      </c>
      <c r="FH215" s="1780"/>
      <c r="FI215" s="1382"/>
      <c r="FJ215" s="1034"/>
      <c r="FK215" s="1160"/>
    </row>
    <row r="216" spans="8:183" ht="21">
      <c r="U216" s="1767">
        <v>5300.5509561077997</v>
      </c>
      <c r="V216" s="1767">
        <v>5300.6940000000004</v>
      </c>
      <c r="W216" s="1767">
        <v>5279.4912240000003</v>
      </c>
      <c r="X216" s="1767">
        <v>5263.6527503280004</v>
      </c>
      <c r="Y216" s="1767">
        <v>5274.1800558286568</v>
      </c>
      <c r="Z216" s="1767">
        <v>5300.5509561077997</v>
      </c>
      <c r="AA216" s="1767">
        <v>5348.2559147127704</v>
      </c>
      <c r="AB216" s="1767">
        <v>5401.7384738598985</v>
      </c>
      <c r="AC216" s="1767">
        <v>5471.9610740200769</v>
      </c>
      <c r="AD216" s="1767">
        <v>5559.5124512043985</v>
      </c>
      <c r="AE216" s="1767">
        <v>5665.1431877772829</v>
      </c>
      <c r="AF216" s="1767">
        <v>5801.1066242839379</v>
      </c>
      <c r="AG216" s="1767">
        <v>5980.9409296367394</v>
      </c>
      <c r="AH216" s="1767">
        <v>6196.2548031036622</v>
      </c>
      <c r="AI216" s="1767">
        <v>6394.5349568029797</v>
      </c>
      <c r="AJ216" s="1767">
        <v>6586.3710055070696</v>
      </c>
      <c r="AK216" s="1767">
        <v>6849.8258457273523</v>
      </c>
      <c r="AL216" s="1767">
        <v>7144.3683570936282</v>
      </c>
      <c r="AM216" s="1767">
        <v>7444.4318280915604</v>
      </c>
      <c r="AO216" s="739" t="s">
        <v>1322</v>
      </c>
      <c r="CS216" s="2442">
        <v>2027</v>
      </c>
      <c r="CT216" s="788"/>
      <c r="CU216" s="788"/>
      <c r="CV216" s="788"/>
      <c r="CW216" s="788"/>
      <c r="CX216" s="1871">
        <f t="shared" si="172"/>
        <v>0.12256216982030703</v>
      </c>
      <c r="CY216" s="2716">
        <f t="shared" si="143"/>
        <v>490.24867928122814</v>
      </c>
      <c r="CZ216" s="2467"/>
      <c r="DP216" s="2281">
        <v>2027</v>
      </c>
      <c r="DQ216" s="1617"/>
      <c r="DR216" s="1382">
        <f>НАСТРОЙКА!DR168</f>
        <v>33.499830658223821</v>
      </c>
      <c r="DS216" s="1616"/>
      <c r="DT216" s="1035"/>
      <c r="EJ216" s="2281">
        <v>2029</v>
      </c>
      <c r="EK216" s="2439"/>
      <c r="EL216" s="2327">
        <f ca="1"/>
        <v>996.22778840728051</v>
      </c>
      <c r="EM216" s="2329"/>
      <c r="FB216"/>
      <c r="FC216"/>
      <c r="FE216" s="2283">
        <f t="shared" si="170"/>
        <v>0</v>
      </c>
      <c r="FF216"/>
      <c r="FG216" s="1857">
        <v>2027</v>
      </c>
      <c r="FH216" s="1780"/>
      <c r="FI216" s="1382"/>
      <c r="FJ216" s="1034"/>
      <c r="FK216" s="1160"/>
    </row>
    <row r="217" spans="8:183" ht="21">
      <c r="U217" s="1768">
        <f>U214/U216</f>
        <v>0.5221387246866992</v>
      </c>
      <c r="V217" s="1768">
        <f t="shared" ref="V217:AG217" si="173">V214/V216</f>
        <v>0.50515763739220043</v>
      </c>
      <c r="W217" s="1768">
        <f t="shared" si="173"/>
        <v>0.51425022586426494</v>
      </c>
      <c r="X217" s="1768">
        <f t="shared" si="173"/>
        <v>0.48940682451676792</v>
      </c>
      <c r="Y217" s="1768">
        <f t="shared" si="173"/>
        <v>0.51817112196982673</v>
      </c>
      <c r="Z217" s="1768">
        <f t="shared" si="173"/>
        <v>0.56549297268458631</v>
      </c>
      <c r="AA217" s="1768">
        <f t="shared" si="173"/>
        <v>0.58851091176912462</v>
      </c>
      <c r="AB217" s="1768">
        <f t="shared" si="173"/>
        <v>0.60921021595286973</v>
      </c>
      <c r="AC217" s="1768">
        <f t="shared" si="173"/>
        <v>0.64645065207063979</v>
      </c>
      <c r="AD217" s="1768">
        <f t="shared" si="173"/>
        <v>0.68878846444030373</v>
      </c>
      <c r="AE217" s="1768">
        <f t="shared" si="173"/>
        <v>0.71593986780698682</v>
      </c>
      <c r="AF217" s="1768">
        <f t="shared" si="173"/>
        <v>0.75663062714112717</v>
      </c>
      <c r="AG217" s="1768">
        <f t="shared" si="173"/>
        <v>0.79846268277934673</v>
      </c>
      <c r="AH217" s="1768">
        <f t="shared" ref="AH217:AM217" si="174">AH214/AH216</f>
        <v>0.80925272163276107</v>
      </c>
      <c r="AI217" s="1768">
        <f t="shared" si="174"/>
        <v>0.72613332323556101</v>
      </c>
      <c r="AJ217" s="1768">
        <f t="shared" si="174"/>
        <v>0.7402314578604593</v>
      </c>
      <c r="AK217" s="1175">
        <f t="shared" si="174"/>
        <v>0.74236714215984501</v>
      </c>
      <c r="AL217" s="1175">
        <f t="shared" si="174"/>
        <v>0.73827571074551723</v>
      </c>
      <c r="AM217" s="1175">
        <f t="shared" si="174"/>
        <v>0.72123625543753489</v>
      </c>
      <c r="CS217" s="2442">
        <v>2028</v>
      </c>
      <c r="CT217" s="788"/>
      <c r="CU217" s="788"/>
      <c r="CV217" s="788"/>
      <c r="CW217" s="788"/>
      <c r="CX217" s="1871">
        <f t="shared" si="172"/>
        <v>0.12456216982030703</v>
      </c>
      <c r="CY217" s="2716">
        <f t="shared" si="143"/>
        <v>498.24867928122814</v>
      </c>
      <c r="CZ217" s="2467"/>
      <c r="DP217" s="2281">
        <v>2028</v>
      </c>
      <c r="DQ217" s="1617"/>
      <c r="DR217" s="1382">
        <f>НАСТРОЙКА!DR169</f>
        <v>35.174822191135014</v>
      </c>
      <c r="DS217" s="1616"/>
      <c r="DT217" s="1035"/>
      <c r="EJ217" s="2281">
        <v>2030</v>
      </c>
      <c r="EK217" s="2439"/>
      <c r="EL217" s="2327">
        <f ca="1"/>
        <v>1040.6245652048178</v>
      </c>
      <c r="EM217" s="2329"/>
      <c r="FB217"/>
      <c r="FC217"/>
      <c r="FE217" s="2283">
        <f t="shared" si="170"/>
        <v>0</v>
      </c>
      <c r="FF217"/>
      <c r="FG217" s="1857">
        <v>2028</v>
      </c>
      <c r="FH217" s="1780"/>
      <c r="FI217" s="1382"/>
      <c r="FJ217" s="1034"/>
      <c r="FK217" s="1160"/>
    </row>
    <row r="218" spans="8:183" ht="21">
      <c r="U218" s="1745">
        <f>U213/U215</f>
        <v>0.52160205427817563</v>
      </c>
      <c r="V218" s="1745">
        <f t="shared" ref="V218:AM218" si="175">V213/V215</f>
        <v>0.5075047014598465</v>
      </c>
      <c r="W218" s="1745">
        <f t="shared" si="175"/>
        <v>0.51667647317297627</v>
      </c>
      <c r="X218" s="1745">
        <f t="shared" si="175"/>
        <v>0.49180137717267253</v>
      </c>
      <c r="Y218" s="1745">
        <f t="shared" si="175"/>
        <v>0.51928728248372014</v>
      </c>
      <c r="Z218" s="1745">
        <f t="shared" si="175"/>
        <v>0.56527391744994016</v>
      </c>
      <c r="AA218" s="1745">
        <f t="shared" si="175"/>
        <v>0.58768319068878805</v>
      </c>
      <c r="AB218" s="1745">
        <f t="shared" si="175"/>
        <v>0.60746658522682651</v>
      </c>
      <c r="AC218" s="1745">
        <f t="shared" si="175"/>
        <v>0.64524584965850473</v>
      </c>
      <c r="AD218" s="1745">
        <f t="shared" si="175"/>
        <v>0.68589125751100888</v>
      </c>
      <c r="AE218" s="1745">
        <f t="shared" si="175"/>
        <v>0.71146914542604145</v>
      </c>
      <c r="AF218" s="1745">
        <f t="shared" si="175"/>
        <v>0.75663076110249916</v>
      </c>
      <c r="AG218" s="1745">
        <f t="shared" si="175"/>
        <v>0.79846194770079459</v>
      </c>
      <c r="AH218" s="1745">
        <f t="shared" si="175"/>
        <v>0.80925197402107563</v>
      </c>
      <c r="AI218" s="1745">
        <f t="shared" si="175"/>
        <v>0.7261311317282132</v>
      </c>
      <c r="AJ218" s="1745">
        <f t="shared" si="175"/>
        <v>0.74023076535400356</v>
      </c>
      <c r="AK218" s="1745">
        <f t="shared" si="175"/>
        <v>0.74236604640790949</v>
      </c>
      <c r="AL218" s="1745">
        <f t="shared" si="175"/>
        <v>0.73809548430009775</v>
      </c>
      <c r="AM218" s="1745">
        <f t="shared" si="175"/>
        <v>0.71897016944779202</v>
      </c>
      <c r="AO218" s="739" t="s">
        <v>32</v>
      </c>
      <c r="CS218" s="2442">
        <v>2029</v>
      </c>
      <c r="CT218" s="788"/>
      <c r="CU218" s="788"/>
      <c r="CV218" s="788"/>
      <c r="CW218" s="788"/>
      <c r="CX218" s="1871">
        <f t="shared" si="172"/>
        <v>0.12656216982030702</v>
      </c>
      <c r="CY218" s="2716">
        <f t="shared" si="143"/>
        <v>506.24867928122808</v>
      </c>
      <c r="CZ218" s="2467"/>
      <c r="DP218" s="2281">
        <v>2029</v>
      </c>
      <c r="DQ218" s="1617"/>
      <c r="DR218" s="1382">
        <f>НАСТРОЙКА!DR170</f>
        <v>36.933563300691766</v>
      </c>
      <c r="DS218" s="1616"/>
      <c r="DT218" s="1035"/>
      <c r="EJ218" s="2281">
        <v>2031</v>
      </c>
      <c r="EK218" s="2439"/>
      <c r="EL218" s="2327">
        <f ca="1"/>
        <v>1087.1822680012208</v>
      </c>
      <c r="EM218" s="2329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E218" s="2283">
        <f t="shared" si="170"/>
        <v>0</v>
      </c>
      <c r="FF218"/>
      <c r="FG218" s="1857">
        <v>2029</v>
      </c>
      <c r="FH218" s="1780"/>
      <c r="FI218" s="1382"/>
      <c r="FJ218" s="1034"/>
      <c r="FK218" s="1160"/>
    </row>
    <row r="219" spans="8:183" ht="21">
      <c r="X219" s="1428" t="s">
        <v>1570</v>
      </c>
      <c r="CS219" s="2442">
        <v>2030</v>
      </c>
      <c r="CT219" s="788"/>
      <c r="CU219" s="788"/>
      <c r="CV219" s="788"/>
      <c r="CW219" s="788"/>
      <c r="CX219" s="1871">
        <f t="shared" si="172"/>
        <v>0.12856216982030702</v>
      </c>
      <c r="CY219" s="2716">
        <f t="shared" si="143"/>
        <v>514.24867928122808</v>
      </c>
      <c r="CZ219" s="2467"/>
      <c r="DP219" s="1596">
        <v>2030</v>
      </c>
      <c r="DQ219" s="1776"/>
      <c r="DR219" s="1984">
        <f>НАСТРОЙКА!DR171</f>
        <v>38.780241465726355</v>
      </c>
      <c r="DS219" s="2045"/>
      <c r="DT219" s="1808"/>
      <c r="EJ219" s="2281">
        <v>2032</v>
      </c>
      <c r="EK219" s="2439"/>
      <c r="EL219" s="2327">
        <f ca="1"/>
        <v>1136.0253831947402</v>
      </c>
      <c r="EM219" s="232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E219" s="2283">
        <f t="shared" si="170"/>
        <v>0</v>
      </c>
      <c r="FF219"/>
      <c r="FG219" s="1862">
        <v>2030</v>
      </c>
      <c r="FH219" s="1784"/>
      <c r="FI219" s="1984"/>
      <c r="FJ219" s="1060"/>
      <c r="FK219" s="1162"/>
    </row>
    <row r="220" spans="8:183" ht="21">
      <c r="CS220" s="2442">
        <v>2031</v>
      </c>
      <c r="CT220" s="788"/>
      <c r="CU220" s="788"/>
      <c r="CV220" s="788"/>
      <c r="CW220" s="788"/>
      <c r="CX220" s="1871">
        <f t="shared" si="172"/>
        <v>0.13056216982030702</v>
      </c>
      <c r="CY220" s="2716">
        <f t="shared" si="143"/>
        <v>522.24867928122808</v>
      </c>
      <c r="CZ220" s="2467"/>
      <c r="EJ220" s="2281">
        <v>2033</v>
      </c>
      <c r="EK220" s="2439"/>
      <c r="EL220" s="2327">
        <f ca="1"/>
        <v>1187.2779610337795</v>
      </c>
      <c r="EM220" s="2329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E220" s="2283">
        <f t="shared" si="170"/>
        <v>0</v>
      </c>
      <c r="FF220"/>
    </row>
    <row r="221" spans="8:183" ht="21">
      <c r="R221" s="739" t="s">
        <v>135</v>
      </c>
      <c r="CS221" s="2442">
        <v>2032</v>
      </c>
      <c r="CT221" s="788"/>
      <c r="CU221" s="788"/>
      <c r="CV221" s="788"/>
      <c r="CW221" s="788"/>
      <c r="CX221" s="1871">
        <f t="shared" si="172"/>
        <v>0.13256216982030702</v>
      </c>
      <c r="CY221" s="2716">
        <f t="shared" si="143"/>
        <v>530.24867928122808</v>
      </c>
      <c r="CZ221" s="2467"/>
      <c r="EJ221" s="2281">
        <v>2034</v>
      </c>
      <c r="EK221" s="2439"/>
      <c r="EL221" s="2327">
        <f ca="1"/>
        <v>1241.0661424988334</v>
      </c>
      <c r="EM221" s="2329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E221" s="2283">
        <f t="shared" si="170"/>
        <v>0</v>
      </c>
      <c r="FF221"/>
    </row>
    <row r="222" spans="8:183" ht="21">
      <c r="CS222" s="2442">
        <v>2033</v>
      </c>
      <c r="CT222" s="788"/>
      <c r="CU222" s="788"/>
      <c r="CV222" s="788"/>
      <c r="CW222" s="788"/>
      <c r="CX222" s="1871">
        <f t="shared" si="172"/>
        <v>0.13456216982030703</v>
      </c>
      <c r="CY222" s="2716">
        <f t="shared" si="143"/>
        <v>538.24867928122808</v>
      </c>
      <c r="CZ222" s="2467"/>
      <c r="EJ222" s="1596">
        <v>2035</v>
      </c>
      <c r="EK222" s="2332"/>
      <c r="EL222" s="2333">
        <f ca="1"/>
        <v>1297.5198222028266</v>
      </c>
      <c r="EM222" s="2334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E222" s="2284">
        <f t="shared" si="170"/>
        <v>0</v>
      </c>
      <c r="FF222"/>
    </row>
    <row r="223" spans="8:183" ht="21">
      <c r="CS223" s="2442">
        <v>2034</v>
      </c>
      <c r="CT223" s="788"/>
      <c r="CU223" s="788"/>
      <c r="CV223" s="788"/>
      <c r="CW223" s="788"/>
      <c r="CX223" s="1871">
        <f t="shared" si="172"/>
        <v>0.13656216982030703</v>
      </c>
      <c r="CY223" s="2716">
        <f t="shared" si="143"/>
        <v>546.24867928122808</v>
      </c>
      <c r="CZ223" s="2467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</row>
    <row r="224" spans="8:183" ht="21.6" thickBot="1">
      <c r="AO224" s="1770"/>
      <c r="AP224" s="1771"/>
      <c r="AQ224" s="1771"/>
      <c r="AR224" s="1771"/>
      <c r="CS224" s="2443">
        <v>2035</v>
      </c>
      <c r="CT224" s="1782"/>
      <c r="CU224" s="1782"/>
      <c r="CV224" s="1782"/>
      <c r="CW224" s="1782"/>
      <c r="CX224" s="2718">
        <f t="shared" si="172"/>
        <v>0.13856216982030703</v>
      </c>
      <c r="CY224" s="2719">
        <f t="shared" si="143"/>
        <v>554.24867928122808</v>
      </c>
      <c r="CZ224" s="2472"/>
      <c r="EJ224" s="739" t="s">
        <v>306</v>
      </c>
    </row>
    <row r="225" spans="26:165" ht="21.6" thickBot="1">
      <c r="AO225" s="1772"/>
      <c r="AP225" s="1771"/>
      <c r="AQ225" s="1771"/>
      <c r="AR225" s="1771"/>
      <c r="DO225" s="1602" t="s">
        <v>351</v>
      </c>
      <c r="DP225" s="2723" t="s">
        <v>1784</v>
      </c>
      <c r="DQ225" s="1973" t="s">
        <v>1984</v>
      </c>
      <c r="DR225" s="2724" t="s">
        <v>1792</v>
      </c>
      <c r="EG225" s="2456" t="s">
        <v>1792</v>
      </c>
      <c r="EJ225" s="1870" t="s">
        <v>351</v>
      </c>
      <c r="EK225" s="2705" t="s">
        <v>2267</v>
      </c>
      <c r="EL225" s="2714" t="s">
        <v>2267</v>
      </c>
      <c r="EM225" s="2720" t="s">
        <v>1632</v>
      </c>
      <c r="EN225" s="2721" t="s">
        <v>1632</v>
      </c>
      <c r="FE225" s="1602" t="s">
        <v>351</v>
      </c>
      <c r="FF225" s="2732" t="s">
        <v>1894</v>
      </c>
      <c r="FG225" s="2732" t="s">
        <v>646</v>
      </c>
      <c r="FH225" s="2733" t="s">
        <v>1700</v>
      </c>
      <c r="FI225" s="2732" t="s">
        <v>590</v>
      </c>
    </row>
    <row r="226" spans="26:165" ht="21" thickBot="1">
      <c r="AO226" s="1772"/>
      <c r="AP226" s="1771"/>
      <c r="AQ226" s="1771"/>
      <c r="AR226" s="1771"/>
      <c r="CQ226" s="1598" t="s">
        <v>1619</v>
      </c>
      <c r="CR226" s="1665"/>
      <c r="CS226" s="1666" t="s">
        <v>1620</v>
      </c>
      <c r="CT226" s="1666"/>
      <c r="CU226" s="1666"/>
      <c r="CV226" s="1668"/>
      <c r="CW226" s="2125">
        <v>0.75</v>
      </c>
      <c r="DO226" s="720">
        <v>43936</v>
      </c>
      <c r="DP226" s="2722" t="s">
        <v>46</v>
      </c>
      <c r="DQ226" s="1605" t="s">
        <v>46</v>
      </c>
      <c r="DR226" s="1606" t="s">
        <v>1454</v>
      </c>
      <c r="EG226" s="2434" t="s">
        <v>1368</v>
      </c>
      <c r="EJ226" s="720">
        <v>44339</v>
      </c>
      <c r="EK226" s="2722" t="s">
        <v>1623</v>
      </c>
      <c r="EL226" s="2713" t="s">
        <v>1908</v>
      </c>
      <c r="EM226" s="1774" t="s">
        <v>1623</v>
      </c>
      <c r="EN226" s="2704" t="s">
        <v>1908</v>
      </c>
      <c r="FE226" s="2426">
        <v>44341</v>
      </c>
      <c r="FF226" s="2473" t="s">
        <v>1550</v>
      </c>
      <c r="FG226" s="2473" t="s">
        <v>1550</v>
      </c>
      <c r="FH226" s="2473" t="s">
        <v>1550</v>
      </c>
      <c r="FI226" s="2473" t="s">
        <v>1454</v>
      </c>
    </row>
    <row r="227" spans="26:165" ht="18">
      <c r="AO227" s="1770"/>
      <c r="AP227" s="1771"/>
      <c r="AQ227" s="1771"/>
      <c r="AR227" s="1771"/>
      <c r="CQ227" s="1817" t="s">
        <v>351</v>
      </c>
      <c r="CR227" s="1592" t="s">
        <v>1784</v>
      </c>
      <c r="CS227" s="1778" t="s">
        <v>1629</v>
      </c>
      <c r="CT227" s="1592" t="s">
        <v>1630</v>
      </c>
      <c r="CU227" s="1592" t="s">
        <v>1274</v>
      </c>
      <c r="CV227" s="1592" t="s">
        <v>1274</v>
      </c>
      <c r="CW227" s="1592" t="s">
        <v>1905</v>
      </c>
      <c r="CX227" s="1779" t="s">
        <v>1641</v>
      </c>
      <c r="CY227" s="1779" t="s">
        <v>1547</v>
      </c>
      <c r="DO227" s="1594">
        <v>1995</v>
      </c>
      <c r="DP227" s="1875">
        <f t="shared" ref="DP227:DP250" si="176">CR229</f>
        <v>369.90269999999998</v>
      </c>
      <c r="DQ227" s="1786">
        <v>2767.6205</v>
      </c>
      <c r="DR227" s="1794">
        <f>DP227/DQ227</f>
        <v>0.13365369276604216</v>
      </c>
      <c r="EG227" s="2445">
        <f>DR227</f>
        <v>0.13365369276604216</v>
      </c>
      <c r="EJ227" s="2281">
        <v>1995</v>
      </c>
      <c r="EK227" s="1057">
        <v>1</v>
      </c>
      <c r="EL227" s="831"/>
      <c r="EM227" s="2119">
        <v>1</v>
      </c>
      <c r="EN227" s="1495"/>
      <c r="FE227" s="770">
        <v>1995</v>
      </c>
      <c r="FF227" s="2474"/>
      <c r="FG227" s="2474">
        <f>1</f>
        <v>1</v>
      </c>
      <c r="FH227" s="1803">
        <f t="shared" ref="FH227:FH267" si="177">FB319</f>
        <v>3.6</v>
      </c>
      <c r="FI227" s="1804">
        <v>1</v>
      </c>
    </row>
    <row r="228" spans="26:165" ht="18.600000000000001" thickBot="1">
      <c r="AO228" s="1770"/>
      <c r="AP228" s="2750"/>
      <c r="AQ228" s="2750"/>
      <c r="AR228" s="2750"/>
      <c r="CQ228" s="1820">
        <v>43671</v>
      </c>
      <c r="CR228" s="1593" t="s">
        <v>1537</v>
      </c>
      <c r="CS228" s="1593" t="s">
        <v>1454</v>
      </c>
      <c r="CT228" s="1593" t="s">
        <v>46</v>
      </c>
      <c r="CU228" s="1593" t="s">
        <v>1454</v>
      </c>
      <c r="CV228" s="1593" t="s">
        <v>1607</v>
      </c>
      <c r="CW228" s="1593" t="s">
        <v>1454</v>
      </c>
      <c r="CX228" s="1807" t="s">
        <v>1907</v>
      </c>
      <c r="CY228" s="1593" t="s">
        <v>1454</v>
      </c>
      <c r="DO228" s="1594">
        <v>1996</v>
      </c>
      <c r="DP228" s="1875">
        <f t="shared" si="176"/>
        <v>374.71143509999996</v>
      </c>
      <c r="DQ228" s="1786">
        <v>2690.1271259999999</v>
      </c>
      <c r="DR228" s="1794">
        <f>DP228/DQ228</f>
        <v>0.13929134853086492</v>
      </c>
      <c r="EG228" s="2445">
        <f>DR228</f>
        <v>0.13929134853086492</v>
      </c>
      <c r="EJ228" s="2281">
        <v>1996</v>
      </c>
      <c r="EK228" s="2119">
        <f>DQ228/DQ$227</f>
        <v>0.97199999999999998</v>
      </c>
      <c r="EL228" s="831"/>
      <c r="EM228" s="2119">
        <f t="shared" ref="EM228:EM250" si="178">CS230</f>
        <v>1.0129999999999999</v>
      </c>
      <c r="EN228" s="1495"/>
      <c r="FE228" s="771">
        <v>1996</v>
      </c>
      <c r="FF228" s="2475"/>
      <c r="FG228" s="2475">
        <f t="shared" ref="FG228:FG250" si="179">CU230</f>
        <v>1.170751567490661</v>
      </c>
      <c r="FH228" s="1034">
        <f t="shared" si="177"/>
        <v>4.5999999999999996</v>
      </c>
      <c r="FI228" s="1035">
        <f>НАСТРОЙКА!DR137</f>
        <v>1.218</v>
      </c>
    </row>
    <row r="229" spans="26:165" ht="18">
      <c r="AO229" s="1770"/>
      <c r="AP229" s="2750"/>
      <c r="AQ229" s="2750"/>
      <c r="AR229" s="2750"/>
      <c r="CQ229" s="2281">
        <v>1995</v>
      </c>
      <c r="CR229" s="1200">
        <f>CT229</f>
        <v>369.90269999999998</v>
      </c>
      <c r="CS229" s="837">
        <f t="array" ref="CS229:CS252">TRANSPOSE(U163:AR163)</f>
        <v>1</v>
      </c>
      <c r="CT229" s="1200">
        <f t="array" ref="CT229:CT252">TRANSPOSE(U52:AR52)</f>
        <v>369.90269999999998</v>
      </c>
      <c r="CU229" s="837">
        <v>1</v>
      </c>
      <c r="CV229" s="837"/>
      <c r="CW229" s="1369">
        <f>CW226*CY229+(1-CW226)*CX229</f>
        <v>1.65</v>
      </c>
      <c r="CX229" s="1491">
        <v>3.6</v>
      </c>
      <c r="CY229" s="1494">
        <v>1</v>
      </c>
      <c r="DO229" s="1594">
        <v>1997</v>
      </c>
      <c r="DP229" s="1875">
        <f t="shared" si="176"/>
        <v>376.21028084039995</v>
      </c>
      <c r="DQ229" s="1786">
        <v>2727.788905764</v>
      </c>
      <c r="DR229" s="1794">
        <f t="shared" ref="DR229:DR250" si="180">DP229/DQ229</f>
        <v>0.1379176665926907</v>
      </c>
      <c r="EG229" s="2445">
        <f t="shared" ref="EG229:EG267" si="181">DR229</f>
        <v>0.1379176665926907</v>
      </c>
      <c r="EJ229" s="2281">
        <v>1997</v>
      </c>
      <c r="EK229" s="2119">
        <f t="shared" ref="EK229:EK250" si="182">DQ229/DQ$227</f>
        <v>0.98560800000000004</v>
      </c>
      <c r="EL229" s="831"/>
      <c r="EM229" s="2119">
        <f t="shared" si="178"/>
        <v>1.0170519999999998</v>
      </c>
      <c r="EN229" s="1495"/>
      <c r="FE229" s="771">
        <v>1997</v>
      </c>
      <c r="FF229" s="2475"/>
      <c r="FG229" s="2475">
        <f t="shared" si="179"/>
        <v>1.4027022303089887</v>
      </c>
      <c r="FH229" s="1034">
        <f t="shared" si="177"/>
        <v>5.5</v>
      </c>
      <c r="FI229" s="1035">
        <f>НАСТРОЙКА!DR138</f>
        <v>1.3519800000000002</v>
      </c>
    </row>
    <row r="230" spans="26:165" ht="18">
      <c r="CQ230" s="2281">
        <v>1996</v>
      </c>
      <c r="CR230" s="1201">
        <f>CR$229*CS230</f>
        <v>374.71143509999996</v>
      </c>
      <c r="CS230" s="838">
        <v>1.0129999999999999</v>
      </c>
      <c r="CT230" s="1201">
        <v>438.69400000000002</v>
      </c>
      <c r="CU230" s="1382">
        <f t="shared" ref="CU230:CU252" si="183">CT230/CR230</f>
        <v>1.170751567490661</v>
      </c>
      <c r="CV230" s="1382"/>
      <c r="CW230" s="1328">
        <f t="shared" ref="CW230:CW264" si="184">CW$226*CY230+(1-CW$226)*CX230</f>
        <v>2.0634999999999999</v>
      </c>
      <c r="CX230" s="2444">
        <f>FB320</f>
        <v>4.5999999999999996</v>
      </c>
      <c r="CY230" s="1035">
        <f>НАСТРОЙКА!DR137</f>
        <v>1.218</v>
      </c>
      <c r="DO230" s="1594">
        <v>1998</v>
      </c>
      <c r="DP230" s="1875">
        <f t="shared" si="176"/>
        <v>310.74969197417028</v>
      </c>
      <c r="DQ230" s="1786">
        <v>2588.6716715700359</v>
      </c>
      <c r="DR230" s="1794">
        <f t="shared" si="180"/>
        <v>0.12004214183937038</v>
      </c>
      <c r="EG230" s="2445">
        <f t="shared" si="181"/>
        <v>0.12004214183937038</v>
      </c>
      <c r="EJ230" s="2281">
        <v>1998</v>
      </c>
      <c r="EK230" s="2119">
        <f t="shared" si="182"/>
        <v>0.9353419919999999</v>
      </c>
      <c r="EL230" s="831"/>
      <c r="EM230" s="2119">
        <f t="shared" si="178"/>
        <v>0.84008495199999977</v>
      </c>
      <c r="EN230" s="1495"/>
      <c r="FE230" s="771">
        <v>1998</v>
      </c>
      <c r="FF230" s="2475"/>
      <c r="FG230" s="2475">
        <f t="shared" si="179"/>
        <v>2.0776657762662096</v>
      </c>
      <c r="FH230" s="1034">
        <f t="shared" si="177"/>
        <v>9.6999999999999993</v>
      </c>
      <c r="FI230" s="1035">
        <f>НАСТРОЙКА!DR139</f>
        <v>2.4930511200000005</v>
      </c>
    </row>
    <row r="231" spans="26:165" ht="18">
      <c r="CQ231" s="2281">
        <v>1997</v>
      </c>
      <c r="CR231" s="1201">
        <f t="shared" ref="CR231:CR252" si="185">CR$229*CS231</f>
        <v>376.21028084039995</v>
      </c>
      <c r="CS231" s="1871">
        <v>1.0170519999999998</v>
      </c>
      <c r="CT231" s="1201">
        <v>527.71100000000001</v>
      </c>
      <c r="CU231" s="1382">
        <f t="shared" si="183"/>
        <v>1.4027022303089887</v>
      </c>
      <c r="CV231" s="1382"/>
      <c r="CW231" s="1328">
        <f t="shared" si="184"/>
        <v>2.3889849999999999</v>
      </c>
      <c r="CX231" s="2444">
        <f t="shared" ref="CX231:CX264" si="186">FB321</f>
        <v>5.5</v>
      </c>
      <c r="CY231" s="1035">
        <f>НАСТРОЙКА!DR138</f>
        <v>1.3519800000000002</v>
      </c>
      <c r="DO231" s="1594">
        <v>1999</v>
      </c>
      <c r="DP231" s="1875">
        <f t="shared" si="176"/>
        <v>257.92224433856131</v>
      </c>
      <c r="DQ231" s="1786">
        <v>2738.8146285210983</v>
      </c>
      <c r="DR231" s="1794">
        <f t="shared" si="180"/>
        <v>9.4172946811604347E-2</v>
      </c>
      <c r="EG231" s="2445">
        <f t="shared" si="181"/>
        <v>9.4172946811604347E-2</v>
      </c>
      <c r="EJ231" s="2281">
        <v>1999</v>
      </c>
      <c r="EK231" s="2119">
        <f t="shared" si="182"/>
        <v>0.98959182753600006</v>
      </c>
      <c r="EL231" s="831"/>
      <c r="EM231" s="2119">
        <f t="shared" si="178"/>
        <v>0.69727051015999975</v>
      </c>
      <c r="EN231" s="1495"/>
      <c r="FE231" s="771">
        <v>1999</v>
      </c>
      <c r="FF231" s="2475"/>
      <c r="FG231" s="2475">
        <f t="shared" si="179"/>
        <v>4.8943006185343947</v>
      </c>
      <c r="FH231" s="1034">
        <f t="shared" si="177"/>
        <v>24.62</v>
      </c>
      <c r="FI231" s="1035">
        <f>НАСТРОЙКА!DR140</f>
        <v>3.4030147788000007</v>
      </c>
    </row>
    <row r="232" spans="26:165" ht="18">
      <c r="Z232" s="1767"/>
      <c r="CQ232" s="2281">
        <v>1998</v>
      </c>
      <c r="CR232" s="1201">
        <f t="shared" si="185"/>
        <v>310.74969197417028</v>
      </c>
      <c r="CS232" s="1871">
        <v>0.84008495199999977</v>
      </c>
      <c r="CT232" s="1201">
        <v>645.63400000000001</v>
      </c>
      <c r="CU232" s="1382">
        <f t="shared" si="183"/>
        <v>2.0776657762662096</v>
      </c>
      <c r="CV232" s="1382"/>
      <c r="CW232" s="1328">
        <f t="shared" si="184"/>
        <v>4.2947883400000002</v>
      </c>
      <c r="CX232" s="2444">
        <f t="shared" si="186"/>
        <v>9.6999999999999993</v>
      </c>
      <c r="CY232" s="1035">
        <f>НАСТРОЙКА!DR139</f>
        <v>2.4930511200000005</v>
      </c>
      <c r="DO232" s="1594">
        <v>2000</v>
      </c>
      <c r="DP232" s="1875">
        <f t="shared" si="176"/>
        <v>341.4890515042552</v>
      </c>
      <c r="DQ232" s="1786">
        <v>2996.2632036020818</v>
      </c>
      <c r="DR232" s="1794">
        <f t="shared" si="180"/>
        <v>0.11397164678113725</v>
      </c>
      <c r="EG232" s="2445">
        <f t="shared" si="181"/>
        <v>0.11397164678113725</v>
      </c>
      <c r="EJ232" s="2281">
        <v>2000</v>
      </c>
      <c r="EK232" s="2119">
        <f t="shared" si="182"/>
        <v>1.0826134593243841</v>
      </c>
      <c r="EL232" s="831"/>
      <c r="EM232" s="2119">
        <f t="shared" si="178"/>
        <v>0.92318615545183969</v>
      </c>
      <c r="EN232" s="1495"/>
      <c r="FE232" s="771">
        <v>2000</v>
      </c>
      <c r="FF232" s="2475"/>
      <c r="FG232" s="2475">
        <f t="shared" si="179"/>
        <v>5.1416113994451784</v>
      </c>
      <c r="FH232" s="1034">
        <f t="shared" si="177"/>
        <v>28.14</v>
      </c>
      <c r="FI232" s="1035">
        <f>НАСТРОЙКА!DR141</f>
        <v>4.0904237641176007</v>
      </c>
    </row>
    <row r="233" spans="26:165" ht="18">
      <c r="Z233" s="1767"/>
      <c r="CQ233" s="2281">
        <v>1999</v>
      </c>
      <c r="CR233" s="1201">
        <f t="shared" si="185"/>
        <v>257.92224433856131</v>
      </c>
      <c r="CS233" s="1871">
        <v>0.69727051015999975</v>
      </c>
      <c r="CT233" s="1201">
        <v>1262.3489999999999</v>
      </c>
      <c r="CU233" s="1382">
        <f t="shared" si="183"/>
        <v>4.8943006185343947</v>
      </c>
      <c r="CV233" s="1382"/>
      <c r="CW233" s="1328">
        <f t="shared" si="184"/>
        <v>8.7072610841000007</v>
      </c>
      <c r="CX233" s="2444">
        <f t="shared" si="186"/>
        <v>24.62</v>
      </c>
      <c r="CY233" s="1035">
        <f>НАСТРОЙКА!DR140</f>
        <v>3.4030147788000007</v>
      </c>
      <c r="DO233" s="1594">
        <v>2001</v>
      </c>
      <c r="DP233" s="1875">
        <f t="shared" si="176"/>
        <v>405.34750413555093</v>
      </c>
      <c r="DQ233" s="1786">
        <v>3143.0801005785834</v>
      </c>
      <c r="DR233" s="1794">
        <f t="shared" si="180"/>
        <v>0.12896505693918964</v>
      </c>
      <c r="EG233" s="2445">
        <f t="shared" si="181"/>
        <v>0.12896505693918964</v>
      </c>
      <c r="EJ233" s="2281">
        <v>2001</v>
      </c>
      <c r="EK233" s="2119">
        <f t="shared" si="182"/>
        <v>1.1356615188312789</v>
      </c>
      <c r="EL233" s="831"/>
      <c r="EM233" s="2119">
        <f t="shared" si="178"/>
        <v>1.0958219665213338</v>
      </c>
      <c r="EN233" s="1495"/>
      <c r="FE233" s="771">
        <v>2001</v>
      </c>
      <c r="FF233" s="2475"/>
      <c r="FG233" s="2475">
        <f t="shared" si="179"/>
        <v>5.3433855590626731</v>
      </c>
      <c r="FH233" s="1034">
        <f t="shared" si="177"/>
        <v>29.17</v>
      </c>
      <c r="FI233" s="1035">
        <f>НАСТРОЙКА!DR142</f>
        <v>4.8512425842434741</v>
      </c>
    </row>
    <row r="234" spans="26:165" ht="18">
      <c r="Z234" s="1767"/>
      <c r="CQ234" s="2281">
        <v>2000</v>
      </c>
      <c r="CR234" s="1201">
        <f t="shared" si="185"/>
        <v>341.4890515042552</v>
      </c>
      <c r="CS234" s="1871">
        <v>0.92318615545183969</v>
      </c>
      <c r="CT234" s="1201">
        <v>1755.8040000000001</v>
      </c>
      <c r="CU234" s="1382">
        <f t="shared" si="183"/>
        <v>5.1416113994451784</v>
      </c>
      <c r="CV234" s="1382"/>
      <c r="CW234" s="1328">
        <f t="shared" si="184"/>
        <v>10.1028178230882</v>
      </c>
      <c r="CX234" s="2444">
        <f t="shared" si="186"/>
        <v>28.14</v>
      </c>
      <c r="CY234" s="1035">
        <f>НАСТРОЙКА!DR141</f>
        <v>4.0904237641176007</v>
      </c>
      <c r="DO234" s="1594">
        <v>2002</v>
      </c>
      <c r="DP234" s="1875">
        <f t="shared" si="176"/>
        <v>464.5282397393413</v>
      </c>
      <c r="DQ234" s="1786">
        <v>3281.3756250040415</v>
      </c>
      <c r="DR234" s="1794">
        <f t="shared" si="180"/>
        <v>0.14156509123784608</v>
      </c>
      <c r="EG234" s="2445">
        <f t="shared" si="181"/>
        <v>0.14156509123784608</v>
      </c>
      <c r="EJ234" s="2281">
        <v>2002</v>
      </c>
      <c r="EK234" s="2119">
        <f t="shared" si="182"/>
        <v>1.1856306256598552</v>
      </c>
      <c r="EL234" s="831"/>
      <c r="EM234" s="2119">
        <f t="shared" si="178"/>
        <v>1.2558119736334483</v>
      </c>
      <c r="EN234" s="1495"/>
      <c r="FE234" s="771">
        <v>2002</v>
      </c>
      <c r="FF234" s="2475"/>
      <c r="FG234" s="2475">
        <f t="shared" si="179"/>
        <v>5.6965406483895427</v>
      </c>
      <c r="FH234" s="1034">
        <f t="shared" si="177"/>
        <v>31.35</v>
      </c>
      <c r="FI234" s="1035">
        <f>НАСТРОЙКА!DR143</f>
        <v>5.5837802144642392</v>
      </c>
    </row>
    <row r="235" spans="26:165" ht="18">
      <c r="Z235" s="1767"/>
      <c r="CQ235" s="2281">
        <v>2001</v>
      </c>
      <c r="CR235" s="1201">
        <f t="shared" si="185"/>
        <v>405.34750413555093</v>
      </c>
      <c r="CS235" s="1871">
        <v>1.0958219665213338</v>
      </c>
      <c r="CT235" s="1201">
        <v>2165.9279999999999</v>
      </c>
      <c r="CU235" s="1382">
        <f t="shared" si="183"/>
        <v>5.3433855590626731</v>
      </c>
      <c r="CV235" s="1382"/>
      <c r="CW235" s="1328">
        <f t="shared" si="184"/>
        <v>10.930931938182606</v>
      </c>
      <c r="CX235" s="2444">
        <f t="shared" si="186"/>
        <v>29.17</v>
      </c>
      <c r="CY235" s="1035">
        <f>НАСТРОЙКА!DR142</f>
        <v>4.8512425842434741</v>
      </c>
      <c r="DO235" s="1594">
        <v>2003</v>
      </c>
      <c r="DP235" s="1875">
        <f t="shared" si="176"/>
        <v>544.89162521424737</v>
      </c>
      <c r="DQ235" s="1786">
        <v>3530.7601725043487</v>
      </c>
      <c r="DR235" s="1794">
        <f t="shared" si="180"/>
        <v>0.15432700002044</v>
      </c>
      <c r="EG235" s="2445">
        <f t="shared" si="181"/>
        <v>0.15432700002044</v>
      </c>
      <c r="EJ235" s="2281">
        <v>2003</v>
      </c>
      <c r="EK235" s="2119">
        <f t="shared" si="182"/>
        <v>1.2757385532100043</v>
      </c>
      <c r="EL235" s="831"/>
      <c r="EM235" s="2119">
        <f t="shared" si="178"/>
        <v>1.4730674450720349</v>
      </c>
      <c r="EN235" s="1495"/>
      <c r="FE235" s="771">
        <v>2003</v>
      </c>
      <c r="FF235" s="2475"/>
      <c r="FG235" s="2475">
        <f t="shared" si="179"/>
        <v>5.7881234617249069</v>
      </c>
      <c r="FH235" s="1034">
        <f t="shared" si="177"/>
        <v>30.69</v>
      </c>
      <c r="FI235" s="1035">
        <f>НАСТРОЙКА!DR144</f>
        <v>6.2538338401999489</v>
      </c>
    </row>
    <row r="236" spans="26:165" ht="18">
      <c r="Z236" s="1767"/>
      <c r="CQ236" s="2281">
        <v>2002</v>
      </c>
      <c r="CR236" s="1201">
        <f t="shared" si="185"/>
        <v>464.5282397393413</v>
      </c>
      <c r="CS236" s="1871">
        <v>1.2558119736334483</v>
      </c>
      <c r="CT236" s="1201">
        <v>2646.2040000000002</v>
      </c>
      <c r="CU236" s="1382">
        <f t="shared" si="183"/>
        <v>5.6965406483895427</v>
      </c>
      <c r="CV236" s="1382"/>
      <c r="CW236" s="1328">
        <f t="shared" si="184"/>
        <v>12.025335160848179</v>
      </c>
      <c r="CX236" s="2444">
        <f t="shared" si="186"/>
        <v>31.35</v>
      </c>
      <c r="CY236" s="1035">
        <f>НАСТРОЙКА!DR143</f>
        <v>5.5837802144642392</v>
      </c>
      <c r="DO236" s="1594">
        <v>2004</v>
      </c>
      <c r="DP236" s="1875">
        <f t="shared" si="176"/>
        <v>671.85137388916701</v>
      </c>
      <c r="DQ236" s="1786">
        <v>3813.2209863046965</v>
      </c>
      <c r="DR236" s="1794">
        <f t="shared" si="180"/>
        <v>0.17618999169000235</v>
      </c>
      <c r="EG236" s="2445">
        <f t="shared" si="181"/>
        <v>0.17618999169000235</v>
      </c>
      <c r="EJ236" s="2281">
        <v>2004</v>
      </c>
      <c r="EK236" s="2119">
        <f t="shared" si="182"/>
        <v>1.3777976374668046</v>
      </c>
      <c r="EL236" s="831"/>
      <c r="EM236" s="2119">
        <f t="shared" si="178"/>
        <v>1.8162921597738191</v>
      </c>
      <c r="EN236" s="1495"/>
      <c r="FE236" s="771">
        <v>2004</v>
      </c>
      <c r="FF236" s="2475"/>
      <c r="FG236" s="2475">
        <f t="shared" si="179"/>
        <v>5.6171649663435339</v>
      </c>
      <c r="FH236" s="1034">
        <f t="shared" si="177"/>
        <v>28.81</v>
      </c>
      <c r="FI236" s="1035">
        <f>НАСТРОЙКА!DR145</f>
        <v>6.9855323995033425</v>
      </c>
    </row>
    <row r="237" spans="26:165" ht="18">
      <c r="Z237" s="1767"/>
      <c r="CQ237" s="2281">
        <v>2003</v>
      </c>
      <c r="CR237" s="1201">
        <f t="shared" si="185"/>
        <v>544.89162521424737</v>
      </c>
      <c r="CS237" s="1871">
        <v>1.4730674450720349</v>
      </c>
      <c r="CT237" s="1201">
        <v>3153.9</v>
      </c>
      <c r="CU237" s="1382">
        <f t="shared" si="183"/>
        <v>5.7881234617249069</v>
      </c>
      <c r="CV237" s="1382"/>
      <c r="CW237" s="1328">
        <f t="shared" si="184"/>
        <v>12.362875380149962</v>
      </c>
      <c r="CX237" s="2444">
        <f t="shared" si="186"/>
        <v>30.69</v>
      </c>
      <c r="CY237" s="1035">
        <f>НАСТРОЙКА!DR144</f>
        <v>6.2538338401999489</v>
      </c>
      <c r="DO237" s="1594">
        <v>2005</v>
      </c>
      <c r="DP237" s="1875">
        <f t="shared" si="176"/>
        <v>783.37870195476864</v>
      </c>
      <c r="DQ237" s="1786">
        <v>4030.5745825240638</v>
      </c>
      <c r="DR237" s="1794">
        <f t="shared" si="180"/>
        <v>0.19435906368074052</v>
      </c>
      <c r="EG237" s="2445">
        <f t="shared" si="181"/>
        <v>0.19435906368074052</v>
      </c>
      <c r="EJ237" s="2281">
        <v>2005</v>
      </c>
      <c r="EK237" s="2119">
        <f t="shared" si="182"/>
        <v>1.4563321028024123</v>
      </c>
      <c r="EL237" s="831"/>
      <c r="EM237" s="2119">
        <f t="shared" si="178"/>
        <v>2.1177966582962728</v>
      </c>
      <c r="EN237" s="1495"/>
      <c r="FE237" s="771">
        <v>2005</v>
      </c>
      <c r="FF237" s="2475"/>
      <c r="FG237" s="2475">
        <f t="shared" si="179"/>
        <v>5.9336563381172791</v>
      </c>
      <c r="FH237" s="1034">
        <f t="shared" si="177"/>
        <v>28.3</v>
      </c>
      <c r="FI237" s="1035">
        <f>НАСТРОЙКА!DR146</f>
        <v>7.7469554310492068</v>
      </c>
    </row>
    <row r="238" spans="26:165" ht="18">
      <c r="Z238" s="1767"/>
      <c r="CQ238" s="2281">
        <v>2004</v>
      </c>
      <c r="CR238" s="1201">
        <f t="shared" si="185"/>
        <v>671.85137388916701</v>
      </c>
      <c r="CS238" s="1871">
        <v>1.8162921597738191</v>
      </c>
      <c r="CT238" s="1201">
        <v>3773.9</v>
      </c>
      <c r="CU238" s="1382">
        <f t="shared" si="183"/>
        <v>5.6171649663435339</v>
      </c>
      <c r="CV238" s="1382"/>
      <c r="CW238" s="1328">
        <f t="shared" si="184"/>
        <v>12.441649299627507</v>
      </c>
      <c r="CX238" s="2444">
        <f t="shared" si="186"/>
        <v>28.81</v>
      </c>
      <c r="CY238" s="1035">
        <f>НАСТРОЙКА!DR145</f>
        <v>6.9855323995033425</v>
      </c>
      <c r="DO238" s="1594">
        <v>2006</v>
      </c>
      <c r="DP238" s="1875">
        <f t="shared" si="176"/>
        <v>950.23836547113444</v>
      </c>
      <c r="DQ238" s="1786">
        <v>4389.2957203687056</v>
      </c>
      <c r="DR238" s="1794">
        <f t="shared" si="180"/>
        <v>0.2164899396186761</v>
      </c>
      <c r="EG238" s="2445">
        <f t="shared" si="181"/>
        <v>0.2164899396186761</v>
      </c>
      <c r="EJ238" s="2281">
        <v>2006</v>
      </c>
      <c r="EK238" s="2119">
        <f t="shared" si="182"/>
        <v>1.5859456599518271</v>
      </c>
      <c r="EL238" s="831"/>
      <c r="EM238" s="2119">
        <f t="shared" si="178"/>
        <v>2.568887346513379</v>
      </c>
      <c r="EN238" s="1495"/>
      <c r="FE238" s="771">
        <v>2006</v>
      </c>
      <c r="FF238" s="2475"/>
      <c r="FG238" s="2475">
        <f t="shared" si="179"/>
        <v>5.9494755268032113</v>
      </c>
      <c r="FH238" s="1034">
        <f t="shared" si="177"/>
        <v>27.17</v>
      </c>
      <c r="FI238" s="1035">
        <f>НАСТРОЙКА!DR147</f>
        <v>8.4441814198436358</v>
      </c>
    </row>
    <row r="239" spans="26:165" ht="18">
      <c r="Z239" s="1767"/>
      <c r="CQ239" s="2281">
        <v>2005</v>
      </c>
      <c r="CR239" s="1201">
        <f t="shared" si="185"/>
        <v>783.37870195476864</v>
      </c>
      <c r="CS239" s="1871">
        <v>2.1177966582962728</v>
      </c>
      <c r="CT239" s="1201">
        <v>4648.3</v>
      </c>
      <c r="CU239" s="1382">
        <f t="shared" si="183"/>
        <v>5.9336563381172791</v>
      </c>
      <c r="CV239" s="1382"/>
      <c r="CW239" s="1328">
        <f t="shared" si="184"/>
        <v>12.885216573286904</v>
      </c>
      <c r="CX239" s="2444">
        <f t="shared" si="186"/>
        <v>28.3</v>
      </c>
      <c r="CY239" s="1035">
        <f>НАСТРОЙКА!DR146</f>
        <v>7.7469554310492068</v>
      </c>
      <c r="DO239" s="1594">
        <v>2007</v>
      </c>
      <c r="DP239" s="1875">
        <f t="shared" si="176"/>
        <v>1199.2008172245717</v>
      </c>
      <c r="DQ239" s="1786">
        <v>4775.553743761152</v>
      </c>
      <c r="DR239" s="1794">
        <f t="shared" si="180"/>
        <v>0.25111241157975112</v>
      </c>
      <c r="EG239" s="2445">
        <f t="shared" si="181"/>
        <v>0.25111241157975112</v>
      </c>
      <c r="EJ239" s="2281">
        <v>2007</v>
      </c>
      <c r="EK239" s="2119">
        <f t="shared" si="182"/>
        <v>1.725508878027588</v>
      </c>
      <c r="EL239" s="831"/>
      <c r="EM239" s="2119">
        <f t="shared" si="178"/>
        <v>3.2419358312998843</v>
      </c>
      <c r="EN239" s="1495"/>
      <c r="FE239" s="771">
        <v>2007</v>
      </c>
      <c r="FF239" s="2475"/>
      <c r="FG239" s="2475">
        <f t="shared" si="179"/>
        <v>5.972486590341231</v>
      </c>
      <c r="FH239" s="1034">
        <f t="shared" si="177"/>
        <v>25.58</v>
      </c>
      <c r="FI239" s="1035">
        <f>НАСТРОЙКА!DR148</f>
        <v>9.4465057543790749</v>
      </c>
    </row>
    <row r="240" spans="26:165" ht="18">
      <c r="Z240" s="1767"/>
      <c r="CQ240" s="2281">
        <v>2006</v>
      </c>
      <c r="CR240" s="1201">
        <f t="shared" si="185"/>
        <v>950.23836547113444</v>
      </c>
      <c r="CS240" s="1871">
        <v>2.568887346513379</v>
      </c>
      <c r="CT240" s="1201">
        <v>5653.4198999999999</v>
      </c>
      <c r="CU240" s="1382">
        <f t="shared" si="183"/>
        <v>5.9494755268032113</v>
      </c>
      <c r="CV240" s="1382"/>
      <c r="CW240" s="1328">
        <f t="shared" si="184"/>
        <v>13.125636064882727</v>
      </c>
      <c r="CX240" s="2444">
        <f t="shared" si="186"/>
        <v>27.17</v>
      </c>
      <c r="CY240" s="1035">
        <f>НАСТРОЙКА!DR147</f>
        <v>8.4441814198436358</v>
      </c>
      <c r="DO240" s="1594">
        <v>2008</v>
      </c>
      <c r="DP240" s="1875">
        <f t="shared" si="176"/>
        <v>1376.6825381738081</v>
      </c>
      <c r="DQ240" s="1786">
        <v>5014.3314309492098</v>
      </c>
      <c r="DR240" s="1794">
        <f t="shared" si="180"/>
        <v>0.27454956999386115</v>
      </c>
      <c r="EG240" s="2445">
        <f t="shared" si="181"/>
        <v>0.27454956999386115</v>
      </c>
      <c r="EJ240" s="2281">
        <v>2008</v>
      </c>
      <c r="EK240" s="2119">
        <f t="shared" si="182"/>
        <v>1.8117843219289673</v>
      </c>
      <c r="EL240" s="831"/>
      <c r="EM240" s="2119">
        <f t="shared" si="178"/>
        <v>3.7217423343322666</v>
      </c>
      <c r="EN240" s="1495"/>
      <c r="FE240" s="771">
        <v>2008</v>
      </c>
      <c r="FF240" s="2475"/>
      <c r="FG240" s="2475">
        <f t="shared" si="179"/>
        <v>6.6180737006266339</v>
      </c>
      <c r="FH240" s="1034">
        <f t="shared" si="177"/>
        <v>24.86</v>
      </c>
      <c r="FI240" s="1035">
        <f>НАСТРОЙКА!DR149</f>
        <v>10.701001718560617</v>
      </c>
    </row>
    <row r="241" spans="20:165" ht="18">
      <c r="Z241" s="1767"/>
      <c r="CQ241" s="2281">
        <v>2007</v>
      </c>
      <c r="CR241" s="1201">
        <f t="shared" si="185"/>
        <v>1199.2008172245717</v>
      </c>
      <c r="CS241" s="1871">
        <v>3.2419358312998843</v>
      </c>
      <c r="CT241" s="1201">
        <v>7162.2107999999998</v>
      </c>
      <c r="CU241" s="1382">
        <f t="shared" si="183"/>
        <v>5.972486590341231</v>
      </c>
      <c r="CV241" s="1382"/>
      <c r="CW241" s="1328">
        <f t="shared" si="184"/>
        <v>13.479879315784306</v>
      </c>
      <c r="CX241" s="2444">
        <f t="shared" si="186"/>
        <v>25.58</v>
      </c>
      <c r="CY241" s="1035">
        <f>НАСТРОЙКА!DR148</f>
        <v>9.4465057543790749</v>
      </c>
      <c r="DO241" s="1594">
        <v>2009</v>
      </c>
      <c r="DP241" s="1875">
        <f t="shared" si="176"/>
        <v>958.17104656897038</v>
      </c>
      <c r="DQ241" s="1786">
        <v>4643.2709050589683</v>
      </c>
      <c r="DR241" s="1794">
        <f t="shared" si="180"/>
        <v>0.20635691222000796</v>
      </c>
      <c r="EG241" s="2445">
        <f t="shared" si="181"/>
        <v>0.20635691222000796</v>
      </c>
      <c r="EJ241" s="2281">
        <v>2009</v>
      </c>
      <c r="EK241" s="2119">
        <f t="shared" si="182"/>
        <v>1.6777122821062238</v>
      </c>
      <c r="EL241" s="831"/>
      <c r="EM241" s="2119">
        <f t="shared" si="178"/>
        <v>2.5903326646952576</v>
      </c>
      <c r="EN241" s="1495"/>
      <c r="FE241" s="771">
        <v>2009</v>
      </c>
      <c r="FF241" s="2475"/>
      <c r="FG241" s="2475">
        <f t="shared" si="179"/>
        <v>8.3015732196072332</v>
      </c>
      <c r="FH241" s="1034">
        <f t="shared" si="177"/>
        <v>31.83</v>
      </c>
      <c r="FI241" s="1035">
        <f>НАСТРОЙКА!DR150</f>
        <v>11.642689869793951</v>
      </c>
    </row>
    <row r="242" spans="20:165" ht="18">
      <c r="Z242" s="1767"/>
      <c r="CQ242" s="2281">
        <v>2008</v>
      </c>
      <c r="CR242" s="1201">
        <f t="shared" si="185"/>
        <v>1376.6825381738081</v>
      </c>
      <c r="CS242" s="1871">
        <v>3.7217423343322666</v>
      </c>
      <c r="CT242" s="1201">
        <v>9110.9865000000009</v>
      </c>
      <c r="CU242" s="1382">
        <f t="shared" si="183"/>
        <v>6.6180737006266339</v>
      </c>
      <c r="CV242" s="1382"/>
      <c r="CW242" s="1328">
        <f t="shared" si="184"/>
        <v>14.240751288920462</v>
      </c>
      <c r="CX242" s="2444">
        <f t="shared" si="186"/>
        <v>24.86</v>
      </c>
      <c r="CY242" s="1035">
        <f>НАСТРОЙКА!DR149</f>
        <v>10.701001718560617</v>
      </c>
      <c r="DO242" s="1594">
        <v>2010</v>
      </c>
      <c r="DP242" s="1875">
        <f t="shared" si="176"/>
        <v>1205.3791765837648</v>
      </c>
      <c r="DQ242" s="1786">
        <v>4875.4344503119164</v>
      </c>
      <c r="DR242" s="1794">
        <f t="shared" si="180"/>
        <v>0.24723523387882859</v>
      </c>
      <c r="EG242" s="2445">
        <f t="shared" si="181"/>
        <v>0.24723523387882859</v>
      </c>
      <c r="EJ242" s="2281">
        <v>2010</v>
      </c>
      <c r="EK242" s="2119">
        <f t="shared" si="182"/>
        <v>1.7615978962115348</v>
      </c>
      <c r="EL242" s="831"/>
      <c r="EM242" s="2119">
        <f t="shared" si="178"/>
        <v>3.258638492186634</v>
      </c>
      <c r="EN242" s="1495"/>
      <c r="FE242" s="771">
        <v>2010</v>
      </c>
      <c r="FF242" s="2475"/>
      <c r="FG242" s="2475">
        <f t="shared" si="179"/>
        <v>8.1216053754514945</v>
      </c>
      <c r="FH242" s="1034">
        <f t="shared" si="177"/>
        <v>30.36</v>
      </c>
      <c r="FI242" s="1035">
        <f>НАСТРОЙКА!DR151</f>
        <v>12.664918040361862</v>
      </c>
    </row>
    <row r="243" spans="20:165" ht="18">
      <c r="Z243" s="1767"/>
      <c r="CQ243" s="2281">
        <v>2009</v>
      </c>
      <c r="CR243" s="1201">
        <f t="shared" si="185"/>
        <v>958.17104656897038</v>
      </c>
      <c r="CS243" s="1871">
        <v>2.5903326646952576</v>
      </c>
      <c r="CT243" s="1201">
        <v>7954.3271000000004</v>
      </c>
      <c r="CU243" s="1382">
        <f t="shared" si="183"/>
        <v>8.3015732196072332</v>
      </c>
      <c r="CV243" s="1382"/>
      <c r="CW243" s="1328">
        <f t="shared" si="184"/>
        <v>16.689517402345462</v>
      </c>
      <c r="CX243" s="2444">
        <f t="shared" si="186"/>
        <v>31.83</v>
      </c>
      <c r="CY243" s="1035">
        <f>НАСТРОЙКА!DR150</f>
        <v>11.642689869793951</v>
      </c>
      <c r="DO243" s="1594">
        <v>2011</v>
      </c>
      <c r="DP243" s="1875">
        <f t="shared" si="176"/>
        <v>1450.0711494302691</v>
      </c>
      <c r="DQ243" s="1786">
        <v>5085.0781316753291</v>
      </c>
      <c r="DR243" s="1794">
        <f t="shared" si="180"/>
        <v>0.28516201951699982</v>
      </c>
      <c r="EG243" s="2445">
        <f t="shared" si="181"/>
        <v>0.28516201951699982</v>
      </c>
      <c r="EJ243" s="2281">
        <v>2011</v>
      </c>
      <c r="EK243" s="2119">
        <f t="shared" si="182"/>
        <v>1.837346605748631</v>
      </c>
      <c r="EL243" s="831"/>
      <c r="EM243" s="2119">
        <f t="shared" si="178"/>
        <v>3.9201421061005211</v>
      </c>
      <c r="EN243" s="1495"/>
      <c r="FE243" s="771">
        <v>2011</v>
      </c>
      <c r="FF243" s="2475"/>
      <c r="FG243" s="2475">
        <f t="shared" si="179"/>
        <v>8.28287419187604</v>
      </c>
      <c r="FH243" s="1034">
        <f t="shared" si="177"/>
        <v>29.39</v>
      </c>
      <c r="FI243" s="1035">
        <f>НАСТРОЙКА!DR152</f>
        <v>13.437478040823935</v>
      </c>
    </row>
    <row r="244" spans="20:165" ht="18">
      <c r="Z244" s="1767"/>
      <c r="CQ244" s="2281">
        <v>2010</v>
      </c>
      <c r="CR244" s="1201">
        <f t="shared" si="185"/>
        <v>1205.3791765837648</v>
      </c>
      <c r="CS244" s="1871">
        <v>3.258638492186634</v>
      </c>
      <c r="CT244" s="1201">
        <v>9789.6139999999996</v>
      </c>
      <c r="CU244" s="1382">
        <f t="shared" si="183"/>
        <v>8.1216053754514945</v>
      </c>
      <c r="CV244" s="1382">
        <f t="shared" ref="CV244:CV249" si="187">CU244</f>
        <v>8.1216053754514945</v>
      </c>
      <c r="CW244" s="1328">
        <f t="shared" si="184"/>
        <v>17.088688530271398</v>
      </c>
      <c r="CX244" s="2444">
        <f t="shared" si="186"/>
        <v>30.36</v>
      </c>
      <c r="CY244" s="1035">
        <f>НАСТРОЙКА!DR151</f>
        <v>12.664918040361862</v>
      </c>
      <c r="DO244" s="1594">
        <v>2012</v>
      </c>
      <c r="DP244" s="1875">
        <f t="shared" si="176"/>
        <v>1590.7280509250054</v>
      </c>
      <c r="DQ244" s="1786">
        <v>5283.3961788106672</v>
      </c>
      <c r="DR244" s="1794">
        <f t="shared" si="180"/>
        <v>0.30108059231005663</v>
      </c>
      <c r="EG244" s="2445">
        <f t="shared" si="181"/>
        <v>0.30108059231005663</v>
      </c>
      <c r="EJ244" s="2281">
        <v>2012</v>
      </c>
      <c r="EK244" s="2119">
        <f t="shared" si="182"/>
        <v>1.9090031233728277</v>
      </c>
      <c r="EL244" s="831"/>
      <c r="EM244" s="2119">
        <f t="shared" si="178"/>
        <v>4.3003958903922719</v>
      </c>
      <c r="EN244" s="1495"/>
      <c r="FE244" s="771">
        <v>2012</v>
      </c>
      <c r="FF244" s="2475"/>
      <c r="FG244" s="2475">
        <f t="shared" si="179"/>
        <v>8.6670199170643656</v>
      </c>
      <c r="FH244" s="1034">
        <f t="shared" si="177"/>
        <v>31.08</v>
      </c>
      <c r="FI244" s="1035">
        <f>НАСТРОЙКА!DR153</f>
        <v>14.321664095910151</v>
      </c>
    </row>
    <row r="245" spans="20:165" ht="18">
      <c r="Z245" s="1767"/>
      <c r="CQ245" s="2281">
        <v>2011</v>
      </c>
      <c r="CR245" s="1201">
        <f t="shared" si="185"/>
        <v>1450.0711494302691</v>
      </c>
      <c r="CS245" s="1871">
        <v>3.9201421061005211</v>
      </c>
      <c r="CT245" s="1201">
        <v>12010.7569</v>
      </c>
      <c r="CU245" s="1382">
        <f t="shared" si="183"/>
        <v>8.28287419187604</v>
      </c>
      <c r="CV245" s="1382">
        <f t="shared" si="187"/>
        <v>8.28287419187604</v>
      </c>
      <c r="CW245" s="1328">
        <f t="shared" si="184"/>
        <v>17.42560853061795</v>
      </c>
      <c r="CX245" s="2444">
        <f t="shared" si="186"/>
        <v>29.39</v>
      </c>
      <c r="CY245" s="1035">
        <f>НАСТРОЙКА!DR152</f>
        <v>13.437478040823935</v>
      </c>
      <c r="DO245" s="1594">
        <v>2013</v>
      </c>
      <c r="DP245" s="1875">
        <f t="shared" si="176"/>
        <v>1646.4035327073805</v>
      </c>
      <c r="DQ245" s="1786">
        <v>5394.3474985656912</v>
      </c>
      <c r="DR245" s="1794">
        <f t="shared" si="180"/>
        <v>0.30520902354643348</v>
      </c>
      <c r="EG245" s="2445">
        <f t="shared" si="181"/>
        <v>0.30520902354643348</v>
      </c>
      <c r="EJ245" s="2281">
        <v>2013</v>
      </c>
      <c r="EK245" s="2119">
        <f t="shared" si="182"/>
        <v>1.9490921889636572</v>
      </c>
      <c r="EL245" s="831"/>
      <c r="EM245" s="2119">
        <f t="shared" si="178"/>
        <v>4.4509097465560012</v>
      </c>
      <c r="EN245" s="1495"/>
      <c r="FE245" s="771">
        <v>2013</v>
      </c>
      <c r="FF245" s="2475"/>
      <c r="FG245" s="2475">
        <f t="shared" si="179"/>
        <v>9.0619465420277994</v>
      </c>
      <c r="FH245" s="1034">
        <f t="shared" si="177"/>
        <v>31.85</v>
      </c>
      <c r="FI245" s="1035">
        <f>НАСТРОЙКА!DR154</f>
        <v>15.245411430096356</v>
      </c>
    </row>
    <row r="246" spans="20:165" ht="18">
      <c r="Z246" s="1767"/>
      <c r="CQ246" s="2281">
        <v>2012</v>
      </c>
      <c r="CR246" s="1201">
        <f t="shared" si="185"/>
        <v>1590.7280509250054</v>
      </c>
      <c r="CS246" s="1871">
        <v>4.3003958903922719</v>
      </c>
      <c r="CT246" s="1201">
        <v>13786.8717</v>
      </c>
      <c r="CU246" s="1382">
        <f t="shared" si="183"/>
        <v>8.6670199170643656</v>
      </c>
      <c r="CV246" s="1382">
        <f t="shared" si="187"/>
        <v>8.6670199170643656</v>
      </c>
      <c r="CW246" s="1328">
        <f t="shared" si="184"/>
        <v>18.511248071932613</v>
      </c>
      <c r="CX246" s="2444">
        <f t="shared" si="186"/>
        <v>31.08</v>
      </c>
      <c r="CY246" s="1035">
        <f>НАСТРОЙКА!DR153</f>
        <v>14.321664095910151</v>
      </c>
      <c r="DO246" s="1594">
        <v>2014</v>
      </c>
      <c r="DP246" s="1875">
        <f t="shared" si="176"/>
        <v>1526.2160748197416</v>
      </c>
      <c r="DQ246" s="1786">
        <v>5437.5022785542169</v>
      </c>
      <c r="DR246" s="1794">
        <f t="shared" si="180"/>
        <v>0.2806832984400236</v>
      </c>
      <c r="EG246" s="2445">
        <f t="shared" si="181"/>
        <v>0.2806832984400236</v>
      </c>
      <c r="EJ246" s="2281">
        <v>2014</v>
      </c>
      <c r="EK246" s="2119">
        <f t="shared" si="182"/>
        <v>1.9646849264753665</v>
      </c>
      <c r="EL246" s="831"/>
      <c r="EM246" s="2119">
        <f t="shared" si="178"/>
        <v>4.1259933350574132</v>
      </c>
      <c r="EN246" s="1495"/>
      <c r="FE246" s="771">
        <v>2014</v>
      </c>
      <c r="FF246" s="2475"/>
      <c r="FG246" s="2475">
        <f t="shared" si="179"/>
        <v>10.713774916786438</v>
      </c>
      <c r="FH246" s="1034">
        <f t="shared" si="177"/>
        <v>32.729999999999997</v>
      </c>
      <c r="FI246" s="1035">
        <f>НАСТРОЙКА!DR155</f>
        <v>17.318787384589459</v>
      </c>
    </row>
    <row r="247" spans="20:165" ht="18">
      <c r="T247" s="1771"/>
      <c r="Y247" s="1771"/>
      <c r="CQ247" s="2281">
        <v>2013</v>
      </c>
      <c r="CR247" s="1201">
        <f t="shared" si="185"/>
        <v>1646.4035327073805</v>
      </c>
      <c r="CS247" s="1871">
        <v>4.4509097465560012</v>
      </c>
      <c r="CT247" s="1201">
        <v>14919.620800000001</v>
      </c>
      <c r="CU247" s="1382">
        <f t="shared" si="183"/>
        <v>9.0619465420277994</v>
      </c>
      <c r="CV247" s="1382">
        <f t="shared" si="187"/>
        <v>9.0619465420277994</v>
      </c>
      <c r="CW247" s="1328">
        <f t="shared" si="184"/>
        <v>19.396558572572268</v>
      </c>
      <c r="CX247" s="2444">
        <f t="shared" si="186"/>
        <v>31.85</v>
      </c>
      <c r="CY247" s="1035">
        <f>НАСТРОЙКА!DR154</f>
        <v>15.245411430096356</v>
      </c>
      <c r="DO247" s="1594">
        <v>2015</v>
      </c>
      <c r="DP247" s="1875">
        <f t="shared" si="176"/>
        <v>1143.1358400399865</v>
      </c>
      <c r="DQ247" s="1786">
        <v>5366.8147489330113</v>
      </c>
      <c r="DR247" s="1794">
        <f t="shared" si="180"/>
        <v>0.21300080094384774</v>
      </c>
      <c r="EG247" s="2445">
        <f t="shared" si="181"/>
        <v>0.21300080094384774</v>
      </c>
      <c r="EJ247" s="2281">
        <v>2015</v>
      </c>
      <c r="EK247" s="2119">
        <f t="shared" si="182"/>
        <v>1.9391440224311864</v>
      </c>
      <c r="EL247" s="831"/>
      <c r="EM247" s="2119">
        <f t="shared" si="178"/>
        <v>3.0903690079580026</v>
      </c>
      <c r="EN247" s="1495"/>
      <c r="FE247" s="771">
        <v>2015</v>
      </c>
      <c r="FF247" s="2475"/>
      <c r="FG247" s="2475">
        <f t="shared" si="179"/>
        <v>15.005583237946574</v>
      </c>
      <c r="FH247" s="1034">
        <f t="shared" si="177"/>
        <v>56.26</v>
      </c>
      <c r="FI247" s="1035">
        <f>НАСТРОЙКА!DR156</f>
        <v>19.552910957201501</v>
      </c>
    </row>
    <row r="248" spans="20:165" ht="18">
      <c r="T248" s="1771"/>
      <c r="Y248" s="1771"/>
      <c r="CQ248" s="2281">
        <v>2014</v>
      </c>
      <c r="CR248" s="1201">
        <f t="shared" si="185"/>
        <v>1526.2160748197416</v>
      </c>
      <c r="CS248" s="1871">
        <v>4.1259933350574132</v>
      </c>
      <c r="CT248" s="1201">
        <v>16351.5355</v>
      </c>
      <c r="CU248" s="1382">
        <f t="shared" si="183"/>
        <v>10.713774916786438</v>
      </c>
      <c r="CV248" s="1382">
        <f t="shared" si="187"/>
        <v>10.713774916786438</v>
      </c>
      <c r="CW248" s="1328">
        <f t="shared" si="184"/>
        <v>21.171590538442096</v>
      </c>
      <c r="CX248" s="2444">
        <f t="shared" si="186"/>
        <v>32.729999999999997</v>
      </c>
      <c r="CY248" s="1035">
        <f>НАСТРОЙКА!DR155</f>
        <v>17.318787384589459</v>
      </c>
      <c r="DO248" s="1594">
        <v>2016</v>
      </c>
      <c r="DP248" s="1875">
        <f t="shared" si="176"/>
        <v>1101.982949798547</v>
      </c>
      <c r="DQ248" s="1786">
        <v>5431.2165259202075</v>
      </c>
      <c r="DR248" s="1794">
        <f t="shared" si="180"/>
        <v>0.20289799615599724</v>
      </c>
      <c r="EG248" s="2445">
        <f t="shared" si="181"/>
        <v>0.20289799615599724</v>
      </c>
      <c r="EJ248" s="2281">
        <v>2016</v>
      </c>
      <c r="EK248" s="2119">
        <f t="shared" si="182"/>
        <v>1.9624137507003607</v>
      </c>
      <c r="EL248" s="831"/>
      <c r="EM248" s="2119">
        <f t="shared" si="178"/>
        <v>2.9791157236715144</v>
      </c>
      <c r="EN248" s="1495"/>
      <c r="FE248" s="771">
        <v>2016</v>
      </c>
      <c r="FF248" s="2475"/>
      <c r="FG248" s="2475">
        <f t="shared" si="179"/>
        <v>16.052012422908838</v>
      </c>
      <c r="FH248" s="1034">
        <f t="shared" si="177"/>
        <v>72.88</v>
      </c>
      <c r="FI248" s="1035">
        <f>НАСТРОЙКА!DR157</f>
        <v>20.606812857794662</v>
      </c>
    </row>
    <row r="249" spans="20:165" ht="18">
      <c r="T249" s="1771"/>
      <c r="Y249" s="1771"/>
      <c r="CQ249" s="2281">
        <v>2015</v>
      </c>
      <c r="CR249" s="1201">
        <f t="shared" si="185"/>
        <v>1143.1358400399865</v>
      </c>
      <c r="CS249" s="1871">
        <v>3.0903690079580026</v>
      </c>
      <c r="CT249" s="1201">
        <v>17153.419999999998</v>
      </c>
      <c r="CU249" s="1382">
        <f t="shared" si="183"/>
        <v>15.005583237946574</v>
      </c>
      <c r="CV249" s="1382">
        <f t="shared" si="187"/>
        <v>15.005583237946574</v>
      </c>
      <c r="CW249" s="1328">
        <f t="shared" si="184"/>
        <v>28.729683217901126</v>
      </c>
      <c r="CX249" s="2444">
        <f t="shared" si="186"/>
        <v>56.26</v>
      </c>
      <c r="CY249" s="1035">
        <f>НАСТРОЙКА!DR156</f>
        <v>19.552910957201501</v>
      </c>
      <c r="DO249" s="1594">
        <v>2017</v>
      </c>
      <c r="DP249" s="1875">
        <f t="shared" si="176"/>
        <v>1293.7279830634941</v>
      </c>
      <c r="DQ249" s="1786">
        <v>5566.9969390682127</v>
      </c>
      <c r="DR249" s="1794">
        <f t="shared" si="180"/>
        <v>0.23239243657282024</v>
      </c>
      <c r="EG249" s="2445">
        <f t="shared" si="181"/>
        <v>0.23239243657282024</v>
      </c>
      <c r="EJ249" s="2281">
        <v>2017</v>
      </c>
      <c r="EK249" s="2119">
        <f t="shared" si="182"/>
        <v>2.0114740944678697</v>
      </c>
      <c r="EL249" s="831"/>
      <c r="EM249" s="2119">
        <f t="shared" si="178"/>
        <v>3.4974818595903576</v>
      </c>
      <c r="EN249" s="1495"/>
      <c r="FE249" s="771">
        <v>2017</v>
      </c>
      <c r="FF249" s="2475"/>
      <c r="FG249" s="2475">
        <f t="shared" si="179"/>
        <v>14.742627700481556</v>
      </c>
      <c r="FH249" s="1034">
        <f t="shared" si="177"/>
        <v>60.66</v>
      </c>
      <c r="FI249" s="1035">
        <f>НАСТРОЙКА!DR158</f>
        <v>21.124043860525305</v>
      </c>
    </row>
    <row r="250" spans="20:165" ht="18">
      <c r="T250" s="1771"/>
      <c r="Y250" s="1771"/>
      <c r="CQ250" s="2281">
        <v>2016</v>
      </c>
      <c r="CR250" s="1201">
        <f t="shared" si="185"/>
        <v>1101.982949798547</v>
      </c>
      <c r="CS250" s="1871">
        <v>2.9791157236715144</v>
      </c>
      <c r="CT250" s="1201">
        <v>17689.044000000002</v>
      </c>
      <c r="CU250" s="1382">
        <f t="shared" si="183"/>
        <v>16.052012422908838</v>
      </c>
      <c r="CV250" s="1034"/>
      <c r="CW250" s="1328">
        <f t="shared" si="184"/>
        <v>33.675109643345991</v>
      </c>
      <c r="CX250" s="2444">
        <f t="shared" si="186"/>
        <v>72.88</v>
      </c>
      <c r="CY250" s="1035">
        <f>НАСТРОЙКА!DR157</f>
        <v>20.606812857794662</v>
      </c>
      <c r="DO250" s="1594">
        <v>2018</v>
      </c>
      <c r="DP250" s="1875">
        <f t="shared" si="176"/>
        <v>1328.6586386062083</v>
      </c>
      <c r="DQ250" s="1786">
        <v>5706.1718625449175</v>
      </c>
      <c r="DR250" s="1794">
        <f t="shared" si="180"/>
        <v>0.23284588522954772</v>
      </c>
      <c r="EG250" s="2445">
        <f t="shared" si="181"/>
        <v>0.23284588522954772</v>
      </c>
      <c r="EJ250" s="2281">
        <v>2018</v>
      </c>
      <c r="EK250" s="2119">
        <f t="shared" si="182"/>
        <v>2.0617609468295663</v>
      </c>
      <c r="EL250" s="1035">
        <f>EK250</f>
        <v>2.0617609468295663</v>
      </c>
      <c r="EM250" s="2119">
        <f t="shared" si="178"/>
        <v>3.5919138697992969</v>
      </c>
      <c r="EN250" s="1966">
        <f>EM250</f>
        <v>3.5919138697992969</v>
      </c>
      <c r="FE250" s="771">
        <v>2018</v>
      </c>
      <c r="FF250" s="2475"/>
      <c r="FG250" s="2475">
        <f t="shared" si="179"/>
        <v>16.237654558609506</v>
      </c>
      <c r="FH250" s="1034">
        <f t="shared" si="177"/>
        <v>57.6</v>
      </c>
      <c r="FI250" s="1035">
        <f>НАСТРОЙКА!DR159</f>
        <v>22.02392812898368</v>
      </c>
    </row>
    <row r="251" spans="20:165" ht="18">
      <c r="CQ251" s="2281">
        <v>2017</v>
      </c>
      <c r="CR251" s="1201">
        <f t="shared" si="185"/>
        <v>1293.7279830634941</v>
      </c>
      <c r="CS251" s="838">
        <v>3.4974818595903576</v>
      </c>
      <c r="CT251" s="838">
        <v>19072.95</v>
      </c>
      <c r="CU251" s="1382">
        <f t="shared" si="183"/>
        <v>14.742627700481556</v>
      </c>
      <c r="CV251" s="1034"/>
      <c r="CW251" s="1328">
        <f t="shared" si="184"/>
        <v>31.008032895393978</v>
      </c>
      <c r="CX251" s="2444">
        <f t="shared" si="186"/>
        <v>60.66</v>
      </c>
      <c r="CY251" s="1035">
        <f>НАСТРОЙКА!DR158</f>
        <v>21.124043860525305</v>
      </c>
      <c r="DO251" s="1594">
        <v>2019</v>
      </c>
      <c r="DP251" s="1617"/>
      <c r="DQ251" s="1615"/>
      <c r="DR251" s="2046">
        <f>DR250+0.001</f>
        <v>0.23384588522954772</v>
      </c>
      <c r="EG251" s="2445">
        <f t="shared" si="181"/>
        <v>0.23384588522954772</v>
      </c>
      <c r="EJ251" s="2281">
        <v>2019</v>
      </c>
      <c r="EK251" s="790"/>
      <c r="EL251" s="1035">
        <f t="array" aca="1" ref="EL251:EL267" ca="1">TRANSPOSE(СЧЁТ!AM132:BC132)</f>
        <v>2.1487156906873497</v>
      </c>
      <c r="EM251" s="2119"/>
      <c r="EN251" s="1966">
        <f t="array" aca="1" ref="EN251:EN267" ca="1">TRANSPOSE(СЧЁТ!AM183:BC183)</f>
        <v>3.7594795354810144</v>
      </c>
      <c r="FE251" s="771">
        <v>2019</v>
      </c>
      <c r="FF251" s="2475">
        <f t="shared" ref="FF251:FF267" si="188">0.25*FH251+0.75*FI251</f>
        <v>34.387591658078591</v>
      </c>
      <c r="FG251" s="2475">
        <f>0.6044*FF251-2.3458</f>
        <v>18.438060398142703</v>
      </c>
      <c r="FH251" s="1034">
        <f t="shared" si="177"/>
        <v>69.47</v>
      </c>
      <c r="FI251" s="1035">
        <f>НАСТРОЙКА!DR160</f>
        <v>22.693455544104783</v>
      </c>
    </row>
    <row r="252" spans="20:165" ht="18">
      <c r="CQ252" s="2281">
        <v>2018</v>
      </c>
      <c r="CR252" s="1201">
        <f t="shared" si="185"/>
        <v>1328.6586386062083</v>
      </c>
      <c r="CS252" s="838">
        <v>3.5919138697992969</v>
      </c>
      <c r="CT252" s="838">
        <v>21574.3</v>
      </c>
      <c r="CU252" s="1382">
        <f t="shared" si="183"/>
        <v>16.237654558609506</v>
      </c>
      <c r="CV252" s="1034"/>
      <c r="CW252" s="1328">
        <f t="shared" si="184"/>
        <v>30.917946096737758</v>
      </c>
      <c r="CX252" s="2444">
        <f t="shared" si="186"/>
        <v>57.6</v>
      </c>
      <c r="CY252" s="1035">
        <f>НАСТРОЙКА!DR159</f>
        <v>22.02392812898368</v>
      </c>
      <c r="DO252" s="1594">
        <v>2020</v>
      </c>
      <c r="DP252" s="1617"/>
      <c r="DQ252" s="1615"/>
      <c r="DR252" s="2046">
        <f t="shared" ref="DR252:DR267" si="189">DR251+0.001</f>
        <v>0.23484588522954772</v>
      </c>
      <c r="EG252" s="2445">
        <f t="shared" si="181"/>
        <v>0.23484588522954772</v>
      </c>
      <c r="EJ252" s="2281">
        <v>2020</v>
      </c>
      <c r="EK252" s="790"/>
      <c r="EL252" s="1035">
        <f ca="1"/>
        <v>2.2073861787158706</v>
      </c>
      <c r="EM252" s="2119"/>
      <c r="EN252" s="1966">
        <f ca="1"/>
        <v>3.8786474990364632</v>
      </c>
      <c r="FE252" s="771">
        <v>2020</v>
      </c>
      <c r="FF252" s="2475">
        <f t="shared" si="188"/>
        <v>33.33077815849024</v>
      </c>
      <c r="FG252" s="2475">
        <f t="shared" ref="FG252:FG267" si="190">0.6044*FF252-2.3458</f>
        <v>17.799322318991504</v>
      </c>
      <c r="FH252" s="1034">
        <f t="shared" si="177"/>
        <v>61.9</v>
      </c>
      <c r="FI252" s="1035">
        <f>НАСТРОЙКА!DR161</f>
        <v>23.807704211320324</v>
      </c>
    </row>
    <row r="253" spans="20:165" ht="18">
      <c r="CQ253" s="2281">
        <v>2019</v>
      </c>
      <c r="CR253" s="838"/>
      <c r="CS253" s="838"/>
      <c r="CT253" s="838"/>
      <c r="CU253" s="838"/>
      <c r="CV253" s="1034"/>
      <c r="CW253" s="1328">
        <f t="shared" si="184"/>
        <v>34.387591658078591</v>
      </c>
      <c r="CX253" s="2444">
        <f t="shared" si="186"/>
        <v>69.47</v>
      </c>
      <c r="CY253" s="1035">
        <f>НАСТРОЙКА!DR160</f>
        <v>22.693455544104783</v>
      </c>
      <c r="DO253" s="1594">
        <v>2021</v>
      </c>
      <c r="DP253" s="1617"/>
      <c r="DQ253" s="1615"/>
      <c r="DR253" s="2046">
        <f t="shared" si="189"/>
        <v>0.23584588522954772</v>
      </c>
      <c r="EG253" s="2445">
        <f t="shared" si="181"/>
        <v>0.23584588522954772</v>
      </c>
      <c r="EJ253" s="2281">
        <v>2021</v>
      </c>
      <c r="EK253" s="790"/>
      <c r="EL253" s="1035">
        <f ca="1"/>
        <v>2.3079568951667082</v>
      </c>
      <c r="EM253" s="2119"/>
      <c r="EN253" s="1966">
        <f ca="1"/>
        <v>4.0726307350523774</v>
      </c>
      <c r="FE253" s="771">
        <v>2021</v>
      </c>
      <c r="FF253" s="2475">
        <f t="shared" si="188"/>
        <v>37.216067066414759</v>
      </c>
      <c r="FG253" s="2475">
        <f t="shared" si="190"/>
        <v>20.147590934941082</v>
      </c>
      <c r="FH253" s="1034">
        <f t="shared" si="177"/>
        <v>73.87</v>
      </c>
      <c r="FI253" s="1035">
        <f>НАСТРОЙКА!DR162</f>
        <v>24.998089421886341</v>
      </c>
    </row>
    <row r="254" spans="20:165" ht="18">
      <c r="CQ254" s="2281">
        <v>2020</v>
      </c>
      <c r="CR254" s="838"/>
      <c r="CS254" s="838"/>
      <c r="CT254" s="838"/>
      <c r="CU254" s="838"/>
      <c r="CV254" s="1034"/>
      <c r="CW254" s="1328">
        <f t="shared" si="184"/>
        <v>33.33077815849024</v>
      </c>
      <c r="CX254" s="2444">
        <f t="shared" si="186"/>
        <v>61.9</v>
      </c>
      <c r="CY254" s="1035">
        <f>НАСТРОЙКА!DR161</f>
        <v>23.807704211320324</v>
      </c>
      <c r="DO254" s="1594">
        <v>2022</v>
      </c>
      <c r="DP254" s="1617"/>
      <c r="DQ254" s="1615"/>
      <c r="DR254" s="2046">
        <f t="shared" si="189"/>
        <v>0.23684588522954772</v>
      </c>
      <c r="EG254" s="2445">
        <f t="shared" si="181"/>
        <v>0.23684588522954772</v>
      </c>
      <c r="EJ254" s="2281">
        <v>2022</v>
      </c>
      <c r="EK254" s="790"/>
      <c r="EL254" s="1035">
        <f ca="1"/>
        <v>2.3892515838213932</v>
      </c>
      <c r="EM254" s="2119"/>
      <c r="EN254" s="1966">
        <f ca="1"/>
        <v>4.2339601300567509</v>
      </c>
      <c r="FE254" s="771">
        <v>2022</v>
      </c>
      <c r="FF254" s="2475">
        <f t="shared" si="188"/>
        <v>38.478495419735495</v>
      </c>
      <c r="FG254" s="2475">
        <f t="shared" si="190"/>
        <v>20.910602631688135</v>
      </c>
      <c r="FH254" s="1034">
        <f t="shared" si="177"/>
        <v>75.17</v>
      </c>
      <c r="FI254" s="1035">
        <f>НАСТРОЙКА!DR163</f>
        <v>26.247993892980659</v>
      </c>
    </row>
    <row r="255" spans="20:165" ht="18">
      <c r="CQ255" s="2281">
        <v>2021</v>
      </c>
      <c r="CR255" s="838"/>
      <c r="CS255" s="838"/>
      <c r="CT255" s="838"/>
      <c r="CU255" s="838"/>
      <c r="CV255" s="1034"/>
      <c r="CW255" s="1328">
        <f t="shared" si="184"/>
        <v>37.216067066414759</v>
      </c>
      <c r="CX255" s="2444">
        <f t="shared" si="186"/>
        <v>73.87</v>
      </c>
      <c r="CY255" s="1035">
        <f>НАСТРОЙКА!DR162</f>
        <v>24.998089421886341</v>
      </c>
      <c r="DO255" s="1594">
        <v>2023</v>
      </c>
      <c r="DP255" s="1617"/>
      <c r="DQ255" s="1615"/>
      <c r="DR255" s="2046">
        <f t="shared" si="189"/>
        <v>0.23784588522954772</v>
      </c>
      <c r="EG255" s="2445">
        <f t="shared" si="181"/>
        <v>0.23784588522954772</v>
      </c>
      <c r="EJ255" s="2281">
        <v>2023</v>
      </c>
      <c r="EK255" s="790"/>
      <c r="EL255" s="1035">
        <f ca="1"/>
        <v>2.4694958722934941</v>
      </c>
      <c r="EM255" s="2119"/>
      <c r="EN255" s="1966">
        <f ca="1"/>
        <v>4.3946367635686654</v>
      </c>
      <c r="FE255" s="771">
        <v>2023</v>
      </c>
      <c r="FF255" s="2475">
        <f t="shared" si="188"/>
        <v>39.787795190722271</v>
      </c>
      <c r="FG255" s="2475">
        <f t="shared" si="190"/>
        <v>21.701943413272542</v>
      </c>
      <c r="FH255" s="1034">
        <f t="shared" si="177"/>
        <v>76.47</v>
      </c>
      <c r="FI255" s="1035">
        <f>НАСТРОЙКА!DR164</f>
        <v>27.560393587629694</v>
      </c>
    </row>
    <row r="256" spans="20:165" ht="18">
      <c r="CQ256" s="2281">
        <v>2022</v>
      </c>
      <c r="CR256" s="838"/>
      <c r="CS256" s="838"/>
      <c r="CT256" s="838"/>
      <c r="CU256" s="838"/>
      <c r="CV256" s="1034"/>
      <c r="CW256" s="1328">
        <f t="shared" si="184"/>
        <v>38.478495419735495</v>
      </c>
      <c r="CX256" s="2444">
        <f t="shared" si="186"/>
        <v>75.17</v>
      </c>
      <c r="CY256" s="1035">
        <f>НАСТРОЙКА!DR163</f>
        <v>26.247993892980659</v>
      </c>
      <c r="DO256" s="1594">
        <v>2024</v>
      </c>
      <c r="DP256" s="1617"/>
      <c r="DQ256" s="1615"/>
      <c r="DR256" s="2046">
        <f t="shared" si="189"/>
        <v>0.23884588522954772</v>
      </c>
      <c r="EG256" s="2445">
        <f t="shared" si="181"/>
        <v>0.23884588522954772</v>
      </c>
      <c r="EJ256" s="2281">
        <v>2024</v>
      </c>
      <c r="EK256" s="790"/>
      <c r="EL256" s="1035">
        <f ca="1"/>
        <v>2.5506014080515338</v>
      </c>
      <c r="EM256" s="2119"/>
      <c r="EN256" s="1966">
        <f ca="1"/>
        <v>4.5580532686080861</v>
      </c>
      <c r="FE256" s="820">
        <v>2024</v>
      </c>
      <c r="FF256" s="2475">
        <f t="shared" si="188"/>
        <v>41.146309950258384</v>
      </c>
      <c r="FG256" s="2475">
        <f t="shared" si="190"/>
        <v>22.52302973393617</v>
      </c>
      <c r="FH256" s="1034">
        <f t="shared" si="177"/>
        <v>77.77</v>
      </c>
      <c r="FI256" s="1035">
        <f>НАСТРОЙКА!DR165</f>
        <v>28.938413267011178</v>
      </c>
    </row>
    <row r="257" spans="95:165" ht="18">
      <c r="CQ257" s="2281">
        <v>2023</v>
      </c>
      <c r="CR257" s="838"/>
      <c r="CS257" s="838"/>
      <c r="CT257" s="838"/>
      <c r="CU257" s="838"/>
      <c r="CV257" s="1034"/>
      <c r="CW257" s="1328">
        <f t="shared" si="184"/>
        <v>39.787795190722271</v>
      </c>
      <c r="CX257" s="2444">
        <f t="shared" si="186"/>
        <v>76.47</v>
      </c>
      <c r="CY257" s="1035">
        <f>НАСТРОЙКА!DR164</f>
        <v>27.560393587629694</v>
      </c>
      <c r="DO257" s="1594">
        <v>2025</v>
      </c>
      <c r="DP257" s="1617"/>
      <c r="DQ257" s="1615"/>
      <c r="DR257" s="2046">
        <f t="shared" si="189"/>
        <v>0.23984588522954772</v>
      </c>
      <c r="EG257" s="2445">
        <f t="shared" si="181"/>
        <v>0.23984588522954772</v>
      </c>
      <c r="EJ257" s="2281">
        <v>2025</v>
      </c>
      <c r="EK257" s="790"/>
      <c r="EL257" s="1035">
        <f ca="1"/>
        <v>2.633816811648495</v>
      </c>
      <c r="EM257" s="2119"/>
      <c r="EN257" s="1966">
        <f ca="1"/>
        <v>4.7264696668583097</v>
      </c>
      <c r="FE257" s="771">
        <v>2025</v>
      </c>
      <c r="FF257" s="2475">
        <f t="shared" si="188"/>
        <v>42.556500447771299</v>
      </c>
      <c r="FG257" s="2475">
        <f t="shared" si="190"/>
        <v>23.375348870632976</v>
      </c>
      <c r="FH257" s="1034">
        <f t="shared" si="177"/>
        <v>79.069999999999993</v>
      </c>
      <c r="FI257" s="1035">
        <f>НАСТРОЙКА!DR166</f>
        <v>30.385333930361739</v>
      </c>
    </row>
    <row r="258" spans="95:165" ht="18">
      <c r="CQ258" s="2281">
        <v>2024</v>
      </c>
      <c r="CR258" s="838"/>
      <c r="CS258" s="838"/>
      <c r="CT258" s="838"/>
      <c r="CU258" s="838"/>
      <c r="CV258" s="1034"/>
      <c r="CW258" s="1328">
        <f t="shared" si="184"/>
        <v>41.146309950258384</v>
      </c>
      <c r="CX258" s="2444">
        <f t="shared" si="186"/>
        <v>77.77</v>
      </c>
      <c r="CY258" s="1035">
        <f>НАСТРОЙКА!DR165</f>
        <v>28.938413267011178</v>
      </c>
      <c r="DO258" s="1594">
        <v>2026</v>
      </c>
      <c r="DP258" s="1617"/>
      <c r="DQ258" s="1615"/>
      <c r="DR258" s="2046">
        <f t="shared" si="189"/>
        <v>0.24084588522954772</v>
      </c>
      <c r="EG258" s="2445">
        <f t="shared" si="181"/>
        <v>0.24084588522954772</v>
      </c>
      <c r="EJ258" s="2281">
        <v>2026</v>
      </c>
      <c r="EK258" s="790"/>
      <c r="EL258" s="1035">
        <f ca="1"/>
        <v>2.7199873891459658</v>
      </c>
      <c r="EM258" s="2119"/>
      <c r="EN258" s="1966">
        <f ca="1"/>
        <v>4.9014565702932025</v>
      </c>
      <c r="FE258" s="820">
        <v>2026</v>
      </c>
      <c r="FF258" s="2475">
        <f t="shared" si="188"/>
        <v>44.020950470159868</v>
      </c>
      <c r="FG258" s="2475">
        <f t="shared" si="190"/>
        <v>24.260462464164625</v>
      </c>
      <c r="FH258" s="1034">
        <f t="shared" si="177"/>
        <v>80.36999999999999</v>
      </c>
      <c r="FI258" s="1035">
        <f>НАСТРОЙКА!DR167</f>
        <v>31.904600626879827</v>
      </c>
    </row>
    <row r="259" spans="95:165" ht="18">
      <c r="CQ259" s="2281">
        <v>2025</v>
      </c>
      <c r="CR259" s="838"/>
      <c r="CS259" s="838"/>
      <c r="CT259" s="838"/>
      <c r="CU259" s="838"/>
      <c r="CV259" s="1034"/>
      <c r="CW259" s="1328">
        <f t="shared" si="184"/>
        <v>42.556500447771299</v>
      </c>
      <c r="CX259" s="2444">
        <f t="shared" si="186"/>
        <v>79.069999999999993</v>
      </c>
      <c r="CY259" s="1035">
        <f>НАСТРОЙКА!DR166</f>
        <v>30.385333930361739</v>
      </c>
      <c r="DO259" s="1594">
        <v>2027</v>
      </c>
      <c r="DP259" s="1617"/>
      <c r="DQ259" s="1615"/>
      <c r="DR259" s="2046">
        <f t="shared" si="189"/>
        <v>0.24184588522954772</v>
      </c>
      <c r="EG259" s="2445">
        <f t="shared" si="181"/>
        <v>0.24184588522954772</v>
      </c>
      <c r="EJ259" s="2281">
        <v>2027</v>
      </c>
      <c r="EK259" s="790"/>
      <c r="EL259" s="1035">
        <f ca="1"/>
        <v>2.8097146980585723</v>
      </c>
      <c r="EM259" s="2119"/>
      <c r="EN259" s="1966">
        <f ca="1"/>
        <v>5.0841688271488898</v>
      </c>
      <c r="FE259" s="771">
        <v>2027</v>
      </c>
      <c r="FF259" s="2475">
        <f t="shared" si="188"/>
        <v>45.542372993667861</v>
      </c>
      <c r="FG259" s="2475">
        <f t="shared" si="190"/>
        <v>25.180010237372858</v>
      </c>
      <c r="FH259" s="1034">
        <f t="shared" si="177"/>
        <v>81.669999999999987</v>
      </c>
      <c r="FI259" s="1035">
        <f>НАСТРОЙКА!DR168</f>
        <v>33.499830658223821</v>
      </c>
    </row>
    <row r="260" spans="95:165" ht="18">
      <c r="CQ260" s="2281">
        <v>2026</v>
      </c>
      <c r="CR260" s="838"/>
      <c r="CS260" s="838"/>
      <c r="CT260" s="838"/>
      <c r="CU260" s="838"/>
      <c r="CV260" s="1034"/>
      <c r="CW260" s="1328">
        <f t="shared" si="184"/>
        <v>44.020950470159868</v>
      </c>
      <c r="CX260" s="2444">
        <f t="shared" si="186"/>
        <v>80.36999999999999</v>
      </c>
      <c r="CY260" s="1035">
        <f>НАСТРОЙКА!DR167</f>
        <v>31.904600626879827</v>
      </c>
      <c r="DO260" s="1594">
        <v>2028</v>
      </c>
      <c r="DP260" s="1617"/>
      <c r="DQ260" s="1615"/>
      <c r="DR260" s="2046">
        <f t="shared" si="189"/>
        <v>0.24284588522954773</v>
      </c>
      <c r="EG260" s="2445">
        <f t="shared" si="181"/>
        <v>0.24284588522954773</v>
      </c>
      <c r="EJ260" s="2281">
        <v>2028</v>
      </c>
      <c r="EK260" s="790"/>
      <c r="EL260" s="1035">
        <f ca="1"/>
        <v>2.9034546970089719</v>
      </c>
      <c r="EM260" s="2119"/>
      <c r="EN260" s="1966">
        <f ca="1"/>
        <v>5.2755147390748132</v>
      </c>
      <c r="FE260" s="820">
        <v>2028</v>
      </c>
      <c r="FF260" s="2475">
        <f t="shared" si="188"/>
        <v>47.123616643351255</v>
      </c>
      <c r="FG260" s="2475">
        <f t="shared" si="190"/>
        <v>26.135713899241502</v>
      </c>
      <c r="FH260" s="1034">
        <f t="shared" si="177"/>
        <v>82.969999999999985</v>
      </c>
      <c r="FI260" s="1035">
        <f>НАСТРОЙКА!DR169</f>
        <v>35.174822191135014</v>
      </c>
    </row>
    <row r="261" spans="95:165" ht="18">
      <c r="CQ261" s="2281">
        <v>2027</v>
      </c>
      <c r="CR261" s="838"/>
      <c r="CS261" s="838"/>
      <c r="CT261" s="838"/>
      <c r="CU261" s="838"/>
      <c r="CV261" s="1034"/>
      <c r="CW261" s="1328">
        <f t="shared" si="184"/>
        <v>45.542372993667861</v>
      </c>
      <c r="CX261" s="2444">
        <f t="shared" si="186"/>
        <v>81.669999999999987</v>
      </c>
      <c r="CY261" s="1035">
        <f>НАСТРОЙКА!DR168</f>
        <v>33.499830658223821</v>
      </c>
      <c r="DO261" s="1594">
        <v>2029</v>
      </c>
      <c r="DP261" s="1617"/>
      <c r="DQ261" s="1615"/>
      <c r="DR261" s="2046">
        <f t="shared" si="189"/>
        <v>0.24384588522954773</v>
      </c>
      <c r="EG261" s="2445">
        <f t="shared" si="181"/>
        <v>0.24384588522954773</v>
      </c>
      <c r="EJ261" s="2281">
        <v>2029</v>
      </c>
      <c r="EK261" s="790"/>
      <c r="EL261" s="1035">
        <f ca="1"/>
        <v>3.0015782195814724</v>
      </c>
      <c r="EM261" s="2119"/>
      <c r="EN261" s="1966">
        <f ca="1"/>
        <v>5.4762609464205978</v>
      </c>
      <c r="FE261" s="771">
        <v>2029</v>
      </c>
      <c r="FF261" s="2475">
        <f t="shared" si="188"/>
        <v>48.767672475518822</v>
      </c>
      <c r="FG261" s="2475">
        <f t="shared" si="190"/>
        <v>27.129381244203579</v>
      </c>
      <c r="FH261" s="1034">
        <f t="shared" si="177"/>
        <v>84.269999999999982</v>
      </c>
      <c r="FI261" s="1035">
        <f>НАСТРОЙКА!DR170</f>
        <v>36.933563300691766</v>
      </c>
    </row>
    <row r="262" spans="95:165" ht="18">
      <c r="CQ262" s="2281">
        <v>2028</v>
      </c>
      <c r="CR262" s="838"/>
      <c r="CS262" s="838"/>
      <c r="CT262" s="838"/>
      <c r="CU262" s="838"/>
      <c r="CV262" s="1034"/>
      <c r="CW262" s="1328">
        <f t="shared" si="184"/>
        <v>47.123616643351255</v>
      </c>
      <c r="CX262" s="2444">
        <f t="shared" si="186"/>
        <v>82.969999999999985</v>
      </c>
      <c r="CY262" s="1035">
        <f>НАСТРОЙКА!DR169</f>
        <v>35.174822191135014</v>
      </c>
      <c r="DO262" s="1594">
        <v>2030</v>
      </c>
      <c r="DP262" s="1617"/>
      <c r="DQ262" s="1615"/>
      <c r="DR262" s="2046">
        <f t="shared" si="189"/>
        <v>0.24484588522954773</v>
      </c>
      <c r="EG262" s="2445">
        <f t="shared" si="181"/>
        <v>0.24484588522954773</v>
      </c>
      <c r="EJ262" s="2281">
        <v>2030</v>
      </c>
      <c r="EK262" s="790"/>
      <c r="EL262" s="1035">
        <f ca="1"/>
        <v>3.1044083305237553</v>
      </c>
      <c r="EM262" s="2119"/>
      <c r="EN262" s="1966">
        <f ca="1"/>
        <v>5.6870976781136333</v>
      </c>
      <c r="FE262" s="820">
        <v>2030</v>
      </c>
      <c r="FF262" s="2475">
        <f t="shared" si="188"/>
        <v>50.477681099294756</v>
      </c>
      <c r="FG262" s="2475">
        <f t="shared" si="190"/>
        <v>28.162910456413751</v>
      </c>
      <c r="FH262" s="1034">
        <f t="shared" si="177"/>
        <v>85.569999999999979</v>
      </c>
      <c r="FI262" s="1035">
        <f>НАСТРОЙКА!DR171</f>
        <v>38.780241465726355</v>
      </c>
    </row>
    <row r="263" spans="95:165" ht="18">
      <c r="CQ263" s="2281">
        <v>2029</v>
      </c>
      <c r="CR263" s="838"/>
      <c r="CS263" s="838"/>
      <c r="CT263" s="838"/>
      <c r="CU263" s="838"/>
      <c r="CV263" s="1034"/>
      <c r="CW263" s="1328">
        <f t="shared" si="184"/>
        <v>48.767672475518822</v>
      </c>
      <c r="CX263" s="2444">
        <f t="shared" si="186"/>
        <v>84.269999999999982</v>
      </c>
      <c r="CY263" s="1035">
        <f>НАСТРОЙКА!DR170</f>
        <v>36.933563300691766</v>
      </c>
      <c r="DO263" s="1594">
        <v>2031</v>
      </c>
      <c r="DP263" s="1617"/>
      <c r="DQ263" s="1615"/>
      <c r="DR263" s="2046">
        <f t="shared" si="189"/>
        <v>0.24584588522954773</v>
      </c>
      <c r="EG263" s="2445">
        <f t="shared" si="181"/>
        <v>0.24584588522954773</v>
      </c>
      <c r="EJ263" s="2281">
        <v>2031</v>
      </c>
      <c r="EK263" s="790"/>
      <c r="EL263" s="1035">
        <f ca="1"/>
        <v>3.2122434953512502</v>
      </c>
      <c r="EM263" s="2119"/>
      <c r="EN263" s="1966">
        <f ca="1"/>
        <v>5.9086795833607573</v>
      </c>
      <c r="FE263" s="771">
        <v>2031</v>
      </c>
      <c r="FF263" s="2475">
        <f t="shared" si="188"/>
        <v>52.256940154259503</v>
      </c>
      <c r="FG263" s="2475">
        <f t="shared" si="190"/>
        <v>29.238294629234446</v>
      </c>
      <c r="FH263" s="1034">
        <f t="shared" si="177"/>
        <v>86.869999999999976</v>
      </c>
      <c r="FI263" s="1035">
        <f>НАСТРОЙКА!DR172</f>
        <v>40.719253539012676</v>
      </c>
    </row>
    <row r="264" spans="95:165" ht="18">
      <c r="CQ264" s="1596">
        <v>2030</v>
      </c>
      <c r="CR264" s="843"/>
      <c r="CS264" s="843"/>
      <c r="CT264" s="843"/>
      <c r="CU264" s="843"/>
      <c r="CV264" s="1060"/>
      <c r="CW264" s="1976">
        <f t="shared" si="184"/>
        <v>50.477681099294756</v>
      </c>
      <c r="CX264" s="2444">
        <f t="shared" si="186"/>
        <v>85.569999999999979</v>
      </c>
      <c r="CY264" s="1808">
        <f>НАСТРОЙКА!DR171</f>
        <v>38.780241465726355</v>
      </c>
      <c r="DO264" s="1594">
        <v>2032</v>
      </c>
      <c r="DP264" s="1617"/>
      <c r="DQ264" s="1615"/>
      <c r="DR264" s="2046">
        <f t="shared" si="189"/>
        <v>0.24684588522954773</v>
      </c>
      <c r="EG264" s="2445">
        <f t="shared" si="181"/>
        <v>0.24684588522954773</v>
      </c>
      <c r="EJ264" s="2281">
        <v>2032</v>
      </c>
      <c r="EK264" s="790"/>
      <c r="EL264" s="1035">
        <f ca="1"/>
        <v>3.3253720446831232</v>
      </c>
      <c r="EM264" s="2119"/>
      <c r="EN264" s="1966">
        <f ca="1"/>
        <v>6.1416515256655417</v>
      </c>
      <c r="FE264" s="820">
        <v>2032</v>
      </c>
      <c r="FF264" s="2475">
        <f t="shared" si="188"/>
        <v>54.108912161972484</v>
      </c>
      <c r="FG264" s="2475">
        <f t="shared" si="190"/>
        <v>30.357626510696168</v>
      </c>
      <c r="FH264" s="1034">
        <f t="shared" si="177"/>
        <v>88.169999999999973</v>
      </c>
      <c r="FI264" s="1035">
        <f>НАСТРОЙКА!DR173</f>
        <v>42.755216215963316</v>
      </c>
    </row>
    <row r="265" spans="95:165" ht="18">
      <c r="DO265" s="1594">
        <v>2033</v>
      </c>
      <c r="DP265" s="1617"/>
      <c r="DQ265" s="1615"/>
      <c r="DR265" s="2046">
        <f t="shared" si="189"/>
        <v>0.24784588522954773</v>
      </c>
      <c r="EG265" s="2445">
        <f t="shared" si="181"/>
        <v>0.24784588522954773</v>
      </c>
      <c r="EJ265" s="2281">
        <v>2033</v>
      </c>
      <c r="EK265" s="790"/>
      <c r="EL265" s="1035">
        <f ca="1"/>
        <v>3.4440812989449938</v>
      </c>
      <c r="EM265" s="2119"/>
      <c r="EN265" s="1966">
        <f ca="1"/>
        <v>6.386665124425428</v>
      </c>
      <c r="FE265" s="771">
        <v>2033</v>
      </c>
      <c r="FF265" s="2475">
        <f t="shared" si="188"/>
        <v>56.037232770071107</v>
      </c>
      <c r="FG265" s="2475">
        <f t="shared" si="190"/>
        <v>31.523103486230976</v>
      </c>
      <c r="FH265" s="1034">
        <f t="shared" si="177"/>
        <v>89.46999999999997</v>
      </c>
      <c r="FI265" s="1035">
        <f>НАСТРОЙКА!DR174</f>
        <v>44.892977026761486</v>
      </c>
    </row>
    <row r="266" spans="95:165" ht="18">
      <c r="DO266" s="1594">
        <v>2034</v>
      </c>
      <c r="DP266" s="1617"/>
      <c r="DQ266" s="1615"/>
      <c r="DR266" s="2046">
        <f t="shared" si="189"/>
        <v>0.24884588522954773</v>
      </c>
      <c r="EG266" s="2445">
        <f t="shared" si="181"/>
        <v>0.24884588522954773</v>
      </c>
      <c r="EJ266" s="2281">
        <v>2034</v>
      </c>
      <c r="EK266" s="790"/>
      <c r="EL266" s="1035">
        <f ca="1"/>
        <v>3.5686634210359371</v>
      </c>
      <c r="EM266" s="2119"/>
      <c r="EN266" s="1966">
        <f ca="1"/>
        <v>6.6443896140490546</v>
      </c>
      <c r="FE266" s="820">
        <v>2034</v>
      </c>
      <c r="FF266" s="2475">
        <f t="shared" si="188"/>
        <v>58.045719408574669</v>
      </c>
      <c r="FG266" s="2475">
        <f t="shared" si="190"/>
        <v>32.737032810542537</v>
      </c>
      <c r="FH266" s="1034">
        <f t="shared" si="177"/>
        <v>90.769999999999968</v>
      </c>
      <c r="FI266" s="1035">
        <f>НАСТРОЙКА!DR175</f>
        <v>47.137625878099563</v>
      </c>
    </row>
    <row r="267" spans="95:165" ht="18">
      <c r="DO267" s="1596">
        <v>2035</v>
      </c>
      <c r="DP267" s="1776"/>
      <c r="DQ267" s="1777"/>
      <c r="DR267" s="2046">
        <f t="shared" si="189"/>
        <v>0.24984588522954773</v>
      </c>
      <c r="EG267" s="2446">
        <f t="shared" si="181"/>
        <v>0.24984588522954773</v>
      </c>
      <c r="EJ267" s="1596">
        <v>2035</v>
      </c>
      <c r="EK267" s="1769"/>
      <c r="EL267" s="1808">
        <f ca="1"/>
        <v>3.699419267874434</v>
      </c>
      <c r="EM267" s="2045"/>
      <c r="EN267" s="2607">
        <f ca="1"/>
        <v>6.915519225011411</v>
      </c>
      <c r="FE267" s="2286">
        <v>2035</v>
      </c>
      <c r="FF267" s="2734">
        <f t="shared" si="188"/>
        <v>60.138380379003401</v>
      </c>
      <c r="FG267" s="2735">
        <f t="shared" si="190"/>
        <v>34.001837101069661</v>
      </c>
      <c r="FH267" s="1060">
        <f t="shared" si="177"/>
        <v>92.069999999999965</v>
      </c>
      <c r="FI267" s="1808">
        <f>НАСТРОЙКА!DR176</f>
        <v>49.494507172004546</v>
      </c>
    </row>
    <row r="271" spans="95:165" ht="16.2" thickBot="1"/>
    <row r="272" spans="95:165" ht="21" thickBot="1">
      <c r="EL272" s="1870" t="s">
        <v>351</v>
      </c>
      <c r="EM272" s="1796" t="s">
        <v>1586</v>
      </c>
      <c r="EN272" s="1796" t="s">
        <v>1586</v>
      </c>
      <c r="EO272" s="1797" t="s">
        <v>1635</v>
      </c>
    </row>
    <row r="273" spans="95:145" ht="21" thickBot="1">
      <c r="CQ273" s="1598" t="s">
        <v>1619</v>
      </c>
      <c r="CR273" s="1665"/>
      <c r="CS273" s="1666" t="s">
        <v>1620</v>
      </c>
      <c r="CT273" s="1666"/>
      <c r="CU273" s="1666"/>
      <c r="CV273" s="1665"/>
      <c r="CW273" s="1667"/>
      <c r="CX273" s="1668"/>
      <c r="CY273" s="1668"/>
      <c r="CZ273" s="1668"/>
      <c r="DA273" s="1669">
        <v>0.42</v>
      </c>
      <c r="EL273" s="2426">
        <v>43929</v>
      </c>
      <c r="EM273" s="2113" t="s">
        <v>1623</v>
      </c>
      <c r="EN273" s="2113" t="s">
        <v>1278</v>
      </c>
      <c r="EO273" s="2113" t="s">
        <v>1361</v>
      </c>
    </row>
    <row r="274" spans="95:145" ht="20.399999999999999">
      <c r="CQ274" s="1773" t="s">
        <v>351</v>
      </c>
      <c r="CR274" s="1792" t="s">
        <v>1633</v>
      </c>
      <c r="CS274" s="1778" t="s">
        <v>1634</v>
      </c>
      <c r="CT274" s="1592" t="s">
        <v>1635</v>
      </c>
      <c r="CU274" s="1592" t="s">
        <v>1275</v>
      </c>
      <c r="CV274" s="1592" t="s">
        <v>1636</v>
      </c>
      <c r="CW274" s="1592" t="s">
        <v>1615</v>
      </c>
      <c r="CX274" s="1778" t="s">
        <v>1533</v>
      </c>
      <c r="CY274" s="1592" t="s">
        <v>1275</v>
      </c>
      <c r="CZ274" s="1592" t="s">
        <v>1275</v>
      </c>
      <c r="DA274" s="1779" t="s">
        <v>1915</v>
      </c>
      <c r="DP274" s="1797" t="s">
        <v>1275</v>
      </c>
      <c r="DT274" s="1602" t="s">
        <v>351</v>
      </c>
      <c r="DU274" s="1603" t="s">
        <v>1637</v>
      </c>
      <c r="DV274" s="1603" t="s">
        <v>1631</v>
      </c>
      <c r="EL274" s="2097">
        <v>1995</v>
      </c>
      <c r="EM274" s="1799">
        <v>1</v>
      </c>
      <c r="EN274" s="1969"/>
      <c r="EO274" s="1804"/>
    </row>
    <row r="275" spans="95:145" ht="18" thickBot="1">
      <c r="CQ275" s="1793">
        <v>43671</v>
      </c>
      <c r="CR275" s="1774" t="s">
        <v>1454</v>
      </c>
      <c r="CS275" s="1605" t="s">
        <v>1454</v>
      </c>
      <c r="CT275" s="1605" t="s">
        <v>46</v>
      </c>
      <c r="CU275" s="1605" t="s">
        <v>1454</v>
      </c>
      <c r="CV275" s="1605" t="s">
        <v>1454</v>
      </c>
      <c r="CW275" s="1605" t="s">
        <v>1617</v>
      </c>
      <c r="CX275" s="1980" t="s">
        <v>1277</v>
      </c>
      <c r="CY275" s="1605" t="s">
        <v>1621</v>
      </c>
      <c r="CZ275" s="1605" t="s">
        <v>1622</v>
      </c>
      <c r="DA275" s="1606" t="s">
        <v>1454</v>
      </c>
      <c r="DP275" s="1856" t="s">
        <v>1368</v>
      </c>
      <c r="DT275" s="1561">
        <v>43929</v>
      </c>
      <c r="DU275" s="1593" t="s">
        <v>1618</v>
      </c>
      <c r="DV275" s="1593" t="s">
        <v>1618</v>
      </c>
      <c r="EL275" s="2281">
        <v>1996</v>
      </c>
      <c r="EM275" s="2119">
        <f t="shared" ref="EM275:EM297" si="191">CS277</f>
        <v>1.0369999999999999</v>
      </c>
      <c r="EN275" s="830"/>
      <c r="EO275" s="1035"/>
    </row>
    <row r="276" spans="95:145" ht="17.399999999999999">
      <c r="CQ276" s="1607">
        <v>1995</v>
      </c>
      <c r="CR276" s="1871">
        <f t="array" ref="CR276:CR299">TRANSPOSE(U139:AR139)</f>
        <v>1.05</v>
      </c>
      <c r="CS276" s="838">
        <v>1</v>
      </c>
      <c r="CT276" s="1201">
        <f t="array" ref="CT276:CT299">TRANSPOSE(U62:AR62)</f>
        <v>418.46850000000001</v>
      </c>
      <c r="CU276" s="838">
        <v>1</v>
      </c>
      <c r="CV276" s="838"/>
      <c r="CW276" s="1034">
        <f>DN321</f>
        <v>3.6</v>
      </c>
      <c r="CX276" s="1382">
        <f t="shared" ref="CX276:CX310" si="192">GW319</f>
        <v>17.100000000000001</v>
      </c>
      <c r="CY276" s="838">
        <f>CU276</f>
        <v>1</v>
      </c>
      <c r="CZ276" s="838"/>
      <c r="DA276" s="1609">
        <f>DA273*CX276+(1-DA273)*CW276</f>
        <v>9.2700000000000014</v>
      </c>
      <c r="DC276" s="739">
        <v>1.05</v>
      </c>
      <c r="DD276" s="739">
        <v>1.05</v>
      </c>
      <c r="DE276" s="739">
        <v>1.05</v>
      </c>
      <c r="DF276" s="739">
        <v>1.05</v>
      </c>
      <c r="DG276" s="739">
        <v>1.05</v>
      </c>
      <c r="DH276" s="739">
        <v>1.05</v>
      </c>
      <c r="DI276" s="739">
        <v>1.05</v>
      </c>
      <c r="DJ276" s="739">
        <v>1.05</v>
      </c>
      <c r="DK276" s="739">
        <v>1.05</v>
      </c>
      <c r="DL276" s="739">
        <v>1.05</v>
      </c>
      <c r="DP276" s="1018">
        <v>1</v>
      </c>
      <c r="DS276" s="1016">
        <f>CU372</f>
        <v>2876.5161000000003</v>
      </c>
      <c r="DT276" s="1594">
        <v>1995</v>
      </c>
      <c r="DU276" s="1799">
        <f t="shared" ref="DU276:DU299" si="193">CT276/1000</f>
        <v>0.41846850000000002</v>
      </c>
      <c r="DV276" s="1800">
        <f>DS276/1000</f>
        <v>2.8765161000000004</v>
      </c>
      <c r="EK276" s="2429"/>
      <c r="EL276" s="2281">
        <v>1997</v>
      </c>
      <c r="EM276" s="2119">
        <f t="shared" si="191"/>
        <v>1.0318149999999999</v>
      </c>
      <c r="EN276" s="830"/>
      <c r="EO276" s="1035"/>
    </row>
    <row r="277" spans="95:145" ht="17.399999999999999">
      <c r="CQ277" s="1607">
        <v>1996</v>
      </c>
      <c r="CR277" s="1871">
        <v>1.0369999999999999</v>
      </c>
      <c r="CS277" s="838">
        <f>CS276*CR277</f>
        <v>1.0369999999999999</v>
      </c>
      <c r="CT277" s="1201">
        <v>523.46310000000005</v>
      </c>
      <c r="CU277" s="1382">
        <f t="shared" ref="CU277:CU299" si="194">CT277/(CT$276*CS277)</f>
        <v>1.2062700474653716</v>
      </c>
      <c r="CV277" s="1871">
        <f>CU277/CU276</f>
        <v>1.2062700474653716</v>
      </c>
      <c r="CW277" s="1034">
        <f t="shared" ref="CW277:CW311" si="195">FB320</f>
        <v>4.5999999999999996</v>
      </c>
      <c r="CX277" s="1382">
        <f t="shared" si="192"/>
        <v>20.5</v>
      </c>
      <c r="CY277" s="1382">
        <f>CU277</f>
        <v>1.2062700474653716</v>
      </c>
      <c r="CZ277" s="838"/>
      <c r="DA277" s="1609">
        <f t="shared" ref="DA277:DA311" si="196">DA$273*CX277+(1-DA$273)*CW277</f>
        <v>11.277999999999999</v>
      </c>
      <c r="DB277" s="739">
        <v>1.05</v>
      </c>
      <c r="DC277" s="739">
        <v>1.0369999999999999</v>
      </c>
      <c r="DD277" s="739">
        <v>1.0369999999999999</v>
      </c>
      <c r="DE277" s="739">
        <v>1.0369999999999999</v>
      </c>
      <c r="DF277" s="739">
        <v>1.0369999999999999</v>
      </c>
      <c r="DG277" s="739">
        <v>1.0369999999999999</v>
      </c>
      <c r="DH277" s="739">
        <v>1.0369999999999999</v>
      </c>
      <c r="DI277" s="739">
        <v>1.0369999999999999</v>
      </c>
      <c r="DJ277" s="739">
        <v>1.0369999999999999</v>
      </c>
      <c r="DK277" s="739">
        <v>1.0369999999999999</v>
      </c>
      <c r="DL277" s="739">
        <v>1.0369999999999999</v>
      </c>
      <c r="DP277" s="1975">
        <f t="shared" ref="DP277:DP297" si="197">CU277</f>
        <v>1.2062700474653716</v>
      </c>
      <c r="DS277" s="1016">
        <f t="shared" ref="DS277:DS299" si="198">CU373</f>
        <v>3978.7420000000006</v>
      </c>
      <c r="DT277" s="1594">
        <v>1996</v>
      </c>
      <c r="DU277" s="1616">
        <f t="shared" si="193"/>
        <v>0.52346310000000007</v>
      </c>
      <c r="DV277" s="1036">
        <f>DS277/1000</f>
        <v>3.9787420000000004</v>
      </c>
      <c r="EL277" s="2281">
        <v>1998</v>
      </c>
      <c r="EM277" s="2119">
        <f t="shared" si="191"/>
        <v>1.0514194849999998</v>
      </c>
      <c r="EN277" s="2119">
        <f>EM277</f>
        <v>1.0514194849999998</v>
      </c>
      <c r="EO277" s="1035"/>
    </row>
    <row r="278" spans="95:145" ht="17.399999999999999">
      <c r="CQ278" s="1607">
        <v>1997</v>
      </c>
      <c r="CR278" s="1871">
        <v>0.995</v>
      </c>
      <c r="CS278" s="1871">
        <f>CS277*CR278</f>
        <v>1.0318149999999999</v>
      </c>
      <c r="CT278" s="1201">
        <v>579.28650000000005</v>
      </c>
      <c r="CU278" s="1382">
        <f t="shared" si="194"/>
        <v>1.3416177583578945</v>
      </c>
      <c r="CV278" s="1871">
        <f t="shared" ref="CV278:CV299" si="199">CU278/CU277</f>
        <v>1.1122034913964058</v>
      </c>
      <c r="CW278" s="1034">
        <f t="shared" si="195"/>
        <v>5.5</v>
      </c>
      <c r="CX278" s="1382">
        <f t="shared" si="192"/>
        <v>19.100000000000001</v>
      </c>
      <c r="CY278" s="1382">
        <f t="shared" ref="CY278:CY292" si="200">CU278</f>
        <v>1.3416177583578945</v>
      </c>
      <c r="CZ278" s="838"/>
      <c r="DA278" s="1609">
        <f t="shared" si="196"/>
        <v>11.212</v>
      </c>
      <c r="DB278" s="739">
        <v>1.0369999999999999</v>
      </c>
      <c r="DC278" s="739">
        <v>0.995</v>
      </c>
      <c r="DD278" s="739">
        <v>0.995</v>
      </c>
      <c r="DE278" s="739">
        <v>0.995</v>
      </c>
      <c r="DF278" s="739">
        <v>0.995</v>
      </c>
      <c r="DG278" s="739">
        <v>0.995</v>
      </c>
      <c r="DH278" s="739">
        <v>0.995</v>
      </c>
      <c r="DI278" s="739">
        <v>0.995</v>
      </c>
      <c r="DJ278" s="739">
        <v>0.995</v>
      </c>
      <c r="DK278" s="739">
        <v>0.995</v>
      </c>
      <c r="DL278" s="739">
        <v>0.995</v>
      </c>
      <c r="DP278" s="1975">
        <f t="shared" si="197"/>
        <v>1.3416177583578945</v>
      </c>
      <c r="DS278" s="1016">
        <f t="shared" si="198"/>
        <v>4542.1256999999996</v>
      </c>
      <c r="DT278" s="1594">
        <v>1997</v>
      </c>
      <c r="DU278" s="1616">
        <f t="shared" si="193"/>
        <v>0.57928650000000004</v>
      </c>
      <c r="DV278" s="1036">
        <f t="shared" ref="DV278:DV299" si="201">DS278/1000</f>
        <v>4.5421256999999997</v>
      </c>
      <c r="EL278" s="2281">
        <v>1999</v>
      </c>
      <c r="EM278" s="2119">
        <f t="shared" si="191"/>
        <v>1.1691784673199999</v>
      </c>
      <c r="EN278" s="2119">
        <f t="shared" ref="EN278:EN286" si="202">EM278</f>
        <v>1.1691784673199999</v>
      </c>
      <c r="EO278" s="1035"/>
    </row>
    <row r="279" spans="95:145" ht="17.399999999999999">
      <c r="CQ279" s="1607">
        <v>1998</v>
      </c>
      <c r="CR279" s="1871">
        <v>1.0189999999999999</v>
      </c>
      <c r="CS279" s="1871">
        <f t="shared" ref="CS279:CS299" si="203">CS278*CR279</f>
        <v>1.0514194849999998</v>
      </c>
      <c r="CT279" s="1201">
        <v>821.04340000000002</v>
      </c>
      <c r="CU279" s="1382">
        <f t="shared" si="194"/>
        <v>1.8660673788361899</v>
      </c>
      <c r="CV279" s="1871">
        <f t="shared" si="199"/>
        <v>1.3909083770031549</v>
      </c>
      <c r="CW279" s="1034">
        <f t="shared" si="195"/>
        <v>9.6999999999999993</v>
      </c>
      <c r="CX279" s="1382">
        <f t="shared" si="192"/>
        <v>12.7</v>
      </c>
      <c r="CY279" s="1382">
        <f t="shared" si="200"/>
        <v>1.8660673788361899</v>
      </c>
      <c r="CZ279" s="838"/>
      <c r="DA279" s="1609">
        <f t="shared" si="196"/>
        <v>10.96</v>
      </c>
      <c r="DB279" s="739">
        <v>0.995</v>
      </c>
      <c r="DC279" s="739">
        <v>1.0189999999999999</v>
      </c>
      <c r="DD279" s="739">
        <v>1.0189999999999999</v>
      </c>
      <c r="DE279" s="739">
        <v>1.0189999999999999</v>
      </c>
      <c r="DF279" s="739">
        <v>1.0189999999999999</v>
      </c>
      <c r="DG279" s="739">
        <v>1.0189999999999999</v>
      </c>
      <c r="DH279" s="739">
        <v>1.0189999999999999</v>
      </c>
      <c r="DI279" s="739">
        <v>1.0189999999999999</v>
      </c>
      <c r="DJ279" s="739">
        <v>1.0189999999999999</v>
      </c>
      <c r="DK279" s="739">
        <v>1.0189999999999999</v>
      </c>
      <c r="DL279" s="739">
        <v>1.0189999999999999</v>
      </c>
      <c r="DP279" s="1975">
        <f t="shared" si="197"/>
        <v>1.8660673788361899</v>
      </c>
      <c r="DS279" s="1016">
        <f t="shared" si="198"/>
        <v>4820.3402999999998</v>
      </c>
      <c r="DT279" s="1594">
        <v>1998</v>
      </c>
      <c r="DU279" s="1616">
        <f t="shared" si="193"/>
        <v>0.82104339999999998</v>
      </c>
      <c r="DV279" s="1036">
        <f t="shared" si="201"/>
        <v>4.8203402999999998</v>
      </c>
      <c r="EL279" s="2281">
        <v>2000</v>
      </c>
      <c r="EM279" s="2119">
        <f t="shared" si="191"/>
        <v>1.2802504217153998</v>
      </c>
      <c r="EN279" s="2119">
        <f t="shared" si="202"/>
        <v>1.2802504217153998</v>
      </c>
      <c r="EO279" s="1035"/>
    </row>
    <row r="280" spans="95:145" ht="17.399999999999999">
      <c r="CQ280" s="1607">
        <v>1999</v>
      </c>
      <c r="CR280" s="1871">
        <v>1.1120000000000001</v>
      </c>
      <c r="CS280" s="1871">
        <f t="shared" si="203"/>
        <v>1.1691784673199999</v>
      </c>
      <c r="CT280" s="1201">
        <v>2084.5850999999998</v>
      </c>
      <c r="CU280" s="1382">
        <f t="shared" si="194"/>
        <v>4.2606518536034752</v>
      </c>
      <c r="CV280" s="1871">
        <f t="shared" si="199"/>
        <v>2.2832250871137973</v>
      </c>
      <c r="CW280" s="1034">
        <f t="shared" si="195"/>
        <v>24.62</v>
      </c>
      <c r="CX280" s="1382">
        <f t="shared" si="192"/>
        <v>17.7</v>
      </c>
      <c r="CY280" s="1382">
        <f t="shared" si="200"/>
        <v>4.2606518536034752</v>
      </c>
      <c r="CZ280" s="838"/>
      <c r="DA280" s="1609">
        <f t="shared" si="196"/>
        <v>21.7136</v>
      </c>
      <c r="DB280" s="739">
        <v>1.0189999999999999</v>
      </c>
      <c r="DC280" s="739">
        <v>1.1120000000000001</v>
      </c>
      <c r="DD280" s="739">
        <v>1.1120000000000001</v>
      </c>
      <c r="DE280" s="739">
        <v>1.1120000000000001</v>
      </c>
      <c r="DF280" s="739">
        <v>1.1120000000000001</v>
      </c>
      <c r="DG280" s="739">
        <v>1.1120000000000001</v>
      </c>
      <c r="DH280" s="739">
        <v>1.1120000000000001</v>
      </c>
      <c r="DI280" s="739">
        <v>1.1120000000000001</v>
      </c>
      <c r="DJ280" s="739">
        <v>1.1120000000000001</v>
      </c>
      <c r="DK280" s="739">
        <v>1.1120000000000001</v>
      </c>
      <c r="DL280" s="739">
        <v>1.1120000000000001</v>
      </c>
      <c r="DP280" s="1975">
        <f t="shared" si="197"/>
        <v>4.2606518536034752</v>
      </c>
      <c r="DS280" s="1016">
        <f t="shared" si="198"/>
        <v>8798.5622000000003</v>
      </c>
      <c r="DT280" s="1594">
        <v>1999</v>
      </c>
      <c r="DU280" s="1616">
        <f t="shared" si="193"/>
        <v>2.0845851</v>
      </c>
      <c r="DV280" s="1036">
        <f t="shared" si="201"/>
        <v>8.798562200000001</v>
      </c>
      <c r="EL280" s="2281">
        <v>2001</v>
      </c>
      <c r="EM280" s="2119">
        <f t="shared" si="191"/>
        <v>1.3340209394274467</v>
      </c>
      <c r="EN280" s="2119">
        <f t="shared" si="202"/>
        <v>1.3340209394274467</v>
      </c>
      <c r="EO280" s="1035"/>
    </row>
    <row r="281" spans="95:145" ht="17.399999999999999">
      <c r="CQ281" s="1607">
        <v>2000</v>
      </c>
      <c r="CR281" s="1871">
        <v>1.095</v>
      </c>
      <c r="CS281" s="1871">
        <f t="shared" si="203"/>
        <v>1.2802504217153998</v>
      </c>
      <c r="CT281" s="1201">
        <v>3218.8663000000001</v>
      </c>
      <c r="CU281" s="1382">
        <f t="shared" si="194"/>
        <v>6.0082118596068304</v>
      </c>
      <c r="CV281" s="1871">
        <f t="shared" si="199"/>
        <v>1.4101625915586942</v>
      </c>
      <c r="CW281" s="1034">
        <f t="shared" si="195"/>
        <v>28.14</v>
      </c>
      <c r="CX281" s="1382">
        <f t="shared" si="192"/>
        <v>28.3</v>
      </c>
      <c r="CY281" s="1382">
        <f t="shared" si="200"/>
        <v>6.0082118596068304</v>
      </c>
      <c r="CZ281" s="838"/>
      <c r="DA281" s="1609">
        <f t="shared" si="196"/>
        <v>28.2072</v>
      </c>
      <c r="DB281" s="739">
        <v>1.1120000000000001</v>
      </c>
      <c r="DC281" s="739">
        <v>1.095</v>
      </c>
      <c r="DD281" s="739">
        <v>1.095</v>
      </c>
      <c r="DE281" s="739">
        <v>1.095</v>
      </c>
      <c r="DF281" s="739">
        <v>1.095</v>
      </c>
      <c r="DG281" s="739">
        <v>1.095</v>
      </c>
      <c r="DH281" s="739">
        <v>1.095</v>
      </c>
      <c r="DI281" s="739">
        <v>1.095</v>
      </c>
      <c r="DJ281" s="739">
        <v>1.095</v>
      </c>
      <c r="DK281" s="739">
        <v>1.095</v>
      </c>
      <c r="DL281" s="739">
        <v>1.095</v>
      </c>
      <c r="DP281" s="1975">
        <f t="shared" si="197"/>
        <v>6.0082118596068304</v>
      </c>
      <c r="DS281" s="1016">
        <f t="shared" si="198"/>
        <v>13385.6595</v>
      </c>
      <c r="DT281" s="1594">
        <v>2000</v>
      </c>
      <c r="DU281" s="1616">
        <f t="shared" si="193"/>
        <v>3.2188663000000002</v>
      </c>
      <c r="DV281" s="1036">
        <f t="shared" si="201"/>
        <v>13.385659499999999</v>
      </c>
      <c r="EL281" s="2281">
        <v>2002</v>
      </c>
      <c r="EM281" s="2119">
        <f t="shared" si="191"/>
        <v>1.4714250961884736</v>
      </c>
      <c r="EN281" s="2119">
        <f t="shared" si="202"/>
        <v>1.4714250961884736</v>
      </c>
      <c r="EO281" s="1035"/>
    </row>
    <row r="282" spans="95:145" ht="17.399999999999999">
      <c r="CQ282" s="1607">
        <v>2001</v>
      </c>
      <c r="CR282" s="1871">
        <v>1.042</v>
      </c>
      <c r="CS282" s="1871">
        <f t="shared" si="203"/>
        <v>1.3340209394274467</v>
      </c>
      <c r="CT282" s="1201">
        <v>3299.5617000000002</v>
      </c>
      <c r="CU282" s="1382">
        <f t="shared" si="194"/>
        <v>5.9105900050191611</v>
      </c>
      <c r="CV282" s="1871">
        <f t="shared" si="199"/>
        <v>0.9837519287154336</v>
      </c>
      <c r="CW282" s="1034">
        <f t="shared" si="195"/>
        <v>29.17</v>
      </c>
      <c r="CX282" s="1382">
        <f t="shared" si="192"/>
        <v>24.4</v>
      </c>
      <c r="CY282" s="1382">
        <f t="shared" si="200"/>
        <v>5.9105900050191611</v>
      </c>
      <c r="CZ282" s="838"/>
      <c r="DA282" s="1609">
        <f t="shared" si="196"/>
        <v>27.166600000000003</v>
      </c>
      <c r="DB282" s="739">
        <v>1.095</v>
      </c>
      <c r="DC282" s="739">
        <v>1.042</v>
      </c>
      <c r="DD282" s="739">
        <v>1.042</v>
      </c>
      <c r="DE282" s="739">
        <v>1.042</v>
      </c>
      <c r="DF282" s="739">
        <v>1.042</v>
      </c>
      <c r="DG282" s="739">
        <v>1.042</v>
      </c>
      <c r="DH282" s="739">
        <v>1.042</v>
      </c>
      <c r="DI282" s="739">
        <v>1.042</v>
      </c>
      <c r="DJ282" s="739">
        <v>1.042</v>
      </c>
      <c r="DK282" s="739">
        <v>1.042</v>
      </c>
      <c r="DL282" s="739">
        <v>1.042</v>
      </c>
      <c r="DP282" s="1975">
        <f t="shared" si="197"/>
        <v>5.9105900050191611</v>
      </c>
      <c r="DS282" s="1016">
        <f t="shared" si="198"/>
        <v>17020.277300000002</v>
      </c>
      <c r="DT282" s="1594">
        <v>2001</v>
      </c>
      <c r="DU282" s="1616">
        <f t="shared" si="193"/>
        <v>3.2995617000000004</v>
      </c>
      <c r="DV282" s="1036">
        <f t="shared" si="201"/>
        <v>17.0202773</v>
      </c>
      <c r="EL282" s="2281">
        <v>2003</v>
      </c>
      <c r="EM282" s="2119">
        <f t="shared" si="191"/>
        <v>1.6568246583082211</v>
      </c>
      <c r="EN282" s="2119">
        <f t="shared" si="202"/>
        <v>1.6568246583082211</v>
      </c>
      <c r="EO282" s="1035"/>
    </row>
    <row r="283" spans="95:145" ht="17.399999999999999">
      <c r="CQ283" s="1607">
        <v>2002</v>
      </c>
      <c r="CR283" s="1871">
        <v>1.103</v>
      </c>
      <c r="CS283" s="1871">
        <f t="shared" si="203"/>
        <v>1.4714250961884736</v>
      </c>
      <c r="CT283" s="1201">
        <v>3813.7</v>
      </c>
      <c r="CU283" s="1382">
        <f t="shared" si="194"/>
        <v>6.1936348205467269</v>
      </c>
      <c r="CV283" s="1871">
        <f t="shared" si="199"/>
        <v>1.0478877430657869</v>
      </c>
      <c r="CW283" s="1034">
        <f t="shared" si="195"/>
        <v>31.35</v>
      </c>
      <c r="CX283" s="1382">
        <f t="shared" si="192"/>
        <v>25</v>
      </c>
      <c r="CY283" s="1382">
        <f t="shared" si="200"/>
        <v>6.1936348205467269</v>
      </c>
      <c r="CZ283" s="838"/>
      <c r="DA283" s="1609">
        <f t="shared" si="196"/>
        <v>28.683000000000003</v>
      </c>
      <c r="DB283" s="739">
        <v>1.042</v>
      </c>
      <c r="DC283" s="739">
        <v>1.103</v>
      </c>
      <c r="DD283" s="739">
        <v>1.103</v>
      </c>
      <c r="DE283" s="739">
        <v>1.103</v>
      </c>
      <c r="DF283" s="739">
        <v>1.103</v>
      </c>
      <c r="DG283" s="739">
        <v>1.103</v>
      </c>
      <c r="DH283" s="739">
        <v>1.103</v>
      </c>
      <c r="DI283" s="739">
        <v>1.103</v>
      </c>
      <c r="DJ283" s="739">
        <v>1.103</v>
      </c>
      <c r="DK283" s="739">
        <v>1.103</v>
      </c>
      <c r="DL283" s="739">
        <v>1.103</v>
      </c>
      <c r="DP283" s="1975">
        <f t="shared" si="197"/>
        <v>6.1936348205467269</v>
      </c>
      <c r="DS283" s="1016">
        <f t="shared" si="198"/>
        <v>20222.973599999998</v>
      </c>
      <c r="DT283" s="1594">
        <v>2002</v>
      </c>
      <c r="DU283" s="1616">
        <f t="shared" si="193"/>
        <v>3.8136999999999999</v>
      </c>
      <c r="DV283" s="1036">
        <f t="shared" si="201"/>
        <v>20.222973599999996</v>
      </c>
      <c r="EL283" s="2281">
        <v>2004</v>
      </c>
      <c r="EM283" s="2119">
        <f t="shared" si="191"/>
        <v>1.8523299679885914</v>
      </c>
      <c r="EN283" s="2119">
        <f t="shared" si="202"/>
        <v>1.8523299679885914</v>
      </c>
      <c r="EO283" s="1035"/>
    </row>
    <row r="284" spans="95:145" ht="17.399999999999999">
      <c r="CQ284" s="1607">
        <v>2003</v>
      </c>
      <c r="CR284" s="1871">
        <v>1.1259999999999999</v>
      </c>
      <c r="CS284" s="1871">
        <f t="shared" si="203"/>
        <v>1.6568246583082211</v>
      </c>
      <c r="CT284" s="1201">
        <v>4655.8802999999998</v>
      </c>
      <c r="CU284" s="1382">
        <f t="shared" si="194"/>
        <v>6.7152546240758211</v>
      </c>
      <c r="CV284" s="1871">
        <f t="shared" si="199"/>
        <v>1.0842186888059133</v>
      </c>
      <c r="CW284" s="1034">
        <f t="shared" si="195"/>
        <v>30.69</v>
      </c>
      <c r="CX284" s="1382">
        <f t="shared" si="192"/>
        <v>28.9</v>
      </c>
      <c r="CY284" s="1382">
        <f t="shared" si="200"/>
        <v>6.7152546240758211</v>
      </c>
      <c r="CZ284" s="838"/>
      <c r="DA284" s="1609">
        <f t="shared" si="196"/>
        <v>29.938200000000002</v>
      </c>
      <c r="DB284" s="739">
        <v>1.103</v>
      </c>
      <c r="DC284" s="739">
        <v>1.1259999999999999</v>
      </c>
      <c r="DD284" s="739">
        <v>1.1259999999999999</v>
      </c>
      <c r="DE284" s="739">
        <v>1.1259999999999999</v>
      </c>
      <c r="DF284" s="739">
        <v>1.1259999999999999</v>
      </c>
      <c r="DG284" s="739">
        <v>1.1259999999999999</v>
      </c>
      <c r="DH284" s="739">
        <v>1.1259999999999999</v>
      </c>
      <c r="DI284" s="739">
        <v>1.1259999999999999</v>
      </c>
      <c r="DJ284" s="739">
        <v>1.1259999999999999</v>
      </c>
      <c r="DK284" s="739">
        <v>1.1259999999999999</v>
      </c>
      <c r="DL284" s="739">
        <v>1.1259999999999999</v>
      </c>
      <c r="DP284" s="1975">
        <f t="shared" si="197"/>
        <v>6.7152546240758211</v>
      </c>
      <c r="DS284" s="1016">
        <f t="shared" si="198"/>
        <v>24861.589499999998</v>
      </c>
      <c r="DT284" s="1594">
        <v>2003</v>
      </c>
      <c r="DU284" s="1616">
        <f t="shared" si="193"/>
        <v>4.6558802999999997</v>
      </c>
      <c r="DV284" s="1036">
        <f t="shared" si="201"/>
        <v>24.861589499999997</v>
      </c>
      <c r="EL284" s="2281">
        <v>2005</v>
      </c>
      <c r="EM284" s="2119">
        <f t="shared" si="191"/>
        <v>1.9727314159078497</v>
      </c>
      <c r="EN284" s="2119">
        <f t="shared" si="202"/>
        <v>1.9727314159078497</v>
      </c>
      <c r="EO284" s="1035"/>
    </row>
    <row r="285" spans="95:145" ht="17.399999999999999">
      <c r="CQ285" s="1607">
        <v>2004</v>
      </c>
      <c r="CR285" s="1871">
        <v>1.1180000000000001</v>
      </c>
      <c r="CS285" s="1871">
        <f t="shared" si="203"/>
        <v>1.8523299679885914</v>
      </c>
      <c r="CT285" s="1201">
        <v>5860.3968999999997</v>
      </c>
      <c r="CU285" s="1382">
        <f t="shared" si="194"/>
        <v>7.5604196927091616</v>
      </c>
      <c r="CV285" s="1871">
        <f t="shared" si="199"/>
        <v>1.1258574865654711</v>
      </c>
      <c r="CW285" s="1034">
        <f t="shared" si="195"/>
        <v>28.81</v>
      </c>
      <c r="CX285" s="1382">
        <f t="shared" si="192"/>
        <v>38.299999999999997</v>
      </c>
      <c r="CY285" s="1382">
        <f t="shared" si="200"/>
        <v>7.5604196927091616</v>
      </c>
      <c r="CZ285" s="838"/>
      <c r="DA285" s="1609">
        <f t="shared" si="196"/>
        <v>32.7958</v>
      </c>
      <c r="DB285" s="739">
        <v>1.1259999999999999</v>
      </c>
      <c r="DC285" s="739">
        <v>1.1180000000000001</v>
      </c>
      <c r="DD285" s="739">
        <v>1.1180000000000001</v>
      </c>
      <c r="DE285" s="739">
        <v>1.1180000000000001</v>
      </c>
      <c r="DF285" s="739">
        <v>1.1180000000000001</v>
      </c>
      <c r="DG285" s="739">
        <v>1.1180000000000001</v>
      </c>
      <c r="DH285" s="739">
        <v>1.1180000000000001</v>
      </c>
      <c r="DI285" s="739">
        <v>1.1180000000000001</v>
      </c>
      <c r="DJ285" s="739">
        <v>1.1180000000000001</v>
      </c>
      <c r="DK285" s="739">
        <v>1.1180000000000001</v>
      </c>
      <c r="DL285" s="739">
        <v>1.1180000000000001</v>
      </c>
      <c r="DP285" s="1975">
        <f t="shared" si="197"/>
        <v>7.5604196927091616</v>
      </c>
      <c r="DS285" s="1016">
        <f t="shared" si="198"/>
        <v>31659.022599999997</v>
      </c>
      <c r="DT285" s="1594">
        <v>2004</v>
      </c>
      <c r="DU285" s="1616">
        <f t="shared" si="193"/>
        <v>5.8603968999999996</v>
      </c>
      <c r="DV285" s="1036">
        <f t="shared" si="201"/>
        <v>31.659022599999997</v>
      </c>
      <c r="EL285" s="2281">
        <v>2006</v>
      </c>
      <c r="EM285" s="2119">
        <f t="shared" si="191"/>
        <v>2.1167408092691224</v>
      </c>
      <c r="EN285" s="2119">
        <f t="shared" si="202"/>
        <v>2.1167408092691224</v>
      </c>
      <c r="EO285" s="1035"/>
    </row>
    <row r="286" spans="95:145" ht="17.399999999999999">
      <c r="CQ286" s="1607">
        <v>2005</v>
      </c>
      <c r="CR286" s="1871">
        <v>1.0649999999999999</v>
      </c>
      <c r="CS286" s="1871">
        <f t="shared" si="203"/>
        <v>1.9727314159078497</v>
      </c>
      <c r="CT286" s="1201">
        <v>7607.2565000000004</v>
      </c>
      <c r="CU286" s="1382">
        <f t="shared" si="194"/>
        <v>9.215042167890525</v>
      </c>
      <c r="CV286" s="1871">
        <f t="shared" si="199"/>
        <v>1.2188532571514499</v>
      </c>
      <c r="CW286" s="1034">
        <f t="shared" si="195"/>
        <v>28.3</v>
      </c>
      <c r="CX286" s="1382">
        <f t="shared" si="192"/>
        <v>54.4</v>
      </c>
      <c r="CY286" s="1382">
        <f t="shared" si="200"/>
        <v>9.215042167890525</v>
      </c>
      <c r="CZ286" s="838"/>
      <c r="DA286" s="1609">
        <f t="shared" si="196"/>
        <v>39.262</v>
      </c>
      <c r="DB286" s="739">
        <v>1.1180000000000001</v>
      </c>
      <c r="DC286" s="739">
        <v>1.0649999999999999</v>
      </c>
      <c r="DD286" s="739">
        <v>1.0649999999999999</v>
      </c>
      <c r="DE286" s="739">
        <v>1.0649999999999999</v>
      </c>
      <c r="DF286" s="739">
        <v>1.0649999999999999</v>
      </c>
      <c r="DG286" s="739">
        <v>1.0649999999999999</v>
      </c>
      <c r="DH286" s="739">
        <v>1.0649999999999999</v>
      </c>
      <c r="DI286" s="739">
        <v>1.0649999999999999</v>
      </c>
      <c r="DJ286" s="739">
        <v>1.0649999999999999</v>
      </c>
      <c r="DK286" s="739">
        <v>1.0649999999999999</v>
      </c>
      <c r="DL286" s="739">
        <v>1.0649999999999999</v>
      </c>
      <c r="DP286" s="1975">
        <f t="shared" si="197"/>
        <v>9.215042167890525</v>
      </c>
      <c r="DS286" s="1016">
        <f t="shared" si="198"/>
        <v>40112.701999999997</v>
      </c>
      <c r="DT286" s="1594">
        <v>2005</v>
      </c>
      <c r="DU286" s="1616">
        <f t="shared" si="193"/>
        <v>7.6072565000000001</v>
      </c>
      <c r="DV286" s="1036">
        <f t="shared" si="201"/>
        <v>40.112701999999999</v>
      </c>
      <c r="EL286" s="2281">
        <v>2007</v>
      </c>
      <c r="EM286" s="2119">
        <f t="shared" si="191"/>
        <v>2.2500954802530773</v>
      </c>
      <c r="EN286" s="2119">
        <f t="shared" si="202"/>
        <v>2.2500954802530773</v>
      </c>
      <c r="EO286" s="1035"/>
    </row>
    <row r="287" spans="95:145" ht="17.399999999999999">
      <c r="CQ287" s="1607">
        <v>2006</v>
      </c>
      <c r="CR287" s="1871">
        <v>1.073</v>
      </c>
      <c r="CS287" s="1871">
        <f t="shared" si="203"/>
        <v>2.1167408092691224</v>
      </c>
      <c r="CT287" s="1201">
        <v>9079.2999999999993</v>
      </c>
      <c r="CU287" s="1382">
        <f t="shared" si="194"/>
        <v>10.249953881504441</v>
      </c>
      <c r="CV287" s="1871">
        <f t="shared" si="199"/>
        <v>1.1123067800188726</v>
      </c>
      <c r="CW287" s="1034">
        <f t="shared" si="195"/>
        <v>27.17</v>
      </c>
      <c r="CX287" s="1382">
        <f t="shared" si="192"/>
        <v>65.400000000000006</v>
      </c>
      <c r="CY287" s="1382">
        <f t="shared" si="200"/>
        <v>10.249953881504441</v>
      </c>
      <c r="CZ287" s="838"/>
      <c r="DA287" s="1609">
        <f t="shared" si="196"/>
        <v>43.226600000000005</v>
      </c>
      <c r="DB287" s="739">
        <v>1.0649999999999999</v>
      </c>
      <c r="DC287" s="739">
        <v>1.073</v>
      </c>
      <c r="DD287" s="739">
        <v>1.073</v>
      </c>
      <c r="DE287" s="739">
        <v>1.073</v>
      </c>
      <c r="DF287" s="739">
        <v>1.073</v>
      </c>
      <c r="DG287" s="739">
        <v>1.073</v>
      </c>
      <c r="DH287" s="739">
        <v>1.073</v>
      </c>
      <c r="DI287" s="739">
        <v>1.073</v>
      </c>
      <c r="DJ287" s="739">
        <v>1.073</v>
      </c>
      <c r="DK287" s="739">
        <v>1.073</v>
      </c>
      <c r="DL287" s="739">
        <v>1.073</v>
      </c>
      <c r="DP287" s="1975">
        <f t="shared" si="197"/>
        <v>10.249953881504441</v>
      </c>
      <c r="DS287" s="1016">
        <f t="shared" si="198"/>
        <v>50163.726499999997</v>
      </c>
      <c r="DT287" s="1594">
        <v>2006</v>
      </c>
      <c r="DU287" s="1616">
        <f t="shared" si="193"/>
        <v>9.0792999999999999</v>
      </c>
      <c r="DV287" s="1036">
        <f t="shared" si="201"/>
        <v>50.163726499999996</v>
      </c>
      <c r="EL287" s="2281">
        <v>2008</v>
      </c>
      <c r="EM287" s="2119">
        <f t="shared" si="191"/>
        <v>2.2635960531345956</v>
      </c>
      <c r="EN287" s="830"/>
      <c r="EO287" s="1035"/>
    </row>
    <row r="288" spans="95:145" ht="17.399999999999999">
      <c r="CQ288" s="1607">
        <v>2007</v>
      </c>
      <c r="CR288" s="1871">
        <v>1.0629999999999999</v>
      </c>
      <c r="CS288" s="1871">
        <f t="shared" si="203"/>
        <v>2.2500954802530773</v>
      </c>
      <c r="CT288" s="1201">
        <v>10028.7621</v>
      </c>
      <c r="CU288" s="1382">
        <f t="shared" si="194"/>
        <v>10.650833844352405</v>
      </c>
      <c r="CV288" s="1871">
        <f t="shared" si="199"/>
        <v>1.0391104162499047</v>
      </c>
      <c r="CW288" s="1034">
        <f t="shared" si="195"/>
        <v>25.58</v>
      </c>
      <c r="CX288" s="1382">
        <f t="shared" si="192"/>
        <v>72.7</v>
      </c>
      <c r="CY288" s="1382">
        <f t="shared" si="200"/>
        <v>10.650833844352405</v>
      </c>
      <c r="CZ288" s="838"/>
      <c r="DA288" s="1609">
        <f t="shared" si="196"/>
        <v>45.370400000000004</v>
      </c>
      <c r="DB288" s="739">
        <v>1.073</v>
      </c>
      <c r="DC288" s="739">
        <v>1.0629999999999999</v>
      </c>
      <c r="DD288" s="739">
        <v>1.0629999999999999</v>
      </c>
      <c r="DE288" s="739">
        <v>1.0629999999999999</v>
      </c>
      <c r="DF288" s="739">
        <v>1.0629999999999999</v>
      </c>
      <c r="DG288" s="739">
        <v>1.0629999999999999</v>
      </c>
      <c r="DH288" s="739">
        <v>1.0629999999999999</v>
      </c>
      <c r="DI288" s="739">
        <v>1.0629999999999999</v>
      </c>
      <c r="DJ288" s="739">
        <v>1.0629999999999999</v>
      </c>
      <c r="DK288" s="739">
        <v>1.0629999999999999</v>
      </c>
      <c r="DL288" s="739">
        <v>1.0629999999999999</v>
      </c>
      <c r="DP288" s="1975">
        <f t="shared" si="197"/>
        <v>10.650833844352405</v>
      </c>
      <c r="DS288" s="1016">
        <f t="shared" si="198"/>
        <v>62515.174500000001</v>
      </c>
      <c r="DT288" s="1594">
        <v>2007</v>
      </c>
      <c r="DU288" s="1616">
        <f t="shared" si="193"/>
        <v>10.0287621</v>
      </c>
      <c r="DV288" s="1036">
        <f t="shared" si="201"/>
        <v>62.515174500000001</v>
      </c>
      <c r="EL288" s="2281">
        <v>2009</v>
      </c>
      <c r="EM288" s="2119">
        <f t="shared" si="191"/>
        <v>2.1572070386372695</v>
      </c>
      <c r="EN288" s="830"/>
      <c r="EO288" s="1035"/>
    </row>
    <row r="289" spans="95:145" ht="17.399999999999999">
      <c r="CQ289" s="1607">
        <v>2008</v>
      </c>
      <c r="CR289" s="1871">
        <v>1.006</v>
      </c>
      <c r="CS289" s="1871">
        <f t="shared" si="203"/>
        <v>2.2635960531345956</v>
      </c>
      <c r="CT289" s="1201">
        <v>12923.5537</v>
      </c>
      <c r="CU289" s="1382">
        <f t="shared" si="194"/>
        <v>13.643325842032947</v>
      </c>
      <c r="CV289" s="1871">
        <f t="shared" si="199"/>
        <v>1.2809631660217202</v>
      </c>
      <c r="CW289" s="1034">
        <f t="shared" si="195"/>
        <v>24.86</v>
      </c>
      <c r="CX289" s="1382">
        <f t="shared" si="192"/>
        <v>97.7</v>
      </c>
      <c r="CY289" s="1382">
        <f t="shared" si="200"/>
        <v>13.643325842032947</v>
      </c>
      <c r="CZ289" s="838"/>
      <c r="DA289" s="1609">
        <f t="shared" si="196"/>
        <v>55.452799999999996</v>
      </c>
      <c r="DB289" s="739">
        <v>1.0629999999999999</v>
      </c>
      <c r="DC289" s="739">
        <v>1.006</v>
      </c>
      <c r="DD289" s="739">
        <v>1.006</v>
      </c>
      <c r="DE289" s="739">
        <v>1.006</v>
      </c>
      <c r="DF289" s="739">
        <v>1.006</v>
      </c>
      <c r="DG289" s="739">
        <v>1.006</v>
      </c>
      <c r="DH289" s="739">
        <v>1.006</v>
      </c>
      <c r="DI289" s="739">
        <v>1.006</v>
      </c>
      <c r="DJ289" s="739">
        <v>1.006</v>
      </c>
      <c r="DK289" s="739">
        <v>1.006</v>
      </c>
      <c r="DL289" s="739">
        <v>1.006</v>
      </c>
      <c r="DP289" s="1975">
        <f t="shared" si="197"/>
        <v>13.643325842032947</v>
      </c>
      <c r="DS289" s="1016">
        <f t="shared" si="198"/>
        <v>77695.808799999999</v>
      </c>
      <c r="DT289" s="1594">
        <v>2008</v>
      </c>
      <c r="DU289" s="1616">
        <f t="shared" si="193"/>
        <v>12.923553700000001</v>
      </c>
      <c r="DV289" s="1036">
        <f t="shared" si="201"/>
        <v>77.695808799999995</v>
      </c>
      <c r="EL289" s="2281">
        <v>2010</v>
      </c>
      <c r="EM289" s="2119">
        <f t="shared" si="191"/>
        <v>2.3082115313418785</v>
      </c>
      <c r="EN289" s="830"/>
      <c r="EO289" s="1035"/>
    </row>
    <row r="290" spans="95:145" ht="17.399999999999999">
      <c r="CQ290" s="1607">
        <v>2009</v>
      </c>
      <c r="CR290" s="1871">
        <v>0.95299999999999996</v>
      </c>
      <c r="CS290" s="1871">
        <f t="shared" si="203"/>
        <v>2.1572070386372695</v>
      </c>
      <c r="CT290" s="1201">
        <v>10842.0262</v>
      </c>
      <c r="CU290" s="1382">
        <f t="shared" si="194"/>
        <v>12.010355196687106</v>
      </c>
      <c r="CV290" s="1871">
        <f t="shared" si="199"/>
        <v>0.88030992851355094</v>
      </c>
      <c r="CW290" s="1034">
        <f t="shared" si="195"/>
        <v>31.83</v>
      </c>
      <c r="CX290" s="1382">
        <f t="shared" si="192"/>
        <v>61.9</v>
      </c>
      <c r="CY290" s="1382">
        <f t="shared" si="200"/>
        <v>12.010355196687106</v>
      </c>
      <c r="CZ290" s="838"/>
      <c r="DA290" s="1609">
        <f t="shared" si="196"/>
        <v>44.459400000000002</v>
      </c>
      <c r="DB290" s="739">
        <v>1.006</v>
      </c>
      <c r="DC290" s="739">
        <v>0.95299999999999996</v>
      </c>
      <c r="DD290" s="739">
        <v>0.95299999999999996</v>
      </c>
      <c r="DE290" s="739">
        <v>0.95299999999999996</v>
      </c>
      <c r="DF290" s="739">
        <v>0.95299999999999996</v>
      </c>
      <c r="DG290" s="739">
        <v>0.95299999999999996</v>
      </c>
      <c r="DH290" s="739">
        <v>0.95299999999999996</v>
      </c>
      <c r="DI290" s="739">
        <v>0.95299999999999996</v>
      </c>
      <c r="DJ290" s="739">
        <v>0.95299999999999996</v>
      </c>
      <c r="DK290" s="739">
        <v>0.95299999999999996</v>
      </c>
      <c r="DL290" s="739">
        <v>0.95299999999999996</v>
      </c>
      <c r="DP290" s="1975">
        <f t="shared" si="197"/>
        <v>12.010355196687106</v>
      </c>
      <c r="DS290" s="1016">
        <f t="shared" si="198"/>
        <v>73092.394899999999</v>
      </c>
      <c r="DT290" s="1594">
        <v>2009</v>
      </c>
      <c r="DU290" s="1616">
        <f t="shared" si="193"/>
        <v>10.842026199999999</v>
      </c>
      <c r="DV290" s="1036">
        <f t="shared" si="201"/>
        <v>73.092394900000002</v>
      </c>
      <c r="EL290" s="2281">
        <v>2011</v>
      </c>
      <c r="EM290" s="2119">
        <f t="shared" si="191"/>
        <v>2.315136165935904</v>
      </c>
      <c r="EN290" s="830"/>
      <c r="EO290" s="1035"/>
    </row>
    <row r="291" spans="95:145" ht="17.399999999999999">
      <c r="CQ291" s="1607">
        <v>2010</v>
      </c>
      <c r="CR291" s="1871">
        <v>1.07</v>
      </c>
      <c r="CS291" s="1871">
        <f t="shared" si="203"/>
        <v>2.3082115313418785</v>
      </c>
      <c r="CT291" s="1201">
        <v>13529.311</v>
      </c>
      <c r="CU291" s="1382">
        <f t="shared" si="194"/>
        <v>14.006747557636276</v>
      </c>
      <c r="CV291" s="1871">
        <f t="shared" si="199"/>
        <v>1.1662225911103652</v>
      </c>
      <c r="CW291" s="1034">
        <f t="shared" si="195"/>
        <v>30.36</v>
      </c>
      <c r="CX291" s="1382">
        <f t="shared" si="192"/>
        <v>79.599999999999994</v>
      </c>
      <c r="CY291" s="1382">
        <f t="shared" si="200"/>
        <v>14.006747557636276</v>
      </c>
      <c r="CZ291" s="838"/>
      <c r="DA291" s="1609">
        <f t="shared" si="196"/>
        <v>51.040799999999997</v>
      </c>
      <c r="DB291" s="739">
        <v>0.95299999999999996</v>
      </c>
      <c r="DC291" s="739">
        <v>1.07</v>
      </c>
      <c r="DD291" s="739">
        <v>1.07</v>
      </c>
      <c r="DE291" s="739">
        <v>1.07</v>
      </c>
      <c r="DF291" s="739">
        <v>1.07</v>
      </c>
      <c r="DG291" s="739">
        <v>1.07</v>
      </c>
      <c r="DH291" s="739">
        <v>1.07</v>
      </c>
      <c r="DI291" s="739">
        <v>1.07</v>
      </c>
      <c r="DJ291" s="739">
        <v>1.07</v>
      </c>
      <c r="DK291" s="739">
        <v>1.07</v>
      </c>
      <c r="DL291" s="739">
        <v>1.07</v>
      </c>
      <c r="DP291" s="1975">
        <f t="shared" si="197"/>
        <v>14.006747557636276</v>
      </c>
      <c r="DS291" s="1016">
        <f t="shared" si="198"/>
        <v>88323.067999999999</v>
      </c>
      <c r="DT291" s="1594">
        <v>2010</v>
      </c>
      <c r="DU291" s="1616">
        <f t="shared" si="193"/>
        <v>13.529311</v>
      </c>
      <c r="DV291" s="1036">
        <f t="shared" si="201"/>
        <v>88.323068000000006</v>
      </c>
      <c r="EL291" s="2281">
        <v>2012</v>
      </c>
      <c r="EM291" s="2119">
        <f t="shared" si="191"/>
        <v>2.3475480722590065</v>
      </c>
      <c r="EN291" s="830"/>
      <c r="EO291" s="1035"/>
    </row>
    <row r="292" spans="95:145" ht="17.399999999999999">
      <c r="CQ292" s="1607">
        <v>2011</v>
      </c>
      <c r="CR292" s="1871">
        <v>1.0029999999999999</v>
      </c>
      <c r="CS292" s="1871">
        <f t="shared" si="203"/>
        <v>2.315136165935904</v>
      </c>
      <c r="CT292" s="1201">
        <v>16865.192199999998</v>
      </c>
      <c r="CU292" s="1382">
        <f t="shared" si="194"/>
        <v>17.408124468926459</v>
      </c>
      <c r="CV292" s="1871">
        <f t="shared" si="199"/>
        <v>1.242838453202207</v>
      </c>
      <c r="CW292" s="1034">
        <f t="shared" si="195"/>
        <v>29.39</v>
      </c>
      <c r="CX292" s="1382">
        <f t="shared" si="192"/>
        <v>111</v>
      </c>
      <c r="CY292" s="1382">
        <f t="shared" si="200"/>
        <v>17.408124468926459</v>
      </c>
      <c r="CZ292" s="838"/>
      <c r="DA292" s="1609">
        <f t="shared" si="196"/>
        <v>63.666200000000003</v>
      </c>
      <c r="DB292" s="739">
        <v>1.07</v>
      </c>
      <c r="DC292" s="739">
        <v>1.0029999999999999</v>
      </c>
      <c r="DD292" s="739">
        <v>1.0029999999999999</v>
      </c>
      <c r="DE292" s="739">
        <v>1.0029999999999999</v>
      </c>
      <c r="DF292" s="739">
        <v>1.0029999999999999</v>
      </c>
      <c r="DG292" s="739">
        <v>1.0029999999999999</v>
      </c>
      <c r="DH292" s="739">
        <v>1.0029999999999999</v>
      </c>
      <c r="DI292" s="739">
        <v>1.0029999999999999</v>
      </c>
      <c r="DJ292" s="739">
        <v>1.0029999999999999</v>
      </c>
      <c r="DK292" s="739">
        <v>1.0029999999999999</v>
      </c>
      <c r="DL292" s="739">
        <v>1.0029999999999999</v>
      </c>
      <c r="DP292" s="1975">
        <f t="shared" si="197"/>
        <v>17.408124468926459</v>
      </c>
      <c r="DS292" s="1016">
        <f t="shared" si="198"/>
        <v>109158.8003</v>
      </c>
      <c r="DT292" s="1594">
        <v>2011</v>
      </c>
      <c r="DU292" s="1616">
        <f t="shared" si="193"/>
        <v>16.865192199999999</v>
      </c>
      <c r="DV292" s="1036">
        <f t="shared" si="201"/>
        <v>109.1588003</v>
      </c>
      <c r="EL292" s="2281">
        <v>2013</v>
      </c>
      <c r="EM292" s="2119">
        <f t="shared" si="191"/>
        <v>2.4555352835829209</v>
      </c>
      <c r="EN292" s="830"/>
      <c r="EO292" s="1035"/>
    </row>
    <row r="293" spans="95:145" ht="17.399999999999999">
      <c r="CQ293" s="1607">
        <v>2012</v>
      </c>
      <c r="CR293" s="1871">
        <v>1.014</v>
      </c>
      <c r="CS293" s="1871">
        <f t="shared" si="203"/>
        <v>2.3475480722590065</v>
      </c>
      <c r="CT293" s="1201">
        <v>18324.772300000001</v>
      </c>
      <c r="CU293" s="1382">
        <f t="shared" si="194"/>
        <v>18.653542469425737</v>
      </c>
      <c r="CV293" s="1871">
        <f t="shared" si="199"/>
        <v>1.0715423423541319</v>
      </c>
      <c r="CW293" s="1034">
        <f t="shared" si="195"/>
        <v>31.08</v>
      </c>
      <c r="CX293" s="1382">
        <f t="shared" si="192"/>
        <v>111.4</v>
      </c>
      <c r="CY293" s="1382"/>
      <c r="CZ293" s="1382">
        <f>CU293</f>
        <v>18.653542469425737</v>
      </c>
      <c r="DA293" s="1609">
        <f t="shared" si="196"/>
        <v>64.814400000000006</v>
      </c>
      <c r="DB293" s="739">
        <v>1.0029999999999999</v>
      </c>
      <c r="DC293" s="739">
        <v>1.014</v>
      </c>
      <c r="DD293" s="739">
        <v>1.014</v>
      </c>
      <c r="DE293" s="739">
        <v>1.014</v>
      </c>
      <c r="DF293" s="739">
        <v>1.014</v>
      </c>
      <c r="DG293" s="739">
        <v>1.014</v>
      </c>
      <c r="DH293" s="739">
        <v>1.014</v>
      </c>
      <c r="DI293" s="739">
        <v>1.014</v>
      </c>
      <c r="DJ293" s="739">
        <v>1.014</v>
      </c>
      <c r="DK293" s="739">
        <v>1.014</v>
      </c>
      <c r="DL293" s="739">
        <v>1.014</v>
      </c>
      <c r="DP293" s="1975">
        <f t="shared" si="197"/>
        <v>18.653542469425737</v>
      </c>
      <c r="DS293" s="1016">
        <f t="shared" si="198"/>
        <v>122259.8224</v>
      </c>
      <c r="DT293" s="1594">
        <v>2012</v>
      </c>
      <c r="DU293" s="1616">
        <f t="shared" si="193"/>
        <v>18.324772299999999</v>
      </c>
      <c r="DV293" s="1036">
        <f t="shared" si="201"/>
        <v>122.2598224</v>
      </c>
      <c r="EL293" s="2281">
        <v>2014</v>
      </c>
      <c r="EM293" s="2119">
        <f t="shared" si="191"/>
        <v>2.4678129600008352</v>
      </c>
      <c r="EN293" s="830"/>
      <c r="EO293" s="1035"/>
    </row>
    <row r="294" spans="95:145" ht="17.399999999999999">
      <c r="CQ294" s="1607">
        <v>2013</v>
      </c>
      <c r="CR294" s="1871">
        <v>1.046</v>
      </c>
      <c r="CS294" s="1871">
        <f t="shared" si="203"/>
        <v>2.4555352835829209</v>
      </c>
      <c r="CT294" s="1201">
        <v>18863.370199999998</v>
      </c>
      <c r="CU294" s="1382">
        <f t="shared" si="194"/>
        <v>18.357364736075578</v>
      </c>
      <c r="CV294" s="1871">
        <f t="shared" si="199"/>
        <v>0.98412217229860699</v>
      </c>
      <c r="CW294" s="1034">
        <f t="shared" si="195"/>
        <v>31.85</v>
      </c>
      <c r="CX294" s="1382">
        <f t="shared" si="192"/>
        <v>108.8</v>
      </c>
      <c r="CY294" s="1382"/>
      <c r="CZ294" s="1382">
        <f>CU294</f>
        <v>18.357364736075578</v>
      </c>
      <c r="DA294" s="1609">
        <f t="shared" si="196"/>
        <v>64.168999999999997</v>
      </c>
      <c r="DB294" s="739">
        <v>1.014</v>
      </c>
      <c r="DC294" s="739">
        <v>1.046</v>
      </c>
      <c r="DD294" s="739">
        <v>1.046</v>
      </c>
      <c r="DE294" s="739">
        <v>1.046</v>
      </c>
      <c r="DF294" s="739">
        <v>1.046</v>
      </c>
      <c r="DG294" s="739">
        <v>1.046</v>
      </c>
      <c r="DH294" s="739">
        <v>1.046</v>
      </c>
      <c r="DI294" s="739">
        <v>1.046</v>
      </c>
      <c r="DJ294" s="739">
        <v>1.046</v>
      </c>
      <c r="DK294" s="739">
        <v>1.046</v>
      </c>
      <c r="DL294" s="739">
        <v>1.046</v>
      </c>
      <c r="DP294" s="1975">
        <f t="shared" si="197"/>
        <v>18.357364736075578</v>
      </c>
      <c r="DS294" s="1016">
        <f t="shared" si="198"/>
        <v>132429.93030000001</v>
      </c>
      <c r="DT294" s="1594">
        <v>2013</v>
      </c>
      <c r="DU294" s="1616">
        <f t="shared" si="193"/>
        <v>18.863370199999999</v>
      </c>
      <c r="DV294" s="1036">
        <f t="shared" si="201"/>
        <v>132.4299303</v>
      </c>
      <c r="EL294" s="2281">
        <v>2015</v>
      </c>
      <c r="EM294" s="2119">
        <f t="shared" si="191"/>
        <v>2.559122039520866</v>
      </c>
      <c r="EN294" s="830"/>
      <c r="EO294" s="1035"/>
    </row>
    <row r="295" spans="95:145" ht="17.399999999999999">
      <c r="CQ295" s="1607">
        <v>2014</v>
      </c>
      <c r="CR295" s="1871">
        <v>1.0049999999999999</v>
      </c>
      <c r="CS295" s="1871">
        <f t="shared" si="203"/>
        <v>2.4678129600008352</v>
      </c>
      <c r="CT295" s="1201">
        <v>21425.934600000001</v>
      </c>
      <c r="CU295" s="1382">
        <f t="shared" si="194"/>
        <v>20.747451690988555</v>
      </c>
      <c r="CV295" s="1871">
        <f t="shared" si="199"/>
        <v>1.130197715700229</v>
      </c>
      <c r="CW295" s="1034">
        <f t="shared" si="195"/>
        <v>32.729999999999997</v>
      </c>
      <c r="CX295" s="1382">
        <f t="shared" si="192"/>
        <v>98.9</v>
      </c>
      <c r="CY295" s="1382"/>
      <c r="CZ295" s="1382">
        <f>CU295</f>
        <v>20.747451690988555</v>
      </c>
      <c r="DA295" s="1609">
        <f t="shared" si="196"/>
        <v>60.5214</v>
      </c>
      <c r="DB295" s="739">
        <v>1.046</v>
      </c>
      <c r="DC295" s="739">
        <v>1.0049999999999999</v>
      </c>
      <c r="DD295" s="739">
        <v>1.0049999999999999</v>
      </c>
      <c r="DE295" s="739">
        <v>1.0049999999999999</v>
      </c>
      <c r="DF295" s="739">
        <v>1.0049999999999999</v>
      </c>
      <c r="DG295" s="739">
        <v>1.0049999999999999</v>
      </c>
      <c r="DH295" s="739">
        <v>1.0049999999999999</v>
      </c>
      <c r="DI295" s="739">
        <v>1.0049999999999999</v>
      </c>
      <c r="DJ295" s="739">
        <v>1.0049999999999999</v>
      </c>
      <c r="DK295" s="739">
        <v>1.0049999999999999</v>
      </c>
      <c r="DL295" s="739">
        <v>1.0049999999999999</v>
      </c>
      <c r="DP295" s="1975">
        <f t="shared" si="197"/>
        <v>20.747451690988555</v>
      </c>
      <c r="DS295" s="1016">
        <f t="shared" si="198"/>
        <v>143137.04599999997</v>
      </c>
      <c r="DT295" s="1594">
        <v>2014</v>
      </c>
      <c r="DU295" s="1616">
        <f t="shared" si="193"/>
        <v>21.425934600000001</v>
      </c>
      <c r="DV295" s="1036">
        <f t="shared" si="201"/>
        <v>143.13704599999997</v>
      </c>
      <c r="EL295" s="2281">
        <v>2016</v>
      </c>
      <c r="EM295" s="2119">
        <f t="shared" si="191"/>
        <v>2.6410139447855339</v>
      </c>
      <c r="EN295" s="830"/>
      <c r="EO295" s="1035"/>
    </row>
    <row r="296" spans="95:145" ht="17.399999999999999">
      <c r="CQ296" s="1607">
        <v>2015</v>
      </c>
      <c r="CR296" s="1871">
        <v>1.0369999999999999</v>
      </c>
      <c r="CS296" s="1871">
        <f t="shared" si="203"/>
        <v>2.559122039520866</v>
      </c>
      <c r="CT296" s="1201">
        <v>23854.05</v>
      </c>
      <c r="CU296" s="1382">
        <f t="shared" si="194"/>
        <v>22.274520095355602</v>
      </c>
      <c r="CV296" s="1871">
        <f t="shared" si="199"/>
        <v>1.0736026971943891</v>
      </c>
      <c r="CW296" s="1034">
        <f t="shared" si="195"/>
        <v>56.26</v>
      </c>
      <c r="CX296" s="1382">
        <f t="shared" si="192"/>
        <v>52.4</v>
      </c>
      <c r="CY296" s="1382"/>
      <c r="CZ296" s="1382">
        <f>CU296</f>
        <v>22.274520095355602</v>
      </c>
      <c r="DA296" s="1609">
        <f t="shared" si="196"/>
        <v>54.638800000000003</v>
      </c>
      <c r="DB296" s="739">
        <v>1.0049999999999999</v>
      </c>
      <c r="DC296" s="739">
        <v>1.0369999999999999</v>
      </c>
      <c r="DD296" s="739">
        <v>1.0369999999999999</v>
      </c>
      <c r="DE296" s="739">
        <v>1.0369999999999999</v>
      </c>
      <c r="DF296" s="739">
        <v>1.0369999999999999</v>
      </c>
      <c r="DG296" s="739">
        <v>1.0369999999999999</v>
      </c>
      <c r="DH296" s="739">
        <v>1.0369999999999999</v>
      </c>
      <c r="DI296" s="739">
        <v>1.0369999999999999</v>
      </c>
      <c r="DJ296" s="739">
        <v>1.0369999999999999</v>
      </c>
      <c r="DK296" s="739">
        <v>1.0369999999999999</v>
      </c>
      <c r="DL296" s="739">
        <v>1.0369999999999999</v>
      </c>
      <c r="DP296" s="1975">
        <f t="shared" si="197"/>
        <v>22.274520095355602</v>
      </c>
      <c r="DS296" s="1016">
        <f t="shared" si="198"/>
        <v>154422.9596</v>
      </c>
      <c r="DT296" s="1594">
        <v>2015</v>
      </c>
      <c r="DU296" s="1616">
        <f t="shared" si="193"/>
        <v>23.854050000000001</v>
      </c>
      <c r="DV296" s="1036">
        <f t="shared" si="201"/>
        <v>154.42295960000001</v>
      </c>
      <c r="EL296" s="2281">
        <v>2017</v>
      </c>
      <c r="EM296" s="2119">
        <f t="shared" si="191"/>
        <v>2.7730646420248108</v>
      </c>
      <c r="EN296" s="830"/>
      <c r="EO296" s="1058"/>
    </row>
    <row r="297" spans="95:145" ht="17.399999999999999">
      <c r="CQ297" s="1607">
        <v>2016</v>
      </c>
      <c r="CR297" s="1871">
        <v>1.032</v>
      </c>
      <c r="CS297" s="1871">
        <f t="shared" si="203"/>
        <v>2.6410139447855339</v>
      </c>
      <c r="CT297" s="1201">
        <v>22137.648000000001</v>
      </c>
      <c r="CU297" s="1382">
        <f t="shared" si="194"/>
        <v>20.030786917707065</v>
      </c>
      <c r="CV297" s="1871">
        <f t="shared" si="199"/>
        <v>0.8992690676143289</v>
      </c>
      <c r="CW297" s="1034">
        <f t="shared" si="195"/>
        <v>72.88</v>
      </c>
      <c r="CX297" s="1382">
        <f t="shared" si="192"/>
        <v>44</v>
      </c>
      <c r="CY297" s="838"/>
      <c r="CZ297" s="1382">
        <f>CU297</f>
        <v>20.030786917707065</v>
      </c>
      <c r="DA297" s="1609">
        <f t="shared" si="196"/>
        <v>60.750399999999999</v>
      </c>
      <c r="DB297" s="739">
        <v>1.0369999999999999</v>
      </c>
      <c r="DC297" s="739">
        <v>1.0309999999999999</v>
      </c>
      <c r="DD297" s="739">
        <v>1.0309999999999999</v>
      </c>
      <c r="DE297" s="739">
        <v>1.0309999999999999</v>
      </c>
      <c r="DF297" s="739">
        <v>1.0309999999999999</v>
      </c>
      <c r="DG297" s="739">
        <v>1.0309999999999999</v>
      </c>
      <c r="DH297" s="739">
        <v>1.0309999999999999</v>
      </c>
      <c r="DI297" s="739">
        <v>1.0309999999999999</v>
      </c>
      <c r="DJ297" s="739">
        <v>1.0309999999999999</v>
      </c>
      <c r="DK297" s="739">
        <v>1.0309999999999999</v>
      </c>
      <c r="DL297" s="739">
        <v>1.0309999999999999</v>
      </c>
      <c r="DP297" s="1975">
        <f t="shared" si="197"/>
        <v>20.030786917707065</v>
      </c>
      <c r="DS297" s="1016">
        <f t="shared" si="198"/>
        <v>162395.42000000001</v>
      </c>
      <c r="DT297" s="1594">
        <v>2016</v>
      </c>
      <c r="DU297" s="1616">
        <f t="shared" si="193"/>
        <v>22.137648000000002</v>
      </c>
      <c r="DV297" s="1036">
        <f t="shared" si="201"/>
        <v>162.39542</v>
      </c>
      <c r="EL297" s="2281">
        <v>2018</v>
      </c>
      <c r="EM297" s="2119">
        <f t="shared" si="191"/>
        <v>2.9255831973361754</v>
      </c>
      <c r="EN297" s="830"/>
      <c r="EO297" s="1058"/>
    </row>
    <row r="298" spans="95:145" ht="18">
      <c r="CQ298" s="1607">
        <v>2017</v>
      </c>
      <c r="CR298" s="838">
        <v>1.05</v>
      </c>
      <c r="CS298" s="1871">
        <f t="shared" si="203"/>
        <v>2.7730646420248108</v>
      </c>
      <c r="CT298" s="838">
        <v>23994.3</v>
      </c>
      <c r="CU298" s="1382">
        <f t="shared" si="194"/>
        <v>20.67689483369983</v>
      </c>
      <c r="CV298" s="1871">
        <f t="shared" si="199"/>
        <v>1.0322557430542887</v>
      </c>
      <c r="CW298" s="1034">
        <f t="shared" si="195"/>
        <v>60.66</v>
      </c>
      <c r="CX298" s="1382">
        <f t="shared" si="192"/>
        <v>55</v>
      </c>
      <c r="CY298" s="838"/>
      <c r="CZ298" s="1382">
        <f t="shared" ref="CZ298:CZ311" si="204">DP298</f>
        <v>21.052667479999997</v>
      </c>
      <c r="DA298" s="1609">
        <f t="shared" si="196"/>
        <v>58.282799999999995</v>
      </c>
      <c r="DB298" s="739">
        <v>1.0309999999999999</v>
      </c>
      <c r="DP298" s="1975">
        <f t="shared" ref="DP298:DP311" si="205">-0.3859*DA298+43.544</f>
        <v>21.052667479999997</v>
      </c>
      <c r="DS298" s="1016">
        <f t="shared" si="198"/>
        <v>175275.06</v>
      </c>
      <c r="DT298" s="1594">
        <v>2017</v>
      </c>
      <c r="DU298" s="1616">
        <f t="shared" si="193"/>
        <v>23.994299999999999</v>
      </c>
      <c r="DV298" s="1036">
        <f t="shared" si="201"/>
        <v>175.27506</v>
      </c>
      <c r="EL298" s="2281">
        <v>2019</v>
      </c>
      <c r="EM298" s="2137"/>
      <c r="EN298" s="830"/>
      <c r="EO298" s="1058"/>
    </row>
    <row r="299" spans="95:145" ht="18">
      <c r="CQ299" s="1607">
        <v>2018</v>
      </c>
      <c r="CR299" s="838">
        <v>1.0549999999999999</v>
      </c>
      <c r="CS299" s="1871">
        <f t="shared" si="203"/>
        <v>2.9255831973361754</v>
      </c>
      <c r="CT299" s="838">
        <v>31932.55</v>
      </c>
      <c r="CU299" s="1382">
        <f t="shared" si="194"/>
        <v>26.083050100459737</v>
      </c>
      <c r="CV299" s="1871">
        <f t="shared" si="199"/>
        <v>1.2614587591725228</v>
      </c>
      <c r="CW299" s="1034">
        <f t="shared" si="195"/>
        <v>57.6</v>
      </c>
      <c r="CX299" s="1382">
        <f t="shared" si="192"/>
        <v>70</v>
      </c>
      <c r="CY299" s="1382"/>
      <c r="CZ299" s="1382">
        <f t="shared" si="204"/>
        <v>19.306392799999994</v>
      </c>
      <c r="DA299" s="1609">
        <f t="shared" si="196"/>
        <v>62.808000000000007</v>
      </c>
      <c r="DP299" s="1975">
        <f t="shared" si="205"/>
        <v>19.306392799999994</v>
      </c>
      <c r="DS299" s="1016">
        <f t="shared" si="198"/>
        <v>196610.47000000003</v>
      </c>
      <c r="DT299" s="1594">
        <v>2018</v>
      </c>
      <c r="DU299" s="1616">
        <f t="shared" si="193"/>
        <v>31.932549999999999</v>
      </c>
      <c r="DV299" s="1036">
        <f t="shared" si="201"/>
        <v>196.61047000000002</v>
      </c>
      <c r="EL299" s="2281">
        <v>2020</v>
      </c>
      <c r="EM299" s="2137"/>
      <c r="EN299" s="830"/>
      <c r="EO299" s="1058"/>
    </row>
    <row r="300" spans="95:145" ht="18">
      <c r="CQ300" s="1607">
        <v>2019</v>
      </c>
      <c r="CR300" s="838"/>
      <c r="CS300" s="838"/>
      <c r="CT300" s="838"/>
      <c r="CU300" s="838"/>
      <c r="CV300" s="838"/>
      <c r="CW300" s="1034">
        <f t="shared" si="195"/>
        <v>69.47</v>
      </c>
      <c r="CX300" s="1382">
        <f t="shared" si="192"/>
        <v>72</v>
      </c>
      <c r="CY300" s="1382"/>
      <c r="CZ300" s="1382">
        <f t="shared" si="204"/>
        <v>16.325469659999996</v>
      </c>
      <c r="DA300" s="1609">
        <f t="shared" si="196"/>
        <v>70.532600000000002</v>
      </c>
      <c r="DP300" s="1975">
        <f t="shared" si="205"/>
        <v>16.325469659999996</v>
      </c>
      <c r="DT300" s="1594">
        <v>2019</v>
      </c>
      <c r="DU300" s="1617"/>
      <c r="DV300" s="1794"/>
      <c r="EL300" s="2281">
        <v>2021</v>
      </c>
      <c r="EM300" s="2137"/>
      <c r="EN300" s="830"/>
      <c r="EO300" s="1058"/>
    </row>
    <row r="301" spans="95:145" ht="18">
      <c r="CQ301" s="1607">
        <v>2020</v>
      </c>
      <c r="CR301" s="838"/>
      <c r="CS301" s="838"/>
      <c r="CT301" s="838"/>
      <c r="CU301" s="838"/>
      <c r="CV301" s="838"/>
      <c r="CW301" s="1034">
        <f t="shared" si="195"/>
        <v>61.9</v>
      </c>
      <c r="CX301" s="1382">
        <f t="shared" si="192"/>
        <v>40</v>
      </c>
      <c r="CY301" s="838"/>
      <c r="CZ301" s="1382">
        <f t="shared" si="204"/>
        <v>23.206298199999996</v>
      </c>
      <c r="DA301" s="1609">
        <f t="shared" si="196"/>
        <v>52.701999999999998</v>
      </c>
      <c r="DP301" s="1975">
        <f t="shared" si="205"/>
        <v>23.206298199999996</v>
      </c>
      <c r="DT301" s="1594">
        <v>2020</v>
      </c>
      <c r="DU301" s="1617"/>
      <c r="DV301" s="1794"/>
      <c r="EL301" s="2281">
        <v>2022</v>
      </c>
      <c r="EM301" s="2137"/>
      <c r="EN301" s="830"/>
      <c r="EO301" s="1058"/>
    </row>
    <row r="302" spans="95:145" ht="18">
      <c r="CQ302" s="1607">
        <v>2021</v>
      </c>
      <c r="CR302" s="838"/>
      <c r="CS302" s="838"/>
      <c r="CT302" s="838"/>
      <c r="CU302" s="838"/>
      <c r="CV302" s="838"/>
      <c r="CW302" s="1034">
        <f t="shared" si="195"/>
        <v>73.87</v>
      </c>
      <c r="CX302" s="1382">
        <f t="shared" si="192"/>
        <v>50</v>
      </c>
      <c r="CY302" s="838"/>
      <c r="CZ302" s="1382">
        <f t="shared" si="204"/>
        <v>18.906368859999994</v>
      </c>
      <c r="DA302" s="1609">
        <f t="shared" si="196"/>
        <v>63.844600000000007</v>
      </c>
      <c r="DP302" s="1975">
        <f t="shared" si="205"/>
        <v>18.906368859999994</v>
      </c>
      <c r="DT302" s="1594">
        <v>2021</v>
      </c>
      <c r="DU302" s="1617"/>
      <c r="DV302" s="1794"/>
      <c r="EL302" s="2281">
        <v>2023</v>
      </c>
      <c r="EM302" s="2137"/>
      <c r="EN302" s="830"/>
      <c r="EO302" s="1058"/>
    </row>
    <row r="303" spans="95:145" ht="18">
      <c r="CQ303" s="1607">
        <v>2022</v>
      </c>
      <c r="CR303" s="838"/>
      <c r="CS303" s="838"/>
      <c r="CT303" s="838"/>
      <c r="CU303" s="838"/>
      <c r="CV303" s="838"/>
      <c r="CW303" s="1034">
        <f t="shared" si="195"/>
        <v>75.17</v>
      </c>
      <c r="CX303" s="1382">
        <f t="shared" si="192"/>
        <v>58</v>
      </c>
      <c r="CY303" s="838"/>
      <c r="CZ303" s="1382">
        <f t="shared" si="204"/>
        <v>17.318776259999993</v>
      </c>
      <c r="DA303" s="1609">
        <f t="shared" si="196"/>
        <v>67.958600000000004</v>
      </c>
      <c r="DP303" s="1975">
        <f t="shared" si="205"/>
        <v>17.318776259999993</v>
      </c>
      <c r="DT303" s="1594">
        <v>2022</v>
      </c>
      <c r="DU303" s="1617"/>
      <c r="DV303" s="1794"/>
      <c r="EL303" s="2281">
        <v>2024</v>
      </c>
      <c r="EM303" s="2137"/>
      <c r="EN303" s="830"/>
      <c r="EO303" s="1058"/>
    </row>
    <row r="304" spans="95:145" ht="18">
      <c r="CQ304" s="1607">
        <v>2023</v>
      </c>
      <c r="CR304" s="838"/>
      <c r="CS304" s="838"/>
      <c r="CT304" s="838"/>
      <c r="CU304" s="838"/>
      <c r="CV304" s="838"/>
      <c r="CW304" s="1034">
        <f t="shared" si="195"/>
        <v>76.47</v>
      </c>
      <c r="CX304" s="1382">
        <f t="shared" si="192"/>
        <v>64.400000000000006</v>
      </c>
      <c r="CY304" s="838"/>
      <c r="CZ304" s="1382">
        <f t="shared" si="204"/>
        <v>15.990508459999997</v>
      </c>
      <c r="DA304" s="1609">
        <f t="shared" si="196"/>
        <v>71.400599999999997</v>
      </c>
      <c r="DP304" s="1975">
        <f t="shared" si="205"/>
        <v>15.990508459999997</v>
      </c>
      <c r="DT304" s="1594">
        <v>2023</v>
      </c>
      <c r="DU304" s="1617"/>
      <c r="DV304" s="1794"/>
      <c r="EL304" s="2281">
        <v>2025</v>
      </c>
      <c r="EM304" s="2137"/>
      <c r="EN304" s="830"/>
      <c r="EO304" s="1058"/>
    </row>
    <row r="305" spans="95:212" ht="18">
      <c r="CQ305" s="1607">
        <v>2024</v>
      </c>
      <c r="CR305" s="838"/>
      <c r="CS305" s="838"/>
      <c r="CT305" s="838"/>
      <c r="CU305" s="838"/>
      <c r="CV305" s="838"/>
      <c r="CW305" s="1034">
        <f t="shared" si="195"/>
        <v>77.77</v>
      </c>
      <c r="CX305" s="1382">
        <f t="shared" si="192"/>
        <v>69.52000000000001</v>
      </c>
      <c r="CY305" s="838"/>
      <c r="CZ305" s="1382">
        <f t="shared" si="204"/>
        <v>14.869700499999993</v>
      </c>
      <c r="DA305" s="1609">
        <f t="shared" si="196"/>
        <v>74.305000000000007</v>
      </c>
      <c r="DP305" s="1975">
        <f t="shared" si="205"/>
        <v>14.869700499999993</v>
      </c>
      <c r="DT305" s="1594">
        <v>2024</v>
      </c>
      <c r="DU305" s="1617"/>
      <c r="DV305" s="1794"/>
      <c r="EL305" s="2281">
        <v>2026</v>
      </c>
      <c r="EM305" s="2137"/>
      <c r="EN305" s="830"/>
      <c r="EO305" s="1058"/>
    </row>
    <row r="306" spans="95:212" ht="18">
      <c r="CQ306" s="1607">
        <v>2025</v>
      </c>
      <c r="CR306" s="838"/>
      <c r="CS306" s="838"/>
      <c r="CT306" s="838"/>
      <c r="CU306" s="838"/>
      <c r="CV306" s="838"/>
      <c r="CW306" s="1034">
        <f t="shared" si="195"/>
        <v>79.069999999999993</v>
      </c>
      <c r="CX306" s="1382">
        <f t="shared" si="192"/>
        <v>73.616000000000014</v>
      </c>
      <c r="CY306" s="838"/>
      <c r="CZ306" s="1382">
        <f t="shared" si="204"/>
        <v>13.914860411999989</v>
      </c>
      <c r="DA306" s="1609">
        <f t="shared" si="196"/>
        <v>76.779320000000013</v>
      </c>
      <c r="DP306" s="1975">
        <f t="shared" si="205"/>
        <v>13.914860411999989</v>
      </c>
      <c r="DT306" s="1594">
        <v>2025</v>
      </c>
      <c r="DU306" s="1617"/>
      <c r="DV306" s="1794"/>
      <c r="EL306" s="2281">
        <v>2027</v>
      </c>
      <c r="EM306" s="2137"/>
      <c r="EN306" s="830"/>
      <c r="EO306" s="1058"/>
    </row>
    <row r="307" spans="95:212" ht="18">
      <c r="CQ307" s="1607">
        <v>2026</v>
      </c>
      <c r="CR307" s="838"/>
      <c r="CS307" s="838"/>
      <c r="CT307" s="838"/>
      <c r="CU307" s="838"/>
      <c r="CV307" s="838"/>
      <c r="CW307" s="1034">
        <f t="shared" si="195"/>
        <v>80.36999999999999</v>
      </c>
      <c r="CX307" s="1382">
        <f t="shared" si="192"/>
        <v>76.892800000000022</v>
      </c>
      <c r="CY307" s="838"/>
      <c r="CZ307" s="1382">
        <f t="shared" si="204"/>
        <v>13.092794621599989</v>
      </c>
      <c r="DA307" s="1609">
        <f t="shared" si="196"/>
        <v>78.909576000000015</v>
      </c>
      <c r="DP307" s="1975">
        <f t="shared" si="205"/>
        <v>13.092794621599989</v>
      </c>
      <c r="DT307" s="1594">
        <v>2026</v>
      </c>
      <c r="DU307" s="1617"/>
      <c r="DV307" s="1794"/>
      <c r="EL307" s="2281">
        <v>2028</v>
      </c>
      <c r="EM307" s="2137"/>
      <c r="EN307" s="830"/>
      <c r="EO307" s="1058"/>
    </row>
    <row r="308" spans="95:212" ht="18">
      <c r="CQ308" s="1607">
        <v>2027</v>
      </c>
      <c r="CR308" s="838"/>
      <c r="CS308" s="838"/>
      <c r="CT308" s="838"/>
      <c r="CU308" s="838"/>
      <c r="CV308" s="838"/>
      <c r="CW308" s="1034">
        <f t="shared" si="195"/>
        <v>81.669999999999987</v>
      </c>
      <c r="CX308" s="1382">
        <f t="shared" si="192"/>
        <v>79.514240000000029</v>
      </c>
      <c r="CY308" s="838"/>
      <c r="CZ308" s="1382">
        <f t="shared" si="204"/>
        <v>12.376948269279993</v>
      </c>
      <c r="DA308" s="1609">
        <f t="shared" si="196"/>
        <v>80.764580800000005</v>
      </c>
      <c r="DP308" s="1975">
        <f t="shared" si="205"/>
        <v>12.376948269279993</v>
      </c>
      <c r="DT308" s="1594">
        <v>2027</v>
      </c>
      <c r="DU308" s="1617"/>
      <c r="DV308" s="1794"/>
      <c r="EL308" s="2281">
        <v>2029</v>
      </c>
      <c r="EM308" s="2137"/>
      <c r="EN308" s="830"/>
      <c r="EO308" s="1058"/>
    </row>
    <row r="309" spans="95:212" ht="18">
      <c r="CQ309" s="1607">
        <v>2028</v>
      </c>
      <c r="CR309" s="838"/>
      <c r="CS309" s="838"/>
      <c r="CT309" s="838"/>
      <c r="CU309" s="838"/>
      <c r="CV309" s="838"/>
      <c r="CW309" s="1034">
        <f t="shared" si="195"/>
        <v>82.969999999999985</v>
      </c>
      <c r="CX309" s="1382">
        <f t="shared" si="192"/>
        <v>81.611392000000038</v>
      </c>
      <c r="CY309" s="838"/>
      <c r="CZ309" s="1382">
        <f t="shared" si="204"/>
        <v>11.746077467423987</v>
      </c>
      <c r="DA309" s="1609">
        <f t="shared" si="196"/>
        <v>82.399384640000022</v>
      </c>
      <c r="DP309" s="1975">
        <f t="shared" si="205"/>
        <v>11.746077467423987</v>
      </c>
      <c r="DT309" s="1594">
        <v>2028</v>
      </c>
      <c r="DU309" s="1617"/>
      <c r="DV309" s="1794"/>
      <c r="EL309" s="2281">
        <v>2030</v>
      </c>
      <c r="EM309" s="2137"/>
      <c r="EN309" s="830"/>
      <c r="EO309" s="1058"/>
    </row>
    <row r="310" spans="95:212" ht="18">
      <c r="CQ310" s="1607">
        <v>2029</v>
      </c>
      <c r="CR310" s="838"/>
      <c r="CS310" s="838"/>
      <c r="CT310" s="838"/>
      <c r="CU310" s="838"/>
      <c r="CV310" s="838"/>
      <c r="CW310" s="1034">
        <f t="shared" si="195"/>
        <v>84.269999999999982</v>
      </c>
      <c r="CX310" s="1382">
        <f t="shared" si="192"/>
        <v>83.28911360000005</v>
      </c>
      <c r="CY310" s="838"/>
      <c r="CZ310" s="1382">
        <f t="shared" si="204"/>
        <v>11.183187105939183</v>
      </c>
      <c r="DA310" s="1609">
        <f t="shared" si="196"/>
        <v>83.858027712000023</v>
      </c>
      <c r="DP310" s="1975">
        <f t="shared" si="205"/>
        <v>11.183187105939183</v>
      </c>
      <c r="DT310" s="1594">
        <v>2029</v>
      </c>
      <c r="DU310" s="1617"/>
      <c r="DV310" s="1794"/>
      <c r="EL310" s="2281">
        <v>2031</v>
      </c>
      <c r="EM310" s="2137"/>
      <c r="EN310" s="830"/>
      <c r="EO310" s="1058"/>
    </row>
    <row r="311" spans="95:212" ht="18.600000000000001" thickBot="1">
      <c r="CQ311" s="1612">
        <v>2030</v>
      </c>
      <c r="CR311" s="1783"/>
      <c r="CS311" s="1783"/>
      <c r="CT311" s="1783"/>
      <c r="CU311" s="1783"/>
      <c r="CV311" s="1783"/>
      <c r="CW311" s="1977">
        <f t="shared" si="195"/>
        <v>85.569999999999979</v>
      </c>
      <c r="CX311" s="1978">
        <f>GW359</f>
        <v>88.240781395558514</v>
      </c>
      <c r="CY311" s="1783"/>
      <c r="CZ311" s="1978">
        <f t="shared" si="204"/>
        <v>10.089662092970663</v>
      </c>
      <c r="DA311" s="1982">
        <f t="shared" si="196"/>
        <v>86.691728186134569</v>
      </c>
      <c r="DP311" s="1975">
        <f t="shared" si="205"/>
        <v>10.089662092970663</v>
      </c>
      <c r="DT311" s="1596">
        <v>2030</v>
      </c>
      <c r="DU311" s="1776"/>
      <c r="DV311" s="1795"/>
      <c r="EL311" s="2281">
        <v>2032</v>
      </c>
      <c r="EM311" s="2137"/>
      <c r="EN311" s="830"/>
      <c r="EO311" s="1058"/>
    </row>
    <row r="312" spans="95:212" ht="18">
      <c r="EL312" s="2281">
        <v>2033</v>
      </c>
      <c r="EM312" s="2137"/>
      <c r="EN312" s="830"/>
      <c r="EO312" s="1058"/>
    </row>
    <row r="313" spans="95:212" ht="18.600000000000001" thickBot="1">
      <c r="EL313" s="2281">
        <v>2034</v>
      </c>
      <c r="EM313" s="2137"/>
      <c r="EN313" s="830"/>
      <c r="EO313" s="1058"/>
    </row>
    <row r="314" spans="95:212" ht="18">
      <c r="CQ314" s="1602" t="s">
        <v>351</v>
      </c>
      <c r="CR314" s="1592" t="s">
        <v>1638</v>
      </c>
      <c r="CS314" s="1779" t="s">
        <v>1616</v>
      </c>
      <c r="CT314" s="1779" t="s">
        <v>1616</v>
      </c>
      <c r="CU314" s="1778" t="s">
        <v>425</v>
      </c>
      <c r="CV314" s="1778" t="s">
        <v>425</v>
      </c>
      <c r="CW314" s="1778" t="s">
        <v>1909</v>
      </c>
      <c r="EL314" s="1596">
        <v>2035</v>
      </c>
      <c r="EM314" s="1776"/>
      <c r="EN314" s="1646"/>
      <c r="EO314" s="1303"/>
    </row>
    <row r="315" spans="95:212" ht="16.2" thickBot="1">
      <c r="CQ315" s="720">
        <v>43939</v>
      </c>
      <c r="CR315" s="1880" t="s">
        <v>1836</v>
      </c>
      <c r="CS315" s="1807" t="s">
        <v>1910</v>
      </c>
      <c r="CT315" s="2450" t="s">
        <v>1904</v>
      </c>
      <c r="CU315" s="1807" t="s">
        <v>1910</v>
      </c>
      <c r="CV315" s="1593" t="s">
        <v>1836</v>
      </c>
      <c r="CW315" s="1593" t="s">
        <v>32</v>
      </c>
    </row>
    <row r="316" spans="95:212" ht="16.5" customHeight="1" thickBot="1">
      <c r="CQ316" s="1806">
        <v>1995</v>
      </c>
      <c r="CR316" s="1874">
        <f t="shared" ref="CR316:CR340" si="206">CS316*1000</f>
        <v>220.8</v>
      </c>
      <c r="CS316" s="1799">
        <v>0.22080000000000002</v>
      </c>
      <c r="CT316" s="1970"/>
      <c r="CU316" s="1799">
        <f>CV316/1000</f>
        <v>1.4285209000000001</v>
      </c>
      <c r="CV316" s="1874">
        <f t="array" ref="CV316:CV339">TRANSPOSE(U67:AR67)</f>
        <v>1428.5209</v>
      </c>
      <c r="CW316" s="1383">
        <f t="shared" ref="CW316:CW339" si="207">CR316*100/CV316</f>
        <v>15.456546698056711</v>
      </c>
    </row>
    <row r="317" spans="95:212" ht="21.75" customHeight="1" thickBot="1">
      <c r="CQ317" s="1806">
        <v>1996</v>
      </c>
      <c r="CR317" s="2132">
        <f t="shared" si="206"/>
        <v>282.3</v>
      </c>
      <c r="CS317" s="2119">
        <v>0.2823</v>
      </c>
      <c r="CT317" s="831"/>
      <c r="CU317" s="2119">
        <f>CV317/1000</f>
        <v>2.0078252000000001</v>
      </c>
      <c r="CV317" s="2132">
        <v>2007.8252000000002</v>
      </c>
      <c r="CW317" s="2131">
        <f t="shared" si="207"/>
        <v>14.059988887478848</v>
      </c>
      <c r="CX317" s="2478" t="s">
        <v>1701</v>
      </c>
      <c r="CY317" s="2479" t="s">
        <v>1818</v>
      </c>
      <c r="CZ317" s="2480"/>
      <c r="DA317" s="2480"/>
      <c r="DB317" s="2480"/>
      <c r="DC317" s="2481"/>
      <c r="EG317" s="2459" t="s">
        <v>695</v>
      </c>
      <c r="EH317" s="1778" t="s">
        <v>1703</v>
      </c>
      <c r="EI317" s="1778" t="s">
        <v>1703</v>
      </c>
      <c r="EJ317" s="1778" t="s">
        <v>1639</v>
      </c>
      <c r="EK317" s="1592" t="s">
        <v>1640</v>
      </c>
      <c r="EL317" s="1592" t="s">
        <v>1702</v>
      </c>
      <c r="FB317" s="2456" t="s">
        <v>1615</v>
      </c>
      <c r="FC317" s="2456" t="s">
        <v>1702</v>
      </c>
      <c r="GD317" s="1602" t="s">
        <v>351</v>
      </c>
      <c r="GE317" s="1867" t="s">
        <v>1533</v>
      </c>
      <c r="GF317" s="1867" t="s">
        <v>1533</v>
      </c>
      <c r="GG317" s="1867" t="s">
        <v>1533</v>
      </c>
      <c r="GW317" s="1867" t="s">
        <v>1533</v>
      </c>
      <c r="GX317" s="1867" t="s">
        <v>1533</v>
      </c>
    </row>
    <row r="318" spans="95:212" ht="19.5" customHeight="1" thickBot="1">
      <c r="CQ318" s="1806">
        <v>1997</v>
      </c>
      <c r="CR318" s="2132">
        <f t="shared" si="206"/>
        <v>357.4</v>
      </c>
      <c r="CS318" s="2119">
        <v>0.3574</v>
      </c>
      <c r="CT318" s="831"/>
      <c r="CU318" s="2119">
        <f t="shared" ref="CU318:CU339" si="208">CV318/1000</f>
        <v>2.3425137</v>
      </c>
      <c r="CV318" s="2132">
        <v>2342.5137</v>
      </c>
      <c r="CW318" s="2131">
        <f t="shared" si="207"/>
        <v>15.257114611538878</v>
      </c>
      <c r="DL318" s="1598" t="s">
        <v>1619</v>
      </c>
      <c r="DM318" s="1666" t="s">
        <v>1620</v>
      </c>
      <c r="DN318" s="1666"/>
      <c r="DO318" s="1666"/>
      <c r="DP318" s="1665"/>
      <c r="DQ318" s="1667"/>
      <c r="DR318" s="1669">
        <v>0.25</v>
      </c>
      <c r="EG318" s="2460">
        <v>43939</v>
      </c>
      <c r="EH318" s="1593" t="s">
        <v>32</v>
      </c>
      <c r="EI318" s="1856" t="s">
        <v>1829</v>
      </c>
      <c r="EJ318" s="1593" t="s">
        <v>32</v>
      </c>
      <c r="EK318" s="1593" t="s">
        <v>32</v>
      </c>
      <c r="EL318" s="1593" t="s">
        <v>1607</v>
      </c>
      <c r="FB318" s="2457" t="s">
        <v>1830</v>
      </c>
      <c r="FC318" s="2457" t="s">
        <v>1607</v>
      </c>
      <c r="GD318" s="2426">
        <v>43939</v>
      </c>
      <c r="GE318" s="2473" t="s">
        <v>1699</v>
      </c>
      <c r="GF318" s="2427" t="s">
        <v>1911</v>
      </c>
      <c r="GG318" s="2427" t="s">
        <v>1912</v>
      </c>
      <c r="GW318" s="1973" t="s">
        <v>1913</v>
      </c>
      <c r="GX318" s="1973" t="s">
        <v>1914</v>
      </c>
    </row>
    <row r="319" spans="95:212" ht="20.399999999999999">
      <c r="CQ319" s="1806">
        <v>1998</v>
      </c>
      <c r="CR319" s="2132">
        <f t="shared" si="206"/>
        <v>396.9</v>
      </c>
      <c r="CS319" s="2119">
        <v>0.39689999999999998</v>
      </c>
      <c r="CT319" s="831"/>
      <c r="CU319" s="2119">
        <f t="shared" si="208"/>
        <v>2.6296228999999998</v>
      </c>
      <c r="CV319" s="2132">
        <v>2629.6228999999998</v>
      </c>
      <c r="CW319" s="2131">
        <f t="shared" si="207"/>
        <v>15.093418908087544</v>
      </c>
      <c r="DL319" s="1602" t="s">
        <v>351</v>
      </c>
      <c r="DM319" s="1798" t="s">
        <v>1116</v>
      </c>
      <c r="DN319" s="1591" t="s">
        <v>1615</v>
      </c>
      <c r="DO319" s="1591" t="s">
        <v>1616</v>
      </c>
      <c r="DP319" s="1798" t="s">
        <v>1116</v>
      </c>
      <c r="DQ319" s="1798" t="s">
        <v>1116</v>
      </c>
      <c r="DR319" s="1604" t="s">
        <v>1916</v>
      </c>
      <c r="EG319" s="2108">
        <v>1995</v>
      </c>
      <c r="EH319" s="556">
        <v>3.6</v>
      </c>
      <c r="EI319" s="1491"/>
      <c r="EJ319" s="1800">
        <v>1.65</v>
      </c>
      <c r="EK319" s="1985"/>
      <c r="EL319" s="1985"/>
      <c r="FB319" s="1811">
        <v>3.6</v>
      </c>
      <c r="FC319" s="1811"/>
      <c r="GD319" s="770">
        <v>1995</v>
      </c>
      <c r="GE319" s="2474">
        <v>17.100000000000001</v>
      </c>
      <c r="GF319" s="1969"/>
      <c r="GG319" s="1804"/>
      <c r="GW319" s="1369">
        <f t="shared" ref="GW319:GW343" si="209">GE319</f>
        <v>17.100000000000001</v>
      </c>
      <c r="GX319" s="1369">
        <f>GW319</f>
        <v>17.100000000000001</v>
      </c>
      <c r="GZ319" s="1602" t="s">
        <v>351</v>
      </c>
      <c r="HA319" s="1592" t="s">
        <v>1919</v>
      </c>
      <c r="HB319" s="1592" t="s">
        <v>1918</v>
      </c>
      <c r="HC319" s="1592" t="s">
        <v>1675</v>
      </c>
      <c r="HD319" s="1868" t="s">
        <v>1533</v>
      </c>
    </row>
    <row r="320" spans="95:212" ht="20.399999999999999">
      <c r="CQ320" s="1806">
        <v>1999</v>
      </c>
      <c r="CR320" s="2132">
        <f t="shared" si="206"/>
        <v>625.1</v>
      </c>
      <c r="CS320" s="2119">
        <v>0.62509999999999999</v>
      </c>
      <c r="CT320" s="831"/>
      <c r="CU320" s="2119">
        <f t="shared" si="208"/>
        <v>4.8232328999999998</v>
      </c>
      <c r="CV320" s="2132">
        <v>4823.2329</v>
      </c>
      <c r="CW320" s="2131">
        <f t="shared" si="207"/>
        <v>12.960186931881312</v>
      </c>
      <c r="DL320" s="1981">
        <v>43928</v>
      </c>
      <c r="DM320" s="1593" t="s">
        <v>1454</v>
      </c>
      <c r="DN320" s="1593" t="s">
        <v>1617</v>
      </c>
      <c r="DO320" s="1593" t="s">
        <v>1618</v>
      </c>
      <c r="DP320" s="1593" t="s">
        <v>1621</v>
      </c>
      <c r="DQ320" s="2113" t="s">
        <v>1828</v>
      </c>
      <c r="DR320" s="1775" t="s">
        <v>1454</v>
      </c>
      <c r="EG320" s="2108">
        <v>1996</v>
      </c>
      <c r="EH320" s="2455">
        <v>4.5999999999999996</v>
      </c>
      <c r="EI320" s="1492"/>
      <c r="EJ320" s="1036">
        <v>2.35</v>
      </c>
      <c r="EK320" s="1810"/>
      <c r="EL320" s="1810"/>
      <c r="FB320" s="1492">
        <v>4.5999999999999996</v>
      </c>
      <c r="FC320" s="1492"/>
      <c r="GD320" s="771">
        <v>1996</v>
      </c>
      <c r="GE320" s="2475">
        <v>20.5</v>
      </c>
      <c r="GF320" s="830"/>
      <c r="GG320" s="1035"/>
      <c r="GW320" s="1364">
        <f t="shared" si="209"/>
        <v>20.5</v>
      </c>
      <c r="GX320" s="1364">
        <f>GW320</f>
        <v>20.5</v>
      </c>
      <c r="GZ320" s="2426">
        <v>43928</v>
      </c>
      <c r="HA320" s="2427" t="s">
        <v>1836</v>
      </c>
      <c r="HB320" s="1880" t="s">
        <v>1836</v>
      </c>
      <c r="HC320" s="2477" t="s">
        <v>1836</v>
      </c>
      <c r="HD320" s="2473" t="s">
        <v>1699</v>
      </c>
    </row>
    <row r="321" spans="95:212" ht="17.399999999999999">
      <c r="CQ321" s="1806">
        <v>2000</v>
      </c>
      <c r="CR321" s="2132">
        <f t="shared" si="206"/>
        <v>714.6</v>
      </c>
      <c r="CS321" s="2119">
        <v>0.71460000000000001</v>
      </c>
      <c r="CT321" s="831"/>
      <c r="CU321" s="2119">
        <f t="shared" si="208"/>
        <v>7.3056466000000002</v>
      </c>
      <c r="CV321" s="2132">
        <v>7305.6466</v>
      </c>
      <c r="CW321" s="2131">
        <f t="shared" si="207"/>
        <v>9.7814750579366923</v>
      </c>
      <c r="DL321" s="2451">
        <v>1995</v>
      </c>
      <c r="DM321" s="837">
        <v>1</v>
      </c>
      <c r="DN321" s="1803">
        <v>3.6</v>
      </c>
      <c r="DO321" s="1802">
        <v>0.22080000000000002</v>
      </c>
      <c r="DP321" s="837">
        <f t="shared" ref="DP321:DP335" si="210">DM321</f>
        <v>1</v>
      </c>
      <c r="DQ321" s="837"/>
      <c r="DR321" s="1804">
        <f>DR318*DN321+(1-DR318)*DO321</f>
        <v>1.0656000000000001</v>
      </c>
      <c r="EG321" s="2108">
        <v>1997</v>
      </c>
      <c r="EH321" s="2455">
        <v>5.5</v>
      </c>
      <c r="EI321" s="1492"/>
      <c r="EJ321" s="1036">
        <v>2.63</v>
      </c>
      <c r="EK321" s="1810"/>
      <c r="EL321" s="1810"/>
      <c r="FB321" s="1492">
        <v>5.5</v>
      </c>
      <c r="FC321" s="1492"/>
      <c r="GD321" s="771">
        <v>1997</v>
      </c>
      <c r="GE321" s="2475">
        <v>19.100000000000001</v>
      </c>
      <c r="GF321" s="830"/>
      <c r="GG321" s="1035"/>
      <c r="GW321" s="1364">
        <f t="shared" si="209"/>
        <v>19.100000000000001</v>
      </c>
      <c r="GX321" s="1364">
        <f t="shared" ref="GX321:GX343" si="211">GW321</f>
        <v>19.100000000000001</v>
      </c>
      <c r="GZ321" s="770">
        <v>1995</v>
      </c>
      <c r="HA321" s="1874">
        <f t="array" ref="HA321:HA344">TRANSPOSE(U103:AR103)</f>
        <v>437</v>
      </c>
      <c r="HB321" s="2132">
        <f t="shared" ref="HB321:HB344" si="212">EM372</f>
        <v>418.46850000000001</v>
      </c>
      <c r="HC321" s="2132">
        <f t="shared" ref="HC321:HC344" si="213">ED372</f>
        <v>514.85530000000006</v>
      </c>
      <c r="HD321" s="1369">
        <f t="shared" ref="HD321:HD344" si="214">GE319</f>
        <v>17.100000000000001</v>
      </c>
    </row>
    <row r="322" spans="95:212" ht="17.399999999999999">
      <c r="CQ322" s="1806">
        <v>2001</v>
      </c>
      <c r="CR322" s="2132">
        <f t="shared" si="206"/>
        <v>1150.5999999999999</v>
      </c>
      <c r="CS322" s="2119">
        <v>1.1505999999999998</v>
      </c>
      <c r="CT322" s="831"/>
      <c r="CU322" s="2119">
        <f t="shared" si="208"/>
        <v>8.9435825999999992</v>
      </c>
      <c r="CV322" s="2132">
        <v>8943.5825999999997</v>
      </c>
      <c r="CW322" s="2131">
        <f t="shared" si="207"/>
        <v>12.8650905510729</v>
      </c>
      <c r="DL322" s="2452">
        <v>1996</v>
      </c>
      <c r="DM322" s="1382">
        <f>НАСТРОЙКА!DR137</f>
        <v>1.218</v>
      </c>
      <c r="DN322" s="1034">
        <f t="shared" ref="DN322:DN356" si="215">FB320</f>
        <v>4.5999999999999996</v>
      </c>
      <c r="DO322" s="1382">
        <f>CS317</f>
        <v>0.2823</v>
      </c>
      <c r="DP322" s="1382">
        <f t="shared" si="210"/>
        <v>1.218</v>
      </c>
      <c r="DQ322" s="838"/>
      <c r="DR322" s="1035">
        <f t="shared" ref="DR322:DR356" si="216">DR$318*DN322+(1-DR$318)*DO322</f>
        <v>1.3617249999999999</v>
      </c>
      <c r="EG322" s="2108">
        <v>1998</v>
      </c>
      <c r="EH322" s="2455">
        <v>9.6999999999999993</v>
      </c>
      <c r="EI322" s="1492"/>
      <c r="EJ322" s="1036">
        <v>3.02</v>
      </c>
      <c r="EK322" s="1810">
        <v>1.5936969696969696</v>
      </c>
      <c r="EL322" s="1810"/>
      <c r="FB322" s="1492">
        <v>9.6999999999999993</v>
      </c>
      <c r="FC322" s="1492"/>
      <c r="GD322" s="771">
        <v>1998</v>
      </c>
      <c r="GE322" s="2475">
        <v>12.7</v>
      </c>
      <c r="GF322" s="830"/>
      <c r="GG322" s="1035"/>
      <c r="GW322" s="1364">
        <f t="shared" si="209"/>
        <v>12.7</v>
      </c>
      <c r="GX322" s="1364">
        <f t="shared" si="211"/>
        <v>12.7</v>
      </c>
      <c r="GZ322" s="771">
        <v>1996</v>
      </c>
      <c r="HA322" s="2132">
        <v>558.5</v>
      </c>
      <c r="HB322" s="2132">
        <f t="shared" si="212"/>
        <v>523.46310000000005</v>
      </c>
      <c r="HC322" s="2132">
        <f t="shared" si="213"/>
        <v>622.76160000000016</v>
      </c>
      <c r="HD322" s="1328">
        <f t="shared" si="214"/>
        <v>20.5</v>
      </c>
    </row>
    <row r="323" spans="95:212" ht="17.399999999999999">
      <c r="CQ323" s="1806">
        <v>2002</v>
      </c>
      <c r="CR323" s="2132">
        <f t="shared" si="206"/>
        <v>1609.4</v>
      </c>
      <c r="CS323" s="2119">
        <v>1.6094000000000002</v>
      </c>
      <c r="CT323" s="831"/>
      <c r="CU323" s="2119">
        <f t="shared" si="208"/>
        <v>10.819270899999998</v>
      </c>
      <c r="CV323" s="2132">
        <v>10819.270899999998</v>
      </c>
      <c r="CW323" s="2131">
        <f t="shared" si="207"/>
        <v>14.875309204061065</v>
      </c>
      <c r="DL323" s="2452">
        <v>1997</v>
      </c>
      <c r="DM323" s="1382">
        <f>НАСТРОЙКА!DR138</f>
        <v>1.3519800000000002</v>
      </c>
      <c r="DN323" s="1034">
        <f t="shared" si="215"/>
        <v>5.5</v>
      </c>
      <c r="DO323" s="1382">
        <f t="shared" ref="DO323:DO345" si="217">CS318</f>
        <v>0.3574</v>
      </c>
      <c r="DP323" s="1382">
        <f t="shared" si="210"/>
        <v>1.3519800000000002</v>
      </c>
      <c r="DQ323" s="838"/>
      <c r="DR323" s="1035">
        <f t="shared" si="216"/>
        <v>1.6430500000000001</v>
      </c>
      <c r="EG323" s="2108">
        <v>1999</v>
      </c>
      <c r="EH323" s="2455">
        <v>24.62</v>
      </c>
      <c r="EI323" s="1492"/>
      <c r="EJ323" s="1036">
        <v>5.41</v>
      </c>
      <c r="EK323" s="1810">
        <v>2.7466970387243737</v>
      </c>
      <c r="EL323" s="1810">
        <v>4.0999999999999996</v>
      </c>
      <c r="FB323" s="1492">
        <v>24.62</v>
      </c>
      <c r="FC323" s="1492">
        <v>4.0999999999999996</v>
      </c>
      <c r="GD323" s="771">
        <v>1999</v>
      </c>
      <c r="GE323" s="2475">
        <v>17.7</v>
      </c>
      <c r="GF323" s="830"/>
      <c r="GG323" s="1035"/>
      <c r="GW323" s="1364">
        <f t="shared" si="209"/>
        <v>17.7</v>
      </c>
      <c r="GX323" s="1364">
        <f t="shared" si="211"/>
        <v>17.7</v>
      </c>
      <c r="GZ323" s="771">
        <v>1997</v>
      </c>
      <c r="HA323" s="2132">
        <v>711.6</v>
      </c>
      <c r="HB323" s="2132">
        <f t="shared" si="212"/>
        <v>579.28650000000005</v>
      </c>
      <c r="HC323" s="2132">
        <f t="shared" si="213"/>
        <v>685.29009999999994</v>
      </c>
      <c r="HD323" s="1328">
        <f t="shared" si="214"/>
        <v>19.100000000000001</v>
      </c>
    </row>
    <row r="324" spans="95:212" ht="17.399999999999999">
      <c r="CQ324" s="1806">
        <v>2003</v>
      </c>
      <c r="CR324" s="2132">
        <f t="shared" si="206"/>
        <v>2130.5</v>
      </c>
      <c r="CS324" s="2119">
        <v>2.1305000000000001</v>
      </c>
      <c r="CT324" s="831"/>
      <c r="CU324" s="2119">
        <f t="shared" si="208"/>
        <v>13.208250299999998</v>
      </c>
      <c r="CV324" s="2132">
        <v>13208.250299999998</v>
      </c>
      <c r="CW324" s="2131">
        <f t="shared" si="207"/>
        <v>16.130069854899709</v>
      </c>
      <c r="DL324" s="2452">
        <v>1998</v>
      </c>
      <c r="DM324" s="1382">
        <f>НАСТРОЙКА!DR139</f>
        <v>2.4930511200000005</v>
      </c>
      <c r="DN324" s="1034">
        <f t="shared" si="215"/>
        <v>9.6999999999999993</v>
      </c>
      <c r="DO324" s="1382">
        <f t="shared" si="217"/>
        <v>0.39689999999999998</v>
      </c>
      <c r="DP324" s="1382">
        <f t="shared" si="210"/>
        <v>2.4930511200000005</v>
      </c>
      <c r="DQ324" s="838"/>
      <c r="DR324" s="1035">
        <f t="shared" si="216"/>
        <v>2.7226749999999997</v>
      </c>
      <c r="EG324" s="2108">
        <v>2000</v>
      </c>
      <c r="EH324" s="2455">
        <v>28.14</v>
      </c>
      <c r="EI324" s="1492"/>
      <c r="EJ324" s="1036">
        <v>7.04</v>
      </c>
      <c r="EK324" s="1810">
        <v>3.7833247022268255</v>
      </c>
      <c r="EL324" s="1810">
        <v>5.3999999999999995</v>
      </c>
      <c r="FB324" s="1492">
        <v>28.14</v>
      </c>
      <c r="FC324" s="1492">
        <v>5.3999999999999995</v>
      </c>
      <c r="GD324" s="771">
        <v>2000</v>
      </c>
      <c r="GE324" s="2475">
        <v>28.3</v>
      </c>
      <c r="GF324" s="830"/>
      <c r="GG324" s="1035"/>
      <c r="GW324" s="1364">
        <f t="shared" si="209"/>
        <v>28.3</v>
      </c>
      <c r="GX324" s="1364">
        <f t="shared" si="211"/>
        <v>28.3</v>
      </c>
      <c r="GZ324" s="771">
        <v>1998</v>
      </c>
      <c r="HA324" s="2132">
        <v>686.8</v>
      </c>
      <c r="HB324" s="2132">
        <f t="shared" si="212"/>
        <v>821.04340000000002</v>
      </c>
      <c r="HC324" s="2132">
        <f t="shared" si="213"/>
        <v>807.4396999999999</v>
      </c>
      <c r="HD324" s="1328">
        <f t="shared" si="214"/>
        <v>12.7</v>
      </c>
    </row>
    <row r="325" spans="95:212" ht="17.399999999999999">
      <c r="CQ325" s="1806">
        <v>2004</v>
      </c>
      <c r="CR325" s="2132">
        <f t="shared" si="206"/>
        <v>3205.2</v>
      </c>
      <c r="CS325" s="2119">
        <v>3.2051999999999996</v>
      </c>
      <c r="CT325" s="831"/>
      <c r="CU325" s="2119">
        <f t="shared" si="208"/>
        <v>17.027166999999999</v>
      </c>
      <c r="CV325" s="2132">
        <v>17027.166999999998</v>
      </c>
      <c r="CW325" s="2131">
        <f t="shared" si="207"/>
        <v>18.824035730665003</v>
      </c>
      <c r="DL325" s="2452">
        <v>1999</v>
      </c>
      <c r="DM325" s="1382">
        <f>НАСТРОЙКА!DR140</f>
        <v>3.4030147788000007</v>
      </c>
      <c r="DN325" s="1034">
        <f t="shared" si="215"/>
        <v>24.62</v>
      </c>
      <c r="DO325" s="1382">
        <f t="shared" si="217"/>
        <v>0.62509999999999999</v>
      </c>
      <c r="DP325" s="1382">
        <f t="shared" si="210"/>
        <v>3.4030147788000007</v>
      </c>
      <c r="DQ325" s="838"/>
      <c r="DR325" s="1035">
        <f t="shared" si="216"/>
        <v>6.6238250000000001</v>
      </c>
      <c r="EG325" s="2108">
        <v>2001</v>
      </c>
      <c r="EH325" s="2455">
        <v>29.17</v>
      </c>
      <c r="EI325" s="1492"/>
      <c r="EJ325" s="1036">
        <v>8.1</v>
      </c>
      <c r="EK325" s="1810">
        <v>4.4078856579595858</v>
      </c>
      <c r="EL325" s="1810">
        <v>6.6999999999999993</v>
      </c>
      <c r="FB325" s="1492">
        <v>29.17</v>
      </c>
      <c r="FC325" s="1492">
        <v>6.6999999999999993</v>
      </c>
      <c r="GD325" s="771">
        <v>2001</v>
      </c>
      <c r="GE325" s="2475">
        <v>24.4</v>
      </c>
      <c r="GF325" s="830"/>
      <c r="GG325" s="1035"/>
      <c r="GW325" s="1364">
        <f t="shared" si="209"/>
        <v>24.4</v>
      </c>
      <c r="GX325" s="1364">
        <f t="shared" si="211"/>
        <v>24.4</v>
      </c>
      <c r="GZ325" s="771">
        <v>1999</v>
      </c>
      <c r="HA325" s="2132">
        <v>1213.5999999999999</v>
      </c>
      <c r="HB325" s="2132">
        <f t="shared" si="212"/>
        <v>2084.5850999999998</v>
      </c>
      <c r="HC325" s="2132">
        <f t="shared" si="213"/>
        <v>2129.4647999999997</v>
      </c>
      <c r="HD325" s="1328">
        <f t="shared" si="214"/>
        <v>17.7</v>
      </c>
    </row>
    <row r="326" spans="95:212" ht="17.399999999999999">
      <c r="CQ326" s="1806">
        <v>2005</v>
      </c>
      <c r="CR326" s="2132">
        <f t="shared" si="206"/>
        <v>4353.8999999999996</v>
      </c>
      <c r="CS326" s="2119">
        <v>4.3538999999999994</v>
      </c>
      <c r="CT326" s="831"/>
      <c r="CU326" s="2119">
        <f t="shared" si="208"/>
        <v>21.609765799999998</v>
      </c>
      <c r="CV326" s="2132">
        <v>21609.765799999997</v>
      </c>
      <c r="CW326" s="2131">
        <f t="shared" si="207"/>
        <v>20.147835197732682</v>
      </c>
      <c r="DL326" s="2452">
        <v>2000</v>
      </c>
      <c r="DM326" s="1382">
        <f>НАСТРОЙКА!DR141</f>
        <v>4.0904237641176007</v>
      </c>
      <c r="DN326" s="1034">
        <f t="shared" si="215"/>
        <v>28.14</v>
      </c>
      <c r="DO326" s="1382">
        <f t="shared" si="217"/>
        <v>0.71460000000000001</v>
      </c>
      <c r="DP326" s="1382">
        <f t="shared" si="210"/>
        <v>4.0904237641176007</v>
      </c>
      <c r="DQ326" s="838"/>
      <c r="DR326" s="1035">
        <f t="shared" si="216"/>
        <v>7.5709499999999998</v>
      </c>
      <c r="EG326" s="2108">
        <v>2002</v>
      </c>
      <c r="EH326" s="2455">
        <v>31.35</v>
      </c>
      <c r="EI326" s="1492"/>
      <c r="EJ326" s="1036">
        <v>9.17</v>
      </c>
      <c r="EK326" s="1810">
        <v>5.0943085606773284</v>
      </c>
      <c r="EL326" s="1810">
        <v>7.9999999999999991</v>
      </c>
      <c r="FB326" s="1492">
        <v>31.35</v>
      </c>
      <c r="FC326" s="1492">
        <v>7.9999999999999991</v>
      </c>
      <c r="GD326" s="771">
        <v>2002</v>
      </c>
      <c r="GE326" s="2475">
        <v>25</v>
      </c>
      <c r="GF326" s="830"/>
      <c r="GG326" s="1035"/>
      <c r="GW326" s="1364">
        <f t="shared" si="209"/>
        <v>25</v>
      </c>
      <c r="GX326" s="1364">
        <f t="shared" si="211"/>
        <v>25</v>
      </c>
      <c r="GZ326" s="771">
        <v>2000</v>
      </c>
      <c r="HA326" s="2132">
        <v>2097.6999999999998</v>
      </c>
      <c r="HB326" s="2132">
        <f t="shared" si="212"/>
        <v>3218.8663000000001</v>
      </c>
      <c r="HC326" s="2132">
        <f t="shared" si="213"/>
        <v>3419.3656999999998</v>
      </c>
      <c r="HD326" s="1328">
        <f t="shared" si="214"/>
        <v>28.3</v>
      </c>
    </row>
    <row r="327" spans="95:212" ht="17.399999999999999">
      <c r="CQ327" s="1806">
        <v>2006</v>
      </c>
      <c r="CR327" s="2132">
        <f t="shared" si="206"/>
        <v>6032.1</v>
      </c>
      <c r="CS327" s="2119">
        <v>6.0321000000000007</v>
      </c>
      <c r="CT327" s="1035">
        <f>CS327</f>
        <v>6.0321000000000007</v>
      </c>
      <c r="CU327" s="2119">
        <f t="shared" si="208"/>
        <v>26.917203699999998</v>
      </c>
      <c r="CV327" s="2132">
        <v>26917.203699999998</v>
      </c>
      <c r="CW327" s="2131">
        <f t="shared" si="207"/>
        <v>22.40983152347285</v>
      </c>
      <c r="DL327" s="2452">
        <v>2001</v>
      </c>
      <c r="DM327" s="1382">
        <f>НАСТРОЙКА!DR142</f>
        <v>4.8512425842434741</v>
      </c>
      <c r="DN327" s="1034">
        <f t="shared" si="215"/>
        <v>29.17</v>
      </c>
      <c r="DO327" s="1382">
        <f t="shared" si="217"/>
        <v>1.1505999999999998</v>
      </c>
      <c r="DP327" s="1382">
        <f t="shared" si="210"/>
        <v>4.8512425842434741</v>
      </c>
      <c r="DQ327" s="838"/>
      <c r="DR327" s="1035">
        <f t="shared" si="216"/>
        <v>8.1554500000000001</v>
      </c>
      <c r="EG327" s="2108">
        <v>2003</v>
      </c>
      <c r="EH327" s="2455">
        <v>30.69</v>
      </c>
      <c r="EI327" s="1492"/>
      <c r="EJ327" s="1036">
        <v>10.14</v>
      </c>
      <c r="EK327" s="1810">
        <v>5.7905304690925039</v>
      </c>
      <c r="EL327" s="1810">
        <v>9.2999999999999989</v>
      </c>
      <c r="FB327" s="1492">
        <v>30.69</v>
      </c>
      <c r="FC327" s="1492">
        <v>9.2999999999999989</v>
      </c>
      <c r="GD327" s="771">
        <v>2003</v>
      </c>
      <c r="GE327" s="2475">
        <v>28.9</v>
      </c>
      <c r="GF327" s="830"/>
      <c r="GG327" s="1035"/>
      <c r="GW327" s="1364">
        <f t="shared" si="209"/>
        <v>28.9</v>
      </c>
      <c r="GX327" s="1364">
        <f t="shared" si="211"/>
        <v>28.9</v>
      </c>
      <c r="GZ327" s="771">
        <v>2001</v>
      </c>
      <c r="HA327" s="2132">
        <v>2683.7</v>
      </c>
      <c r="HB327" s="2132">
        <f t="shared" si="212"/>
        <v>3299.5617000000002</v>
      </c>
      <c r="HC327" s="2132">
        <f t="shared" si="213"/>
        <v>3757.9725999999996</v>
      </c>
      <c r="HD327" s="1328">
        <f t="shared" si="214"/>
        <v>24.4</v>
      </c>
    </row>
    <row r="328" spans="95:212" ht="17.399999999999999">
      <c r="CQ328" s="1806">
        <v>2007</v>
      </c>
      <c r="CR328" s="2132">
        <f t="shared" si="206"/>
        <v>8970.7000000000007</v>
      </c>
      <c r="CS328" s="2119">
        <v>8.9707000000000008</v>
      </c>
      <c r="CT328" s="1035">
        <f t="shared" ref="CT328:CT340" si="218">CS328</f>
        <v>8.9707000000000008</v>
      </c>
      <c r="CU328" s="2119">
        <f t="shared" si="208"/>
        <v>33.2475132</v>
      </c>
      <c r="CV328" s="2132">
        <v>33247.513200000001</v>
      </c>
      <c r="CW328" s="2131">
        <f t="shared" si="207"/>
        <v>26.981566849938119</v>
      </c>
      <c r="DL328" s="2452">
        <v>2002</v>
      </c>
      <c r="DM328" s="1382">
        <f>НАСТРОЙКА!DR143</f>
        <v>5.5837802144642392</v>
      </c>
      <c r="DN328" s="1034">
        <f t="shared" si="215"/>
        <v>31.35</v>
      </c>
      <c r="DO328" s="1382">
        <f t="shared" si="217"/>
        <v>1.6094000000000002</v>
      </c>
      <c r="DP328" s="1382">
        <f t="shared" si="210"/>
        <v>5.5837802144642392</v>
      </c>
      <c r="DQ328" s="838"/>
      <c r="DR328" s="1035">
        <f t="shared" si="216"/>
        <v>9.044550000000001</v>
      </c>
      <c r="EG328" s="2108">
        <v>2004</v>
      </c>
      <c r="EH328" s="2455">
        <v>28.81</v>
      </c>
      <c r="EI328" s="1492"/>
      <c r="EJ328" s="1036">
        <v>11.55</v>
      </c>
      <c r="EK328" s="1810">
        <v>6.9669394435351881</v>
      </c>
      <c r="EL328" s="1810">
        <v>10.599999999999998</v>
      </c>
      <c r="FB328" s="1492">
        <v>28.81</v>
      </c>
      <c r="FC328" s="1492">
        <v>10.599999999999998</v>
      </c>
      <c r="GD328" s="771">
        <v>2004</v>
      </c>
      <c r="GE328" s="2475">
        <v>38.299999999999997</v>
      </c>
      <c r="GF328" s="830"/>
      <c r="GG328" s="1035"/>
      <c r="GW328" s="1364">
        <f t="shared" si="209"/>
        <v>38.299999999999997</v>
      </c>
      <c r="GX328" s="1364">
        <f t="shared" si="211"/>
        <v>38.299999999999997</v>
      </c>
      <c r="GZ328" s="771">
        <v>2002</v>
      </c>
      <c r="HA328" s="2132">
        <v>3519.2</v>
      </c>
      <c r="HB328" s="2132">
        <f t="shared" si="212"/>
        <v>3813.7</v>
      </c>
      <c r="HC328" s="2132">
        <f t="shared" si="213"/>
        <v>4220.6663999999982</v>
      </c>
      <c r="HD328" s="1328">
        <f t="shared" si="214"/>
        <v>25</v>
      </c>
    </row>
    <row r="329" spans="95:212" ht="17.399999999999999">
      <c r="CQ329" s="1806">
        <v>2008</v>
      </c>
      <c r="CR329" s="2132">
        <f t="shared" si="206"/>
        <v>12869</v>
      </c>
      <c r="CS329" s="2119">
        <v>12.869</v>
      </c>
      <c r="CT329" s="1035">
        <f t="shared" si="218"/>
        <v>12.869</v>
      </c>
      <c r="CU329" s="2119">
        <f t="shared" si="208"/>
        <v>41.276849199999994</v>
      </c>
      <c r="CV329" s="2132">
        <v>41276.849199999997</v>
      </c>
      <c r="CW329" s="2131">
        <f t="shared" si="207"/>
        <v>31.177282785431213</v>
      </c>
      <c r="DL329" s="2452">
        <v>2003</v>
      </c>
      <c r="DM329" s="1382">
        <f>НАСТРОЙКА!DR144</f>
        <v>6.2538338401999489</v>
      </c>
      <c r="DN329" s="1034">
        <f t="shared" si="215"/>
        <v>30.69</v>
      </c>
      <c r="DO329" s="1382">
        <f t="shared" si="217"/>
        <v>2.1305000000000001</v>
      </c>
      <c r="DP329" s="1382">
        <f t="shared" si="210"/>
        <v>6.2538338401999489</v>
      </c>
      <c r="DQ329" s="838"/>
      <c r="DR329" s="1035">
        <f t="shared" si="216"/>
        <v>9.2703750000000014</v>
      </c>
      <c r="EG329" s="2108">
        <v>2005</v>
      </c>
      <c r="EH329" s="2455">
        <v>28.3</v>
      </c>
      <c r="EI329" s="1492"/>
      <c r="EJ329" s="1036">
        <v>12.74</v>
      </c>
      <c r="EK329" s="1810">
        <v>8.311461538461538</v>
      </c>
      <c r="EL329" s="1810">
        <v>11.899999999999999</v>
      </c>
      <c r="FB329" s="1492">
        <v>28.3</v>
      </c>
      <c r="FC329" s="1492">
        <v>11.899999999999999</v>
      </c>
      <c r="GD329" s="771">
        <v>2005</v>
      </c>
      <c r="GE329" s="2475">
        <v>54.4</v>
      </c>
      <c r="GF329" s="830"/>
      <c r="GG329" s="1035"/>
      <c r="GW329" s="1364">
        <f t="shared" si="209"/>
        <v>54.4</v>
      </c>
      <c r="GX329" s="1364">
        <f t="shared" si="211"/>
        <v>54.4</v>
      </c>
      <c r="GZ329" s="771">
        <v>2003</v>
      </c>
      <c r="HA329" s="2132">
        <v>4138.7</v>
      </c>
      <c r="HB329" s="2132">
        <f t="shared" si="212"/>
        <v>4655.8802999999998</v>
      </c>
      <c r="HC329" s="2132">
        <f t="shared" si="213"/>
        <v>5224.5250999999989</v>
      </c>
      <c r="HD329" s="1328">
        <f t="shared" si="214"/>
        <v>28.9</v>
      </c>
    </row>
    <row r="330" spans="95:212" ht="17.399999999999999">
      <c r="CQ330" s="1806">
        <v>2009</v>
      </c>
      <c r="CR330" s="2132">
        <f t="shared" si="206"/>
        <v>12975.9</v>
      </c>
      <c r="CS330" s="2119">
        <v>12.975899999999999</v>
      </c>
      <c r="CT330" s="1035">
        <f t="shared" si="218"/>
        <v>12.975899999999999</v>
      </c>
      <c r="CU330" s="2119">
        <f t="shared" si="208"/>
        <v>38.807270899999999</v>
      </c>
      <c r="CV330" s="2132">
        <v>38807.270899999996</v>
      </c>
      <c r="CW330" s="2131">
        <f t="shared" si="207"/>
        <v>33.436775374998092</v>
      </c>
      <c r="DL330" s="2452">
        <v>2004</v>
      </c>
      <c r="DM330" s="1382">
        <f>НАСТРОЙКА!DR145</f>
        <v>6.9855323995033425</v>
      </c>
      <c r="DN330" s="1034">
        <f t="shared" si="215"/>
        <v>28.81</v>
      </c>
      <c r="DO330" s="1382">
        <f t="shared" si="217"/>
        <v>3.2051999999999996</v>
      </c>
      <c r="DP330" s="1382">
        <f t="shared" si="210"/>
        <v>6.9855323995033425</v>
      </c>
      <c r="DQ330" s="838"/>
      <c r="DR330" s="1035">
        <f t="shared" si="216"/>
        <v>9.6063999999999989</v>
      </c>
      <c r="EG330" s="2108">
        <v>2006</v>
      </c>
      <c r="EH330" s="2455">
        <v>27.17</v>
      </c>
      <c r="EI330" s="1492"/>
      <c r="EJ330" s="1036">
        <v>14.2</v>
      </c>
      <c r="EK330" s="1810">
        <v>9.5722617354196302</v>
      </c>
      <c r="EL330" s="1810">
        <v>13.2</v>
      </c>
      <c r="FB330" s="1492">
        <v>27.17</v>
      </c>
      <c r="FC330" s="1492">
        <v>13.2</v>
      </c>
      <c r="GD330" s="771">
        <v>2006</v>
      </c>
      <c r="GE330" s="2475">
        <v>65.400000000000006</v>
      </c>
      <c r="GF330" s="830"/>
      <c r="GG330" s="1035"/>
      <c r="GW330" s="1364">
        <f t="shared" si="209"/>
        <v>65.400000000000006</v>
      </c>
      <c r="GX330" s="1364">
        <f t="shared" si="211"/>
        <v>65.400000000000006</v>
      </c>
      <c r="GZ330" s="771">
        <v>2004</v>
      </c>
      <c r="HA330" s="2132">
        <v>5429.9</v>
      </c>
      <c r="HB330" s="2132">
        <f t="shared" si="212"/>
        <v>5860.3968999999997</v>
      </c>
      <c r="HC330" s="2132">
        <f t="shared" si="213"/>
        <v>6554.3608999999979</v>
      </c>
      <c r="HD330" s="1328">
        <f t="shared" si="214"/>
        <v>38.299999999999997</v>
      </c>
    </row>
    <row r="331" spans="95:212" ht="17.399999999999999">
      <c r="CQ331" s="1806">
        <v>2010</v>
      </c>
      <c r="CR331" s="2132">
        <f t="shared" si="206"/>
        <v>15267.6</v>
      </c>
      <c r="CS331" s="2119">
        <v>15.2676</v>
      </c>
      <c r="CT331" s="1035">
        <f t="shared" si="218"/>
        <v>15.2676</v>
      </c>
      <c r="CU331" s="2119">
        <f t="shared" si="208"/>
        <v>46.308531000000009</v>
      </c>
      <c r="CV331" s="2132">
        <v>46308.53100000001</v>
      </c>
      <c r="CW331" s="2131">
        <f t="shared" si="207"/>
        <v>32.969303215426976</v>
      </c>
      <c r="DL331" s="2452">
        <v>2005</v>
      </c>
      <c r="DM331" s="1382">
        <f>НАСТРОЙКА!DR146</f>
        <v>7.7469554310492068</v>
      </c>
      <c r="DN331" s="1034">
        <f t="shared" si="215"/>
        <v>28.3</v>
      </c>
      <c r="DO331" s="1382">
        <f t="shared" si="217"/>
        <v>4.3538999999999994</v>
      </c>
      <c r="DP331" s="1382">
        <f t="shared" si="210"/>
        <v>7.7469554310492068</v>
      </c>
      <c r="DQ331" s="838"/>
      <c r="DR331" s="1035">
        <f t="shared" si="216"/>
        <v>10.340425</v>
      </c>
      <c r="EG331" s="2108">
        <v>2007</v>
      </c>
      <c r="EH331" s="2455">
        <v>25.58</v>
      </c>
      <c r="EI331" s="1492"/>
      <c r="EJ331" s="1036">
        <v>15.72</v>
      </c>
      <c r="EK331" s="1810">
        <v>10.89367627785059</v>
      </c>
      <c r="EL331" s="1810">
        <v>14.5</v>
      </c>
      <c r="FB331" s="1492">
        <v>25.58</v>
      </c>
      <c r="FC331" s="1492">
        <v>14.5</v>
      </c>
      <c r="GD331" s="771">
        <v>2007</v>
      </c>
      <c r="GE331" s="2475">
        <v>72.7</v>
      </c>
      <c r="GF331" s="830"/>
      <c r="GG331" s="1035"/>
      <c r="GW331" s="1364">
        <f t="shared" si="209"/>
        <v>72.7</v>
      </c>
      <c r="GX331" s="1364">
        <f t="shared" si="211"/>
        <v>72.7</v>
      </c>
      <c r="GZ331" s="771">
        <v>2005</v>
      </c>
      <c r="HA331" s="2132">
        <v>8579.6</v>
      </c>
      <c r="HB331" s="2132">
        <f t="shared" si="212"/>
        <v>7607.2565000000004</v>
      </c>
      <c r="HC331" s="2132">
        <f t="shared" si="213"/>
        <v>8334.9118999999992</v>
      </c>
      <c r="HD331" s="1328">
        <f t="shared" si="214"/>
        <v>54.4</v>
      </c>
    </row>
    <row r="332" spans="95:212" ht="17.399999999999999">
      <c r="CQ332" s="1806">
        <v>2011</v>
      </c>
      <c r="CR332" s="2132">
        <f t="shared" si="206"/>
        <v>20011.900000000001</v>
      </c>
      <c r="CS332" s="2119">
        <v>20.011900000000001</v>
      </c>
      <c r="CT332" s="1035">
        <f t="shared" si="218"/>
        <v>20.011900000000001</v>
      </c>
      <c r="CU332" s="2119">
        <f t="shared" si="208"/>
        <v>60.282540400000002</v>
      </c>
      <c r="CV332" s="2132">
        <v>60282.540400000005</v>
      </c>
      <c r="CW332" s="2131">
        <f t="shared" si="207"/>
        <v>33.196842513956163</v>
      </c>
      <c r="DL332" s="2452">
        <v>2006</v>
      </c>
      <c r="DM332" s="1382">
        <f>НАСТРОЙКА!DR147</f>
        <v>8.4441814198436358</v>
      </c>
      <c r="DN332" s="1034">
        <f t="shared" si="215"/>
        <v>27.17</v>
      </c>
      <c r="DO332" s="1382">
        <f t="shared" si="217"/>
        <v>6.0321000000000007</v>
      </c>
      <c r="DP332" s="1382">
        <f t="shared" si="210"/>
        <v>8.4441814198436358</v>
      </c>
      <c r="DQ332" s="838"/>
      <c r="DR332" s="1035">
        <f t="shared" si="216"/>
        <v>11.316575</v>
      </c>
      <c r="EG332" s="2108">
        <v>2008</v>
      </c>
      <c r="EH332" s="2455">
        <v>24.86</v>
      </c>
      <c r="EI332" s="1492"/>
      <c r="EJ332" s="1036">
        <v>18.22</v>
      </c>
      <c r="EK332" s="1810">
        <v>12.84680983504513</v>
      </c>
      <c r="EL332" s="1810">
        <v>15.8</v>
      </c>
      <c r="FB332" s="1492">
        <v>24.86</v>
      </c>
      <c r="FC332" s="1492">
        <v>15.8</v>
      </c>
      <c r="GD332" s="771">
        <v>2008</v>
      </c>
      <c r="GE332" s="2475">
        <v>97.7</v>
      </c>
      <c r="GF332" s="830"/>
      <c r="GG332" s="1035"/>
      <c r="GW332" s="1364">
        <f t="shared" si="209"/>
        <v>97.7</v>
      </c>
      <c r="GX332" s="1364">
        <f t="shared" si="211"/>
        <v>97.7</v>
      </c>
      <c r="GZ332" s="771">
        <v>2006</v>
      </c>
      <c r="HA332" s="2132">
        <v>10625.8</v>
      </c>
      <c r="HB332" s="2132">
        <f t="shared" si="212"/>
        <v>9079.2999999999993</v>
      </c>
      <c r="HC332" s="2132">
        <f t="shared" si="213"/>
        <v>10048.0623</v>
      </c>
      <c r="HD332" s="1328">
        <f t="shared" si="214"/>
        <v>65.400000000000006</v>
      </c>
    </row>
    <row r="333" spans="95:212" ht="17.399999999999999">
      <c r="CQ333" s="1806">
        <v>2012</v>
      </c>
      <c r="CR333" s="2132">
        <f t="shared" si="206"/>
        <v>24204.799999999999</v>
      </c>
      <c r="CS333" s="2119">
        <v>24.204799999999999</v>
      </c>
      <c r="CT333" s="1035">
        <f t="shared" si="218"/>
        <v>24.204799999999999</v>
      </c>
      <c r="CU333" s="2119">
        <f t="shared" si="208"/>
        <v>68.163883100000007</v>
      </c>
      <c r="CV333" s="2132">
        <v>68163.883100000006</v>
      </c>
      <c r="CW333" s="2131">
        <f t="shared" si="207"/>
        <v>35.509714087870087</v>
      </c>
      <c r="DL333" s="2452">
        <v>2007</v>
      </c>
      <c r="DM333" s="1382">
        <f>НАСТРОЙКА!DR148</f>
        <v>9.4465057543790749</v>
      </c>
      <c r="DN333" s="1034">
        <f t="shared" si="215"/>
        <v>25.58</v>
      </c>
      <c r="DO333" s="1382">
        <f t="shared" si="217"/>
        <v>8.9707000000000008</v>
      </c>
      <c r="DP333" s="1382">
        <f t="shared" si="210"/>
        <v>9.4465057543790749</v>
      </c>
      <c r="DQ333" s="838"/>
      <c r="DR333" s="1035">
        <f t="shared" si="216"/>
        <v>13.123025</v>
      </c>
      <c r="EG333" s="2108">
        <v>2009</v>
      </c>
      <c r="EH333" s="2455">
        <v>31.83</v>
      </c>
      <c r="EI333" s="1492"/>
      <c r="EJ333" s="1036">
        <v>18.45</v>
      </c>
      <c r="EK333" s="1810">
        <v>13.10611279972982</v>
      </c>
      <c r="EL333" s="1810">
        <v>17.100000000000001</v>
      </c>
      <c r="FB333" s="1492">
        <v>31.83</v>
      </c>
      <c r="FC333" s="1492">
        <v>17.100000000000001</v>
      </c>
      <c r="GD333" s="771">
        <v>2009</v>
      </c>
      <c r="GE333" s="2475">
        <v>61.9</v>
      </c>
      <c r="GF333" s="830"/>
      <c r="GG333" s="1035"/>
      <c r="GW333" s="1364">
        <f t="shared" si="209"/>
        <v>61.9</v>
      </c>
      <c r="GX333" s="1364">
        <f t="shared" si="211"/>
        <v>61.9</v>
      </c>
      <c r="GZ333" s="771">
        <v>2007</v>
      </c>
      <c r="HA333" s="2132">
        <v>13368.262000000001</v>
      </c>
      <c r="HB333" s="2132">
        <f t="shared" si="212"/>
        <v>10028.7621</v>
      </c>
      <c r="HC333" s="2132">
        <f t="shared" si="213"/>
        <v>11346.638300000001</v>
      </c>
      <c r="HD333" s="1328">
        <f t="shared" si="214"/>
        <v>72.7</v>
      </c>
    </row>
    <row r="334" spans="95:212" ht="17.399999999999999">
      <c r="CQ334" s="1806">
        <v>2013</v>
      </c>
      <c r="CR334" s="2132">
        <f t="shared" si="206"/>
        <v>27164.6</v>
      </c>
      <c r="CS334" s="2119">
        <v>27.1646</v>
      </c>
      <c r="CT334" s="1035">
        <f t="shared" si="218"/>
        <v>27.1646</v>
      </c>
      <c r="CU334" s="2119">
        <f t="shared" si="208"/>
        <v>73.133895099999975</v>
      </c>
      <c r="CV334" s="2132">
        <v>73133.89509999998</v>
      </c>
      <c r="CW334" s="2131">
        <f t="shared" si="207"/>
        <v>37.143652697366051</v>
      </c>
      <c r="DL334" s="2452">
        <v>2008</v>
      </c>
      <c r="DM334" s="1382">
        <f>НАСТРОЙКА!DR149</f>
        <v>10.701001718560617</v>
      </c>
      <c r="DN334" s="1034">
        <f t="shared" si="215"/>
        <v>24.86</v>
      </c>
      <c r="DO334" s="1382">
        <f t="shared" si="217"/>
        <v>12.869</v>
      </c>
      <c r="DP334" s="1382">
        <f t="shared" si="210"/>
        <v>10.701001718560617</v>
      </c>
      <c r="DQ334" s="838"/>
      <c r="DR334" s="1035">
        <f t="shared" si="216"/>
        <v>15.86675</v>
      </c>
      <c r="EG334" s="2108">
        <v>2010</v>
      </c>
      <c r="EH334" s="2455">
        <v>30.36</v>
      </c>
      <c r="EI334" s="1492"/>
      <c r="EJ334" s="1036">
        <v>19.100000000000001</v>
      </c>
      <c r="EK334" s="1810">
        <v>14.962358642972536</v>
      </c>
      <c r="EL334" s="1810">
        <v>18.400000000000002</v>
      </c>
      <c r="FB334" s="1492">
        <v>30.36</v>
      </c>
      <c r="FC334" s="1492">
        <v>18.400000000000002</v>
      </c>
      <c r="GD334" s="771">
        <v>2010</v>
      </c>
      <c r="GE334" s="2475">
        <v>79.599999999999994</v>
      </c>
      <c r="GF334" s="830"/>
      <c r="GG334" s="1035"/>
      <c r="GW334" s="1364">
        <f t="shared" si="209"/>
        <v>79.599999999999994</v>
      </c>
      <c r="GX334" s="1364">
        <f t="shared" si="211"/>
        <v>79.599999999999994</v>
      </c>
      <c r="GZ334" s="771">
        <v>2008</v>
      </c>
      <c r="HA334" s="2132">
        <v>16003.86</v>
      </c>
      <c r="HB334" s="2132">
        <f t="shared" si="212"/>
        <v>12923.5537</v>
      </c>
      <c r="HC334" s="2132">
        <f t="shared" si="213"/>
        <v>14668.053799999998</v>
      </c>
      <c r="HD334" s="1328">
        <f t="shared" si="214"/>
        <v>97.7</v>
      </c>
    </row>
    <row r="335" spans="95:212" ht="17.399999999999999">
      <c r="CQ335" s="1806">
        <v>2014</v>
      </c>
      <c r="CR335" s="2132">
        <f t="shared" si="206"/>
        <v>31155.599999999999</v>
      </c>
      <c r="CS335" s="2119">
        <v>31.1556</v>
      </c>
      <c r="CT335" s="1035">
        <f t="shared" si="218"/>
        <v>31.1556</v>
      </c>
      <c r="CU335" s="2119">
        <f t="shared" si="208"/>
        <v>79.058000000000007</v>
      </c>
      <c r="CV335" s="2132">
        <v>79058</v>
      </c>
      <c r="CW335" s="2131">
        <f t="shared" si="207"/>
        <v>39.408535505578186</v>
      </c>
      <c r="DL335" s="2452">
        <v>2009</v>
      </c>
      <c r="DM335" s="1382">
        <f>НАСТРОЙКА!DR150</f>
        <v>11.642689869793951</v>
      </c>
      <c r="DN335" s="1034">
        <f t="shared" si="215"/>
        <v>31.83</v>
      </c>
      <c r="DO335" s="1382">
        <f t="shared" si="217"/>
        <v>12.975899999999999</v>
      </c>
      <c r="DP335" s="1382">
        <f t="shared" si="210"/>
        <v>11.642689869793951</v>
      </c>
      <c r="DQ335" s="1382">
        <f t="shared" ref="DQ335:DQ345" si="219">DM335</f>
        <v>11.642689869793951</v>
      </c>
      <c r="DR335" s="1035">
        <f t="shared" si="216"/>
        <v>17.689425</v>
      </c>
      <c r="EG335" s="2108">
        <v>2011</v>
      </c>
      <c r="EH335" s="2455">
        <v>29.39</v>
      </c>
      <c r="EI335" s="1492"/>
      <c r="EJ335" s="1036">
        <v>19.399999999999999</v>
      </c>
      <c r="EK335" s="1810">
        <v>18.680663154632786</v>
      </c>
      <c r="EL335" s="1810">
        <v>19.700000000000003</v>
      </c>
      <c r="FB335" s="1492">
        <v>29.39</v>
      </c>
      <c r="FC335" s="1492">
        <v>19.700000000000003</v>
      </c>
      <c r="GD335" s="771">
        <v>2011</v>
      </c>
      <c r="GE335" s="2475">
        <v>111</v>
      </c>
      <c r="GF335" s="830"/>
      <c r="GG335" s="1035"/>
      <c r="GW335" s="1364">
        <f t="shared" si="209"/>
        <v>111</v>
      </c>
      <c r="GX335" s="1364">
        <f t="shared" si="211"/>
        <v>111</v>
      </c>
      <c r="GZ335" s="771">
        <v>2009</v>
      </c>
      <c r="HA335" s="2132">
        <v>13599.7</v>
      </c>
      <c r="HB335" s="2132">
        <f t="shared" si="212"/>
        <v>10842.0262</v>
      </c>
      <c r="HC335" s="2132">
        <f t="shared" si="213"/>
        <v>10210.714599999998</v>
      </c>
      <c r="HD335" s="1328">
        <f t="shared" si="214"/>
        <v>61.9</v>
      </c>
    </row>
    <row r="336" spans="95:212" ht="17.399999999999999">
      <c r="CQ336" s="1806">
        <v>2015</v>
      </c>
      <c r="CR336" s="2132">
        <f t="shared" si="206"/>
        <v>31615.7</v>
      </c>
      <c r="CS336" s="2119">
        <v>31.6157</v>
      </c>
      <c r="CT336" s="1035">
        <f t="shared" si="218"/>
        <v>31.6157</v>
      </c>
      <c r="CU336" s="2119">
        <f t="shared" si="208"/>
        <v>83.093999999999994</v>
      </c>
      <c r="CV336" s="2132">
        <v>83094</v>
      </c>
      <c r="CW336" s="2131">
        <f t="shared" si="207"/>
        <v>38.048114183936264</v>
      </c>
      <c r="DL336" s="2452">
        <v>2010</v>
      </c>
      <c r="DM336" s="1382">
        <f>НАСТРОЙКА!DR151</f>
        <v>12.664918040361862</v>
      </c>
      <c r="DN336" s="1034">
        <f t="shared" si="215"/>
        <v>30.36</v>
      </c>
      <c r="DO336" s="1382">
        <f t="shared" si="217"/>
        <v>15.2676</v>
      </c>
      <c r="DP336" s="1382"/>
      <c r="DQ336" s="1382">
        <f t="shared" si="219"/>
        <v>12.664918040361862</v>
      </c>
      <c r="DR336" s="1035">
        <f t="shared" si="216"/>
        <v>19.040700000000001</v>
      </c>
      <c r="EG336" s="2108">
        <v>2012</v>
      </c>
      <c r="EH336" s="2455">
        <v>32.19</v>
      </c>
      <c r="EI336" s="1492"/>
      <c r="EJ336" s="1036">
        <v>22.7</v>
      </c>
      <c r="EK336" s="1810">
        <v>20.420581186339124</v>
      </c>
      <c r="EL336" s="1810">
        <v>21.000000000000004</v>
      </c>
      <c r="FB336" s="1492">
        <v>31.08</v>
      </c>
      <c r="FC336" s="1492">
        <v>21.000000000000004</v>
      </c>
      <c r="GD336" s="771">
        <v>2012</v>
      </c>
      <c r="GE336" s="2475">
        <v>111.4</v>
      </c>
      <c r="GF336" s="830"/>
      <c r="GG336" s="1035"/>
      <c r="GW336" s="1364">
        <f t="shared" si="209"/>
        <v>111.4</v>
      </c>
      <c r="GX336" s="1364">
        <f t="shared" si="211"/>
        <v>111.4</v>
      </c>
      <c r="GZ336" s="771">
        <v>2010</v>
      </c>
      <c r="HA336" s="2132">
        <v>16031.9</v>
      </c>
      <c r="HB336" s="2132">
        <f t="shared" si="212"/>
        <v>13529.311</v>
      </c>
      <c r="HC336" s="2132">
        <f t="shared" si="213"/>
        <v>14849.832000000011</v>
      </c>
      <c r="HD336" s="1328">
        <f t="shared" si="214"/>
        <v>79.599999999999994</v>
      </c>
    </row>
    <row r="337" spans="95:212" ht="17.399999999999999">
      <c r="CQ337" s="1806">
        <v>2016</v>
      </c>
      <c r="CR337" s="2132">
        <f t="shared" si="206"/>
        <v>35179.699999999997</v>
      </c>
      <c r="CS337" s="2119">
        <v>35.179699999999997</v>
      </c>
      <c r="CT337" s="1035">
        <f t="shared" si="218"/>
        <v>35.179699999999997</v>
      </c>
      <c r="CU337" s="2119">
        <f t="shared" si="208"/>
        <v>86.013999999999996</v>
      </c>
      <c r="CV337" s="2132">
        <v>86014</v>
      </c>
      <c r="CW337" s="2131">
        <f t="shared" si="207"/>
        <v>40.899969772362631</v>
      </c>
      <c r="DL337" s="2452">
        <v>2011</v>
      </c>
      <c r="DM337" s="1382">
        <f>НАСТРОЙКА!DR152</f>
        <v>13.437478040823935</v>
      </c>
      <c r="DN337" s="1034">
        <f t="shared" si="215"/>
        <v>29.39</v>
      </c>
      <c r="DO337" s="1382">
        <f t="shared" si="217"/>
        <v>20.011900000000001</v>
      </c>
      <c r="DP337" s="1382"/>
      <c r="DQ337" s="1382">
        <f t="shared" si="219"/>
        <v>13.437478040823935</v>
      </c>
      <c r="DR337" s="1035">
        <f t="shared" si="216"/>
        <v>22.356425000000002</v>
      </c>
      <c r="EG337" s="2108">
        <v>2013</v>
      </c>
      <c r="EH337" s="2455">
        <v>30.37</v>
      </c>
      <c r="EI337" s="1492"/>
      <c r="EJ337" s="1036">
        <v>24.1</v>
      </c>
      <c r="EK337" s="1810">
        <v>20.943270332187858</v>
      </c>
      <c r="EL337" s="1810">
        <v>22.300000000000004</v>
      </c>
      <c r="FB337" s="1492">
        <v>31.85</v>
      </c>
      <c r="FC337" s="1492">
        <v>22.300000000000004</v>
      </c>
      <c r="GD337" s="771">
        <v>2013</v>
      </c>
      <c r="GE337" s="2475">
        <v>108.8</v>
      </c>
      <c r="GF337" s="830"/>
      <c r="GG337" s="1035"/>
      <c r="GW337" s="1364">
        <f t="shared" si="209"/>
        <v>108.8</v>
      </c>
      <c r="GX337" s="1364">
        <f t="shared" si="211"/>
        <v>108.8</v>
      </c>
      <c r="GZ337" s="771">
        <v>2011</v>
      </c>
      <c r="HA337" s="2132">
        <v>20855</v>
      </c>
      <c r="HB337" s="2132">
        <f t="shared" si="212"/>
        <v>16865.192199999998</v>
      </c>
      <c r="HC337" s="2132">
        <f t="shared" si="213"/>
        <v>20565.427600000003</v>
      </c>
      <c r="HD337" s="1328">
        <f t="shared" si="214"/>
        <v>111</v>
      </c>
    </row>
    <row r="338" spans="95:212" ht="17.399999999999999">
      <c r="CQ338" s="1806">
        <v>2017</v>
      </c>
      <c r="CR338" s="2132">
        <f t="shared" si="206"/>
        <v>38418</v>
      </c>
      <c r="CS338" s="2119">
        <v>38.417999999999999</v>
      </c>
      <c r="CT338" s="1035">
        <f t="shared" si="218"/>
        <v>38.417999999999999</v>
      </c>
      <c r="CU338" s="2119">
        <f t="shared" si="208"/>
        <v>92.100999999999999</v>
      </c>
      <c r="CV338" s="2132">
        <v>92101</v>
      </c>
      <c r="CW338" s="2131">
        <f t="shared" si="207"/>
        <v>41.712902140041912</v>
      </c>
      <c r="DL338" s="2452">
        <v>2012</v>
      </c>
      <c r="DM338" s="1382">
        <f>НАСТРОЙКА!DR153</f>
        <v>14.321664095910151</v>
      </c>
      <c r="DN338" s="1034">
        <f t="shared" si="215"/>
        <v>31.08</v>
      </c>
      <c r="DO338" s="1382">
        <f t="shared" si="217"/>
        <v>24.204799999999999</v>
      </c>
      <c r="DP338" s="1382"/>
      <c r="DQ338" s="1382">
        <f t="shared" si="219"/>
        <v>14.321664095910151</v>
      </c>
      <c r="DR338" s="1035">
        <f t="shared" si="216"/>
        <v>25.923599999999997</v>
      </c>
      <c r="EG338" s="2108">
        <v>2014</v>
      </c>
      <c r="EH338" s="2455">
        <v>32.65</v>
      </c>
      <c r="EI338" s="1492"/>
      <c r="EJ338" s="1036">
        <v>26</v>
      </c>
      <c r="EK338" s="1810">
        <v>22.259612141652614</v>
      </c>
      <c r="EL338" s="1810">
        <v>23.600000000000005</v>
      </c>
      <c r="FB338" s="1492">
        <v>32.729999999999997</v>
      </c>
      <c r="FC338" s="1492">
        <v>23.600000000000005</v>
      </c>
      <c r="GD338" s="771">
        <v>2014</v>
      </c>
      <c r="GE338" s="2475">
        <v>98.9</v>
      </c>
      <c r="GF338" s="830"/>
      <c r="GG338" s="1035"/>
      <c r="GW338" s="1364">
        <f t="shared" si="209"/>
        <v>98.9</v>
      </c>
      <c r="GX338" s="1364">
        <f t="shared" si="211"/>
        <v>98.9</v>
      </c>
      <c r="GZ338" s="771">
        <v>2012</v>
      </c>
      <c r="HA338" s="2132">
        <v>23435</v>
      </c>
      <c r="HB338" s="2132">
        <f t="shared" si="212"/>
        <v>18324.772300000001</v>
      </c>
      <c r="HC338" s="2132">
        <f t="shared" si="213"/>
        <v>22468.884300000005</v>
      </c>
      <c r="HD338" s="1328">
        <f t="shared" si="214"/>
        <v>111.4</v>
      </c>
    </row>
    <row r="339" spans="95:212" ht="17.399999999999999">
      <c r="CQ339" s="1806">
        <v>2018</v>
      </c>
      <c r="CR339" s="2132">
        <f t="shared" si="206"/>
        <v>42442.2</v>
      </c>
      <c r="CS339" s="2119">
        <v>42.4422</v>
      </c>
      <c r="CT339" s="1035">
        <f t="shared" si="218"/>
        <v>42.4422</v>
      </c>
      <c r="CU339" s="2119">
        <f t="shared" si="208"/>
        <v>103.876</v>
      </c>
      <c r="CV339" s="2132">
        <v>103876</v>
      </c>
      <c r="CW339" s="2131">
        <f t="shared" si="207"/>
        <v>40.858523624321307</v>
      </c>
      <c r="DL339" s="2452">
        <v>2013</v>
      </c>
      <c r="DM339" s="1382">
        <f>НАСТРОЙКА!DR154</f>
        <v>15.245411430096356</v>
      </c>
      <c r="DN339" s="1034">
        <f t="shared" si="215"/>
        <v>31.85</v>
      </c>
      <c r="DO339" s="1382">
        <f t="shared" si="217"/>
        <v>27.1646</v>
      </c>
      <c r="DP339" s="838"/>
      <c r="DQ339" s="1382">
        <f t="shared" si="219"/>
        <v>15.245411430096356</v>
      </c>
      <c r="DR339" s="1035">
        <f t="shared" si="216"/>
        <v>28.335949999999997</v>
      </c>
      <c r="EG339" s="2108">
        <v>2015</v>
      </c>
      <c r="EH339" s="2455">
        <v>56.23</v>
      </c>
      <c r="EI339" s="1492"/>
      <c r="EJ339" s="1036">
        <v>29.4</v>
      </c>
      <c r="EK339" s="1810">
        <v>24.01013532968615</v>
      </c>
      <c r="EL339" s="1810">
        <v>24.900000000000006</v>
      </c>
      <c r="FB339" s="1492">
        <v>56.26</v>
      </c>
      <c r="FC339" s="1492">
        <v>24.900000000000006</v>
      </c>
      <c r="GD339" s="771">
        <v>2015</v>
      </c>
      <c r="GE339" s="2475">
        <v>52.4</v>
      </c>
      <c r="GF339" s="830"/>
      <c r="GG339" s="1035"/>
      <c r="GW339" s="1364">
        <f t="shared" si="209"/>
        <v>52.4</v>
      </c>
      <c r="GX339" s="1364">
        <f t="shared" si="211"/>
        <v>52.4</v>
      </c>
      <c r="GZ339" s="771">
        <v>2013</v>
      </c>
      <c r="HA339" s="2132">
        <v>24442</v>
      </c>
      <c r="HB339" s="2132">
        <f t="shared" si="212"/>
        <v>18863.370199999998</v>
      </c>
      <c r="HC339" s="2132">
        <f t="shared" si="213"/>
        <v>22328.994099999989</v>
      </c>
      <c r="HD339" s="1328">
        <f t="shared" si="214"/>
        <v>108.8</v>
      </c>
    </row>
    <row r="340" spans="95:212" ht="17.399999999999999">
      <c r="CQ340" s="1806">
        <v>2019</v>
      </c>
      <c r="CR340" s="2132">
        <f t="shared" si="206"/>
        <v>47109.3</v>
      </c>
      <c r="CS340" s="2119">
        <v>47.109300000000005</v>
      </c>
      <c r="CT340" s="1035">
        <f t="shared" si="218"/>
        <v>47.109300000000005</v>
      </c>
      <c r="CU340" s="2119">
        <v>110.04600000000001</v>
      </c>
      <c r="CV340" s="2132"/>
      <c r="CW340" s="1328"/>
      <c r="DL340" s="2452">
        <v>2014</v>
      </c>
      <c r="DM340" s="1382">
        <f>НАСТРОЙКА!DR155</f>
        <v>17.318787384589459</v>
      </c>
      <c r="DN340" s="1034">
        <f t="shared" si="215"/>
        <v>32.729999999999997</v>
      </c>
      <c r="DO340" s="1382">
        <f t="shared" si="217"/>
        <v>31.1556</v>
      </c>
      <c r="DP340" s="838"/>
      <c r="DQ340" s="1382">
        <f t="shared" si="219"/>
        <v>17.318787384589459</v>
      </c>
      <c r="DR340" s="1035">
        <f t="shared" si="216"/>
        <v>31.549199999999999</v>
      </c>
      <c r="EG340" s="2108">
        <v>2016</v>
      </c>
      <c r="EH340" s="2455">
        <v>72.92</v>
      </c>
      <c r="EI340" s="1492"/>
      <c r="EJ340" s="2458"/>
      <c r="EK340" s="1810">
        <v>23.003631508678239</v>
      </c>
      <c r="EL340" s="1810">
        <v>26.200000000000006</v>
      </c>
      <c r="FB340" s="1492">
        <v>72.88</v>
      </c>
      <c r="FC340" s="1492">
        <v>26.200000000000006</v>
      </c>
      <c r="GD340" s="771">
        <v>2016</v>
      </c>
      <c r="GE340" s="2475">
        <v>44</v>
      </c>
      <c r="GF340" s="830"/>
      <c r="GG340" s="1035"/>
      <c r="GW340" s="1364">
        <f t="shared" si="209"/>
        <v>44</v>
      </c>
      <c r="GX340" s="1364">
        <f t="shared" si="211"/>
        <v>44</v>
      </c>
      <c r="GZ340" s="771">
        <v>2014</v>
      </c>
      <c r="HA340" s="2132">
        <v>26766</v>
      </c>
      <c r="HB340" s="2132">
        <f t="shared" si="212"/>
        <v>21425.934600000001</v>
      </c>
      <c r="HC340" s="2132">
        <f t="shared" si="213"/>
        <v>25406.479199999991</v>
      </c>
      <c r="HD340" s="1328">
        <f t="shared" si="214"/>
        <v>98.9</v>
      </c>
    </row>
    <row r="341" spans="95:212" ht="17.399999999999999">
      <c r="CQ341" s="1806">
        <v>2020</v>
      </c>
      <c r="CR341" s="762"/>
      <c r="CS341" s="830"/>
      <c r="CT341" s="831"/>
      <c r="CU341" s="1616"/>
      <c r="CV341" s="1188"/>
      <c r="CW341" s="2448"/>
      <c r="DL341" s="2452">
        <v>2015</v>
      </c>
      <c r="DM341" s="1382">
        <f>НАСТРОЙКА!DR156</f>
        <v>19.552910957201501</v>
      </c>
      <c r="DN341" s="1034">
        <f t="shared" si="215"/>
        <v>56.26</v>
      </c>
      <c r="DO341" s="1382">
        <f t="shared" si="217"/>
        <v>31.6157</v>
      </c>
      <c r="DP341" s="838"/>
      <c r="DQ341" s="1382">
        <f t="shared" si="219"/>
        <v>19.552910957201501</v>
      </c>
      <c r="DR341" s="1035">
        <f t="shared" si="216"/>
        <v>37.776775000000001</v>
      </c>
      <c r="EG341" s="2108">
        <v>2017</v>
      </c>
      <c r="EH341" s="2455">
        <v>60.65</v>
      </c>
      <c r="EI341" s="1492"/>
      <c r="EJ341" s="2458"/>
      <c r="EK341" s="1810">
        <v>23.0093</v>
      </c>
      <c r="EL341" s="1810">
        <v>27.500000000000007</v>
      </c>
      <c r="FB341" s="1492">
        <v>60.66</v>
      </c>
      <c r="FC341" s="1492">
        <v>27.500000000000007</v>
      </c>
      <c r="GD341" s="771">
        <v>2017</v>
      </c>
      <c r="GE341" s="2475">
        <v>55</v>
      </c>
      <c r="GF341" s="830"/>
      <c r="GG341" s="1035"/>
      <c r="GW341" s="1364">
        <f t="shared" si="209"/>
        <v>55</v>
      </c>
      <c r="GX341" s="1364">
        <f t="shared" si="211"/>
        <v>55</v>
      </c>
      <c r="GZ341" s="771">
        <v>2015</v>
      </c>
      <c r="HA341" s="2132">
        <v>26922</v>
      </c>
      <c r="HB341" s="2132">
        <f t="shared" si="212"/>
        <v>23854.05</v>
      </c>
      <c r="HC341" s="2132">
        <f t="shared" si="213"/>
        <v>28559.893</v>
      </c>
      <c r="HD341" s="1328">
        <f t="shared" si="214"/>
        <v>52.4</v>
      </c>
    </row>
    <row r="342" spans="95:212" ht="17.399999999999999">
      <c r="CQ342" s="1806">
        <v>2021</v>
      </c>
      <c r="CR342" s="1188"/>
      <c r="CS342" s="830"/>
      <c r="CT342" s="831"/>
      <c r="CU342" s="1616"/>
      <c r="CV342" s="1188"/>
      <c r="CW342" s="2448"/>
      <c r="DL342" s="2452">
        <v>2016</v>
      </c>
      <c r="DM342" s="1382">
        <f>НАСТРОЙКА!DR157</f>
        <v>20.606812857794662</v>
      </c>
      <c r="DN342" s="1034">
        <f t="shared" si="215"/>
        <v>72.88</v>
      </c>
      <c r="DO342" s="1382">
        <f t="shared" si="217"/>
        <v>35.179699999999997</v>
      </c>
      <c r="DP342" s="838"/>
      <c r="DQ342" s="1382">
        <f t="shared" si="219"/>
        <v>20.606812857794662</v>
      </c>
      <c r="DR342" s="1035">
        <f t="shared" si="216"/>
        <v>44.604774999999997</v>
      </c>
      <c r="EG342" s="2108">
        <v>2018</v>
      </c>
      <c r="EH342" s="2455">
        <v>57.6</v>
      </c>
      <c r="EI342" s="1492">
        <f>EH342</f>
        <v>57.6</v>
      </c>
      <c r="EJ342" s="2458"/>
      <c r="EK342" s="1810">
        <v>24.86</v>
      </c>
      <c r="EL342" s="1810">
        <v>28.800000000000008</v>
      </c>
      <c r="FB342" s="1492">
        <v>57.6</v>
      </c>
      <c r="FC342" s="1492">
        <v>28.800000000000008</v>
      </c>
      <c r="GD342" s="771">
        <v>2018</v>
      </c>
      <c r="GE342" s="2475">
        <v>70</v>
      </c>
      <c r="GF342" s="830"/>
      <c r="GG342" s="1035"/>
      <c r="GW342" s="1364">
        <f t="shared" si="209"/>
        <v>70</v>
      </c>
      <c r="GX342" s="1364">
        <f t="shared" si="211"/>
        <v>70</v>
      </c>
      <c r="GZ342" s="771">
        <v>2016</v>
      </c>
      <c r="HA342" s="2132">
        <v>28182</v>
      </c>
      <c r="HB342" s="2132">
        <f t="shared" si="212"/>
        <v>22137.648000000001</v>
      </c>
      <c r="HC342" s="2132">
        <f t="shared" si="213"/>
        <v>27631.494999999999</v>
      </c>
      <c r="HD342" s="1328">
        <f t="shared" si="214"/>
        <v>44</v>
      </c>
    </row>
    <row r="343" spans="95:212" ht="18">
      <c r="CQ343" s="1806">
        <v>2022</v>
      </c>
      <c r="CR343" s="1188"/>
      <c r="CS343" s="830"/>
      <c r="CT343" s="831"/>
      <c r="CU343" s="1616"/>
      <c r="CV343" s="1188"/>
      <c r="CW343" s="2448"/>
      <c r="DL343" s="2452">
        <v>2017</v>
      </c>
      <c r="DM343" s="1382">
        <f>НАСТРОЙКА!DR158</f>
        <v>21.124043860525305</v>
      </c>
      <c r="DN343" s="1034">
        <f t="shared" si="215"/>
        <v>60.66</v>
      </c>
      <c r="DO343" s="1382">
        <f t="shared" si="217"/>
        <v>38.417999999999999</v>
      </c>
      <c r="DP343" s="1805"/>
      <c r="DQ343" s="1382">
        <f t="shared" si="219"/>
        <v>21.124043860525305</v>
      </c>
      <c r="DR343" s="1035">
        <f t="shared" si="216"/>
        <v>43.978499999999997</v>
      </c>
      <c r="EG343" s="2108">
        <v>2019</v>
      </c>
      <c r="EH343" s="2455">
        <v>69.47</v>
      </c>
      <c r="EI343" s="1492">
        <f t="shared" ref="EI343:EI345" si="220">EH343</f>
        <v>69.47</v>
      </c>
      <c r="EJ343" s="364"/>
      <c r="EK343" s="1810">
        <v>25.9</v>
      </c>
      <c r="EL343" s="1810">
        <v>30.100000000000009</v>
      </c>
      <c r="FB343" s="1492">
        <f>EH343</f>
        <v>69.47</v>
      </c>
      <c r="FC343" s="1492">
        <v>30.100000000000009</v>
      </c>
      <c r="GD343" s="771">
        <v>2019</v>
      </c>
      <c r="GE343" s="2475">
        <v>72</v>
      </c>
      <c r="GF343" s="830"/>
      <c r="GG343" s="1036">
        <f>GE343</f>
        <v>72</v>
      </c>
      <c r="GW343" s="1364">
        <f t="shared" si="209"/>
        <v>72</v>
      </c>
      <c r="GX343" s="1364">
        <f t="shared" si="211"/>
        <v>72</v>
      </c>
      <c r="GZ343" s="771">
        <v>2017</v>
      </c>
      <c r="HA343" s="2132">
        <v>31047</v>
      </c>
      <c r="HB343" s="2132">
        <f t="shared" si="212"/>
        <v>23994.3</v>
      </c>
      <c r="HC343" s="2132">
        <f t="shared" si="213"/>
        <v>30155.721999999994</v>
      </c>
      <c r="HD343" s="1328">
        <f t="shared" si="214"/>
        <v>55</v>
      </c>
    </row>
    <row r="344" spans="95:212" ht="18">
      <c r="CQ344" s="1806">
        <v>2023</v>
      </c>
      <c r="CR344" s="1188"/>
      <c r="CS344" s="830"/>
      <c r="CT344" s="831"/>
      <c r="CU344" s="1616"/>
      <c r="CV344" s="1188"/>
      <c r="CW344" s="2448"/>
      <c r="DL344" s="2452">
        <v>2018</v>
      </c>
      <c r="DM344" s="1382">
        <f>НАСТРОЙКА!DR159</f>
        <v>22.02392812898368</v>
      </c>
      <c r="DN344" s="1034">
        <f t="shared" si="215"/>
        <v>57.6</v>
      </c>
      <c r="DO344" s="1382">
        <f t="shared" si="217"/>
        <v>42.4422</v>
      </c>
      <c r="DP344" s="1805"/>
      <c r="DQ344" s="1382">
        <f t="shared" si="219"/>
        <v>22.02392812898368</v>
      </c>
      <c r="DR344" s="1035">
        <f t="shared" si="216"/>
        <v>46.231650000000002</v>
      </c>
      <c r="EG344" s="2108">
        <v>2020</v>
      </c>
      <c r="EH344" s="2455">
        <v>61.9</v>
      </c>
      <c r="EI344" s="1492">
        <f t="shared" si="220"/>
        <v>61.9</v>
      </c>
      <c r="EJ344" s="364"/>
      <c r="EK344" s="1810"/>
      <c r="EL344" s="1810">
        <v>31.400000000000009</v>
      </c>
      <c r="FB344" s="1492">
        <f t="shared" ref="FB344:FB353" si="221">EI344</f>
        <v>61.9</v>
      </c>
      <c r="FC344" s="1492">
        <v>31.400000000000009</v>
      </c>
      <c r="GD344" s="771">
        <v>2020</v>
      </c>
      <c r="GE344" s="2476"/>
      <c r="GF344" s="830"/>
      <c r="GG344" s="1036">
        <v>40</v>
      </c>
      <c r="GW344" s="1364">
        <f t="shared" ref="GW344:GW353" si="222">GG344</f>
        <v>40</v>
      </c>
      <c r="GX344" s="1364"/>
      <c r="GZ344" s="771">
        <v>2018</v>
      </c>
      <c r="HA344" s="2132">
        <v>37320</v>
      </c>
      <c r="HB344" s="2132">
        <f t="shared" si="212"/>
        <v>31932.55</v>
      </c>
      <c r="HC344" s="2132">
        <f t="shared" si="213"/>
        <v>37948.993999999992</v>
      </c>
      <c r="HD344" s="1328">
        <f t="shared" si="214"/>
        <v>70</v>
      </c>
    </row>
    <row r="345" spans="95:212" ht="18">
      <c r="CQ345" s="1185">
        <v>2024</v>
      </c>
      <c r="CR345" s="1188"/>
      <c r="CS345" s="830"/>
      <c r="CT345" s="831"/>
      <c r="CU345" s="1616"/>
      <c r="CV345" s="1188"/>
      <c r="CW345" s="2448"/>
      <c r="DL345" s="2452">
        <v>2019</v>
      </c>
      <c r="DM345" s="1382">
        <f>НАСТРОЙКА!DR160</f>
        <v>22.693455544104783</v>
      </c>
      <c r="DN345" s="1034">
        <f t="shared" si="215"/>
        <v>69.47</v>
      </c>
      <c r="DO345" s="1382">
        <f t="shared" si="217"/>
        <v>47.109300000000005</v>
      </c>
      <c r="DP345" s="1805"/>
      <c r="DQ345" s="1382">
        <f t="shared" si="219"/>
        <v>22.693455544104783</v>
      </c>
      <c r="DR345" s="1035">
        <f t="shared" si="216"/>
        <v>52.699475</v>
      </c>
      <c r="EG345" s="2108">
        <v>2021</v>
      </c>
      <c r="EH345" s="2455">
        <v>73.87</v>
      </c>
      <c r="EI345" s="1492">
        <f t="shared" si="220"/>
        <v>73.87</v>
      </c>
      <c r="EJ345" s="437"/>
      <c r="EK345" s="1810"/>
      <c r="EL345" s="1810">
        <f>EL344+1.3</f>
        <v>32.70000000000001</v>
      </c>
      <c r="FB345" s="1492">
        <f t="shared" si="221"/>
        <v>73.87</v>
      </c>
      <c r="FC345" s="1492">
        <v>32.70000000000001</v>
      </c>
      <c r="GD345" s="771">
        <v>2021</v>
      </c>
      <c r="GE345" s="763"/>
      <c r="GF345" s="830"/>
      <c r="GG345" s="1036">
        <v>50</v>
      </c>
      <c r="GW345" s="1364">
        <f t="shared" si="222"/>
        <v>50</v>
      </c>
      <c r="GX345" s="1364"/>
      <c r="GZ345" s="771">
        <v>2019</v>
      </c>
      <c r="HA345" s="2132"/>
      <c r="HB345" s="1671"/>
      <c r="HC345" s="1671"/>
      <c r="HD345" s="1328"/>
    </row>
    <row r="346" spans="95:212" ht="18">
      <c r="CQ346" s="1806">
        <v>2025</v>
      </c>
      <c r="CR346" s="1188"/>
      <c r="CS346" s="830"/>
      <c r="CT346" s="831"/>
      <c r="CU346" s="1616"/>
      <c r="CV346" s="1188"/>
      <c r="CW346" s="2448"/>
      <c r="DL346" s="2452">
        <v>2020</v>
      </c>
      <c r="DM346" s="1382">
        <f>НАСТРОЙКА!DR161</f>
        <v>23.807704211320324</v>
      </c>
      <c r="DN346" s="1034">
        <f t="shared" si="215"/>
        <v>61.9</v>
      </c>
      <c r="DO346" s="1382"/>
      <c r="DP346" s="1805"/>
      <c r="DQ346" s="1382"/>
      <c r="DR346" s="1035">
        <f t="shared" si="216"/>
        <v>15.475</v>
      </c>
      <c r="EG346" s="2108">
        <v>2022</v>
      </c>
      <c r="EH346" s="2455"/>
      <c r="EI346" s="1492">
        <f>EI345+1.3</f>
        <v>75.17</v>
      </c>
      <c r="EJ346" s="437"/>
      <c r="EK346" s="1502"/>
      <c r="EL346" s="1810">
        <f t="shared" ref="EL346:EL359" si="223">EL345+1.3</f>
        <v>34.000000000000007</v>
      </c>
      <c r="FB346" s="1492">
        <f t="shared" si="221"/>
        <v>75.17</v>
      </c>
      <c r="FC346" s="1492">
        <v>34.000000000000007</v>
      </c>
      <c r="GD346" s="771">
        <v>2022</v>
      </c>
      <c r="GE346" s="763"/>
      <c r="GF346" s="830"/>
      <c r="GG346" s="1036">
        <f>GG345+0.8*(GG345-GG344)</f>
        <v>58</v>
      </c>
      <c r="GW346" s="1364">
        <f t="shared" si="222"/>
        <v>58</v>
      </c>
      <c r="GX346" s="1364"/>
      <c r="GZ346" s="771">
        <v>2020</v>
      </c>
      <c r="HA346" s="762"/>
      <c r="HB346" s="1671"/>
      <c r="HC346" s="1671"/>
      <c r="HD346" s="1328"/>
    </row>
    <row r="347" spans="95:212" ht="18">
      <c r="CQ347" s="1185">
        <v>2026</v>
      </c>
      <c r="CR347" s="1188"/>
      <c r="CS347" s="830"/>
      <c r="CT347" s="831"/>
      <c r="CU347" s="1616"/>
      <c r="CV347" s="1188"/>
      <c r="CW347" s="2448"/>
      <c r="DL347" s="2452">
        <v>2021</v>
      </c>
      <c r="DM347" s="1382">
        <f>НАСТРОЙКА!DR162</f>
        <v>24.998089421886341</v>
      </c>
      <c r="DN347" s="1034">
        <f t="shared" si="215"/>
        <v>73.87</v>
      </c>
      <c r="DO347" s="1382"/>
      <c r="DP347" s="1805"/>
      <c r="DQ347" s="1382"/>
      <c r="DR347" s="1035">
        <f t="shared" si="216"/>
        <v>18.467500000000001</v>
      </c>
      <c r="EG347" s="2108">
        <v>2023</v>
      </c>
      <c r="EH347" s="2455"/>
      <c r="EI347" s="1492">
        <f t="shared" ref="EI347:EI359" si="224">EI346+1.3</f>
        <v>76.47</v>
      </c>
      <c r="EJ347" s="437"/>
      <c r="EK347" s="1502"/>
      <c r="EL347" s="1810">
        <f t="shared" si="223"/>
        <v>35.300000000000004</v>
      </c>
      <c r="FB347" s="1492">
        <f t="shared" si="221"/>
        <v>76.47</v>
      </c>
      <c r="FC347" s="1492">
        <v>35.300000000000004</v>
      </c>
      <c r="GD347" s="771">
        <v>2023</v>
      </c>
      <c r="GE347" s="763"/>
      <c r="GF347" s="830"/>
      <c r="GG347" s="1036">
        <f t="shared" ref="GG347:GG359" si="225">GG346+0.8*(GG346-GG345)</f>
        <v>64.400000000000006</v>
      </c>
      <c r="GW347" s="1364">
        <f t="shared" si="222"/>
        <v>64.400000000000006</v>
      </c>
      <c r="GX347" s="1364"/>
      <c r="GZ347" s="771">
        <v>2021</v>
      </c>
      <c r="HA347" s="762"/>
      <c r="HB347" s="1671"/>
      <c r="HC347" s="1671"/>
      <c r="HD347" s="1328"/>
    </row>
    <row r="348" spans="95:212" ht="18">
      <c r="CQ348" s="1806">
        <v>2027</v>
      </c>
      <c r="CR348" s="1188"/>
      <c r="CS348" s="830"/>
      <c r="CT348" s="831"/>
      <c r="CU348" s="1616"/>
      <c r="CV348" s="1188"/>
      <c r="CW348" s="2448"/>
      <c r="DL348" s="2452">
        <v>2022</v>
      </c>
      <c r="DM348" s="1382">
        <f>НАСТРОЙКА!DR163</f>
        <v>26.247993892980659</v>
      </c>
      <c r="DN348" s="1034">
        <f t="shared" si="215"/>
        <v>75.17</v>
      </c>
      <c r="DO348" s="1382"/>
      <c r="DP348" s="1805"/>
      <c r="DQ348" s="1382"/>
      <c r="DR348" s="1035">
        <f t="shared" si="216"/>
        <v>18.7925</v>
      </c>
      <c r="EG348" s="1185">
        <v>2024</v>
      </c>
      <c r="EH348" s="2455"/>
      <c r="EI348" s="1492">
        <f t="shared" si="224"/>
        <v>77.77</v>
      </c>
      <c r="EJ348" s="437"/>
      <c r="EK348" s="1502"/>
      <c r="EL348" s="1810">
        <f t="shared" si="223"/>
        <v>36.6</v>
      </c>
      <c r="FB348" s="1492">
        <f t="shared" si="221"/>
        <v>77.77</v>
      </c>
      <c r="FC348" s="1492">
        <v>36.6</v>
      </c>
      <c r="GD348" s="820">
        <v>2024</v>
      </c>
      <c r="GE348" s="763"/>
      <c r="GF348" s="830"/>
      <c r="GG348" s="1036">
        <f t="shared" si="225"/>
        <v>69.52000000000001</v>
      </c>
      <c r="GW348" s="1364">
        <f t="shared" si="222"/>
        <v>69.52000000000001</v>
      </c>
      <c r="GX348" s="1364"/>
      <c r="GZ348" s="771">
        <v>2022</v>
      </c>
      <c r="HA348" s="762"/>
      <c r="HB348" s="1671"/>
      <c r="HC348" s="1671"/>
      <c r="HD348" s="1328"/>
    </row>
    <row r="349" spans="95:212" ht="18">
      <c r="CQ349" s="1185">
        <v>2028</v>
      </c>
      <c r="CR349" s="1188"/>
      <c r="CS349" s="830"/>
      <c r="CT349" s="831"/>
      <c r="CU349" s="1616"/>
      <c r="CV349" s="1188"/>
      <c r="CW349" s="2448"/>
      <c r="DL349" s="2452">
        <v>2023</v>
      </c>
      <c r="DM349" s="1382">
        <f>НАСТРОЙКА!DR164</f>
        <v>27.560393587629694</v>
      </c>
      <c r="DN349" s="1034">
        <f t="shared" si="215"/>
        <v>76.47</v>
      </c>
      <c r="DO349" s="1382"/>
      <c r="DP349" s="1805"/>
      <c r="DQ349" s="1382"/>
      <c r="DR349" s="1035">
        <f t="shared" si="216"/>
        <v>19.1175</v>
      </c>
      <c r="EG349" s="2108">
        <v>2025</v>
      </c>
      <c r="EH349" s="2455"/>
      <c r="EI349" s="1492">
        <f t="shared" si="224"/>
        <v>79.069999999999993</v>
      </c>
      <c r="EJ349" s="437"/>
      <c r="EK349" s="1498"/>
      <c r="EL349" s="1810">
        <f t="shared" si="223"/>
        <v>37.9</v>
      </c>
      <c r="FB349" s="1492">
        <f t="shared" si="221"/>
        <v>79.069999999999993</v>
      </c>
      <c r="FC349" s="1492">
        <v>37.9</v>
      </c>
      <c r="GD349" s="771">
        <v>2025</v>
      </c>
      <c r="GE349" s="763"/>
      <c r="GF349" s="830"/>
      <c r="GG349" s="1036">
        <f t="shared" si="225"/>
        <v>73.616000000000014</v>
      </c>
      <c r="GW349" s="1364">
        <f t="shared" si="222"/>
        <v>73.616000000000014</v>
      </c>
      <c r="GX349" s="1364"/>
      <c r="GZ349" s="771">
        <v>2023</v>
      </c>
      <c r="HA349" s="762"/>
      <c r="HB349" s="1671"/>
      <c r="HC349" s="1671"/>
      <c r="HD349" s="1328"/>
    </row>
    <row r="350" spans="95:212" ht="18">
      <c r="CQ350" s="1806">
        <v>2029</v>
      </c>
      <c r="CR350" s="1188"/>
      <c r="CS350" s="830"/>
      <c r="CT350" s="831"/>
      <c r="CU350" s="1616"/>
      <c r="CV350" s="1188"/>
      <c r="CW350" s="2448"/>
      <c r="DL350" s="2452">
        <v>2024</v>
      </c>
      <c r="DM350" s="1382">
        <f>НАСТРОЙКА!DR165</f>
        <v>28.938413267011178</v>
      </c>
      <c r="DN350" s="1034">
        <f t="shared" si="215"/>
        <v>77.77</v>
      </c>
      <c r="DO350" s="1382"/>
      <c r="DP350" s="1805"/>
      <c r="DQ350" s="1382"/>
      <c r="DR350" s="1035">
        <f t="shared" si="216"/>
        <v>19.442499999999999</v>
      </c>
      <c r="EG350" s="1185">
        <v>2026</v>
      </c>
      <c r="EH350" s="2455"/>
      <c r="EI350" s="1492">
        <f t="shared" si="224"/>
        <v>80.36999999999999</v>
      </c>
      <c r="EJ350" s="437"/>
      <c r="EK350" s="1498"/>
      <c r="EL350" s="1810">
        <f t="shared" si="223"/>
        <v>39.199999999999996</v>
      </c>
      <c r="FB350" s="1492">
        <f t="shared" si="221"/>
        <v>80.36999999999999</v>
      </c>
      <c r="FC350" s="1492">
        <v>39.199999999999996</v>
      </c>
      <c r="GD350" s="820">
        <v>2026</v>
      </c>
      <c r="GE350" s="763"/>
      <c r="GF350" s="830"/>
      <c r="GG350" s="1036">
        <f t="shared" si="225"/>
        <v>76.892800000000022</v>
      </c>
      <c r="GW350" s="1364">
        <f t="shared" si="222"/>
        <v>76.892800000000022</v>
      </c>
      <c r="GX350" s="1364"/>
      <c r="GZ350" s="1005">
        <v>2024</v>
      </c>
      <c r="HA350" s="762"/>
      <c r="HB350" s="1671"/>
      <c r="HC350" s="1671"/>
      <c r="HD350" s="1328"/>
    </row>
    <row r="351" spans="95:212" ht="18">
      <c r="CQ351" s="1185">
        <v>2030</v>
      </c>
      <c r="CR351" s="1188"/>
      <c r="CS351" s="830"/>
      <c r="CT351" s="831"/>
      <c r="CU351" s="1616"/>
      <c r="CV351" s="1188"/>
      <c r="CW351" s="2448"/>
      <c r="DL351" s="2452">
        <v>2025</v>
      </c>
      <c r="DM351" s="1382">
        <f>НАСТРОЙКА!DR166</f>
        <v>30.385333930361739</v>
      </c>
      <c r="DN351" s="1034">
        <f t="shared" si="215"/>
        <v>79.069999999999993</v>
      </c>
      <c r="DO351" s="1382"/>
      <c r="DP351" s="1805"/>
      <c r="DQ351" s="1382"/>
      <c r="DR351" s="1035">
        <f t="shared" si="216"/>
        <v>19.767499999999998</v>
      </c>
      <c r="EG351" s="2108">
        <v>2027</v>
      </c>
      <c r="EH351" s="2455"/>
      <c r="EI351" s="1492">
        <f t="shared" si="224"/>
        <v>81.669999999999987</v>
      </c>
      <c r="EJ351" s="437"/>
      <c r="EK351" s="1498"/>
      <c r="EL351" s="1810">
        <f t="shared" si="223"/>
        <v>40.499999999999993</v>
      </c>
      <c r="FB351" s="1492">
        <f t="shared" si="221"/>
        <v>81.669999999999987</v>
      </c>
      <c r="FC351" s="1492">
        <v>40.499999999999993</v>
      </c>
      <c r="GD351" s="771">
        <v>2027</v>
      </c>
      <c r="GE351" s="763"/>
      <c r="GF351" s="830"/>
      <c r="GG351" s="1036">
        <f t="shared" si="225"/>
        <v>79.514240000000029</v>
      </c>
      <c r="GW351" s="1364">
        <f t="shared" si="222"/>
        <v>79.514240000000029</v>
      </c>
      <c r="GX351" s="1364"/>
      <c r="GZ351" s="771">
        <v>2025</v>
      </c>
      <c r="HA351" s="762"/>
      <c r="HB351" s="1671"/>
      <c r="HC351" s="1671"/>
      <c r="HD351" s="1328"/>
    </row>
    <row r="352" spans="95:212" ht="18">
      <c r="CQ352" s="1806">
        <v>2031</v>
      </c>
      <c r="CR352" s="1188"/>
      <c r="CS352" s="830"/>
      <c r="CT352" s="831"/>
      <c r="CU352" s="1616"/>
      <c r="CV352" s="1188"/>
      <c r="CW352" s="2448"/>
      <c r="DL352" s="2452">
        <v>2026</v>
      </c>
      <c r="DM352" s="1382">
        <f>НАСТРОЙКА!DR167</f>
        <v>31.904600626879827</v>
      </c>
      <c r="DN352" s="1034">
        <f t="shared" si="215"/>
        <v>80.36999999999999</v>
      </c>
      <c r="DO352" s="1382"/>
      <c r="DP352" s="1805"/>
      <c r="DQ352" s="1382"/>
      <c r="DR352" s="1035">
        <f t="shared" si="216"/>
        <v>20.092499999999998</v>
      </c>
      <c r="EG352" s="1185">
        <v>2028</v>
      </c>
      <c r="EH352" s="2455"/>
      <c r="EI352" s="1492">
        <f t="shared" si="224"/>
        <v>82.969999999999985</v>
      </c>
      <c r="EJ352" s="437"/>
      <c r="EK352" s="1498"/>
      <c r="EL352" s="1810">
        <f t="shared" si="223"/>
        <v>41.79999999999999</v>
      </c>
      <c r="FB352" s="1492">
        <f t="shared" si="221"/>
        <v>82.969999999999985</v>
      </c>
      <c r="FC352" s="1492">
        <v>41.79999999999999</v>
      </c>
      <c r="GD352" s="820">
        <v>2028</v>
      </c>
      <c r="GE352" s="763"/>
      <c r="GF352" s="830"/>
      <c r="GG352" s="1036">
        <f t="shared" si="225"/>
        <v>81.611392000000038</v>
      </c>
      <c r="GW352" s="1364">
        <f t="shared" si="222"/>
        <v>81.611392000000038</v>
      </c>
      <c r="GX352" s="1364"/>
      <c r="GZ352" s="1005">
        <v>2026</v>
      </c>
      <c r="HA352" s="762"/>
      <c r="HB352" s="1671"/>
      <c r="HC352" s="1671"/>
      <c r="HD352" s="1328"/>
    </row>
    <row r="353" spans="95:212" ht="18">
      <c r="CQ353" s="1185">
        <v>2032</v>
      </c>
      <c r="CR353" s="1188"/>
      <c r="CS353" s="830"/>
      <c r="CT353" s="831"/>
      <c r="CU353" s="1616"/>
      <c r="CV353" s="1188"/>
      <c r="CW353" s="2448"/>
      <c r="DL353" s="2452">
        <v>2027</v>
      </c>
      <c r="DM353" s="1382">
        <f>НАСТРОЙКА!DR168</f>
        <v>33.499830658223821</v>
      </c>
      <c r="DN353" s="1034">
        <f t="shared" si="215"/>
        <v>81.669999999999987</v>
      </c>
      <c r="DO353" s="1382"/>
      <c r="DP353" s="1805"/>
      <c r="DQ353" s="1382"/>
      <c r="DR353" s="1035">
        <f t="shared" si="216"/>
        <v>20.417499999999997</v>
      </c>
      <c r="EG353" s="2108">
        <v>2029</v>
      </c>
      <c r="EH353" s="2455"/>
      <c r="EI353" s="1492">
        <f t="shared" si="224"/>
        <v>84.269999999999982</v>
      </c>
      <c r="EJ353" s="437"/>
      <c r="EK353" s="1498"/>
      <c r="EL353" s="1810">
        <f t="shared" si="223"/>
        <v>43.099999999999987</v>
      </c>
      <c r="FB353" s="1492">
        <f t="shared" si="221"/>
        <v>84.269999999999982</v>
      </c>
      <c r="FC353" s="1492">
        <v>43.099999999999987</v>
      </c>
      <c r="GD353" s="771">
        <v>2029</v>
      </c>
      <c r="GE353" s="763"/>
      <c r="GF353" s="830"/>
      <c r="GG353" s="1036">
        <f t="shared" si="225"/>
        <v>83.28911360000005</v>
      </c>
      <c r="GW353" s="1364">
        <f t="shared" si="222"/>
        <v>83.28911360000005</v>
      </c>
      <c r="GX353" s="1364"/>
      <c r="GZ353" s="771">
        <v>2027</v>
      </c>
      <c r="HA353" s="762"/>
      <c r="HB353" s="1671"/>
      <c r="HC353" s="1671"/>
      <c r="HD353" s="1328"/>
    </row>
    <row r="354" spans="95:212" ht="18">
      <c r="CQ354" s="1806">
        <v>2033</v>
      </c>
      <c r="CR354" s="1188"/>
      <c r="CS354" s="830"/>
      <c r="CT354" s="831"/>
      <c r="CU354" s="1616"/>
      <c r="CV354" s="1188"/>
      <c r="CW354" s="2448"/>
      <c r="DL354" s="2452">
        <v>2028</v>
      </c>
      <c r="DM354" s="1382">
        <f>НАСТРОЙКА!DR169</f>
        <v>35.174822191135014</v>
      </c>
      <c r="DN354" s="1034">
        <f t="shared" si="215"/>
        <v>82.969999999999985</v>
      </c>
      <c r="DO354" s="1382"/>
      <c r="DP354" s="1805"/>
      <c r="DQ354" s="1382"/>
      <c r="DR354" s="1035">
        <f t="shared" si="216"/>
        <v>20.742499999999996</v>
      </c>
      <c r="EG354" s="2108">
        <v>2030</v>
      </c>
      <c r="EH354" s="2455"/>
      <c r="EI354" s="1492">
        <f t="shared" si="224"/>
        <v>85.569999999999979</v>
      </c>
      <c r="EJ354" s="437"/>
      <c r="EK354" s="1498"/>
      <c r="EL354" s="1810">
        <f t="shared" si="223"/>
        <v>44.399999999999984</v>
      </c>
      <c r="FB354" s="1492">
        <f t="shared" ref="FB354:FB359" si="226">EI354</f>
        <v>85.569999999999979</v>
      </c>
      <c r="FC354" s="1492">
        <v>44.399999999999984</v>
      </c>
      <c r="GD354" s="820">
        <v>2030</v>
      </c>
      <c r="GE354" s="763"/>
      <c r="GF354" s="830"/>
      <c r="GG354" s="1036">
        <f t="shared" si="225"/>
        <v>84.631290880000066</v>
      </c>
      <c r="GW354" s="1364">
        <f t="shared" ref="GW354:GW359" si="227">GG354</f>
        <v>84.631290880000066</v>
      </c>
      <c r="GX354" s="1364"/>
      <c r="GZ354" s="1005">
        <v>2028</v>
      </c>
      <c r="HA354" s="762"/>
      <c r="HB354" s="1671"/>
      <c r="HC354" s="1671"/>
      <c r="HD354" s="1328"/>
    </row>
    <row r="355" spans="95:212" ht="18">
      <c r="CQ355" s="1185">
        <v>2034</v>
      </c>
      <c r="CR355" s="1188"/>
      <c r="CS355" s="830"/>
      <c r="CT355" s="831"/>
      <c r="CU355" s="1616"/>
      <c r="CV355" s="1188"/>
      <c r="CW355" s="2448"/>
      <c r="DL355" s="2452">
        <v>2029</v>
      </c>
      <c r="DM355" s="1382">
        <f>НАСТРОЙКА!DR170</f>
        <v>36.933563300691766</v>
      </c>
      <c r="DN355" s="1034">
        <f t="shared" si="215"/>
        <v>84.269999999999982</v>
      </c>
      <c r="DO355" s="1382"/>
      <c r="DP355" s="1805"/>
      <c r="DQ355" s="1382"/>
      <c r="DR355" s="1035">
        <f t="shared" si="216"/>
        <v>21.067499999999995</v>
      </c>
      <c r="EG355" s="1185">
        <v>2031</v>
      </c>
      <c r="EH355" s="2455"/>
      <c r="EI355" s="1492">
        <f t="shared" si="224"/>
        <v>86.869999999999976</v>
      </c>
      <c r="EJ355" s="437"/>
      <c r="EK355" s="1498"/>
      <c r="EL355" s="1810">
        <f t="shared" si="223"/>
        <v>45.699999999999982</v>
      </c>
      <c r="FB355" s="1492">
        <f t="shared" si="226"/>
        <v>86.869999999999976</v>
      </c>
      <c r="FC355" s="1492">
        <v>45.699999999999982</v>
      </c>
      <c r="GD355" s="771">
        <v>2031</v>
      </c>
      <c r="GE355" s="763"/>
      <c r="GF355" s="830"/>
      <c r="GG355" s="1036">
        <f t="shared" si="225"/>
        <v>85.705032704000075</v>
      </c>
      <c r="GW355" s="1364">
        <f t="shared" si="227"/>
        <v>85.705032704000075</v>
      </c>
      <c r="GX355" s="1364"/>
      <c r="GZ355" s="771">
        <v>2029</v>
      </c>
      <c r="HA355" s="762"/>
      <c r="HB355" s="830"/>
      <c r="HC355" s="830"/>
      <c r="HD355" s="1035"/>
    </row>
    <row r="356" spans="95:212" ht="18">
      <c r="CQ356" s="2286">
        <v>2035</v>
      </c>
      <c r="CR356" s="1408"/>
      <c r="CS356" s="1646"/>
      <c r="CT356" s="1971"/>
      <c r="CU356" s="1976"/>
      <c r="CV356" s="1408"/>
      <c r="CW356" s="2449"/>
      <c r="DL356" s="2453">
        <v>2030</v>
      </c>
      <c r="DM356" s="1984">
        <f>НАСТРОЙКА!DR171</f>
        <v>38.780241465726355</v>
      </c>
      <c r="DN356" s="1060">
        <f t="shared" si="215"/>
        <v>85.569999999999979</v>
      </c>
      <c r="DO356" s="1984"/>
      <c r="DP356" s="1777"/>
      <c r="DQ356" s="1984"/>
      <c r="DR356" s="1808">
        <f t="shared" si="216"/>
        <v>21.392499999999995</v>
      </c>
      <c r="EG356" s="2108">
        <v>2032</v>
      </c>
      <c r="EH356" s="1645"/>
      <c r="EI356" s="1492">
        <f t="shared" si="224"/>
        <v>88.169999999999973</v>
      </c>
      <c r="EJ356" s="437"/>
      <c r="EK356" s="1498"/>
      <c r="EL356" s="1810">
        <f t="shared" si="223"/>
        <v>46.999999999999979</v>
      </c>
      <c r="FB356" s="1492">
        <f t="shared" si="226"/>
        <v>88.169999999999973</v>
      </c>
      <c r="FC356" s="1492">
        <v>46.999999999999979</v>
      </c>
      <c r="GD356" s="820">
        <v>2032</v>
      </c>
      <c r="GE356" s="763"/>
      <c r="GF356" s="830"/>
      <c r="GG356" s="1036">
        <f t="shared" si="225"/>
        <v>86.564026163200083</v>
      </c>
      <c r="GW356" s="1364">
        <f t="shared" si="227"/>
        <v>86.564026163200083</v>
      </c>
      <c r="GX356" s="1364"/>
      <c r="GZ356" s="1499">
        <v>2030</v>
      </c>
      <c r="HA356" s="1408"/>
      <c r="HB356" s="1646"/>
      <c r="HC356" s="1646"/>
      <c r="HD356" s="1808"/>
    </row>
    <row r="357" spans="95:212" ht="17.399999999999999">
      <c r="EG357" s="2108">
        <v>2033</v>
      </c>
      <c r="EH357" s="1645"/>
      <c r="EI357" s="1492">
        <f t="shared" si="224"/>
        <v>89.46999999999997</v>
      </c>
      <c r="EJ357" s="437"/>
      <c r="EK357" s="1498"/>
      <c r="EL357" s="1810">
        <f t="shared" si="223"/>
        <v>48.299999999999976</v>
      </c>
      <c r="FB357" s="1492">
        <f t="shared" si="226"/>
        <v>89.46999999999997</v>
      </c>
      <c r="FC357" s="1492">
        <v>48.299999999999976</v>
      </c>
      <c r="GD357" s="771">
        <v>2033</v>
      </c>
      <c r="GE357" s="763"/>
      <c r="GF357" s="830"/>
      <c r="GG357" s="1036">
        <f t="shared" si="225"/>
        <v>87.251220930560095</v>
      </c>
      <c r="GW357" s="1364">
        <f t="shared" si="227"/>
        <v>87.251220930560095</v>
      </c>
      <c r="GX357" s="1364"/>
      <c r="GY357" s="763"/>
      <c r="GZ357" s="1382"/>
    </row>
    <row r="358" spans="95:212" ht="18" thickBot="1">
      <c r="EG358" s="1185">
        <v>2034</v>
      </c>
      <c r="EH358" s="1645"/>
      <c r="EI358" s="1492">
        <f t="shared" si="224"/>
        <v>90.769999999999968</v>
      </c>
      <c r="EJ358" s="437"/>
      <c r="EK358" s="1498"/>
      <c r="EL358" s="1810">
        <f t="shared" si="223"/>
        <v>49.599999999999973</v>
      </c>
      <c r="FB358" s="1492">
        <f t="shared" si="226"/>
        <v>90.769999999999968</v>
      </c>
      <c r="FC358" s="1492">
        <v>49.599999999999973</v>
      </c>
      <c r="GD358" s="820">
        <v>2034</v>
      </c>
      <c r="GE358" s="763"/>
      <c r="GF358" s="830"/>
      <c r="GG358" s="1036">
        <f t="shared" si="225"/>
        <v>87.800976744448107</v>
      </c>
      <c r="GW358" s="1364">
        <f t="shared" si="227"/>
        <v>87.800976744448107</v>
      </c>
      <c r="GX358" s="1364"/>
      <c r="GY358" s="763"/>
      <c r="GZ358" s="1382"/>
    </row>
    <row r="359" spans="95:212" ht="18.600000000000001" thickBot="1">
      <c r="CR359" s="2461"/>
      <c r="CS359" s="2462" t="s">
        <v>1642</v>
      </c>
      <c r="CT359" s="2463"/>
      <c r="CU359" s="554"/>
      <c r="CV359" s="2463"/>
      <c r="CW359" s="2463"/>
      <c r="CX359" s="2463"/>
      <c r="CY359" s="2463"/>
      <c r="CZ359" s="2463"/>
      <c r="DA359" s="2463"/>
      <c r="DB359" s="2463"/>
      <c r="DC359" s="2464"/>
      <c r="DD359" s="2464"/>
      <c r="DE359" s="2464"/>
      <c r="DF359" s="2464"/>
      <c r="DG359" s="2464"/>
      <c r="DH359" s="2464"/>
      <c r="DI359" s="2465"/>
      <c r="EG359" s="2454">
        <v>2035</v>
      </c>
      <c r="EH359" s="1769"/>
      <c r="EI359" s="1492">
        <f t="shared" si="224"/>
        <v>92.069999999999965</v>
      </c>
      <c r="EJ359" s="548"/>
      <c r="EK359" s="1500"/>
      <c r="EL359" s="1812">
        <f t="shared" si="223"/>
        <v>50.89999999999997</v>
      </c>
      <c r="FB359" s="1493">
        <f t="shared" si="226"/>
        <v>92.069999999999965</v>
      </c>
      <c r="FC359" s="1493">
        <v>50.89999999999997</v>
      </c>
      <c r="GD359" s="2286">
        <v>2035</v>
      </c>
      <c r="GE359" s="1093"/>
      <c r="GF359" s="1646"/>
      <c r="GG359" s="1037">
        <f t="shared" si="225"/>
        <v>88.240781395558514</v>
      </c>
      <c r="GW359" s="1812">
        <f t="shared" si="227"/>
        <v>88.240781395558514</v>
      </c>
      <c r="GX359" s="1812"/>
      <c r="GY359" s="763"/>
      <c r="GZ359" s="1382"/>
    </row>
    <row r="360" spans="95:212" ht="18">
      <c r="CR360" s="2466"/>
      <c r="CS360" s="1781"/>
      <c r="CT360" s="1781"/>
      <c r="CU360" s="2463"/>
      <c r="CV360" s="1781"/>
      <c r="CW360" s="1781"/>
      <c r="CX360" s="1781"/>
      <c r="CY360" s="1781"/>
      <c r="CZ360" s="1781"/>
      <c r="DA360" s="1781"/>
      <c r="DB360" s="1781"/>
      <c r="DC360" s="1781"/>
      <c r="DD360" s="1781"/>
      <c r="DE360" s="1781"/>
      <c r="DF360" s="1781"/>
      <c r="DG360" s="1781"/>
      <c r="DH360" s="1781"/>
      <c r="DI360" s="2467"/>
      <c r="GX360" s="1932"/>
      <c r="GY360" s="763"/>
      <c r="GZ360" s="1382"/>
    </row>
    <row r="361" spans="95:212" ht="18">
      <c r="CR361" s="2466"/>
      <c r="CS361" s="2468" t="s">
        <v>1643</v>
      </c>
      <c r="CT361" s="2469"/>
      <c r="CU361" s="1781"/>
      <c r="CV361" s="2468"/>
      <c r="CW361" s="2468"/>
      <c r="CX361" s="2468"/>
      <c r="CY361" s="2468"/>
      <c r="CZ361" s="2468"/>
      <c r="DA361" s="2468"/>
      <c r="DB361" s="2468"/>
      <c r="DC361" s="2468"/>
      <c r="DD361" s="2468"/>
      <c r="DE361" s="2468"/>
      <c r="DF361" s="1781"/>
      <c r="DG361" s="1781"/>
      <c r="DH361" s="1781"/>
      <c r="DI361" s="2467"/>
      <c r="FY361" s="1941"/>
      <c r="FZ361" s="763"/>
      <c r="GA361" s="1382"/>
    </row>
    <row r="362" spans="95:212" ht="18">
      <c r="CR362" s="2466"/>
      <c r="CS362" s="2468" t="s">
        <v>1644</v>
      </c>
      <c r="CT362" s="2470"/>
      <c r="CU362" s="2469"/>
      <c r="CV362" s="1781"/>
      <c r="CW362" s="1781"/>
      <c r="CX362" s="1781"/>
      <c r="CY362" s="1781"/>
      <c r="CZ362" s="1781"/>
      <c r="DA362" s="1781"/>
      <c r="DB362" s="1781"/>
      <c r="DC362" s="1781"/>
      <c r="DD362" s="1781"/>
      <c r="DE362" s="1781"/>
      <c r="DF362" s="1781"/>
      <c r="DG362" s="1781"/>
      <c r="DH362" s="1781"/>
      <c r="DI362" s="2467"/>
    </row>
    <row r="363" spans="95:212" ht="18">
      <c r="CR363" s="2466"/>
      <c r="CS363" s="2468" t="s">
        <v>1645</v>
      </c>
      <c r="CT363" s="2470"/>
      <c r="CU363" s="1781"/>
      <c r="CV363" s="1781"/>
      <c r="CW363" s="1781"/>
      <c r="CX363" s="1781"/>
      <c r="CY363" s="1781"/>
      <c r="CZ363" s="1781"/>
      <c r="DA363" s="1781"/>
      <c r="DB363" s="1781"/>
      <c r="DC363" s="1781"/>
      <c r="DD363" s="1781"/>
      <c r="DE363" s="1781"/>
      <c r="DF363" s="1781"/>
      <c r="DG363" s="1781"/>
      <c r="DH363" s="1781"/>
      <c r="DI363" s="2467"/>
    </row>
    <row r="364" spans="95:212" ht="18">
      <c r="CR364" s="2466"/>
      <c r="CS364" s="2468" t="s">
        <v>774</v>
      </c>
      <c r="CT364" s="2470"/>
      <c r="CU364" s="1781"/>
      <c r="CV364" s="1781"/>
      <c r="CW364" s="1781"/>
      <c r="CX364" s="1781"/>
      <c r="CY364" s="1781"/>
      <c r="CZ364" s="1781"/>
      <c r="DA364" s="1781"/>
      <c r="DB364" s="1781"/>
      <c r="DC364" s="1781"/>
      <c r="DD364" s="1781"/>
      <c r="DE364" s="1781"/>
      <c r="DF364" s="1781"/>
      <c r="DG364" s="1781"/>
      <c r="DH364" s="1781"/>
      <c r="DI364" s="2467"/>
    </row>
    <row r="365" spans="95:212" ht="18">
      <c r="CR365" s="2466"/>
      <c r="CS365" s="2468" t="s">
        <v>1646</v>
      </c>
      <c r="CT365" s="2470"/>
      <c r="CU365" s="1781"/>
      <c r="CV365" s="1781"/>
      <c r="CW365" s="1781"/>
      <c r="CX365" s="1781"/>
      <c r="CY365" s="1781"/>
      <c r="CZ365" s="1781"/>
      <c r="DA365" s="1781"/>
      <c r="DB365" s="1781"/>
      <c r="DC365" s="1781"/>
      <c r="DD365" s="1781"/>
      <c r="DE365" s="1781"/>
      <c r="DF365" s="1781"/>
      <c r="DG365" s="1781"/>
      <c r="DH365" s="1781"/>
      <c r="DI365" s="2467"/>
    </row>
    <row r="366" spans="95:212" ht="18">
      <c r="CR366" s="2466"/>
      <c r="CS366" s="2468" t="s">
        <v>1647</v>
      </c>
      <c r="CT366" s="2470"/>
      <c r="CU366" s="1781"/>
      <c r="CV366" s="1781"/>
      <c r="CW366" s="1781"/>
      <c r="CX366" s="1781"/>
      <c r="CY366" s="1781"/>
      <c r="CZ366" s="1781"/>
      <c r="DA366" s="1781"/>
      <c r="DB366" s="1781"/>
      <c r="DC366" s="1781"/>
      <c r="DD366" s="1781"/>
      <c r="DE366" s="1781"/>
      <c r="DF366" s="1781"/>
      <c r="DG366" s="1781"/>
      <c r="DH366" s="1781"/>
      <c r="DI366" s="2467"/>
    </row>
    <row r="367" spans="95:212" ht="18">
      <c r="CR367" s="2466"/>
      <c r="CS367" s="2468" t="s">
        <v>1648</v>
      </c>
      <c r="CT367" s="2470"/>
      <c r="CU367" s="1781"/>
      <c r="CV367" s="1781"/>
      <c r="CW367" s="1781"/>
      <c r="CX367" s="1781"/>
      <c r="CY367" s="1781"/>
      <c r="CZ367" s="1781"/>
      <c r="DA367" s="1781"/>
      <c r="DB367" s="1781"/>
      <c r="DC367" s="1781"/>
      <c r="DD367" s="1781"/>
      <c r="DE367" s="1781"/>
      <c r="DF367" s="1781"/>
      <c r="DG367" s="1781"/>
      <c r="DH367" s="1781"/>
      <c r="DI367" s="2467"/>
    </row>
    <row r="368" spans="95:212" ht="18.600000000000001" thickBot="1">
      <c r="CR368" s="2471"/>
      <c r="CS368" s="1782"/>
      <c r="CT368" s="1782"/>
      <c r="CU368" s="1782"/>
      <c r="CV368" s="1782"/>
      <c r="CW368" s="1782"/>
      <c r="CX368" s="1782"/>
      <c r="CY368" s="1782"/>
      <c r="CZ368" s="1782"/>
      <c r="DA368" s="1782"/>
      <c r="DB368" s="1782"/>
      <c r="DC368" s="1782"/>
      <c r="DD368" s="1782"/>
      <c r="DE368" s="1782"/>
      <c r="DF368" s="1782"/>
      <c r="DG368" s="1782"/>
      <c r="DH368" s="1782"/>
      <c r="DI368" s="2472"/>
    </row>
    <row r="369" spans="95:152" ht="21.6" thickBot="1"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EA369" s="2024" t="s">
        <v>1783</v>
      </c>
      <c r="EB369" s="2025"/>
      <c r="EC369" s="2026"/>
      <c r="ED369" s="2027"/>
      <c r="EE369" s="2027"/>
      <c r="EF369" s="1781"/>
      <c r="EI369"/>
      <c r="EJ369" s="1598" t="s">
        <v>1619</v>
      </c>
      <c r="EK369" s="1393"/>
      <c r="EL369" s="1813" t="s">
        <v>1620</v>
      </c>
      <c r="EM369" s="1813"/>
      <c r="EN369" s="1813"/>
      <c r="EO369" s="1393"/>
      <c r="EP369" s="1394"/>
      <c r="EQ369" s="1814"/>
      <c r="ER369" s="1814"/>
      <c r="ES369" s="1814"/>
      <c r="ET369" s="1815">
        <v>0.42</v>
      </c>
      <c r="EU369" s="1816"/>
      <c r="EV369"/>
    </row>
    <row r="370" spans="95:152" ht="17.399999999999999">
      <c r="CQ370"/>
      <c r="CR370" s="1817" t="s">
        <v>351</v>
      </c>
      <c r="CS370" s="1818" t="s">
        <v>1649</v>
      </c>
      <c r="CT370" s="1778" t="s">
        <v>1650</v>
      </c>
      <c r="CU370" s="1592" t="s">
        <v>1651</v>
      </c>
      <c r="CV370" s="1779" t="s">
        <v>1652</v>
      </c>
      <c r="CW370" s="1819" t="s">
        <v>1653</v>
      </c>
      <c r="CX370" s="1778" t="s">
        <v>1654</v>
      </c>
      <c r="CY370" s="1592" t="s">
        <v>1630</v>
      </c>
      <c r="CZ370" s="1779" t="s">
        <v>1655</v>
      </c>
      <c r="DA370" s="1818" t="s">
        <v>1656</v>
      </c>
      <c r="DB370" s="1778" t="s">
        <v>1657</v>
      </c>
      <c r="DC370" s="1592" t="s">
        <v>1658</v>
      </c>
      <c r="DD370" s="1779" t="s">
        <v>1659</v>
      </c>
      <c r="DE370" s="1818" t="s">
        <v>1660</v>
      </c>
      <c r="DF370" s="1778" t="s">
        <v>1661</v>
      </c>
      <c r="DG370" s="1592" t="s">
        <v>128</v>
      </c>
      <c r="DH370" s="1779" t="s">
        <v>1662</v>
      </c>
      <c r="DI370" s="1818" t="s">
        <v>1663</v>
      </c>
      <c r="DJ370" s="1778" t="s">
        <v>1664</v>
      </c>
      <c r="DK370" s="1592" t="s">
        <v>1352</v>
      </c>
      <c r="DL370" s="1779" t="s">
        <v>1665</v>
      </c>
      <c r="DM370" s="1818" t="s">
        <v>1666</v>
      </c>
      <c r="DN370" s="1778" t="s">
        <v>728</v>
      </c>
      <c r="DO370" s="1592" t="s">
        <v>1667</v>
      </c>
      <c r="DP370" s="1779" t="s">
        <v>1668</v>
      </c>
      <c r="DQ370" s="1818" t="s">
        <v>565</v>
      </c>
      <c r="DR370" s="1778" t="s">
        <v>732</v>
      </c>
      <c r="DS370" s="1592" t="s">
        <v>1669</v>
      </c>
      <c r="DT370" s="1779" t="s">
        <v>1670</v>
      </c>
      <c r="DU370" s="1592" t="s">
        <v>1671</v>
      </c>
      <c r="DV370" s="1818" t="s">
        <v>547</v>
      </c>
      <c r="DW370" s="1778" t="s">
        <v>971</v>
      </c>
      <c r="DX370" s="1778" t="s">
        <v>2011</v>
      </c>
      <c r="DY370" s="1592" t="s">
        <v>1191</v>
      </c>
      <c r="DZ370" s="1779" t="s">
        <v>747</v>
      </c>
      <c r="EA370" s="1819" t="s">
        <v>1672</v>
      </c>
      <c r="EB370" s="1778" t="s">
        <v>1673</v>
      </c>
      <c r="EC370" s="1778" t="s">
        <v>1674</v>
      </c>
      <c r="ED370" s="1592" t="s">
        <v>1675</v>
      </c>
      <c r="EE370" s="1819" t="s">
        <v>2259</v>
      </c>
      <c r="EF370" s="1779" t="s">
        <v>1676</v>
      </c>
      <c r="EI370"/>
      <c r="EJ370" s="1817" t="s">
        <v>351</v>
      </c>
      <c r="EK370" s="1620" t="s">
        <v>1633</v>
      </c>
      <c r="EL370" s="1600" t="s">
        <v>1634</v>
      </c>
      <c r="EM370" s="1599" t="s">
        <v>1635</v>
      </c>
      <c r="EN370" s="1599" t="s">
        <v>1275</v>
      </c>
      <c r="EO370" s="1599" t="s">
        <v>1917</v>
      </c>
      <c r="EP370" s="1599" t="s">
        <v>1615</v>
      </c>
      <c r="EQ370" s="1599" t="s">
        <v>1616</v>
      </c>
      <c r="ER370" s="1599" t="s">
        <v>1275</v>
      </c>
      <c r="ES370" s="1599" t="s">
        <v>1275</v>
      </c>
      <c r="ET370" s="1599" t="s">
        <v>1905</v>
      </c>
      <c r="EU370" s="1601" t="s">
        <v>1191</v>
      </c>
      <c r="EV370"/>
    </row>
    <row r="371" spans="95:152" ht="16.2" thickBot="1">
      <c r="CQ371"/>
      <c r="CR371" s="1820">
        <v>43928</v>
      </c>
      <c r="CS371" s="1821" t="s">
        <v>1454</v>
      </c>
      <c r="CT371" s="1822" t="s">
        <v>1454</v>
      </c>
      <c r="CU371" s="1822" t="s">
        <v>46</v>
      </c>
      <c r="CV371" s="1823" t="s">
        <v>46</v>
      </c>
      <c r="CW371" s="1821" t="s">
        <v>1454</v>
      </c>
      <c r="CX371" s="1822" t="s">
        <v>1454</v>
      </c>
      <c r="CY371" s="1822" t="s">
        <v>46</v>
      </c>
      <c r="CZ371" s="1823" t="s">
        <v>46</v>
      </c>
      <c r="DA371" s="1821" t="s">
        <v>1454</v>
      </c>
      <c r="DB371" s="1822" t="s">
        <v>1454</v>
      </c>
      <c r="DC371" s="1822" t="s">
        <v>46</v>
      </c>
      <c r="DD371" s="1823" t="s">
        <v>46</v>
      </c>
      <c r="DE371" s="1821" t="s">
        <v>1454</v>
      </c>
      <c r="DF371" s="1822" t="s">
        <v>1454</v>
      </c>
      <c r="DG371" s="1822" t="s">
        <v>46</v>
      </c>
      <c r="DH371" s="1824" t="s">
        <v>46</v>
      </c>
      <c r="DI371" s="1821" t="s">
        <v>1454</v>
      </c>
      <c r="DJ371" s="1822" t="s">
        <v>1454</v>
      </c>
      <c r="DK371" s="1822" t="s">
        <v>46</v>
      </c>
      <c r="DL371" s="1823" t="s">
        <v>46</v>
      </c>
      <c r="DM371" s="1821" t="s">
        <v>1454</v>
      </c>
      <c r="DN371" s="1501" t="s">
        <v>1454</v>
      </c>
      <c r="DO371" s="1822" t="s">
        <v>46</v>
      </c>
      <c r="DP371" s="1824" t="s">
        <v>46</v>
      </c>
      <c r="DQ371" s="1821" t="s">
        <v>1454</v>
      </c>
      <c r="DR371" s="1822" t="s">
        <v>1454</v>
      </c>
      <c r="DS371" s="1822" t="s">
        <v>46</v>
      </c>
      <c r="DT371" s="1824" t="s">
        <v>46</v>
      </c>
      <c r="DU371" s="1822" t="s">
        <v>46</v>
      </c>
      <c r="DV371" s="1821" t="s">
        <v>1454</v>
      </c>
      <c r="DW371" s="1501" t="s">
        <v>1454</v>
      </c>
      <c r="DX371" s="1501" t="s">
        <v>1454</v>
      </c>
      <c r="DY371" s="1501" t="s">
        <v>46</v>
      </c>
      <c r="DZ371" s="1824" t="s">
        <v>46</v>
      </c>
      <c r="EA371" s="1821" t="s">
        <v>1454</v>
      </c>
      <c r="EB371" s="1501" t="s">
        <v>1454</v>
      </c>
      <c r="EC371" s="1501" t="s">
        <v>1454</v>
      </c>
      <c r="ED371" s="1822" t="s">
        <v>46</v>
      </c>
      <c r="EE371" s="1821" t="s">
        <v>1454</v>
      </c>
      <c r="EF371" s="1823" t="s">
        <v>46</v>
      </c>
      <c r="EI371"/>
      <c r="EJ371" s="1820">
        <v>43657</v>
      </c>
      <c r="EK371" s="1825" t="s">
        <v>1454</v>
      </c>
      <c r="EL371" s="1826" t="s">
        <v>1454</v>
      </c>
      <c r="EM371" s="1826" t="s">
        <v>46</v>
      </c>
      <c r="EN371" s="1826" t="s">
        <v>1454</v>
      </c>
      <c r="EO371" s="1826" t="s">
        <v>1454</v>
      </c>
      <c r="EP371" s="1826" t="s">
        <v>1617</v>
      </c>
      <c r="EQ371" s="1826" t="s">
        <v>1618</v>
      </c>
      <c r="ER371" s="1826" t="s">
        <v>1621</v>
      </c>
      <c r="ES371" s="1826" t="s">
        <v>1622</v>
      </c>
      <c r="ET371" s="1826" t="s">
        <v>1454</v>
      </c>
      <c r="EU371" s="1827" t="s">
        <v>46</v>
      </c>
      <c r="EV371"/>
    </row>
    <row r="372" spans="95:152" ht="17.399999999999999">
      <c r="CQ372"/>
      <c r="CR372" s="1607">
        <v>1995</v>
      </c>
      <c r="CS372" s="2550">
        <f t="array" ref="CS372:CS395">TRANSPOSE(U130:AR130)</f>
        <v>0.95899999999999996</v>
      </c>
      <c r="CT372" s="1422">
        <v>1</v>
      </c>
      <c r="CU372" s="1829">
        <f t="array" ref="CU372:CU395">TRANSPOSE(U55:AR55)</f>
        <v>2876.5161000000003</v>
      </c>
      <c r="CV372" s="1830">
        <v>2876.5161000000003</v>
      </c>
      <c r="CW372" s="1831">
        <f t="array" ref="CW372:CW395">TRANSPOSE(U140:AR140)</f>
        <v>1.07</v>
      </c>
      <c r="CX372" s="1832">
        <v>1</v>
      </c>
      <c r="CY372" s="1829">
        <f t="array" ref="CY372:CY395">TRANSPOSE(U52:AR52)</f>
        <v>369.90269999999998</v>
      </c>
      <c r="CZ372" s="1830">
        <v>369.90269999999998</v>
      </c>
      <c r="DA372" s="293"/>
      <c r="DB372" s="1422">
        <f t="array" ref="DB372:DB395">TRANSPOSE(U155:AR155)</f>
        <v>1</v>
      </c>
      <c r="DC372" s="1829">
        <f t="array" ref="DC372:DC395">TRANSPOSE(U56:AR56)</f>
        <v>1447.9952000000001</v>
      </c>
      <c r="DD372" s="1830">
        <v>1447.9952000000003</v>
      </c>
      <c r="DE372" s="1828">
        <f t="array" ref="DE372:DE395">TRANSPOSE(U141:AR141)</f>
        <v>0.89900000000000002</v>
      </c>
      <c r="DF372" s="1422">
        <v>1</v>
      </c>
      <c r="DG372" s="1829">
        <f t="array" ref="DG372:DG395">TRANSPOSE(U79:AR79)</f>
        <v>266.97399999999999</v>
      </c>
      <c r="DH372" s="667">
        <v>266.97399999999999</v>
      </c>
      <c r="DI372" s="1831">
        <f t="array" ref="DI372:DI395">TRANSPOSE(U135:AR135)</f>
        <v>0.97199999999999998</v>
      </c>
      <c r="DJ372" s="1422">
        <v>1</v>
      </c>
      <c r="DK372" s="1829">
        <f t="array" ref="DK372:DK395">TRANSPOSE(U69:AR69)</f>
        <v>719.79349999999999</v>
      </c>
      <c r="DL372" s="1830">
        <v>719.79349999999999</v>
      </c>
      <c r="DM372" s="1831">
        <f t="array" ref="DM372:DM395">TRANSPOSE(U136:AR136)</f>
        <v>1.0109999999999999</v>
      </c>
      <c r="DN372" s="1833">
        <f t="array" ref="DN372:DN395">TRANSPOSE(U160:AR160)</f>
        <v>1</v>
      </c>
      <c r="DO372" s="1829">
        <f t="array" ref="DO372:DO395">TRANSPOSE(U70:AR70)</f>
        <v>272.50150000000002</v>
      </c>
      <c r="DP372" s="1834">
        <v>272.50150000000002</v>
      </c>
      <c r="DQ372" s="1831">
        <f t="array" ref="DQ372:DQ395">TRANSPOSE(U137:AR137)</f>
        <v>0.69499999999999995</v>
      </c>
      <c r="DR372" s="1835">
        <v>1</v>
      </c>
      <c r="DS372" s="1829">
        <f t="array" ref="DS372:DS395">TRANSPOSE(U71:AR71)</f>
        <v>24.299299999999999</v>
      </c>
      <c r="DT372" s="667">
        <v>24.299299999999999</v>
      </c>
      <c r="DU372" s="1836">
        <f t="array" ref="DU372:DU395">TRANSPOSE(U64:AR64)</f>
        <v>0</v>
      </c>
      <c r="DV372" s="1831">
        <f t="array" ref="DV372:DV395">TRANSPOSE(U127:AR127)</f>
        <v>0.95899999999999996</v>
      </c>
      <c r="DW372" s="667">
        <v>1</v>
      </c>
      <c r="DX372" s="667">
        <v>1</v>
      </c>
      <c r="DY372" s="667">
        <f t="array" ref="DY372:DY395">TRANSPOSE(U67:AR67)</f>
        <v>1428.5209</v>
      </c>
      <c r="DZ372" s="667">
        <v>1428.5209</v>
      </c>
      <c r="EA372" s="1831"/>
      <c r="EB372" s="667">
        <v>1</v>
      </c>
      <c r="EC372" s="667">
        <v>1</v>
      </c>
      <c r="ED372" s="1829">
        <f t="shared" ref="ED372:ED395" si="228">DY372-DG372-DK372-DO372-DS372+CY372-DU372</f>
        <v>514.85530000000006</v>
      </c>
      <c r="EE372" s="2698">
        <f>EF372/CV372</f>
        <v>0.17898571817484352</v>
      </c>
      <c r="EF372" s="1830">
        <v>514.85530000000006</v>
      </c>
      <c r="EI372"/>
      <c r="EJ372" s="1607">
        <v>1995</v>
      </c>
      <c r="EK372" s="1785">
        <f t="array" ref="EK372:EK395">TRANSPOSE(U139:AR139)</f>
        <v>1.05</v>
      </c>
      <c r="EL372" s="1595">
        <v>1</v>
      </c>
      <c r="EM372" s="1786">
        <f t="array" ref="EM372:EM395">TRANSPOSE(U62:AR62)</f>
        <v>418.46850000000001</v>
      </c>
      <c r="EN372" s="1595">
        <v>1</v>
      </c>
      <c r="EO372" s="1786">
        <f>EM372</f>
        <v>418.46850000000001</v>
      </c>
      <c r="EP372" s="1787">
        <v>3.6</v>
      </c>
      <c r="EQ372" s="1597">
        <v>0.22080000000000002</v>
      </c>
      <c r="ER372" s="1595"/>
      <c r="ES372" s="1595"/>
      <c r="ET372" s="1597">
        <v>9.2700000000000014</v>
      </c>
      <c r="EU372" s="1788">
        <v>1428.5</v>
      </c>
      <c r="EV372"/>
    </row>
    <row r="373" spans="95:152" ht="17.399999999999999">
      <c r="CQ373"/>
      <c r="CR373" s="1607">
        <v>1996</v>
      </c>
      <c r="CS373" s="1840">
        <v>0.97199999999999998</v>
      </c>
      <c r="CT373" s="1075">
        <f>CT372*CS373</f>
        <v>0.97199999999999998</v>
      </c>
      <c r="CU373" s="667">
        <v>3978.7420000000006</v>
      </c>
      <c r="CV373" s="1838">
        <f>CV372*CS373</f>
        <v>2795.9736492000002</v>
      </c>
      <c r="CW373" s="1837">
        <v>1.0129999999999999</v>
      </c>
      <c r="CX373" s="1075">
        <f>CX372*CW373</f>
        <v>1.0129999999999999</v>
      </c>
      <c r="CY373" s="667">
        <v>438.69400000000002</v>
      </c>
      <c r="CZ373" s="1838">
        <f>CZ372*CW373</f>
        <v>374.71143509999996</v>
      </c>
      <c r="DA373" s="1176"/>
      <c r="DB373" s="1075">
        <v>0.97989240682565804</v>
      </c>
      <c r="DC373" s="667">
        <v>1970.9168</v>
      </c>
      <c r="DD373" s="1838">
        <f>DD372*DB373</f>
        <v>1418.8795016000004</v>
      </c>
      <c r="DE373" s="1837">
        <v>0.81899999999999995</v>
      </c>
      <c r="DF373" s="1075">
        <f>DF372*DE373</f>
        <v>0.81899999999999995</v>
      </c>
      <c r="DG373" s="667">
        <v>375.95800000000003</v>
      </c>
      <c r="DH373" s="667">
        <f>DH$372*DF373</f>
        <v>218.65170599999999</v>
      </c>
      <c r="DI373" s="1839">
        <v>0.95099999999999996</v>
      </c>
      <c r="DJ373" s="1075">
        <f>DJ372*DI373</f>
        <v>0.95099999999999996</v>
      </c>
      <c r="DK373" s="667">
        <v>1007.827</v>
      </c>
      <c r="DL373" s="1838">
        <f>DL$372*DJ373</f>
        <v>684.5236185</v>
      </c>
      <c r="DM373" s="1839">
        <v>1.0309999999999999</v>
      </c>
      <c r="DN373" s="1840">
        <v>1.0309999999999999</v>
      </c>
      <c r="DO373" s="667">
        <v>391.38130000000001</v>
      </c>
      <c r="DP373" s="1834">
        <f>DP$372*DN373</f>
        <v>280.94904650000001</v>
      </c>
      <c r="DQ373" s="1839">
        <v>1.006</v>
      </c>
      <c r="DR373" s="1841">
        <f>DR372*DQ373</f>
        <v>1.006</v>
      </c>
      <c r="DS373" s="667">
        <v>36.661499999999997</v>
      </c>
      <c r="DT373" s="667">
        <f>DT$372*DR373</f>
        <v>24.445095799999997</v>
      </c>
      <c r="DU373" s="1842">
        <v>11.9298</v>
      </c>
      <c r="DV373" s="1839">
        <v>0.96399999999999997</v>
      </c>
      <c r="DW373" s="2029">
        <f>DW372*DV373</f>
        <v>0.96399999999999997</v>
      </c>
      <c r="DX373" s="1075">
        <f>DY373/DZ373</f>
        <v>1.4580159268698065</v>
      </c>
      <c r="DY373" s="667">
        <v>2007.8252000000002</v>
      </c>
      <c r="DZ373" s="667">
        <f t="shared" ref="DZ373:DZ395" si="229">DZ$372*DW373</f>
        <v>1377.0941476</v>
      </c>
      <c r="EA373" s="1837">
        <f>EB373/EB372</f>
        <v>1.0551238685898738</v>
      </c>
      <c r="EB373" s="1075">
        <f t="shared" ref="EB373:EB395" si="230">EF373/EF$372</f>
        <v>1.0551238685898738</v>
      </c>
      <c r="EC373" s="1075">
        <f t="shared" ref="EC373:EC395" si="231">ED373/EF373</f>
        <v>1.1463921152743077</v>
      </c>
      <c r="ED373" s="2028">
        <f t="shared" si="228"/>
        <v>622.76160000000016</v>
      </c>
      <c r="EE373" s="2699">
        <f>CU414</f>
        <v>0.20193696820110807</v>
      </c>
      <c r="EF373" s="1838">
        <f t="shared" ref="EF373:EF395" si="232">DZ373-DH373-DL373-DP373-DT373+CZ373</f>
        <v>543.23611590000019</v>
      </c>
      <c r="EI373"/>
      <c r="EJ373" s="1607">
        <v>1996</v>
      </c>
      <c r="EK373" s="1785">
        <v>1.0369999999999999</v>
      </c>
      <c r="EL373" s="1595">
        <f>EL372*EK373</f>
        <v>1.0369999999999999</v>
      </c>
      <c r="EM373" s="1786">
        <v>523.46310000000005</v>
      </c>
      <c r="EN373" s="1597">
        <f>EM373/EO373</f>
        <v>1.2062700474653716</v>
      </c>
      <c r="EO373" s="1786">
        <f t="shared" ref="EO373:EO395" si="233">EO$372*EL373</f>
        <v>433.95183449999996</v>
      </c>
      <c r="EP373" s="1787">
        <v>4.5999999999999996</v>
      </c>
      <c r="EQ373" s="1597">
        <v>0.2823</v>
      </c>
      <c r="ER373" s="1597"/>
      <c r="ES373" s="1595"/>
      <c r="ET373" s="1597">
        <v>11.277999999999999</v>
      </c>
      <c r="EU373" s="1788">
        <f t="shared" ref="EU373:EU395" si="234">DY373</f>
        <v>2007.8252000000002</v>
      </c>
      <c r="EV373"/>
    </row>
    <row r="374" spans="95:152" ht="17.399999999999999">
      <c r="CQ374"/>
      <c r="CR374" s="1607">
        <v>1997</v>
      </c>
      <c r="CS374" s="1840">
        <v>1.014</v>
      </c>
      <c r="CT374" s="1075">
        <f>CT373*CS374</f>
        <v>0.98560800000000004</v>
      </c>
      <c r="CU374" s="667">
        <v>4542.1256999999996</v>
      </c>
      <c r="CV374" s="1838">
        <f>CV373*CS374</f>
        <v>2835.1172802888004</v>
      </c>
      <c r="CW374" s="1837">
        <v>1.004</v>
      </c>
      <c r="CX374" s="1075">
        <f>CX373*CW374</f>
        <v>1.0170519999999998</v>
      </c>
      <c r="CY374" s="667">
        <v>527.71100000000001</v>
      </c>
      <c r="CZ374" s="1838">
        <f>CZ373*CW374</f>
        <v>376.21028084039995</v>
      </c>
      <c r="DA374" s="1176"/>
      <c r="DB374" s="1075">
        <v>0.99361090052121737</v>
      </c>
      <c r="DC374" s="667">
        <v>2199.6120000000001</v>
      </c>
      <c r="DD374" s="1838">
        <f>DD$372*DB374</f>
        <v>1438.7438146224006</v>
      </c>
      <c r="DE374" s="1837">
        <v>0.95</v>
      </c>
      <c r="DF374" s="1075">
        <f>DF373*DE374</f>
        <v>0.77804999999999991</v>
      </c>
      <c r="DG374" s="667">
        <v>408.79700000000003</v>
      </c>
      <c r="DH374" s="667">
        <f t="shared" ref="DH374:DH395" si="235">DH$372*DF374</f>
        <v>207.71912069999996</v>
      </c>
      <c r="DI374" s="1837">
        <v>1.05</v>
      </c>
      <c r="DJ374" s="1075">
        <f>DJ373*DI374</f>
        <v>0.99855000000000005</v>
      </c>
      <c r="DK374" s="667">
        <v>1235.2137</v>
      </c>
      <c r="DL374" s="1838">
        <f t="shared" ref="DL374:DL395" si="236">DL$372*DJ374</f>
        <v>718.74979942499999</v>
      </c>
      <c r="DM374" s="1839">
        <v>0.97599999999999998</v>
      </c>
      <c r="DN374" s="1840">
        <v>1.0062559999999998</v>
      </c>
      <c r="DO374" s="667">
        <v>493.57350000000002</v>
      </c>
      <c r="DP374" s="1834">
        <f t="shared" ref="DP374:DP395" si="237">DP$372*DN374</f>
        <v>274.206269384</v>
      </c>
      <c r="DQ374" s="1839">
        <v>0.99199999999999999</v>
      </c>
      <c r="DR374" s="1841">
        <f t="shared" ref="DR374:DR395" si="238">DR373*DQ374</f>
        <v>0.99795199999999995</v>
      </c>
      <c r="DS374" s="667">
        <v>47.3504</v>
      </c>
      <c r="DT374" s="667">
        <f t="shared" ref="DT374:DT395" si="239">DT$372*DR374</f>
        <v>24.249535033599997</v>
      </c>
      <c r="DU374" s="1842">
        <v>0</v>
      </c>
      <c r="DV374" s="1839">
        <v>1.014</v>
      </c>
      <c r="DW374" s="2029">
        <f>DW373*DV374</f>
        <v>0.97749600000000003</v>
      </c>
      <c r="DX374" s="1075">
        <f t="shared" ref="DX374:DX395" si="240">DY374/DZ374</f>
        <v>1.6775696170093488</v>
      </c>
      <c r="DY374" s="667">
        <v>2342.5137</v>
      </c>
      <c r="DZ374" s="667">
        <f t="shared" si="229"/>
        <v>1396.3734656664001</v>
      </c>
      <c r="EA374" s="1837">
        <f t="shared" ref="EA374:EA395" si="241">EB374/EB373</f>
        <v>1.0081417746993353</v>
      </c>
      <c r="EB374" s="1075">
        <f t="shared" si="230"/>
        <v>1.0637144494078237</v>
      </c>
      <c r="EC374" s="1075">
        <f t="shared" si="231"/>
        <v>1.2513079717780982</v>
      </c>
      <c r="ED374" s="2028">
        <f t="shared" si="228"/>
        <v>685.29009999999994</v>
      </c>
      <c r="EE374" s="2699">
        <f t="shared" ref="EE374:EE395" si="242">CU415</f>
        <v>0.20077030917127051</v>
      </c>
      <c r="EF374" s="1838">
        <f t="shared" si="232"/>
        <v>547.65902196419995</v>
      </c>
      <c r="EI374"/>
      <c r="EJ374" s="1607">
        <v>1997</v>
      </c>
      <c r="EK374" s="1785">
        <v>0.995</v>
      </c>
      <c r="EL374" s="1595">
        <f t="shared" ref="EL374:EL395" si="243">EL373*EK374</f>
        <v>1.0318149999999999</v>
      </c>
      <c r="EM374" s="1786">
        <v>579.28650000000005</v>
      </c>
      <c r="EN374" s="1597">
        <f t="shared" ref="EN374:EN395" si="244">EM374/EO374</f>
        <v>1.3416177583578945</v>
      </c>
      <c r="EO374" s="1786">
        <f t="shared" si="233"/>
        <v>431.78207532749997</v>
      </c>
      <c r="EP374" s="1787">
        <v>5.5</v>
      </c>
      <c r="EQ374" s="1597">
        <v>0.3574</v>
      </c>
      <c r="ER374" s="1597"/>
      <c r="ES374" s="1595"/>
      <c r="ET374" s="1597">
        <v>11.212</v>
      </c>
      <c r="EU374" s="1788">
        <f t="shared" si="234"/>
        <v>2342.5137</v>
      </c>
      <c r="EV374"/>
    </row>
    <row r="375" spans="95:152" ht="17.399999999999999">
      <c r="CQ375"/>
      <c r="CR375" s="1607">
        <v>1998</v>
      </c>
      <c r="CS375" s="1840">
        <v>0.94899999999999995</v>
      </c>
      <c r="CT375" s="1075">
        <f t="shared" ref="CT375:CT395" si="245">CT374*CS375</f>
        <v>0.93534199200000001</v>
      </c>
      <c r="CU375" s="667">
        <v>4820.3402999999998</v>
      </c>
      <c r="CV375" s="1838">
        <f t="shared" ref="CV375:CV395" si="246">CV374*CS375</f>
        <v>2690.5262989940716</v>
      </c>
      <c r="CW375" s="1837">
        <v>0.82599999999999996</v>
      </c>
      <c r="CX375" s="1075">
        <f t="shared" ref="CX375:CX395" si="247">CX374*CW375</f>
        <v>0.84008495199999977</v>
      </c>
      <c r="CY375" s="667">
        <v>645.63400000000001</v>
      </c>
      <c r="CZ375" s="1838">
        <f t="shared" ref="CZ375:CZ395" si="248">CZ374*CW375</f>
        <v>310.74969197417033</v>
      </c>
      <c r="DA375" s="1176"/>
      <c r="DB375" s="1075">
        <v>0.94486544362024871</v>
      </c>
      <c r="DC375" s="667">
        <v>2190.7174</v>
      </c>
      <c r="DD375" s="1838">
        <f t="shared" ref="DD375:DD395" si="249">DD$372*DB375</f>
        <v>1368.160627007991</v>
      </c>
      <c r="DE375" s="1837">
        <v>0.88</v>
      </c>
      <c r="DF375" s="1075">
        <f t="shared" ref="DF375:DF395" si="250">DF374*DE375</f>
        <v>0.68468399999999996</v>
      </c>
      <c r="DG375" s="667">
        <v>407.08600000000001</v>
      </c>
      <c r="DH375" s="667">
        <f t="shared" si="235"/>
        <v>182.79282621599998</v>
      </c>
      <c r="DI375" s="1839">
        <v>0.96599999999999997</v>
      </c>
      <c r="DJ375" s="1075">
        <f t="shared" ref="DJ375:DJ395" si="251">DJ374*DI375</f>
        <v>0.96459930000000005</v>
      </c>
      <c r="DK375" s="667">
        <v>1462.2840000000001</v>
      </c>
      <c r="DL375" s="1838">
        <f t="shared" si="236"/>
        <v>694.31230624454997</v>
      </c>
      <c r="DM375" s="1837">
        <v>1.01</v>
      </c>
      <c r="DN375" s="1840">
        <v>1.0163185599999998</v>
      </c>
      <c r="DO375" s="667">
        <v>492.62060000000002</v>
      </c>
      <c r="DP375" s="1834">
        <f t="shared" si="237"/>
        <v>276.94833207783995</v>
      </c>
      <c r="DQ375" s="1839">
        <v>1.0049999999999999</v>
      </c>
      <c r="DR375" s="1841">
        <f t="shared" si="238"/>
        <v>1.0029417599999999</v>
      </c>
      <c r="DS375" s="667">
        <v>48.8855</v>
      </c>
      <c r="DT375" s="667">
        <f t="shared" si="239"/>
        <v>24.370782708767997</v>
      </c>
      <c r="DU375" s="1842">
        <v>56.941099999999999</v>
      </c>
      <c r="DV375" s="1839">
        <v>0.94699999999999995</v>
      </c>
      <c r="DW375" s="2029">
        <f t="shared" ref="DW375:DW395" si="252">DW374*DV375</f>
        <v>0.92568871200000002</v>
      </c>
      <c r="DX375" s="1075">
        <f t="shared" si="240"/>
        <v>1.988574685283935</v>
      </c>
      <c r="DY375" s="667">
        <v>2629.6228999999998</v>
      </c>
      <c r="DZ375" s="667">
        <f t="shared" si="229"/>
        <v>1322.3656719860808</v>
      </c>
      <c r="EA375" s="1837">
        <f t="shared" si="241"/>
        <v>0.83024491239517262</v>
      </c>
      <c r="EB375" s="1075">
        <f t="shared" si="230"/>
        <v>0.88314350986207779</v>
      </c>
      <c r="EC375" s="1075">
        <f t="shared" si="231"/>
        <v>1.7757982734232494</v>
      </c>
      <c r="ED375" s="2028">
        <f t="shared" si="228"/>
        <v>807.4396999999999</v>
      </c>
      <c r="EE375" s="2699">
        <f t="shared" si="242"/>
        <v>0.17564649920911823</v>
      </c>
      <c r="EF375" s="1838">
        <f t="shared" si="232"/>
        <v>454.69111671309309</v>
      </c>
      <c r="EI375"/>
      <c r="EJ375" s="1607">
        <v>1998</v>
      </c>
      <c r="EK375" s="1785">
        <v>1.0189999999999999</v>
      </c>
      <c r="EL375" s="1595">
        <f t="shared" si="243"/>
        <v>1.0514194849999998</v>
      </c>
      <c r="EM375" s="1786">
        <v>821.04340000000002</v>
      </c>
      <c r="EN375" s="1597">
        <f t="shared" si="244"/>
        <v>1.8660673788361899</v>
      </c>
      <c r="EO375" s="1786">
        <f t="shared" si="233"/>
        <v>439.98593475872241</v>
      </c>
      <c r="EP375" s="1787">
        <v>9.6999999999999993</v>
      </c>
      <c r="EQ375" s="1597">
        <v>0.39689999999999998</v>
      </c>
      <c r="ER375" s="1597"/>
      <c r="ES375" s="1595"/>
      <c r="ET375" s="1597">
        <v>10.96</v>
      </c>
      <c r="EU375" s="1788">
        <f t="shared" si="234"/>
        <v>2629.6228999999998</v>
      </c>
      <c r="EV375"/>
    </row>
    <row r="376" spans="95:152" ht="17.399999999999999">
      <c r="CQ376"/>
      <c r="CR376" s="1607">
        <v>1999</v>
      </c>
      <c r="CS376" s="1840">
        <v>1.0580000000000001</v>
      </c>
      <c r="CT376" s="1075">
        <f t="shared" si="245"/>
        <v>0.98959182753600006</v>
      </c>
      <c r="CU376" s="667">
        <v>8798.5622000000003</v>
      </c>
      <c r="CV376" s="1838">
        <f t="shared" si="246"/>
        <v>2846.5768243357279</v>
      </c>
      <c r="CW376" s="1837">
        <v>0.83</v>
      </c>
      <c r="CX376" s="1075">
        <f t="shared" si="247"/>
        <v>0.69727051015999975</v>
      </c>
      <c r="CY376" s="667">
        <v>1262.3489999999999</v>
      </c>
      <c r="CZ376" s="1838">
        <f t="shared" si="248"/>
        <v>257.92224433856137</v>
      </c>
      <c r="DA376" s="1176"/>
      <c r="DB376" s="1075">
        <v>0.99418820541845576</v>
      </c>
      <c r="DC376" s="667">
        <v>3975.3292999999999</v>
      </c>
      <c r="DD376" s="1838">
        <f t="shared" si="249"/>
        <v>1439.5797493425382</v>
      </c>
      <c r="DE376" s="1837">
        <v>1.05</v>
      </c>
      <c r="DF376" s="1075">
        <f t="shared" si="250"/>
        <v>0.71891819999999995</v>
      </c>
      <c r="DG376" s="667">
        <v>670.43899999999996</v>
      </c>
      <c r="DH376" s="667">
        <f t="shared" si="235"/>
        <v>191.93246752679997</v>
      </c>
      <c r="DI376" s="1839">
        <v>0.97599999999999998</v>
      </c>
      <c r="DJ376" s="1075">
        <f t="shared" si="251"/>
        <v>0.94144891679999998</v>
      </c>
      <c r="DK376" s="667">
        <v>2526.1678999999999</v>
      </c>
      <c r="DL376" s="1838">
        <f t="shared" si="236"/>
        <v>677.64881089468076</v>
      </c>
      <c r="DM376" s="1839">
        <v>1.0309999999999999</v>
      </c>
      <c r="DN376" s="1840">
        <v>1.0478244353599997</v>
      </c>
      <c r="DO376" s="667">
        <v>703.20910000000003</v>
      </c>
      <c r="DP376" s="1834">
        <f t="shared" si="237"/>
        <v>285.53373037225299</v>
      </c>
      <c r="DQ376" s="1839">
        <v>0.98599999999999999</v>
      </c>
      <c r="DR376" s="1841">
        <f t="shared" si="238"/>
        <v>0.98890057535999987</v>
      </c>
      <c r="DS376" s="667">
        <v>56.301099999999998</v>
      </c>
      <c r="DT376" s="667">
        <f t="shared" si="239"/>
        <v>24.029591750845242</v>
      </c>
      <c r="DU376" s="1842">
        <v>0</v>
      </c>
      <c r="DV376" s="1839">
        <v>1.0640000000000001</v>
      </c>
      <c r="DW376" s="2029">
        <f t="shared" si="252"/>
        <v>0.98493278956800012</v>
      </c>
      <c r="DX376" s="1075">
        <f t="shared" si="240"/>
        <v>3.4280333525379536</v>
      </c>
      <c r="DY376" s="667">
        <v>4823.2329</v>
      </c>
      <c r="DZ376" s="667">
        <f t="shared" si="229"/>
        <v>1406.9970749931902</v>
      </c>
      <c r="EA376" s="1837">
        <f t="shared" si="241"/>
        <v>1.0683620174917408</v>
      </c>
      <c r="EB376" s="1075">
        <f t="shared" si="230"/>
        <v>0.94351698193098643</v>
      </c>
      <c r="EC376" s="1075">
        <f t="shared" si="231"/>
        <v>4.3836468174313525</v>
      </c>
      <c r="ED376" s="2028">
        <f t="shared" si="228"/>
        <v>2129.4647999999997</v>
      </c>
      <c r="EE376" s="2699">
        <f t="shared" si="242"/>
        <v>0.17736677529339789</v>
      </c>
      <c r="EF376" s="1838">
        <f t="shared" si="232"/>
        <v>485.77471878717267</v>
      </c>
      <c r="EI376"/>
      <c r="EJ376" s="1607">
        <v>1999</v>
      </c>
      <c r="EK376" s="1785">
        <v>1.1120000000000001</v>
      </c>
      <c r="EL376" s="1595">
        <f t="shared" si="243"/>
        <v>1.1691784673199999</v>
      </c>
      <c r="EM376" s="1786">
        <v>2084.5850999999998</v>
      </c>
      <c r="EN376" s="1597">
        <f t="shared" si="244"/>
        <v>4.2606518536034752</v>
      </c>
      <c r="EO376" s="1786">
        <f t="shared" si="233"/>
        <v>489.26435945169936</v>
      </c>
      <c r="EP376" s="1787">
        <v>24.62</v>
      </c>
      <c r="EQ376" s="1597">
        <v>0.62509999999999999</v>
      </c>
      <c r="ER376" s="1597"/>
      <c r="ES376" s="1595"/>
      <c r="ET376" s="1597">
        <v>21.7136</v>
      </c>
      <c r="EU376" s="1788">
        <f t="shared" si="234"/>
        <v>4823.2329</v>
      </c>
      <c r="EV376"/>
    </row>
    <row r="377" spans="95:152" ht="17.399999999999999">
      <c r="CQ377"/>
      <c r="CR377" s="1607">
        <v>2000</v>
      </c>
      <c r="CS377" s="1840">
        <v>1.0940000000000001</v>
      </c>
      <c r="CT377" s="1075">
        <f t="shared" si="245"/>
        <v>1.0826134593243841</v>
      </c>
      <c r="CU377" s="667">
        <v>13385.6595</v>
      </c>
      <c r="CV377" s="1838">
        <f t="shared" si="246"/>
        <v>3114.1550458232864</v>
      </c>
      <c r="CW377" s="1837">
        <v>1.3240000000000001</v>
      </c>
      <c r="CX377" s="1075">
        <f t="shared" si="247"/>
        <v>0.92318615545183969</v>
      </c>
      <c r="CY377" s="667">
        <v>1755.8040000000001</v>
      </c>
      <c r="CZ377" s="1838">
        <f t="shared" si="248"/>
        <v>341.48905150425526</v>
      </c>
      <c r="DA377" s="1176"/>
      <c r="DB377" s="1075">
        <v>1.08181177902439</v>
      </c>
      <c r="DC377" s="667">
        <v>6080.0128999999997</v>
      </c>
      <c r="DD377" s="1838">
        <f t="shared" si="249"/>
        <v>1566.4582633307778</v>
      </c>
      <c r="DE377" s="1837">
        <v>1.1739999999999999</v>
      </c>
      <c r="DF377" s="1075">
        <f t="shared" si="250"/>
        <v>0.84400996679999984</v>
      </c>
      <c r="DG377" s="667">
        <v>1165.2339999999999</v>
      </c>
      <c r="DH377" s="667">
        <f t="shared" si="235"/>
        <v>225.32871687646315</v>
      </c>
      <c r="DI377" s="1839">
        <v>1.0589999999999999</v>
      </c>
      <c r="DJ377" s="1075">
        <f t="shared" si="251"/>
        <v>0.99699440289119989</v>
      </c>
      <c r="DK377" s="667">
        <v>3295.2372999999998</v>
      </c>
      <c r="DL377" s="1838">
        <f t="shared" si="236"/>
        <v>717.63009073746684</v>
      </c>
      <c r="DM377" s="1837">
        <v>1.02</v>
      </c>
      <c r="DN377" s="1840">
        <v>1.0687809240671997</v>
      </c>
      <c r="DO377" s="667">
        <v>1102.4971</v>
      </c>
      <c r="DP377" s="1834">
        <f t="shared" si="237"/>
        <v>291.24440497969806</v>
      </c>
      <c r="DQ377" s="1839">
        <v>1.016</v>
      </c>
      <c r="DR377" s="1841">
        <f t="shared" si="238"/>
        <v>1.0047229845657599</v>
      </c>
      <c r="DS377" s="667">
        <v>79.116500000000002</v>
      </c>
      <c r="DT377" s="667">
        <f t="shared" si="239"/>
        <v>24.41406521885877</v>
      </c>
      <c r="DU377" s="1842">
        <v>0</v>
      </c>
      <c r="DV377" s="1837">
        <v>1.1000000000000001</v>
      </c>
      <c r="DW377" s="2029">
        <f t="shared" si="252"/>
        <v>1.0834260685248003</v>
      </c>
      <c r="DX377" s="1075">
        <f t="shared" si="240"/>
        <v>4.7203345530217629</v>
      </c>
      <c r="DY377" s="667">
        <v>7305.6466</v>
      </c>
      <c r="DZ377" s="667">
        <f t="shared" si="229"/>
        <v>1547.6967824925093</v>
      </c>
      <c r="EA377" s="1837">
        <f t="shared" si="241"/>
        <v>1.2980678734344389</v>
      </c>
      <c r="EB377" s="1075">
        <f t="shared" si="230"/>
        <v>1.2247490822844354</v>
      </c>
      <c r="EC377" s="1075">
        <f t="shared" si="231"/>
        <v>5.422670804728047</v>
      </c>
      <c r="ED377" s="2028">
        <f t="shared" si="228"/>
        <v>3419.3656999999998</v>
      </c>
      <c r="EE377" s="2699">
        <f t="shared" si="242"/>
        <v>0.21045165705943777</v>
      </c>
      <c r="EF377" s="1838">
        <f t="shared" si="232"/>
        <v>630.56855618427767</v>
      </c>
      <c r="EI377"/>
      <c r="EJ377" s="1607">
        <v>2000</v>
      </c>
      <c r="EK377" s="1785">
        <v>1.095</v>
      </c>
      <c r="EL377" s="1595">
        <f t="shared" si="243"/>
        <v>1.2802504217153998</v>
      </c>
      <c r="EM377" s="1786">
        <v>3218.8663000000001</v>
      </c>
      <c r="EN377" s="1597">
        <f t="shared" si="244"/>
        <v>6.0082118596068304</v>
      </c>
      <c r="EO377" s="1786">
        <f t="shared" si="233"/>
        <v>535.74447359961084</v>
      </c>
      <c r="EP377" s="1787">
        <v>28.14</v>
      </c>
      <c r="EQ377" s="1597">
        <v>0.71460000000000001</v>
      </c>
      <c r="ER377" s="1597"/>
      <c r="ES377" s="1595"/>
      <c r="ET377" s="1597">
        <v>28.2072</v>
      </c>
      <c r="EU377" s="1788">
        <f t="shared" si="234"/>
        <v>7305.6466</v>
      </c>
      <c r="EV377"/>
    </row>
    <row r="378" spans="95:152" ht="17.399999999999999">
      <c r="CQ378"/>
      <c r="CR378" s="1607">
        <v>2001</v>
      </c>
      <c r="CS378" s="1840">
        <v>1.0489999999999999</v>
      </c>
      <c r="CT378" s="1075">
        <f t="shared" si="245"/>
        <v>1.1356615188312789</v>
      </c>
      <c r="CU378" s="667">
        <v>17020.277300000002</v>
      </c>
      <c r="CV378" s="1838">
        <f t="shared" si="246"/>
        <v>3266.7486430686272</v>
      </c>
      <c r="CW378" s="1837">
        <v>1.1870000000000001</v>
      </c>
      <c r="CX378" s="1075">
        <f t="shared" si="247"/>
        <v>1.0958219665213338</v>
      </c>
      <c r="CY378" s="667">
        <v>2165.9279999999999</v>
      </c>
      <c r="CZ378" s="1838">
        <f t="shared" si="248"/>
        <v>405.34750413555099</v>
      </c>
      <c r="DA378" s="1176"/>
      <c r="DB378" s="1075">
        <v>1.1326828463720047</v>
      </c>
      <c r="DC378" s="667">
        <v>8076.6947</v>
      </c>
      <c r="DD378" s="1838">
        <f t="shared" si="249"/>
        <v>1640.1193246690004</v>
      </c>
      <c r="DE378" s="1837">
        <v>1.1000000000000001</v>
      </c>
      <c r="DF378" s="1075">
        <f t="shared" si="250"/>
        <v>0.92841096347999985</v>
      </c>
      <c r="DG378" s="667">
        <v>1504.7</v>
      </c>
      <c r="DH378" s="667">
        <f t="shared" si="235"/>
        <v>247.86158856410947</v>
      </c>
      <c r="DI378" s="1839">
        <v>1.0820000000000001</v>
      </c>
      <c r="DJ378" s="1075">
        <f t="shared" si="251"/>
        <v>1.0787479439282783</v>
      </c>
      <c r="DK378" s="667">
        <v>4318.1211000000003</v>
      </c>
      <c r="DL378" s="1838">
        <f t="shared" si="236"/>
        <v>776.47575817793916</v>
      </c>
      <c r="DM378" s="1839">
        <v>0.99199999999999999</v>
      </c>
      <c r="DN378" s="1840">
        <v>1.0602306766746621</v>
      </c>
      <c r="DO378" s="667">
        <v>1469.9576</v>
      </c>
      <c r="DP378" s="1834">
        <f t="shared" si="237"/>
        <v>288.91444973986046</v>
      </c>
      <c r="DQ378" s="1839">
        <v>1.0189999999999999</v>
      </c>
      <c r="DR378" s="1841">
        <f t="shared" si="238"/>
        <v>1.0238127212725092</v>
      </c>
      <c r="DS378" s="667">
        <v>98.781899999999993</v>
      </c>
      <c r="DT378" s="667">
        <f t="shared" si="239"/>
        <v>24.877932458017082</v>
      </c>
      <c r="DU378" s="1842">
        <v>-40.022599999999997</v>
      </c>
      <c r="DV378" s="1839">
        <v>1.0509999999999999</v>
      </c>
      <c r="DW378" s="2029">
        <f t="shared" si="252"/>
        <v>1.138680798019565</v>
      </c>
      <c r="DX378" s="1075">
        <f t="shared" si="240"/>
        <v>5.4982302967459225</v>
      </c>
      <c r="DY378" s="667">
        <v>8943.5825999999997</v>
      </c>
      <c r="DZ378" s="667">
        <f t="shared" si="229"/>
        <v>1626.6293183996272</v>
      </c>
      <c r="EA378" s="1837">
        <f t="shared" si="241"/>
        <v>1.1003515585900572</v>
      </c>
      <c r="EB378" s="1075">
        <f t="shared" si="230"/>
        <v>1.3476545615734206</v>
      </c>
      <c r="EC378" s="1075">
        <f t="shared" si="231"/>
        <v>5.4161394271000169</v>
      </c>
      <c r="ED378" s="2028">
        <f t="shared" si="228"/>
        <v>3757.9725999999996</v>
      </c>
      <c r="EE378" s="2699">
        <f t="shared" si="242"/>
        <v>0.22075386925949722</v>
      </c>
      <c r="EF378" s="1838">
        <f t="shared" si="232"/>
        <v>693.84709359525198</v>
      </c>
      <c r="EI378"/>
      <c r="EJ378" s="1607">
        <v>2001</v>
      </c>
      <c r="EK378" s="1785">
        <v>1.042</v>
      </c>
      <c r="EL378" s="1595">
        <f t="shared" si="243"/>
        <v>1.3340209394274467</v>
      </c>
      <c r="EM378" s="1786">
        <v>3299.5617000000002</v>
      </c>
      <c r="EN378" s="1597">
        <f t="shared" si="244"/>
        <v>5.9105900050191611</v>
      </c>
      <c r="EO378" s="1786">
        <f t="shared" si="233"/>
        <v>558.24574149079444</v>
      </c>
      <c r="EP378" s="1787">
        <v>29.17</v>
      </c>
      <c r="EQ378" s="1597">
        <v>1.1505999999999998</v>
      </c>
      <c r="ER378" s="1597"/>
      <c r="ES378" s="1595"/>
      <c r="ET378" s="1597">
        <v>27.166600000000003</v>
      </c>
      <c r="EU378" s="1788">
        <f t="shared" si="234"/>
        <v>8943.5825999999997</v>
      </c>
      <c r="EV378"/>
    </row>
    <row r="379" spans="95:152" ht="17.399999999999999">
      <c r="CQ379"/>
      <c r="CR379" s="1607">
        <v>2002</v>
      </c>
      <c r="CS379" s="1840">
        <v>1.044</v>
      </c>
      <c r="CT379" s="1075">
        <f t="shared" si="245"/>
        <v>1.1856306256598552</v>
      </c>
      <c r="CU379" s="667">
        <v>20222.973599999998</v>
      </c>
      <c r="CV379" s="1838">
        <f t="shared" si="246"/>
        <v>3410.485583363647</v>
      </c>
      <c r="CW379" s="1837">
        <v>1.1459999999999999</v>
      </c>
      <c r="CX379" s="1075">
        <f t="shared" si="247"/>
        <v>1.2558119736334483</v>
      </c>
      <c r="CY379" s="667">
        <v>2646.2040000000002</v>
      </c>
      <c r="CZ379" s="1838">
        <f t="shared" si="248"/>
        <v>464.52823973934142</v>
      </c>
      <c r="DA379" s="1176"/>
      <c r="DB379" s="1075">
        <v>1.1791507920739224</v>
      </c>
      <c r="DC379" s="667">
        <v>9403.7026999999998</v>
      </c>
      <c r="DD379" s="1838">
        <f t="shared" si="249"/>
        <v>1707.404686999238</v>
      </c>
      <c r="DE379" s="1837">
        <v>1.028</v>
      </c>
      <c r="DF379" s="1075">
        <f t="shared" si="250"/>
        <v>0.95440647045743987</v>
      </c>
      <c r="DG379" s="667">
        <v>1762.4</v>
      </c>
      <c r="DH379" s="667">
        <f t="shared" si="235"/>
        <v>254.80171304390456</v>
      </c>
      <c r="DI379" s="1839">
        <v>1.077</v>
      </c>
      <c r="DJ379" s="1075">
        <f t="shared" si="251"/>
        <v>1.1618115356107557</v>
      </c>
      <c r="DK379" s="667">
        <v>5409.1576999999997</v>
      </c>
      <c r="DL379" s="1838">
        <f t="shared" si="236"/>
        <v>836.26439155764047</v>
      </c>
      <c r="DM379" s="1839">
        <v>1.026</v>
      </c>
      <c r="DN379" s="1840">
        <v>1.0877966742682033</v>
      </c>
      <c r="DO379" s="667">
        <v>1942.4418000000001</v>
      </c>
      <c r="DP379" s="1834">
        <f t="shared" si="237"/>
        <v>296.42622543309682</v>
      </c>
      <c r="DQ379" s="1839">
        <v>1.008</v>
      </c>
      <c r="DR379" s="1841">
        <f t="shared" si="238"/>
        <v>1.0320032230426892</v>
      </c>
      <c r="DS379" s="667">
        <v>132.51599999999999</v>
      </c>
      <c r="DT379" s="667">
        <f t="shared" si="239"/>
        <v>25.076955917681218</v>
      </c>
      <c r="DU379" s="1842">
        <v>-1.7070000000000001</v>
      </c>
      <c r="DV379" s="1839">
        <v>1.0469999999999999</v>
      </c>
      <c r="DW379" s="2029">
        <f t="shared" si="252"/>
        <v>1.1921987955264846</v>
      </c>
      <c r="DX379" s="1075">
        <f t="shared" si="240"/>
        <v>6.3527639368723143</v>
      </c>
      <c r="DY379" s="667">
        <v>10819.270899999998</v>
      </c>
      <c r="DZ379" s="667">
        <f t="shared" si="229"/>
        <v>1703.0808963644097</v>
      </c>
      <c r="EA379" s="1837">
        <f t="shared" si="241"/>
        <v>1.0881934321279612</v>
      </c>
      <c r="EB379" s="1075">
        <f t="shared" si="230"/>
        <v>1.4665088426814834</v>
      </c>
      <c r="EC379" s="1075">
        <f t="shared" si="231"/>
        <v>5.5899915734957792</v>
      </c>
      <c r="ED379" s="2028">
        <f t="shared" si="228"/>
        <v>4220.6663999999982</v>
      </c>
      <c r="EE379" s="2699">
        <f t="shared" si="242"/>
        <v>0.23009857341476964</v>
      </c>
      <c r="EF379" s="1838">
        <f t="shared" si="232"/>
        <v>755.03985015142803</v>
      </c>
      <c r="EI379"/>
      <c r="EJ379" s="1607">
        <v>2002</v>
      </c>
      <c r="EK379" s="1785">
        <v>1.103</v>
      </c>
      <c r="EL379" s="1595">
        <f t="shared" si="243"/>
        <v>1.4714250961884736</v>
      </c>
      <c r="EM379" s="1786">
        <v>3813.7</v>
      </c>
      <c r="EN379" s="1597">
        <f t="shared" si="244"/>
        <v>6.1936348205467269</v>
      </c>
      <c r="EO379" s="1786">
        <f t="shared" si="233"/>
        <v>615.74505286434623</v>
      </c>
      <c r="EP379" s="1787">
        <v>31.35</v>
      </c>
      <c r="EQ379" s="1597">
        <v>1.6094000000000002</v>
      </c>
      <c r="ER379" s="1597"/>
      <c r="ES379" s="1595"/>
      <c r="ET379" s="1597">
        <v>28.683000000000003</v>
      </c>
      <c r="EU379" s="1788">
        <f t="shared" si="234"/>
        <v>10819.270899999998</v>
      </c>
      <c r="EV379"/>
    </row>
    <row r="380" spans="95:152" ht="17.399999999999999">
      <c r="CQ380"/>
      <c r="CR380" s="1607">
        <v>2003</v>
      </c>
      <c r="CS380" s="1840">
        <v>1.0760000000000001</v>
      </c>
      <c r="CT380" s="1075">
        <f t="shared" si="245"/>
        <v>1.2757385532100043</v>
      </c>
      <c r="CU380" s="667">
        <v>24861.589499999998</v>
      </c>
      <c r="CV380" s="1838">
        <f t="shared" si="246"/>
        <v>3669.6824876992846</v>
      </c>
      <c r="CW380" s="1837">
        <v>1.173</v>
      </c>
      <c r="CX380" s="1075">
        <f t="shared" si="247"/>
        <v>1.4730674450720349</v>
      </c>
      <c r="CY380" s="667">
        <v>3153.9</v>
      </c>
      <c r="CZ380" s="1838">
        <f t="shared" si="248"/>
        <v>544.89162521424748</v>
      </c>
      <c r="DA380" s="1176"/>
      <c r="DB380" s="1075">
        <v>1.2722947464882988</v>
      </c>
      <c r="DC380" s="667">
        <v>11653.3392</v>
      </c>
      <c r="DD380" s="1838">
        <f t="shared" si="249"/>
        <v>1842.2766859002738</v>
      </c>
      <c r="DE380" s="1837">
        <v>1.125</v>
      </c>
      <c r="DF380" s="1075">
        <f t="shared" si="250"/>
        <v>1.0737072792646198</v>
      </c>
      <c r="DG380" s="667">
        <v>2186.4</v>
      </c>
      <c r="DH380" s="667">
        <f t="shared" si="235"/>
        <v>286.6519271743926</v>
      </c>
      <c r="DI380" s="1839">
        <v>1.077</v>
      </c>
      <c r="DJ380" s="1075">
        <f t="shared" si="251"/>
        <v>1.2512710238527838</v>
      </c>
      <c r="DK380" s="667">
        <v>6537.4014999999999</v>
      </c>
      <c r="DL380" s="1838">
        <f t="shared" si="236"/>
        <v>900.65674970757868</v>
      </c>
      <c r="DM380" s="1839">
        <v>1.024</v>
      </c>
      <c r="DN380" s="1840">
        <v>1.1139037944506402</v>
      </c>
      <c r="DO380" s="667">
        <v>2366.3687</v>
      </c>
      <c r="DP380" s="1834">
        <f t="shared" si="237"/>
        <v>303.54045484349115</v>
      </c>
      <c r="DQ380" s="1839">
        <v>1.0009999999999999</v>
      </c>
      <c r="DR380" s="1841">
        <f t="shared" si="238"/>
        <v>1.0330352262657319</v>
      </c>
      <c r="DS380" s="667">
        <v>154.91739999999999</v>
      </c>
      <c r="DT380" s="667">
        <f t="shared" si="239"/>
        <v>25.102032873598898</v>
      </c>
      <c r="DU380" s="1842">
        <v>-107.4624</v>
      </c>
      <c r="DV380" s="1839">
        <v>1.073</v>
      </c>
      <c r="DW380" s="2029">
        <f t="shared" si="252"/>
        <v>1.2792293075999179</v>
      </c>
      <c r="DX380" s="1075">
        <f t="shared" si="240"/>
        <v>7.2278693035761279</v>
      </c>
      <c r="DY380" s="667">
        <v>13208.250299999998</v>
      </c>
      <c r="DZ380" s="667">
        <f t="shared" si="229"/>
        <v>1827.4058017990117</v>
      </c>
      <c r="EA380" s="1837">
        <f t="shared" si="241"/>
        <v>1.1341735965889115</v>
      </c>
      <c r="EB380" s="1075">
        <f t="shared" si="230"/>
        <v>1.6632756085335001</v>
      </c>
      <c r="EC380" s="1075">
        <f t="shared" si="231"/>
        <v>6.1009492646947514</v>
      </c>
      <c r="ED380" s="2028">
        <f t="shared" si="228"/>
        <v>5224.5250999999989</v>
      </c>
      <c r="EE380" s="2699">
        <f t="shared" si="242"/>
        <v>0.24253877934926296</v>
      </c>
      <c r="EF380" s="1838">
        <f t="shared" si="232"/>
        <v>856.34626241419789</v>
      </c>
      <c r="EI380"/>
      <c r="EJ380" s="1607">
        <v>2003</v>
      </c>
      <c r="EK380" s="1785">
        <v>1.1259999999999999</v>
      </c>
      <c r="EL380" s="1595">
        <f t="shared" si="243"/>
        <v>1.6568246583082211</v>
      </c>
      <c r="EM380" s="1786">
        <v>4655.8802999999998</v>
      </c>
      <c r="EN380" s="1597">
        <f t="shared" si="244"/>
        <v>6.7152546240758211</v>
      </c>
      <c r="EO380" s="1786">
        <f t="shared" si="233"/>
        <v>693.32892952525378</v>
      </c>
      <c r="EP380" s="1787">
        <v>30.69</v>
      </c>
      <c r="EQ380" s="1597">
        <v>2.1305000000000001</v>
      </c>
      <c r="ER380" s="1597"/>
      <c r="ES380" s="1595"/>
      <c r="ET380" s="1597">
        <v>29.938200000000002</v>
      </c>
      <c r="EU380" s="1788">
        <f t="shared" si="234"/>
        <v>13208.250299999998</v>
      </c>
      <c r="EV380"/>
    </row>
    <row r="381" spans="95:152" ht="17.399999999999999">
      <c r="CQ381"/>
      <c r="CR381" s="1607">
        <v>2004</v>
      </c>
      <c r="CS381" s="1840">
        <v>1.08</v>
      </c>
      <c r="CT381" s="1075">
        <f t="shared" si="245"/>
        <v>1.3777976374668046</v>
      </c>
      <c r="CU381" s="667">
        <v>31659.022599999997</v>
      </c>
      <c r="CV381" s="1838">
        <f t="shared" si="246"/>
        <v>3963.2570867152276</v>
      </c>
      <c r="CW381" s="1837">
        <v>1.2330000000000001</v>
      </c>
      <c r="CX381" s="1075">
        <f t="shared" si="247"/>
        <v>1.8162921597738191</v>
      </c>
      <c r="CY381" s="667">
        <v>3773.9</v>
      </c>
      <c r="CZ381" s="1838">
        <f t="shared" si="248"/>
        <v>671.85137388916723</v>
      </c>
      <c r="DA381" s="1176"/>
      <c r="DB381" s="1075">
        <v>1.3841745243262458</v>
      </c>
      <c r="DC381" s="667">
        <v>14631.855600000001</v>
      </c>
      <c r="DD381" s="1838">
        <f t="shared" si="249"/>
        <v>2004.2780671866876</v>
      </c>
      <c r="DE381" s="1837">
        <v>1.137</v>
      </c>
      <c r="DF381" s="1075">
        <f t="shared" si="250"/>
        <v>1.2208051765238728</v>
      </c>
      <c r="DG381" s="667">
        <v>2865</v>
      </c>
      <c r="DH381" s="667">
        <f t="shared" si="235"/>
        <v>325.92324119728437</v>
      </c>
      <c r="DI381" s="1839">
        <v>1.125</v>
      </c>
      <c r="DJ381" s="1075">
        <f t="shared" si="251"/>
        <v>1.4076799018343817</v>
      </c>
      <c r="DK381" s="667">
        <v>8438.4840999999997</v>
      </c>
      <c r="DL381" s="1838">
        <f t="shared" si="236"/>
        <v>1013.238843421026</v>
      </c>
      <c r="DM381" s="1839">
        <v>1.0209999999999999</v>
      </c>
      <c r="DN381" s="1840">
        <v>1.1372957741341037</v>
      </c>
      <c r="DO381" s="667">
        <v>2889.8145</v>
      </c>
      <c r="DP381" s="1834">
        <f t="shared" si="237"/>
        <v>309.9148043952045</v>
      </c>
      <c r="DQ381" s="1839">
        <v>0.88900000000000001</v>
      </c>
      <c r="DR381" s="1841">
        <f t="shared" si="238"/>
        <v>0.91836831615023562</v>
      </c>
      <c r="DS381" s="667">
        <v>149.55099999999999</v>
      </c>
      <c r="DT381" s="667">
        <f t="shared" si="239"/>
        <v>22.315707224629421</v>
      </c>
      <c r="DU381" s="1842">
        <v>-96.143500000000003</v>
      </c>
      <c r="DV381" s="1839">
        <v>1.0720000000000001</v>
      </c>
      <c r="DW381" s="2029">
        <f t="shared" si="252"/>
        <v>1.3713338177471122</v>
      </c>
      <c r="DX381" s="1075">
        <f t="shared" si="240"/>
        <v>8.6918577637946601</v>
      </c>
      <c r="DY381" s="667">
        <v>17027.166999999998</v>
      </c>
      <c r="DZ381" s="667">
        <f t="shared" si="229"/>
        <v>1958.9790195285407</v>
      </c>
      <c r="EA381" s="1837">
        <f t="shared" si="241"/>
        <v>1.120385338606759</v>
      </c>
      <c r="EB381" s="1075">
        <f t="shared" si="230"/>
        <v>1.8635096058631688</v>
      </c>
      <c r="EC381" s="1075">
        <f t="shared" si="231"/>
        <v>6.8314599646456458</v>
      </c>
      <c r="ED381" s="2028">
        <f t="shared" si="228"/>
        <v>6554.3608999999979</v>
      </c>
      <c r="EE381" s="2699">
        <f t="shared" si="242"/>
        <v>0.25160823372823521</v>
      </c>
      <c r="EF381" s="1838">
        <f t="shared" si="232"/>
        <v>959.43779717956363</v>
      </c>
      <c r="EI381"/>
      <c r="EJ381" s="1607">
        <v>2004</v>
      </c>
      <c r="EK381" s="1785">
        <v>1.1180000000000001</v>
      </c>
      <c r="EL381" s="1595">
        <f t="shared" si="243"/>
        <v>1.8523299679885914</v>
      </c>
      <c r="EM381" s="1786">
        <v>5860.3968999999997</v>
      </c>
      <c r="EN381" s="1597">
        <f t="shared" si="244"/>
        <v>7.5604196927091616</v>
      </c>
      <c r="EO381" s="1786">
        <f t="shared" si="233"/>
        <v>775.14174320923382</v>
      </c>
      <c r="EP381" s="1787">
        <v>28.81</v>
      </c>
      <c r="EQ381" s="1597">
        <v>3.2051999999999996</v>
      </c>
      <c r="ER381" s="1597"/>
      <c r="ES381" s="1595"/>
      <c r="ET381" s="1597">
        <v>32.7958</v>
      </c>
      <c r="EU381" s="1788">
        <f t="shared" si="234"/>
        <v>17027.166999999998</v>
      </c>
      <c r="EV381"/>
    </row>
    <row r="382" spans="95:152" ht="17.399999999999999">
      <c r="CQ382"/>
      <c r="CR382" s="1607">
        <v>2005</v>
      </c>
      <c r="CS382" s="1840">
        <v>1.0569999999999999</v>
      </c>
      <c r="CT382" s="1075">
        <f t="shared" si="245"/>
        <v>1.4563321028024123</v>
      </c>
      <c r="CU382" s="667">
        <v>40112.701999999997</v>
      </c>
      <c r="CV382" s="1838">
        <f t="shared" si="246"/>
        <v>4189.1627406579955</v>
      </c>
      <c r="CW382" s="1837">
        <v>1.1659999999999999</v>
      </c>
      <c r="CX382" s="1075">
        <f t="shared" si="247"/>
        <v>2.1177966582962728</v>
      </c>
      <c r="CY382" s="667">
        <v>4648.3</v>
      </c>
      <c r="CZ382" s="1838">
        <f t="shared" si="248"/>
        <v>783.37870195476899</v>
      </c>
      <c r="DA382" s="1176"/>
      <c r="DB382" s="1075">
        <v>1.4536022383773288</v>
      </c>
      <c r="DC382" s="667">
        <v>18502.9362</v>
      </c>
      <c r="DD382" s="1838">
        <f t="shared" si="249"/>
        <v>2104.8090638796284</v>
      </c>
      <c r="DE382" s="1837">
        <v>1.1020000000000001</v>
      </c>
      <c r="DF382" s="1075">
        <f t="shared" si="250"/>
        <v>1.3453273045293079</v>
      </c>
      <c r="DG382" s="667">
        <v>3611.1</v>
      </c>
      <c r="DH382" s="667">
        <f t="shared" si="235"/>
        <v>359.16741179940743</v>
      </c>
      <c r="DI382" s="1839">
        <v>1.1220000000000001</v>
      </c>
      <c r="DJ382" s="1075">
        <f t="shared" si="251"/>
        <v>1.5794168498581764</v>
      </c>
      <c r="DK382" s="667">
        <v>10652.8578</v>
      </c>
      <c r="DL382" s="1838">
        <f t="shared" si="236"/>
        <v>1136.8539823183912</v>
      </c>
      <c r="DM382" s="1839">
        <v>1.014</v>
      </c>
      <c r="DN382" s="1840">
        <v>1.1532179149719812</v>
      </c>
      <c r="DO382" s="667">
        <v>3645.9185000000002</v>
      </c>
      <c r="DP382" s="1834">
        <f t="shared" si="237"/>
        <v>314.25361165673735</v>
      </c>
      <c r="DQ382" s="1839">
        <v>0.81699999999999995</v>
      </c>
      <c r="DR382" s="1841">
        <f t="shared" si="238"/>
        <v>0.7503069142947425</v>
      </c>
      <c r="DS382" s="667">
        <v>139.37289999999999</v>
      </c>
      <c r="DT382" s="667">
        <f t="shared" si="239"/>
        <v>18.231932802522234</v>
      </c>
      <c r="DU382" s="1842">
        <v>-126.09529999999999</v>
      </c>
      <c r="DV382" s="1839">
        <v>1.0640000000000001</v>
      </c>
      <c r="DW382" s="2029">
        <f t="shared" si="252"/>
        <v>1.4590991820829273</v>
      </c>
      <c r="DX382" s="1075">
        <f t="shared" si="240"/>
        <v>10.367609893058376</v>
      </c>
      <c r="DY382" s="667">
        <v>21609.765799999997</v>
      </c>
      <c r="DZ382" s="667">
        <f t="shared" si="229"/>
        <v>2084.3536767783671</v>
      </c>
      <c r="EA382" s="1837">
        <f t="shared" si="241"/>
        <v>1.0831608294055788</v>
      </c>
      <c r="EB382" s="1075">
        <f t="shared" si="230"/>
        <v>2.0184806102920132</v>
      </c>
      <c r="EC382" s="1075">
        <f t="shared" si="231"/>
        <v>8.0203116455157293</v>
      </c>
      <c r="ED382" s="2028">
        <f t="shared" si="228"/>
        <v>8334.9118999999992</v>
      </c>
      <c r="EE382" s="2699">
        <f t="shared" si="242"/>
        <v>0.25783555641470957</v>
      </c>
      <c r="EF382" s="1838">
        <f t="shared" si="232"/>
        <v>1039.2254401560776</v>
      </c>
      <c r="EI382"/>
      <c r="EJ382" s="1607">
        <v>2005</v>
      </c>
      <c r="EK382" s="1785">
        <v>1.0649999999999999</v>
      </c>
      <c r="EL382" s="1595">
        <f t="shared" si="243"/>
        <v>1.9727314159078497</v>
      </c>
      <c r="EM382" s="1786">
        <v>7607.2565000000004</v>
      </c>
      <c r="EN382" s="1597">
        <f t="shared" si="244"/>
        <v>9.215042167890525</v>
      </c>
      <c r="EO382" s="1786">
        <f t="shared" si="233"/>
        <v>825.52595651783406</v>
      </c>
      <c r="EP382" s="1787">
        <v>28.3</v>
      </c>
      <c r="EQ382" s="1597">
        <v>4.3538999999999994</v>
      </c>
      <c r="ER382" s="1597"/>
      <c r="ES382" s="1595"/>
      <c r="ET382" s="1597">
        <v>39.262</v>
      </c>
      <c r="EU382" s="1788">
        <f t="shared" si="234"/>
        <v>21609.765799999997</v>
      </c>
      <c r="EV382"/>
    </row>
    <row r="383" spans="95:152" ht="17.399999999999999">
      <c r="CQ383"/>
      <c r="CR383" s="1607">
        <v>2006</v>
      </c>
      <c r="CS383" s="1840">
        <v>1.089</v>
      </c>
      <c r="CT383" s="1075">
        <f t="shared" si="245"/>
        <v>1.5859456599518269</v>
      </c>
      <c r="CU383" s="667">
        <v>50163.726499999997</v>
      </c>
      <c r="CV383" s="1838">
        <f t="shared" si="246"/>
        <v>4561.9982245765568</v>
      </c>
      <c r="CW383" s="1837">
        <v>1.2130000000000001</v>
      </c>
      <c r="CX383" s="1075">
        <f t="shared" si="247"/>
        <v>2.568887346513379</v>
      </c>
      <c r="CY383" s="667">
        <v>5653.4198999999999</v>
      </c>
      <c r="CZ383" s="1838">
        <f t="shared" si="248"/>
        <v>950.23836547113478</v>
      </c>
      <c r="DA383" s="1176"/>
      <c r="DB383" s="1075">
        <v>1.5930491663938962</v>
      </c>
      <c r="DC383" s="667">
        <v>23246.522799999999</v>
      </c>
      <c r="DD383" s="1838">
        <f t="shared" si="249"/>
        <v>2306.7275463023634</v>
      </c>
      <c r="DE383" s="1837">
        <v>1.167</v>
      </c>
      <c r="DF383" s="1075">
        <f t="shared" si="250"/>
        <v>1.5699969643857024</v>
      </c>
      <c r="DG383" s="667">
        <v>4730</v>
      </c>
      <c r="DH383" s="667">
        <f t="shared" si="235"/>
        <v>419.14836956990848</v>
      </c>
      <c r="DI383" s="1839">
        <v>1.1220000000000001</v>
      </c>
      <c r="DJ383" s="1075">
        <f t="shared" si="251"/>
        <v>1.7721057055408742</v>
      </c>
      <c r="DK383" s="667">
        <v>12974.743399999999</v>
      </c>
      <c r="DL383" s="1838">
        <f t="shared" si="236"/>
        <v>1275.5501681612352</v>
      </c>
      <c r="DM383" s="1839">
        <v>1.0229999999999999</v>
      </c>
      <c r="DN383" s="1840">
        <v>1.1797419270163367</v>
      </c>
      <c r="DO383" s="667">
        <v>4680.4097000000002</v>
      </c>
      <c r="DP383" s="1834">
        <f t="shared" si="237"/>
        <v>321.48144472484233</v>
      </c>
      <c r="DQ383" s="1839">
        <v>0.98299999999999998</v>
      </c>
      <c r="DR383" s="1841">
        <f t="shared" si="238"/>
        <v>0.73755169675173182</v>
      </c>
      <c r="DS383" s="667">
        <v>154.58760000000001</v>
      </c>
      <c r="DT383" s="667">
        <f t="shared" si="239"/>
        <v>17.921989944879357</v>
      </c>
      <c r="DU383" s="1842">
        <v>-17.179400000000001</v>
      </c>
      <c r="DV383" s="1839">
        <v>1.0820000000000001</v>
      </c>
      <c r="DW383" s="2029">
        <f t="shared" si="252"/>
        <v>1.5787453150137274</v>
      </c>
      <c r="DX383" s="1075">
        <f t="shared" si="240"/>
        <v>11.93524305499237</v>
      </c>
      <c r="DY383" s="667">
        <v>26917.203699999998</v>
      </c>
      <c r="DZ383" s="667">
        <f t="shared" si="229"/>
        <v>2255.2706782741934</v>
      </c>
      <c r="EA383" s="1837">
        <f t="shared" si="241"/>
        <v>1.1271924513015512</v>
      </c>
      <c r="EB383" s="1075">
        <f t="shared" si="230"/>
        <v>2.2752161070197054</v>
      </c>
      <c r="EC383" s="1075">
        <f t="shared" si="231"/>
        <v>8.5777715926432858</v>
      </c>
      <c r="ED383" s="2028">
        <f t="shared" si="228"/>
        <v>10048.0623</v>
      </c>
      <c r="EE383" s="2699">
        <f t="shared" si="242"/>
        <v>0.26687813853792092</v>
      </c>
      <c r="EF383" s="1838">
        <f t="shared" si="232"/>
        <v>1171.4070713444628</v>
      </c>
      <c r="EI383"/>
      <c r="EJ383" s="1607">
        <v>2006</v>
      </c>
      <c r="EK383" s="1785">
        <v>1.073</v>
      </c>
      <c r="EL383" s="1595">
        <f t="shared" si="243"/>
        <v>2.1167408092691224</v>
      </c>
      <c r="EM383" s="1786">
        <v>9079.2999999999993</v>
      </c>
      <c r="EN383" s="1597">
        <f t="shared" si="244"/>
        <v>10.249953881504441</v>
      </c>
      <c r="EO383" s="1786">
        <f t="shared" si="233"/>
        <v>885.78935134363576</v>
      </c>
      <c r="EP383" s="1787">
        <v>27.17</v>
      </c>
      <c r="EQ383" s="1597">
        <v>6.0321000000000007</v>
      </c>
      <c r="ER383" s="1597"/>
      <c r="ES383" s="1595"/>
      <c r="ET383" s="1597">
        <v>43.226600000000005</v>
      </c>
      <c r="EU383" s="1788">
        <f t="shared" si="234"/>
        <v>26917.203699999998</v>
      </c>
      <c r="EV383"/>
    </row>
    <row r="384" spans="95:152" ht="17.399999999999999">
      <c r="CQ384"/>
      <c r="CR384" s="1607">
        <v>2007</v>
      </c>
      <c r="CS384" s="1840">
        <v>1.0880000000000001</v>
      </c>
      <c r="CT384" s="1075">
        <f t="shared" si="245"/>
        <v>1.7255088780275878</v>
      </c>
      <c r="CU384" s="667">
        <v>62515.174500000001</v>
      </c>
      <c r="CV384" s="1838">
        <f t="shared" si="246"/>
        <v>4963.4540683392943</v>
      </c>
      <c r="CW384" s="1837">
        <v>1.262</v>
      </c>
      <c r="CX384" s="1075">
        <f t="shared" si="247"/>
        <v>3.2419358312998843</v>
      </c>
      <c r="CY384" s="667">
        <v>7162.2107999999998</v>
      </c>
      <c r="CZ384" s="1838">
        <f t="shared" si="248"/>
        <v>1199.2008172245721</v>
      </c>
      <c r="DA384" s="1176"/>
      <c r="DB384" s="1075">
        <v>1.7379100306491306</v>
      </c>
      <c r="DC384" s="667">
        <v>29267.6613</v>
      </c>
      <c r="DD384" s="1838">
        <f t="shared" si="249"/>
        <v>2516.4853824117945</v>
      </c>
      <c r="DE384" s="1837">
        <v>1.2270000000000001</v>
      </c>
      <c r="DF384" s="1075">
        <f t="shared" si="250"/>
        <v>1.9263862753012568</v>
      </c>
      <c r="DG384" s="667">
        <v>6716.2219999999998</v>
      </c>
      <c r="DH384" s="667">
        <f t="shared" si="235"/>
        <v>514.29504946227769</v>
      </c>
      <c r="DI384" s="1839">
        <v>1.143</v>
      </c>
      <c r="DJ384" s="1075">
        <f t="shared" si="251"/>
        <v>2.0255168214332193</v>
      </c>
      <c r="DK384" s="667">
        <v>16031.739799999999</v>
      </c>
      <c r="DL384" s="1838">
        <f t="shared" si="236"/>
        <v>1457.9538422082919</v>
      </c>
      <c r="DM384" s="1839">
        <v>1.0269999999999999</v>
      </c>
      <c r="DN384" s="1840">
        <v>1.2115949590457777</v>
      </c>
      <c r="DO384" s="667">
        <v>5750.9641000000001</v>
      </c>
      <c r="DP384" s="1834">
        <f t="shared" si="237"/>
        <v>330.16144373241303</v>
      </c>
      <c r="DQ384" s="1839">
        <v>1.0269999999999999</v>
      </c>
      <c r="DR384" s="1841">
        <f t="shared" si="238"/>
        <v>0.75746559256402857</v>
      </c>
      <c r="DS384" s="667">
        <v>185.87559999999999</v>
      </c>
      <c r="DT384" s="667">
        <f t="shared" si="239"/>
        <v>18.405883673391099</v>
      </c>
      <c r="DU384" s="1842">
        <v>378.2842</v>
      </c>
      <c r="DV384" s="1839">
        <v>1.085</v>
      </c>
      <c r="DW384" s="2029">
        <f t="shared" si="252"/>
        <v>1.7129386667898943</v>
      </c>
      <c r="DX384" s="1075">
        <f t="shared" si="240"/>
        <v>13.58722463070583</v>
      </c>
      <c r="DY384" s="667">
        <v>33247.513200000001</v>
      </c>
      <c r="DZ384" s="667">
        <f t="shared" si="229"/>
        <v>2446.9686859274998</v>
      </c>
      <c r="EA384" s="1837">
        <f t="shared" si="241"/>
        <v>1.131419910718608</v>
      </c>
      <c r="EB384" s="1075">
        <f t="shared" si="230"/>
        <v>2.574224804669774</v>
      </c>
      <c r="EC384" s="1075">
        <f t="shared" si="231"/>
        <v>8.5612179305936174</v>
      </c>
      <c r="ED384" s="2028">
        <f t="shared" si="228"/>
        <v>11346.638300000001</v>
      </c>
      <c r="EE384" s="2699">
        <f t="shared" si="242"/>
        <v>0.27752871293871573</v>
      </c>
      <c r="EF384" s="1838">
        <f t="shared" si="232"/>
        <v>1325.353284075698</v>
      </c>
      <c r="EI384"/>
      <c r="EJ384" s="1607">
        <v>2007</v>
      </c>
      <c r="EK384" s="1785">
        <v>1.0629999999999999</v>
      </c>
      <c r="EL384" s="1595">
        <f t="shared" si="243"/>
        <v>2.2500954802530773</v>
      </c>
      <c r="EM384" s="1786">
        <v>10028.7621</v>
      </c>
      <c r="EN384" s="1597">
        <f t="shared" si="244"/>
        <v>10.650833844352405</v>
      </c>
      <c r="EO384" s="1786">
        <f t="shared" si="233"/>
        <v>941.59408047828492</v>
      </c>
      <c r="EP384" s="1787">
        <v>25.58</v>
      </c>
      <c r="EQ384" s="1597">
        <v>8.9707000000000008</v>
      </c>
      <c r="ER384" s="1597"/>
      <c r="ES384" s="1595"/>
      <c r="ET384" s="1597">
        <v>45.370400000000004</v>
      </c>
      <c r="EU384" s="1788">
        <f t="shared" si="234"/>
        <v>33247.513200000001</v>
      </c>
      <c r="EV384"/>
    </row>
    <row r="385" spans="95:152" ht="17.399999999999999">
      <c r="CQ385"/>
      <c r="CR385" s="1607">
        <v>2008</v>
      </c>
      <c r="CS385" s="1840">
        <v>1.05</v>
      </c>
      <c r="CT385" s="1075">
        <f t="shared" si="245"/>
        <v>1.8117843219289673</v>
      </c>
      <c r="CU385" s="667">
        <v>77695.808799999999</v>
      </c>
      <c r="CV385" s="1838">
        <f t="shared" si="246"/>
        <v>5211.6267717562596</v>
      </c>
      <c r="CW385" s="1837">
        <v>1.1479999999999999</v>
      </c>
      <c r="CX385" s="1075">
        <f t="shared" si="247"/>
        <v>3.7217423343322666</v>
      </c>
      <c r="CY385" s="667">
        <v>9110.9865000000009</v>
      </c>
      <c r="CZ385" s="1838">
        <f t="shared" si="248"/>
        <v>1376.6825381738088</v>
      </c>
      <c r="DA385" s="1176"/>
      <c r="DB385" s="1075">
        <v>1.8214257299751602</v>
      </c>
      <c r="DC385" s="667">
        <v>36418.959600000002</v>
      </c>
      <c r="DD385" s="1838">
        <f t="shared" si="249"/>
        <v>2637.4157141605288</v>
      </c>
      <c r="DE385" s="1837">
        <v>1.095</v>
      </c>
      <c r="DF385" s="1075">
        <f t="shared" si="250"/>
        <v>2.1093929714548763</v>
      </c>
      <c r="DG385" s="667">
        <v>8781.616</v>
      </c>
      <c r="DH385" s="667">
        <f t="shared" si="235"/>
        <v>563.15307916119411</v>
      </c>
      <c r="DI385" s="1839">
        <v>1.1060000000000001</v>
      </c>
      <c r="DJ385" s="1075">
        <f t="shared" si="251"/>
        <v>2.2402216045051406</v>
      </c>
      <c r="DK385" s="667">
        <v>19966.954699999998</v>
      </c>
      <c r="DL385" s="1838">
        <f t="shared" si="236"/>
        <v>1612.4969494823708</v>
      </c>
      <c r="DM385" s="1839">
        <v>1.034</v>
      </c>
      <c r="DN385" s="1840">
        <v>1.2527891876533341</v>
      </c>
      <c r="DO385" s="667">
        <v>7359.8441999999995</v>
      </c>
      <c r="DP385" s="1834">
        <f t="shared" si="237"/>
        <v>341.38693281931506</v>
      </c>
      <c r="DQ385" s="1839">
        <v>0.98599999999999999</v>
      </c>
      <c r="DR385" s="1841">
        <f t="shared" si="238"/>
        <v>0.7468610742681322</v>
      </c>
      <c r="DS385" s="667">
        <v>216.71250000000001</v>
      </c>
      <c r="DT385" s="667">
        <f t="shared" si="239"/>
        <v>18.148201301963624</v>
      </c>
      <c r="DU385" s="1842">
        <v>-605.34550000000002</v>
      </c>
      <c r="DV385" s="1839">
        <v>1.052</v>
      </c>
      <c r="DW385" s="2029">
        <f t="shared" si="252"/>
        <v>1.8020114774629687</v>
      </c>
      <c r="DX385" s="1075">
        <f t="shared" si="240"/>
        <v>16.034757164997917</v>
      </c>
      <c r="DY385" s="667">
        <v>41276.849199999997</v>
      </c>
      <c r="DZ385" s="667">
        <f t="shared" si="229"/>
        <v>2574.2110575957299</v>
      </c>
      <c r="EA385" s="1837">
        <f t="shared" si="241"/>
        <v>1.0681743879270733</v>
      </c>
      <c r="EB385" s="1075">
        <f t="shared" si="230"/>
        <v>2.7497210051148255</v>
      </c>
      <c r="EC385" s="1075">
        <f t="shared" si="231"/>
        <v>10.360928463828223</v>
      </c>
      <c r="ED385" s="2028">
        <f t="shared" si="228"/>
        <v>14668.053799999998</v>
      </c>
      <c r="EE385" s="2699">
        <f t="shared" si="242"/>
        <v>0.28233244102428678</v>
      </c>
      <c r="EF385" s="1838">
        <f t="shared" si="232"/>
        <v>1415.7084330046953</v>
      </c>
      <c r="EI385"/>
      <c r="EJ385" s="1607">
        <v>2008</v>
      </c>
      <c r="EK385" s="1785">
        <v>1.006</v>
      </c>
      <c r="EL385" s="1595">
        <f t="shared" si="243"/>
        <v>2.2635960531345956</v>
      </c>
      <c r="EM385" s="1786">
        <v>12923.5537</v>
      </c>
      <c r="EN385" s="1597">
        <f t="shared" si="244"/>
        <v>13.643325842032947</v>
      </c>
      <c r="EO385" s="1786">
        <f t="shared" si="233"/>
        <v>947.24364496115447</v>
      </c>
      <c r="EP385" s="1787">
        <v>24.86</v>
      </c>
      <c r="EQ385" s="1597">
        <v>12.869</v>
      </c>
      <c r="ER385" s="1597"/>
      <c r="ES385" s="1595"/>
      <c r="ET385" s="1597">
        <v>55.452799999999996</v>
      </c>
      <c r="EU385" s="1788">
        <f t="shared" si="234"/>
        <v>41276.849199999997</v>
      </c>
      <c r="EV385"/>
    </row>
    <row r="386" spans="95:152" ht="17.399999999999999">
      <c r="CQ386"/>
      <c r="CR386" s="1607">
        <v>2009</v>
      </c>
      <c r="CS386" s="1840">
        <v>0.92600000000000005</v>
      </c>
      <c r="CT386" s="1075">
        <f t="shared" si="245"/>
        <v>1.6777122821062238</v>
      </c>
      <c r="CU386" s="667">
        <v>73092.394899999999</v>
      </c>
      <c r="CV386" s="1838">
        <f t="shared" si="246"/>
        <v>4825.9663906462965</v>
      </c>
      <c r="CW386" s="1837">
        <v>0.69599999999999995</v>
      </c>
      <c r="CX386" s="1075">
        <f t="shared" si="247"/>
        <v>2.5903326646952576</v>
      </c>
      <c r="CY386" s="667">
        <v>7954.3271000000004</v>
      </c>
      <c r="CZ386" s="1838">
        <f t="shared" si="248"/>
        <v>958.17104656897084</v>
      </c>
      <c r="DA386" s="1176"/>
      <c r="DB386" s="1075">
        <v>1.6955291057599</v>
      </c>
      <c r="DC386" s="667">
        <v>34285.124000000003</v>
      </c>
      <c r="DD386" s="1838">
        <f t="shared" si="249"/>
        <v>2455.1180066006282</v>
      </c>
      <c r="DE386" s="1837">
        <v>0.86499999999999999</v>
      </c>
      <c r="DF386" s="1075">
        <f t="shared" si="250"/>
        <v>1.8246249203084679</v>
      </c>
      <c r="DG386" s="667">
        <v>7976.0129999999999</v>
      </c>
      <c r="DH386" s="667">
        <f t="shared" si="235"/>
        <v>487.1274134744329</v>
      </c>
      <c r="DI386" s="1839">
        <v>0.94899999999999995</v>
      </c>
      <c r="DJ386" s="1075">
        <f t="shared" si="251"/>
        <v>2.1259703026753782</v>
      </c>
      <c r="DK386" s="667">
        <v>20986.036</v>
      </c>
      <c r="DL386" s="1838">
        <f t="shared" si="236"/>
        <v>1530.2596050587699</v>
      </c>
      <c r="DM386" s="1839">
        <v>0.99399999999999999</v>
      </c>
      <c r="DN386" s="1840">
        <v>1.2452724525274141</v>
      </c>
      <c r="DO386" s="667">
        <v>8066.7</v>
      </c>
      <c r="DP386" s="1834">
        <f t="shared" si="237"/>
        <v>339.33861122239915</v>
      </c>
      <c r="DQ386" s="1837">
        <v>0.92</v>
      </c>
      <c r="DR386" s="1841">
        <f t="shared" si="238"/>
        <v>0.68711218832668164</v>
      </c>
      <c r="DS386" s="667">
        <v>216.99639999999999</v>
      </c>
      <c r="DT386" s="667">
        <f t="shared" si="239"/>
        <v>16.696345197806533</v>
      </c>
      <c r="DU386" s="1842">
        <v>-694.86199999999997</v>
      </c>
      <c r="DV386" s="1837">
        <v>0.92100000000000004</v>
      </c>
      <c r="DW386" s="2029">
        <f t="shared" si="252"/>
        <v>1.6596525707433942</v>
      </c>
      <c r="DX386" s="1075">
        <f t="shared" si="240"/>
        <v>16.36851650284715</v>
      </c>
      <c r="DY386" s="667">
        <v>38807.270899999996</v>
      </c>
      <c r="DZ386" s="667">
        <f t="shared" si="229"/>
        <v>2370.848384045667</v>
      </c>
      <c r="EA386" s="1837">
        <f t="shared" si="241"/>
        <v>0.67499594788248329</v>
      </c>
      <c r="EB386" s="1075">
        <f t="shared" si="230"/>
        <v>1.8560505362598563</v>
      </c>
      <c r="EC386" s="1075">
        <f t="shared" si="231"/>
        <v>10.685163024983835</v>
      </c>
      <c r="ED386" s="2028">
        <f t="shared" si="228"/>
        <v>10210.714599999998</v>
      </c>
      <c r="EE386" s="2699">
        <f t="shared" si="242"/>
        <v>0.20580264972695869</v>
      </c>
      <c r="EF386" s="1838">
        <f t="shared" si="232"/>
        <v>955.59745566122933</v>
      </c>
      <c r="EI386"/>
      <c r="EJ386" s="1607">
        <v>2009</v>
      </c>
      <c r="EK386" s="1785">
        <v>0.95299999999999996</v>
      </c>
      <c r="EL386" s="1595">
        <f t="shared" si="243"/>
        <v>2.1572070386372695</v>
      </c>
      <c r="EM386" s="1786">
        <v>10842.0262</v>
      </c>
      <c r="EN386" s="1597">
        <f t="shared" si="244"/>
        <v>12.010355196687106</v>
      </c>
      <c r="EO386" s="1786">
        <f t="shared" si="233"/>
        <v>902.72319364798022</v>
      </c>
      <c r="EP386" s="1787">
        <v>31.83</v>
      </c>
      <c r="EQ386" s="1597">
        <v>12.975899999999999</v>
      </c>
      <c r="ER386" s="1597"/>
      <c r="ES386" s="1595"/>
      <c r="ET386" s="1597">
        <v>44.459400000000002</v>
      </c>
      <c r="EU386" s="1788">
        <f t="shared" si="234"/>
        <v>38807.270899999996</v>
      </c>
      <c r="EV386"/>
    </row>
    <row r="387" spans="95:152" ht="17.399999999999999">
      <c r="CQ387"/>
      <c r="CR387" s="1607">
        <v>2010</v>
      </c>
      <c r="CS387" s="1840">
        <v>1.05</v>
      </c>
      <c r="CT387" s="1075">
        <f t="shared" si="245"/>
        <v>1.7615978962115351</v>
      </c>
      <c r="CU387" s="667">
        <v>88323.067999999999</v>
      </c>
      <c r="CV387" s="1838">
        <f t="shared" si="246"/>
        <v>5067.2647101786115</v>
      </c>
      <c r="CW387" s="1837">
        <v>1.258</v>
      </c>
      <c r="CX387" s="1075">
        <f t="shared" si="247"/>
        <v>3.258638492186634</v>
      </c>
      <c r="CY387" s="667">
        <v>9789.6139999999996</v>
      </c>
      <c r="CZ387" s="1838">
        <f t="shared" si="248"/>
        <v>1205.3791765837652</v>
      </c>
      <c r="DA387" s="1176"/>
      <c r="DB387" s="1075">
        <v>1.7884922193463679</v>
      </c>
      <c r="DC387" s="667">
        <v>42014.536999999997</v>
      </c>
      <c r="DD387" s="1838">
        <f t="shared" si="249"/>
        <v>2589.7281488508884</v>
      </c>
      <c r="DE387" s="1837">
        <v>1.0629999999999999</v>
      </c>
      <c r="DF387" s="1075">
        <f t="shared" si="250"/>
        <v>1.9395762902879012</v>
      </c>
      <c r="DG387" s="667">
        <v>9152.1</v>
      </c>
      <c r="DH387" s="667">
        <f t="shared" si="235"/>
        <v>517.81644052332217</v>
      </c>
      <c r="DI387" s="1839">
        <v>1.0549999999999999</v>
      </c>
      <c r="DJ387" s="1075">
        <f t="shared" si="251"/>
        <v>2.2428986693225239</v>
      </c>
      <c r="DK387" s="667">
        <v>23617.623</v>
      </c>
      <c r="DL387" s="1838">
        <f t="shared" si="236"/>
        <v>1614.4238833370021</v>
      </c>
      <c r="DM387" s="1839">
        <v>0.98499999999999999</v>
      </c>
      <c r="DN387" s="1840">
        <v>1.2265933657395029</v>
      </c>
      <c r="DO387" s="667">
        <v>8671.3230000000003</v>
      </c>
      <c r="DP387" s="1834">
        <f t="shared" si="237"/>
        <v>334.24853205406316</v>
      </c>
      <c r="DQ387" s="1839">
        <v>0.995</v>
      </c>
      <c r="DR387" s="1841">
        <f t="shared" si="238"/>
        <v>0.6836766273850482</v>
      </c>
      <c r="DS387" s="667">
        <v>225.726</v>
      </c>
      <c r="DT387" s="667">
        <f t="shared" si="239"/>
        <v>16.612863471817501</v>
      </c>
      <c r="DU387" s="1842">
        <v>-418.459</v>
      </c>
      <c r="DV387" s="1839">
        <v>1.0449999999999999</v>
      </c>
      <c r="DW387" s="2029">
        <f t="shared" si="252"/>
        <v>1.7343369364268468</v>
      </c>
      <c r="DX387" s="1075">
        <f t="shared" si="240"/>
        <v>18.691361299299281</v>
      </c>
      <c r="DY387" s="667">
        <v>46308.53100000001</v>
      </c>
      <c r="DZ387" s="667">
        <f t="shared" si="229"/>
        <v>2477.5365613277222</v>
      </c>
      <c r="EA387" s="1837">
        <f t="shared" si="241"/>
        <v>1.2555642665405242</v>
      </c>
      <c r="EB387" s="1075">
        <f t="shared" si="230"/>
        <v>2.3303907302212532</v>
      </c>
      <c r="EC387" s="1075">
        <f t="shared" si="231"/>
        <v>12.376778209553063</v>
      </c>
      <c r="ED387" s="2028">
        <f t="shared" si="228"/>
        <v>14849.832000000011</v>
      </c>
      <c r="EE387" s="2699">
        <f t="shared" si="242"/>
        <v>0.24609376472050032</v>
      </c>
      <c r="EF387" s="1838">
        <f t="shared" si="232"/>
        <v>1199.8140185252826</v>
      </c>
      <c r="EI387"/>
      <c r="EJ387" s="1607">
        <v>2010</v>
      </c>
      <c r="EK387" s="1785">
        <v>1.07</v>
      </c>
      <c r="EL387" s="1595">
        <f t="shared" si="243"/>
        <v>2.3082115313418785</v>
      </c>
      <c r="EM387" s="1786">
        <v>13529.311</v>
      </c>
      <c r="EN387" s="1597">
        <f t="shared" si="244"/>
        <v>14.006747557636276</v>
      </c>
      <c r="EO387" s="1786">
        <f t="shared" si="233"/>
        <v>965.91381720333891</v>
      </c>
      <c r="EP387" s="1787">
        <v>30.36</v>
      </c>
      <c r="EQ387" s="1597">
        <v>15.2676</v>
      </c>
      <c r="ER387" s="1597"/>
      <c r="ES387" s="1595"/>
      <c r="ET387" s="1597">
        <v>51.040799999999997</v>
      </c>
      <c r="EU387" s="1788">
        <f t="shared" si="234"/>
        <v>46308.53100000001</v>
      </c>
      <c r="EV387"/>
    </row>
    <row r="388" spans="95:152" ht="17.399999999999999">
      <c r="CQ388"/>
      <c r="CR388" s="1607">
        <v>2011</v>
      </c>
      <c r="CS388" s="1840">
        <v>1.0429999999999999</v>
      </c>
      <c r="CT388" s="1075">
        <f t="shared" si="245"/>
        <v>1.837346605748631</v>
      </c>
      <c r="CU388" s="667">
        <v>109158.8003</v>
      </c>
      <c r="CV388" s="1838">
        <f t="shared" si="246"/>
        <v>5285.1570927162911</v>
      </c>
      <c r="CW388" s="1837">
        <v>1.2030000000000001</v>
      </c>
      <c r="CX388" s="1075">
        <f t="shared" si="247"/>
        <v>3.9201421061005211</v>
      </c>
      <c r="CY388" s="667">
        <v>12010.7569</v>
      </c>
      <c r="CZ388" s="1838">
        <f t="shared" si="248"/>
        <v>1450.0711494302695</v>
      </c>
      <c r="DA388" s="1176"/>
      <c r="DB388" s="1075">
        <v>1.8653973847782621</v>
      </c>
      <c r="DC388" s="667">
        <v>48876.259899999997</v>
      </c>
      <c r="DD388" s="1838">
        <f t="shared" si="249"/>
        <v>2701.0864592514772</v>
      </c>
      <c r="DE388" s="1837">
        <v>1.1080000000000001</v>
      </c>
      <c r="DF388" s="1075">
        <f t="shared" si="250"/>
        <v>2.1490505296389948</v>
      </c>
      <c r="DG388" s="667">
        <v>11035.652</v>
      </c>
      <c r="DH388" s="667">
        <f t="shared" si="235"/>
        <v>573.74061609984096</v>
      </c>
      <c r="DI388" s="1839">
        <v>1.0680000000000001</v>
      </c>
      <c r="DJ388" s="1075">
        <f t="shared" si="251"/>
        <v>2.3954157788364556</v>
      </c>
      <c r="DK388" s="667">
        <v>29939.463500000002</v>
      </c>
      <c r="DL388" s="1838">
        <f t="shared" si="236"/>
        <v>1724.2047074039183</v>
      </c>
      <c r="DM388" s="1839">
        <v>1.014</v>
      </c>
      <c r="DN388" s="1840">
        <v>1.2437656728598561</v>
      </c>
      <c r="DO388" s="667">
        <v>10527.4218</v>
      </c>
      <c r="DP388" s="1834">
        <f t="shared" si="237"/>
        <v>338.92801150282008</v>
      </c>
      <c r="DQ388" s="1839">
        <v>0.95099999999999996</v>
      </c>
      <c r="DR388" s="1841">
        <f t="shared" si="238"/>
        <v>0.65017647264318079</v>
      </c>
      <c r="DS388" s="667">
        <v>225.33240000000001</v>
      </c>
      <c r="DT388" s="667">
        <f t="shared" si="239"/>
        <v>15.798833161698441</v>
      </c>
      <c r="DU388" s="1842">
        <v>0</v>
      </c>
      <c r="DV388" s="1839">
        <v>1.0429999999999999</v>
      </c>
      <c r="DW388" s="2029">
        <f t="shared" si="252"/>
        <v>1.808913424693201</v>
      </c>
      <c r="DX388" s="1075">
        <f t="shared" si="240"/>
        <v>23.328518818067689</v>
      </c>
      <c r="DY388" s="667">
        <v>60282.540400000005</v>
      </c>
      <c r="DZ388" s="667">
        <f t="shared" si="229"/>
        <v>2584.0706334648139</v>
      </c>
      <c r="EA388" s="1837">
        <f t="shared" si="241"/>
        <v>1.1514031286488886</v>
      </c>
      <c r="EB388" s="1075">
        <f t="shared" si="230"/>
        <v>2.683219177751119</v>
      </c>
      <c r="EC388" s="1075">
        <f t="shared" si="231"/>
        <v>14.886630426588821</v>
      </c>
      <c r="ED388" s="2028">
        <f t="shared" si="228"/>
        <v>20565.427600000003</v>
      </c>
      <c r="EE388" s="2699">
        <f t="shared" si="242"/>
        <v>0.27167126619383269</v>
      </c>
      <c r="EF388" s="1838">
        <f t="shared" si="232"/>
        <v>1381.4696147268057</v>
      </c>
      <c r="EI388"/>
      <c r="EJ388" s="1607">
        <v>2011</v>
      </c>
      <c r="EK388" s="1785">
        <v>1.0029999999999999</v>
      </c>
      <c r="EL388" s="1595">
        <f t="shared" si="243"/>
        <v>2.315136165935904</v>
      </c>
      <c r="EM388" s="1786">
        <v>16865.192199999998</v>
      </c>
      <c r="EN388" s="1597">
        <f t="shared" si="244"/>
        <v>17.408124468926459</v>
      </c>
      <c r="EO388" s="1786">
        <f t="shared" si="233"/>
        <v>968.81155865494884</v>
      </c>
      <c r="EP388" s="1787">
        <v>29.39</v>
      </c>
      <c r="EQ388" s="1597">
        <v>20.011900000000001</v>
      </c>
      <c r="ER388" s="1597"/>
      <c r="ES388" s="1595"/>
      <c r="ET388" s="1597">
        <v>63.666200000000003</v>
      </c>
      <c r="EU388" s="1788">
        <f t="shared" si="234"/>
        <v>60282.540400000005</v>
      </c>
      <c r="EV388"/>
    </row>
    <row r="389" spans="95:152" ht="17.399999999999999">
      <c r="CQ389"/>
      <c r="CR389" s="1607">
        <v>2012</v>
      </c>
      <c r="CS389" s="1840">
        <v>1.0390000000000001</v>
      </c>
      <c r="CT389" s="1075">
        <f t="shared" si="245"/>
        <v>1.9090031233728277</v>
      </c>
      <c r="CU389" s="667">
        <v>122259.8224</v>
      </c>
      <c r="CV389" s="1838">
        <f t="shared" si="246"/>
        <v>5491.2782193322273</v>
      </c>
      <c r="CW389" s="1837">
        <v>1.097</v>
      </c>
      <c r="CX389" s="1075">
        <f t="shared" si="247"/>
        <v>4.3003958903922719</v>
      </c>
      <c r="CY389" s="667">
        <v>13786.8717</v>
      </c>
      <c r="CZ389" s="1838">
        <f t="shared" si="248"/>
        <v>1590.7280509250056</v>
      </c>
      <c r="DA389" s="1176"/>
      <c r="DB389" s="1075">
        <v>1.9425040268983567</v>
      </c>
      <c r="DC389" s="667">
        <v>54095.939299999998</v>
      </c>
      <c r="DD389" s="1838">
        <f t="shared" si="249"/>
        <v>2812.736506929492</v>
      </c>
      <c r="DE389" s="1837">
        <v>1.0680000000000001</v>
      </c>
      <c r="DF389" s="1075">
        <f t="shared" si="250"/>
        <v>2.2951859656544467</v>
      </c>
      <c r="DG389" s="667">
        <v>12586.090400000001</v>
      </c>
      <c r="DH389" s="667">
        <f t="shared" si="235"/>
        <v>612.75497799463017</v>
      </c>
      <c r="DI389" s="1839">
        <v>1.079</v>
      </c>
      <c r="DJ389" s="1075">
        <f t="shared" si="251"/>
        <v>2.5846536253645356</v>
      </c>
      <c r="DK389" s="667">
        <v>34492.361700000001</v>
      </c>
      <c r="DL389" s="1838">
        <f t="shared" si="236"/>
        <v>1860.4168792888279</v>
      </c>
      <c r="DM389" s="1839">
        <v>1.026</v>
      </c>
      <c r="DN389" s="1840">
        <v>1.2761035803542125</v>
      </c>
      <c r="DO389" s="667">
        <v>12155.9717</v>
      </c>
      <c r="DP389" s="1834">
        <f t="shared" si="237"/>
        <v>347.74013980189346</v>
      </c>
      <c r="DQ389" s="1839">
        <v>0.99</v>
      </c>
      <c r="DR389" s="1841">
        <f t="shared" si="238"/>
        <v>0.64367470791674897</v>
      </c>
      <c r="DS389" s="667">
        <v>247.44670000000002</v>
      </c>
      <c r="DT389" s="667">
        <f t="shared" si="239"/>
        <v>15.640844830081457</v>
      </c>
      <c r="DU389" s="1842">
        <v>0</v>
      </c>
      <c r="DV389" s="1837">
        <v>1.0365590157306384</v>
      </c>
      <c r="DW389" s="2029">
        <f t="shared" si="252"/>
        <v>1.8750455190419226</v>
      </c>
      <c r="DX389" s="1075">
        <f t="shared" si="240"/>
        <v>25.448132013167307</v>
      </c>
      <c r="DY389" s="667">
        <v>68163.883100000006</v>
      </c>
      <c r="DZ389" s="667">
        <f t="shared" si="229"/>
        <v>2678.5417124027344</v>
      </c>
      <c r="EA389" s="1837">
        <f t="shared" si="241"/>
        <v>1.0370962242956285</v>
      </c>
      <c r="EB389" s="1075">
        <f t="shared" si="230"/>
        <v>2.7827564782033063</v>
      </c>
      <c r="EC389" s="1075">
        <f t="shared" si="231"/>
        <v>15.682710215951944</v>
      </c>
      <c r="ED389" s="2028">
        <f t="shared" si="228"/>
        <v>22468.884300000005</v>
      </c>
      <c r="EE389" s="2699">
        <f t="shared" si="242"/>
        <v>0.27117347874806208</v>
      </c>
      <c r="EF389" s="1838">
        <f t="shared" si="232"/>
        <v>1432.7169214123069</v>
      </c>
      <c r="EI389"/>
      <c r="EJ389" s="1607">
        <v>2012</v>
      </c>
      <c r="EK389" s="1785">
        <v>1.014</v>
      </c>
      <c r="EL389" s="1595">
        <f t="shared" si="243"/>
        <v>2.3475480722590065</v>
      </c>
      <c r="EM389" s="1786">
        <v>18324.772300000001</v>
      </c>
      <c r="EN389" s="1597">
        <f t="shared" si="244"/>
        <v>18.653542469425737</v>
      </c>
      <c r="EO389" s="1786">
        <f t="shared" si="233"/>
        <v>982.37492047611806</v>
      </c>
      <c r="EP389" s="1787">
        <v>31.08</v>
      </c>
      <c r="EQ389" s="1597">
        <v>24.204799999999999</v>
      </c>
      <c r="ER389" s="1597"/>
      <c r="ES389" s="1597"/>
      <c r="ET389" s="1597">
        <v>64.814400000000006</v>
      </c>
      <c r="EU389" s="1788">
        <f t="shared" si="234"/>
        <v>68163.883100000006</v>
      </c>
      <c r="EV389"/>
    </row>
    <row r="390" spans="95:152" ht="17.399999999999999">
      <c r="CQ390"/>
      <c r="CR390" s="1607">
        <v>2013</v>
      </c>
      <c r="CS390" s="1840">
        <v>1.0209999999999999</v>
      </c>
      <c r="CT390" s="1075">
        <f t="shared" si="245"/>
        <v>1.949092188963657</v>
      </c>
      <c r="CU390" s="667">
        <v>132429.93030000001</v>
      </c>
      <c r="CV390" s="1838">
        <f t="shared" si="246"/>
        <v>5606.5950619382038</v>
      </c>
      <c r="CW390" s="1837">
        <v>1.0349999999999999</v>
      </c>
      <c r="CX390" s="1075">
        <f t="shared" si="247"/>
        <v>4.4509097465560012</v>
      </c>
      <c r="CY390" s="667">
        <v>14919.620800000001</v>
      </c>
      <c r="CZ390" s="1838">
        <f t="shared" si="248"/>
        <v>1646.4035327073807</v>
      </c>
      <c r="DA390" s="1176"/>
      <c r="DB390" s="1075">
        <v>1.9891170112403125</v>
      </c>
      <c r="DC390" s="667">
        <v>59296.035200000006</v>
      </c>
      <c r="DD390" s="1838">
        <f t="shared" si="249"/>
        <v>2880.2318845143191</v>
      </c>
      <c r="DE390" s="1837">
        <v>1.008</v>
      </c>
      <c r="DF390" s="1075">
        <f t="shared" si="250"/>
        <v>2.313547453379682</v>
      </c>
      <c r="DG390" s="667">
        <v>13450.2382</v>
      </c>
      <c r="DH390" s="667">
        <f t="shared" si="235"/>
        <v>617.65701781858718</v>
      </c>
      <c r="DI390" s="1839">
        <v>1.052</v>
      </c>
      <c r="DJ390" s="1075">
        <f t="shared" si="251"/>
        <v>2.7190556138834916</v>
      </c>
      <c r="DK390" s="667">
        <v>38465.140799999994</v>
      </c>
      <c r="DL390" s="1838">
        <f t="shared" si="236"/>
        <v>1957.1585570118471</v>
      </c>
      <c r="DM390" s="1839">
        <v>1.0090000000000001</v>
      </c>
      <c r="DN390" s="1840">
        <v>1.2875885125774005</v>
      </c>
      <c r="DO390" s="667">
        <v>13551.946099999999</v>
      </c>
      <c r="DP390" s="1834">
        <f t="shared" si="237"/>
        <v>350.86980106011055</v>
      </c>
      <c r="DQ390" s="1839">
        <v>0.98799999999999999</v>
      </c>
      <c r="DR390" s="1841">
        <f t="shared" si="238"/>
        <v>0.63595061142174802</v>
      </c>
      <c r="DS390" s="667">
        <v>257.19670000000002</v>
      </c>
      <c r="DT390" s="667">
        <f t="shared" si="239"/>
        <v>15.453154692120481</v>
      </c>
      <c r="DU390" s="1842">
        <v>0</v>
      </c>
      <c r="DV390" s="1837">
        <v>1.0178535450091057</v>
      </c>
      <c r="DW390" s="2029">
        <f t="shared" si="252"/>
        <v>1.9085217286102596</v>
      </c>
      <c r="DX390" s="1075">
        <f t="shared" si="240"/>
        <v>26.824707619879</v>
      </c>
      <c r="DY390" s="667">
        <v>73133.89509999998</v>
      </c>
      <c r="DZ390" s="667">
        <f t="shared" si="229"/>
        <v>2726.3631774238838</v>
      </c>
      <c r="EA390" s="1837">
        <f t="shared" si="241"/>
        <v>0.99924008584847701</v>
      </c>
      <c r="EB390" s="1075">
        <f t="shared" si="230"/>
        <v>2.7806418221752773</v>
      </c>
      <c r="EC390" s="1075">
        <f t="shared" si="231"/>
        <v>15.596922733834738</v>
      </c>
      <c r="ED390" s="2028">
        <f t="shared" si="228"/>
        <v>22328.994099999989</v>
      </c>
      <c r="EE390" s="2699">
        <f t="shared" si="242"/>
        <v>0.26539413338300072</v>
      </c>
      <c r="EF390" s="1838">
        <f t="shared" si="232"/>
        <v>1431.6281795485993</v>
      </c>
      <c r="EI390"/>
      <c r="EJ390" s="1607">
        <v>2013</v>
      </c>
      <c r="EK390" s="1785">
        <v>1.046</v>
      </c>
      <c r="EL390" s="1595">
        <f t="shared" si="243"/>
        <v>2.4555352835829209</v>
      </c>
      <c r="EM390" s="1786">
        <v>18863.370199999998</v>
      </c>
      <c r="EN390" s="1597">
        <f t="shared" si="244"/>
        <v>18.357364736075578</v>
      </c>
      <c r="EO390" s="1786">
        <f t="shared" si="233"/>
        <v>1027.5641668180197</v>
      </c>
      <c r="EP390" s="1787">
        <v>31.85</v>
      </c>
      <c r="EQ390" s="1597">
        <v>27.1646</v>
      </c>
      <c r="ER390" s="1597"/>
      <c r="ES390" s="1597"/>
      <c r="ET390" s="1597">
        <v>64.168999999999997</v>
      </c>
      <c r="EU390" s="1788">
        <f t="shared" si="234"/>
        <v>73133.89509999998</v>
      </c>
      <c r="EV390"/>
    </row>
    <row r="391" spans="95:152" ht="17.399999999999999">
      <c r="CQ391"/>
      <c r="CR391" s="1607">
        <v>2014</v>
      </c>
      <c r="CS391" s="1840">
        <v>1.008</v>
      </c>
      <c r="CT391" s="1075">
        <f t="shared" si="245"/>
        <v>1.9646849264753663</v>
      </c>
      <c r="CU391" s="667">
        <v>143137.04599999997</v>
      </c>
      <c r="CV391" s="1838">
        <f t="shared" si="246"/>
        <v>5651.4478224337099</v>
      </c>
      <c r="CW391" s="1837">
        <v>0.92700000000000005</v>
      </c>
      <c r="CX391" s="1075">
        <f t="shared" si="247"/>
        <v>4.1259933350574132</v>
      </c>
      <c r="CY391" s="667">
        <v>16351.5355</v>
      </c>
      <c r="CZ391" s="1838">
        <f t="shared" si="248"/>
        <v>1526.2160748197421</v>
      </c>
      <c r="DA391" s="1176"/>
      <c r="DB391" s="1075">
        <v>2.0061860049662994</v>
      </c>
      <c r="DC391" s="667">
        <v>64078.5</v>
      </c>
      <c r="DD391" s="1838">
        <f t="shared" si="249"/>
        <v>2904.9477054983781</v>
      </c>
      <c r="DE391" s="1837">
        <v>0.98499999999999999</v>
      </c>
      <c r="DF391" s="1075">
        <f t="shared" si="250"/>
        <v>2.2788442415789869</v>
      </c>
      <c r="DG391" s="667">
        <v>13902.6453</v>
      </c>
      <c r="DH391" s="667">
        <f t="shared" si="235"/>
        <v>608.39216255130839</v>
      </c>
      <c r="DI391" s="1839">
        <v>1.02</v>
      </c>
      <c r="DJ391" s="1075">
        <f t="shared" si="251"/>
        <v>2.7734367261611617</v>
      </c>
      <c r="DK391" s="667">
        <v>41954.83</v>
      </c>
      <c r="DL391" s="1838">
        <f t="shared" si="236"/>
        <v>1996.301728152084</v>
      </c>
      <c r="DM391" s="1839">
        <v>0.97900000000000009</v>
      </c>
      <c r="DN391" s="1840">
        <v>1.2605491538132751</v>
      </c>
      <c r="DO391" s="667">
        <v>14173.19</v>
      </c>
      <c r="DP391" s="1834">
        <f t="shared" si="237"/>
        <v>343.5015352378482</v>
      </c>
      <c r="DQ391" s="1837">
        <v>1</v>
      </c>
      <c r="DR391" s="1841">
        <f t="shared" si="238"/>
        <v>0.63595061142174802</v>
      </c>
      <c r="DS391" s="667">
        <v>290.19099999999997</v>
      </c>
      <c r="DT391" s="667">
        <f t="shared" si="239"/>
        <v>15.453154692120481</v>
      </c>
      <c r="DU391" s="1842">
        <v>-317.8</v>
      </c>
      <c r="DV391" s="1837">
        <v>1.0073860077330101</v>
      </c>
      <c r="DW391" s="2029">
        <f t="shared" si="252"/>
        <v>1.9226180848563927</v>
      </c>
      <c r="DX391" s="1075">
        <f t="shared" si="240"/>
        <v>28.784997864196892</v>
      </c>
      <c r="DY391" s="667">
        <v>79058</v>
      </c>
      <c r="DZ391" s="667">
        <f t="shared" si="229"/>
        <v>2746.5001169353304</v>
      </c>
      <c r="EA391" s="1837">
        <f t="shared" si="241"/>
        <v>0.91439078234298798</v>
      </c>
      <c r="EB391" s="1075">
        <f t="shared" si="230"/>
        <v>2.5425932511944835</v>
      </c>
      <c r="EC391" s="1075">
        <f t="shared" si="231"/>
        <v>19.408072573294923</v>
      </c>
      <c r="ED391" s="2028">
        <f t="shared" si="228"/>
        <v>25406.479199999991</v>
      </c>
      <c r="EE391" s="2699">
        <f t="shared" si="242"/>
        <v>0.24074796552908859</v>
      </c>
      <c r="EF391" s="1838">
        <f t="shared" si="232"/>
        <v>1309.0676111217113</v>
      </c>
      <c r="EI391"/>
      <c r="EJ391" s="1607">
        <v>2014</v>
      </c>
      <c r="EK391" s="1785">
        <v>1.0049999999999999</v>
      </c>
      <c r="EL391" s="1595">
        <f t="shared" si="243"/>
        <v>2.4678129600008352</v>
      </c>
      <c r="EM391" s="1786">
        <v>21425.934600000001</v>
      </c>
      <c r="EN391" s="1597">
        <f t="shared" si="244"/>
        <v>20.747451690988555</v>
      </c>
      <c r="EO391" s="1786">
        <f t="shared" si="233"/>
        <v>1032.7019876521094</v>
      </c>
      <c r="EP391" s="1787">
        <v>32.729999999999997</v>
      </c>
      <c r="EQ391" s="1597">
        <v>31.1556</v>
      </c>
      <c r="ER391" s="1597"/>
      <c r="ES391" s="1597"/>
      <c r="ET391" s="1597">
        <v>60.5214</v>
      </c>
      <c r="EU391" s="1788">
        <f t="shared" si="234"/>
        <v>79058</v>
      </c>
      <c r="EV391"/>
    </row>
    <row r="392" spans="95:152" ht="17.399999999999999">
      <c r="CQ392"/>
      <c r="CR392" s="1607">
        <v>2015</v>
      </c>
      <c r="CS392" s="1840">
        <v>0.98699999999999999</v>
      </c>
      <c r="CT392" s="1075">
        <f t="shared" si="245"/>
        <v>1.9391440224311864</v>
      </c>
      <c r="CU392" s="667">
        <v>154422.9596</v>
      </c>
      <c r="CV392" s="1838">
        <f t="shared" si="246"/>
        <v>5577.9790007420715</v>
      </c>
      <c r="CW392" s="1837">
        <v>0.749</v>
      </c>
      <c r="CX392" s="1075">
        <f t="shared" si="247"/>
        <v>3.0903690079580026</v>
      </c>
      <c r="CY392" s="667">
        <v>17153.419999999998</v>
      </c>
      <c r="CZ392" s="1838">
        <f t="shared" si="248"/>
        <v>1143.1358400399868</v>
      </c>
      <c r="DA392" s="1176"/>
      <c r="DB392" s="1075">
        <v>1.999073192021805</v>
      </c>
      <c r="DC392" s="667">
        <v>71328.7</v>
      </c>
      <c r="DD392" s="1838">
        <f t="shared" si="249"/>
        <v>2894.6483864962524</v>
      </c>
      <c r="DE392" s="1837">
        <v>0.89900000000000002</v>
      </c>
      <c r="DF392" s="1075">
        <f t="shared" si="250"/>
        <v>2.0486809731795095</v>
      </c>
      <c r="DG392" s="667">
        <v>13897.2</v>
      </c>
      <c r="DH392" s="667">
        <f t="shared" si="235"/>
        <v>546.9445541336263</v>
      </c>
      <c r="DI392" s="1839">
        <v>0.90600000000000003</v>
      </c>
      <c r="DJ392" s="1075">
        <f t="shared" si="251"/>
        <v>2.5127336739020127</v>
      </c>
      <c r="DK392" s="667">
        <v>43242.32</v>
      </c>
      <c r="DL392" s="1838">
        <f t="shared" si="236"/>
        <v>1808.6493657057883</v>
      </c>
      <c r="DM392" s="1839">
        <v>0.96399999999999997</v>
      </c>
      <c r="DN392" s="1840">
        <v>1.2151693842759972</v>
      </c>
      <c r="DO392" s="667">
        <v>14684.12</v>
      </c>
      <c r="DP392" s="1834">
        <f t="shared" si="237"/>
        <v>331.13547996928565</v>
      </c>
      <c r="DQ392" s="1837">
        <v>0.97099999999999997</v>
      </c>
      <c r="DR392" s="1841">
        <f t="shared" si="238"/>
        <v>0.61750804369051726</v>
      </c>
      <c r="DS392" s="667">
        <v>314.08699999999999</v>
      </c>
      <c r="DT392" s="667">
        <f t="shared" si="239"/>
        <v>15.005013206048986</v>
      </c>
      <c r="DU392" s="1842">
        <v>-450.2</v>
      </c>
      <c r="DV392" s="1837">
        <v>0.97699999999999998</v>
      </c>
      <c r="DW392" s="2029">
        <f t="shared" si="252"/>
        <v>1.8783978689046956</v>
      </c>
      <c r="DX392" s="1075">
        <f t="shared" si="240"/>
        <v>30.966739453891172</v>
      </c>
      <c r="DY392" s="667">
        <v>83094</v>
      </c>
      <c r="DZ392" s="667">
        <f t="shared" si="229"/>
        <v>2683.3306142458177</v>
      </c>
      <c r="EA392" s="1837">
        <f t="shared" si="241"/>
        <v>0.85918560028178914</v>
      </c>
      <c r="EB392" s="1075">
        <f t="shared" si="230"/>
        <v>2.1845595087999583</v>
      </c>
      <c r="EC392" s="1075">
        <f t="shared" si="231"/>
        <v>25.392619710313024</v>
      </c>
      <c r="ED392" s="2028">
        <f t="shared" si="228"/>
        <v>28559.893</v>
      </c>
      <c r="EE392" s="2699">
        <f t="shared" si="242"/>
        <v>0.20957161629151927</v>
      </c>
      <c r="EF392" s="1838">
        <f t="shared" si="232"/>
        <v>1124.7320412710553</v>
      </c>
      <c r="EI392"/>
      <c r="EJ392" s="1607">
        <v>2015</v>
      </c>
      <c r="EK392" s="1785">
        <v>1.0369999999999999</v>
      </c>
      <c r="EL392" s="1595">
        <f t="shared" si="243"/>
        <v>2.559122039520866</v>
      </c>
      <c r="EM392" s="1786">
        <v>23854.05</v>
      </c>
      <c r="EN392" s="1597">
        <f t="shared" si="244"/>
        <v>22.274520095355602</v>
      </c>
      <c r="EO392" s="1786">
        <f t="shared" si="233"/>
        <v>1070.9119611952376</v>
      </c>
      <c r="EP392" s="1787">
        <v>56.26</v>
      </c>
      <c r="EQ392" s="1597">
        <v>31.6157</v>
      </c>
      <c r="ER392" s="1597"/>
      <c r="ES392" s="1597"/>
      <c r="ET392" s="1597">
        <v>54.638800000000003</v>
      </c>
      <c r="EU392" s="1788">
        <f t="shared" si="234"/>
        <v>83094</v>
      </c>
      <c r="EV392"/>
    </row>
    <row r="393" spans="95:152" ht="17.399999999999999">
      <c r="CQ393"/>
      <c r="CR393" s="1607">
        <v>2016</v>
      </c>
      <c r="CS393" s="1840">
        <v>1.012</v>
      </c>
      <c r="CT393" s="1075">
        <f t="shared" si="245"/>
        <v>1.9624137507003607</v>
      </c>
      <c r="CU393" s="667">
        <v>162395.42000000001</v>
      </c>
      <c r="CV393" s="1838">
        <f t="shared" si="246"/>
        <v>5644.9147487509763</v>
      </c>
      <c r="CW393" s="1837">
        <v>0.96399999999999997</v>
      </c>
      <c r="CX393" s="1075">
        <f t="shared" si="247"/>
        <v>2.9791157236715144</v>
      </c>
      <c r="CY393" s="667">
        <v>17689.044000000002</v>
      </c>
      <c r="CZ393" s="1838">
        <f t="shared" si="248"/>
        <v>1101.9829497985472</v>
      </c>
      <c r="DA393" s="1176"/>
      <c r="DB393" s="1075">
        <v>2.0415934205283728</v>
      </c>
      <c r="DC393" s="667">
        <v>76381.240000000005</v>
      </c>
      <c r="DD393" s="1838">
        <f t="shared" si="249"/>
        <v>2956.2174732766657</v>
      </c>
      <c r="DE393" s="1837">
        <v>0.998</v>
      </c>
      <c r="DF393" s="1075">
        <f t="shared" si="250"/>
        <v>2.0445836112331506</v>
      </c>
      <c r="DG393" s="667">
        <v>14748.8</v>
      </c>
      <c r="DH393" s="667">
        <f t="shared" si="235"/>
        <v>545.85066502535915</v>
      </c>
      <c r="DI393" s="1839">
        <v>0.98099999999999998</v>
      </c>
      <c r="DJ393" s="1075">
        <f t="shared" si="251"/>
        <v>2.4649917340978744</v>
      </c>
      <c r="DK393" s="667">
        <v>45317.05</v>
      </c>
      <c r="DL393" s="1838">
        <f t="shared" si="236"/>
        <v>1774.2850277573784</v>
      </c>
      <c r="DM393" s="1839">
        <v>1.0149999999999999</v>
      </c>
      <c r="DN393" s="1840">
        <v>1.2333969250401371</v>
      </c>
      <c r="DO393" s="667">
        <v>15728.49</v>
      </c>
      <c r="DP393" s="1834">
        <f t="shared" si="237"/>
        <v>336.10251216882494</v>
      </c>
      <c r="DQ393" s="1839">
        <v>1.01</v>
      </c>
      <c r="DR393" s="1841">
        <f t="shared" si="238"/>
        <v>0.62368312412742244</v>
      </c>
      <c r="DS393" s="667">
        <v>344.22899999999998</v>
      </c>
      <c r="DT393" s="667">
        <f t="shared" si="239"/>
        <v>15.155063338109475</v>
      </c>
      <c r="DU393" s="1842">
        <v>-67.02</v>
      </c>
      <c r="DV393" s="1837">
        <v>1.002</v>
      </c>
      <c r="DW393" s="2029">
        <f t="shared" si="252"/>
        <v>1.8821546646425049</v>
      </c>
      <c r="DX393" s="1075">
        <f t="shared" si="240"/>
        <v>31.990957399555661</v>
      </c>
      <c r="DY393" s="667">
        <v>86014</v>
      </c>
      <c r="DZ393" s="667">
        <f t="shared" si="229"/>
        <v>2688.6972754743092</v>
      </c>
      <c r="EA393" s="1837">
        <f t="shared" si="241"/>
        <v>0.9951587719669498</v>
      </c>
      <c r="EB393" s="1075">
        <f t="shared" si="230"/>
        <v>2.1739835580660896</v>
      </c>
      <c r="EC393" s="1075">
        <f t="shared" si="231"/>
        <v>24.686694352693262</v>
      </c>
      <c r="ED393" s="2028">
        <f t="shared" si="228"/>
        <v>27631.494999999999</v>
      </c>
      <c r="EE393" s="2699">
        <f t="shared" si="242"/>
        <v>0.20657808103265329</v>
      </c>
      <c r="EF393" s="1838">
        <f t="shared" si="232"/>
        <v>1119.2869569831842</v>
      </c>
      <c r="EI393"/>
      <c r="EJ393" s="1607">
        <v>2016</v>
      </c>
      <c r="EK393" s="1785">
        <v>1.032</v>
      </c>
      <c r="EL393" s="1595">
        <f t="shared" si="243"/>
        <v>2.6410139447855339</v>
      </c>
      <c r="EM393" s="1786">
        <v>22137.648000000001</v>
      </c>
      <c r="EN393" s="1597">
        <f t="shared" si="244"/>
        <v>20.030786917707065</v>
      </c>
      <c r="EO393" s="1786">
        <f t="shared" si="233"/>
        <v>1105.1811439534852</v>
      </c>
      <c r="EP393" s="1787">
        <v>72.88</v>
      </c>
      <c r="EQ393" s="1597">
        <v>35.179699999999997</v>
      </c>
      <c r="ER393" s="1595"/>
      <c r="ES393" s="1597"/>
      <c r="ET393" s="1597">
        <v>61.632400000000004</v>
      </c>
      <c r="EU393" s="1788">
        <f t="shared" si="234"/>
        <v>86014</v>
      </c>
      <c r="EV393"/>
    </row>
    <row r="394" spans="95:152" ht="17.399999999999999">
      <c r="CQ394"/>
      <c r="CR394" s="1607">
        <v>2017</v>
      </c>
      <c r="CS394" s="1840">
        <v>1.0249999999999999</v>
      </c>
      <c r="CT394" s="1075">
        <f t="shared" si="245"/>
        <v>2.0114740944678697</v>
      </c>
      <c r="CU394" s="614">
        <v>175275.06</v>
      </c>
      <c r="CV394" s="1838">
        <f t="shared" si="246"/>
        <v>5786.0376174697503</v>
      </c>
      <c r="CW394" s="1839">
        <v>1.1739999999999999</v>
      </c>
      <c r="CX394" s="1075">
        <f t="shared" si="247"/>
        <v>3.4974818595903576</v>
      </c>
      <c r="CY394" s="667">
        <v>19072.95</v>
      </c>
      <c r="CZ394" s="1838">
        <f t="shared" si="248"/>
        <v>1293.7279830634943</v>
      </c>
      <c r="DA394" s="1176"/>
      <c r="DB394" s="1075">
        <v>2.1056311450734793</v>
      </c>
      <c r="DC394" s="667">
        <v>83173.7</v>
      </c>
      <c r="DD394" s="1838">
        <f t="shared" si="249"/>
        <v>3048.9437910369024</v>
      </c>
      <c r="DE394" s="1837">
        <v>1.048</v>
      </c>
      <c r="DF394" s="1075">
        <f t="shared" si="250"/>
        <v>2.142723624572342</v>
      </c>
      <c r="DG394" s="667">
        <v>16027.3</v>
      </c>
      <c r="DH394" s="667">
        <f t="shared" si="235"/>
        <v>572.05149694657644</v>
      </c>
      <c r="DI394" s="1839">
        <v>1.0329999999999999</v>
      </c>
      <c r="DJ394" s="1075">
        <f t="shared" si="251"/>
        <v>2.5463364613231039</v>
      </c>
      <c r="DK394" s="667">
        <v>48135.66</v>
      </c>
      <c r="DL394" s="1838">
        <f t="shared" si="236"/>
        <v>1832.8364336733716</v>
      </c>
      <c r="DM394" s="1839">
        <v>1.0249999999999999</v>
      </c>
      <c r="DN394" s="1840">
        <v>1.2642318481661403</v>
      </c>
      <c r="DO394" s="667">
        <v>16649.189999999999</v>
      </c>
      <c r="DP394" s="1834">
        <f t="shared" si="237"/>
        <v>344.50507497304551</v>
      </c>
      <c r="DQ394" s="1839">
        <v>1.0049999999999999</v>
      </c>
      <c r="DR394" s="1841">
        <f t="shared" si="238"/>
        <v>0.62680153974805952</v>
      </c>
      <c r="DS394" s="667">
        <v>380.678</v>
      </c>
      <c r="DT394" s="667">
        <f t="shared" si="239"/>
        <v>15.230838654800023</v>
      </c>
      <c r="DU394" s="1842">
        <v>-174.6</v>
      </c>
      <c r="DV394" s="1839">
        <v>1.018</v>
      </c>
      <c r="DW394" s="2029">
        <f t="shared" si="252"/>
        <v>1.9160334486060699</v>
      </c>
      <c r="DX394" s="1075">
        <f t="shared" si="240"/>
        <v>33.649193575520151</v>
      </c>
      <c r="DY394" s="667">
        <v>92101</v>
      </c>
      <c r="DZ394" s="667">
        <f t="shared" si="229"/>
        <v>2737.0938264328465</v>
      </c>
      <c r="EA394" s="1837">
        <f t="shared" si="241"/>
        <v>1.1312541054363152</v>
      </c>
      <c r="EB394" s="1075">
        <f t="shared" si="230"/>
        <v>2.4593278252133119</v>
      </c>
      <c r="EC394" s="1075">
        <f t="shared" si="231"/>
        <v>23.815961506525245</v>
      </c>
      <c r="ED394" s="2028">
        <f t="shared" si="228"/>
        <v>30155.721999999994</v>
      </c>
      <c r="EE394" s="2699">
        <f t="shared" si="242"/>
        <v>0.22697099503222676</v>
      </c>
      <c r="EF394" s="1838">
        <f t="shared" si="232"/>
        <v>1266.1979652485475</v>
      </c>
      <c r="EI394"/>
      <c r="EJ394" s="1607">
        <v>2017</v>
      </c>
      <c r="EK394" s="1785">
        <v>1.05</v>
      </c>
      <c r="EL394" s="1595">
        <f t="shared" si="243"/>
        <v>2.7730646420248108</v>
      </c>
      <c r="EM394" s="1595">
        <v>23994.3</v>
      </c>
      <c r="EN394" s="1597">
        <f t="shared" si="244"/>
        <v>20.67689483369983</v>
      </c>
      <c r="EO394" s="1786">
        <f t="shared" si="233"/>
        <v>1160.4402011511595</v>
      </c>
      <c r="EP394" s="1787">
        <v>60.66</v>
      </c>
      <c r="EQ394" s="1597">
        <v>38.417999999999999</v>
      </c>
      <c r="ER394" s="1595"/>
      <c r="ES394" s="1595"/>
      <c r="ET394" s="1597">
        <v>58.492800000000003</v>
      </c>
      <c r="EU394" s="1788">
        <f t="shared" si="234"/>
        <v>92101</v>
      </c>
      <c r="EV394"/>
    </row>
    <row r="395" spans="95:152" ht="17.399999999999999">
      <c r="CQ395"/>
      <c r="CR395" s="1607">
        <v>2018</v>
      </c>
      <c r="CS395" s="1840">
        <v>1.0249999999999999</v>
      </c>
      <c r="CT395" s="1075">
        <f t="shared" si="245"/>
        <v>2.0617609468295663</v>
      </c>
      <c r="CU395" s="614">
        <v>196610.47000000003</v>
      </c>
      <c r="CV395" s="1838">
        <f t="shared" si="246"/>
        <v>5930.6885579064938</v>
      </c>
      <c r="CW395" s="1839">
        <v>1.0269999999999999</v>
      </c>
      <c r="CX395" s="1075">
        <f t="shared" si="247"/>
        <v>3.5919138697992969</v>
      </c>
      <c r="CY395" s="667">
        <v>21574.3</v>
      </c>
      <c r="CZ395" s="1838">
        <f t="shared" si="248"/>
        <v>1328.6586386062086</v>
      </c>
      <c r="DA395" s="1176"/>
      <c r="DB395" s="1075">
        <v>2.152601130399828</v>
      </c>
      <c r="DC395" s="667">
        <v>92734.7</v>
      </c>
      <c r="DD395" s="1838">
        <f t="shared" si="249"/>
        <v>3116.9561043335257</v>
      </c>
      <c r="DE395" s="1837">
        <v>1.0429999999999999</v>
      </c>
      <c r="DF395" s="1075">
        <f t="shared" si="250"/>
        <v>2.2348607404289527</v>
      </c>
      <c r="DG395" s="667">
        <v>17595</v>
      </c>
      <c r="DH395" s="667">
        <f t="shared" si="235"/>
        <v>596.64971131527921</v>
      </c>
      <c r="DI395" s="1839">
        <v>1.0229999999999999</v>
      </c>
      <c r="DJ395" s="1075">
        <f t="shared" si="251"/>
        <v>2.6049021999335351</v>
      </c>
      <c r="DK395" s="667">
        <v>50851.05</v>
      </c>
      <c r="DL395" s="1838">
        <f t="shared" si="236"/>
        <v>1874.991671647859</v>
      </c>
      <c r="DM395" s="1839">
        <v>1.0029999999999999</v>
      </c>
      <c r="DN395" s="1840">
        <v>1.2680245437106386</v>
      </c>
      <c r="DO395" s="667">
        <v>18049.3</v>
      </c>
      <c r="DP395" s="1834">
        <f t="shared" si="237"/>
        <v>345.5385901979646</v>
      </c>
      <c r="DQ395" s="1839">
        <v>1.0449999999999999</v>
      </c>
      <c r="DR395" s="1841">
        <f t="shared" si="238"/>
        <v>0.65500760903672217</v>
      </c>
      <c r="DS395" s="667">
        <v>432.62599999999998</v>
      </c>
      <c r="DT395" s="667">
        <f t="shared" si="239"/>
        <v>15.916226394266022</v>
      </c>
      <c r="DU395" s="1842">
        <v>573.33000000000004</v>
      </c>
      <c r="DV395" s="1839">
        <v>1.028</v>
      </c>
      <c r="DW395" s="2029">
        <f t="shared" si="252"/>
        <v>1.96968238516704</v>
      </c>
      <c r="DX395" s="1075">
        <f t="shared" si="240"/>
        <v>36.917511424405319</v>
      </c>
      <c r="DY395" s="667">
        <v>103876</v>
      </c>
      <c r="DZ395" s="667">
        <f t="shared" si="229"/>
        <v>2813.7324535729667</v>
      </c>
      <c r="EA395" s="1837">
        <f t="shared" si="241"/>
        <v>1.0340364844661549</v>
      </c>
      <c r="EB395" s="1075">
        <f t="shared" si="230"/>
        <v>2.5430346985333676</v>
      </c>
      <c r="EC395" s="1075">
        <f t="shared" si="231"/>
        <v>28.984298505855161</v>
      </c>
      <c r="ED395" s="2028">
        <f t="shared" si="228"/>
        <v>37948.993999999992</v>
      </c>
      <c r="EE395" s="2699">
        <f t="shared" si="242"/>
        <v>0.2265787550715769</v>
      </c>
      <c r="EF395" s="1838">
        <f t="shared" si="232"/>
        <v>1309.2948926238066</v>
      </c>
      <c r="EI395"/>
      <c r="EJ395" s="1607">
        <v>2018</v>
      </c>
      <c r="EK395" s="1595">
        <v>1.0549999999999999</v>
      </c>
      <c r="EL395" s="1595">
        <f t="shared" si="243"/>
        <v>2.9255831973361754</v>
      </c>
      <c r="EM395" s="1595">
        <v>31932.55</v>
      </c>
      <c r="EN395" s="1597">
        <f t="shared" si="244"/>
        <v>26.083050100459737</v>
      </c>
      <c r="EO395" s="1786">
        <f t="shared" si="233"/>
        <v>1224.2644122144734</v>
      </c>
      <c r="EP395" s="1787">
        <v>57.6</v>
      </c>
      <c r="EQ395" s="1597">
        <v>42.4422</v>
      </c>
      <c r="ER395" s="1597"/>
      <c r="ES395" s="1595"/>
      <c r="ET395" s="1597">
        <v>63.354000000000006</v>
      </c>
      <c r="EU395" s="1788">
        <f t="shared" si="234"/>
        <v>103876</v>
      </c>
      <c r="EV395"/>
    </row>
    <row r="396" spans="95:152" ht="17.399999999999999">
      <c r="CQ396"/>
      <c r="CR396" s="1607">
        <v>2019</v>
      </c>
      <c r="CS396" s="1839"/>
      <c r="CT396" s="614"/>
      <c r="CU396" s="614"/>
      <c r="CV396" s="1843"/>
      <c r="CW396" s="1839"/>
      <c r="CX396" s="614"/>
      <c r="CY396" s="666"/>
      <c r="CZ396" s="1841"/>
      <c r="DA396" s="1176"/>
      <c r="DB396" s="614"/>
      <c r="DC396" s="614"/>
      <c r="DD396" s="1843"/>
      <c r="DE396" s="1176"/>
      <c r="DF396"/>
      <c r="DG396"/>
      <c r="DH396" s="1075"/>
      <c r="DI396" s="1176"/>
      <c r="DJ396"/>
      <c r="DK396"/>
      <c r="DL396" s="12"/>
      <c r="DM396" s="1176"/>
      <c r="DN396" s="1837"/>
      <c r="DO396"/>
      <c r="DP396" s="1839"/>
      <c r="DQ396" s="1176"/>
      <c r="DR396" s="1838"/>
      <c r="DS396"/>
      <c r="DT396" s="667"/>
      <c r="DU396" s="1844"/>
      <c r="DV396" s="1176"/>
      <c r="DW396" s="667"/>
      <c r="DX396" s="667"/>
      <c r="DY396" s="667"/>
      <c r="DZ396" s="667"/>
      <c r="EA396" s="1839"/>
      <c r="EB396" s="667"/>
      <c r="EC396" s="1075"/>
      <c r="ED396" s="666"/>
      <c r="EE396" s="666"/>
      <c r="EF396" s="1841"/>
      <c r="EI396"/>
      <c r="EJ396" s="1607">
        <v>2019</v>
      </c>
      <c r="EK396" s="1595"/>
      <c r="EL396" s="1595"/>
      <c r="EM396" s="1595"/>
      <c r="EN396" s="1595"/>
      <c r="EO396" s="1595"/>
      <c r="EP396" s="1595"/>
      <c r="EQ396" s="1787"/>
      <c r="ER396" s="1597"/>
      <c r="ES396" s="1595"/>
      <c r="ET396" s="1595"/>
      <c r="EU396" s="1790"/>
      <c r="EV396"/>
    </row>
    <row r="397" spans="95:152" ht="17.399999999999999">
      <c r="CQ397"/>
      <c r="CR397" s="1607">
        <v>2020</v>
      </c>
      <c r="CS397" s="1839"/>
      <c r="CT397" s="614"/>
      <c r="CU397" s="614"/>
      <c r="CV397" s="1843"/>
      <c r="CW397" s="1839"/>
      <c r="CX397" s="614"/>
      <c r="CY397" s="666"/>
      <c r="CZ397" s="1843"/>
      <c r="DA397" s="1176"/>
      <c r="DB397" s="614"/>
      <c r="DC397" s="614"/>
      <c r="DD397" s="1843"/>
      <c r="DE397" s="667"/>
      <c r="DF397"/>
      <c r="DG397"/>
      <c r="DH397" s="1075"/>
      <c r="DI397" s="1176"/>
      <c r="DJ397"/>
      <c r="DK397"/>
      <c r="DL397" s="12"/>
      <c r="DM397" s="1176"/>
      <c r="DN397" s="1837"/>
      <c r="DO397"/>
      <c r="DP397" s="1839"/>
      <c r="DQ397" s="1176"/>
      <c r="DR397" s="1838"/>
      <c r="DS397"/>
      <c r="DT397" s="667"/>
      <c r="DU397" s="1844"/>
      <c r="DV397" s="1176"/>
      <c r="DW397" s="667"/>
      <c r="DX397" s="667"/>
      <c r="DY397" s="667"/>
      <c r="DZ397" s="667"/>
      <c r="EA397" s="1839"/>
      <c r="EB397" s="667"/>
      <c r="EC397" s="1075"/>
      <c r="ED397" s="666"/>
      <c r="EE397" s="666"/>
      <c r="EF397" s="1843"/>
      <c r="EI397"/>
      <c r="EJ397" s="1607">
        <v>2020</v>
      </c>
      <c r="EK397" s="1595"/>
      <c r="EL397" s="1595"/>
      <c r="EM397" s="1595"/>
      <c r="EN397" s="1595"/>
      <c r="EO397" s="1595"/>
      <c r="EP397" s="1595"/>
      <c r="EQ397" s="1787"/>
      <c r="ER397" s="1595"/>
      <c r="ES397" s="1595"/>
      <c r="ET397" s="1595"/>
      <c r="EU397" s="1790"/>
      <c r="EV397"/>
    </row>
    <row r="398" spans="95:152" ht="17.399999999999999">
      <c r="CQ398"/>
      <c r="CR398" s="1607">
        <v>2021</v>
      </c>
      <c r="CS398" s="1839"/>
      <c r="CT398" s="614"/>
      <c r="CU398" s="614"/>
      <c r="CV398" s="1843"/>
      <c r="CW398" s="1839"/>
      <c r="CX398" s="614"/>
      <c r="CY398" s="614"/>
      <c r="CZ398" s="1843"/>
      <c r="DA398" s="1176"/>
      <c r="DB398" s="614"/>
      <c r="DC398" s="614"/>
      <c r="DD398" s="1843"/>
      <c r="DE398" s="1176"/>
      <c r="DF398"/>
      <c r="DG398"/>
      <c r="DH398" s="1075"/>
      <c r="DI398" s="1176"/>
      <c r="DJ398"/>
      <c r="DK398"/>
      <c r="DL398" s="12"/>
      <c r="DM398" s="1176"/>
      <c r="DN398" s="1837"/>
      <c r="DO398"/>
      <c r="DP398" s="1839"/>
      <c r="DQ398" s="1176"/>
      <c r="DR398" s="1838"/>
      <c r="DS398"/>
      <c r="DT398" s="667"/>
      <c r="DU398" s="1844"/>
      <c r="DV398" s="1176"/>
      <c r="DW398" s="667"/>
      <c r="DX398" s="667"/>
      <c r="DY398" s="667"/>
      <c r="DZ398" s="667"/>
      <c r="EA398" s="1839"/>
      <c r="EB398" s="667"/>
      <c r="EC398" s="1075"/>
      <c r="ED398" s="614"/>
      <c r="EE398" s="614"/>
      <c r="EF398" s="1843"/>
      <c r="EI398"/>
      <c r="EJ398" s="1607">
        <v>2021</v>
      </c>
      <c r="EK398" s="1595"/>
      <c r="EL398" s="1595"/>
      <c r="EM398" s="1595"/>
      <c r="EN398" s="1595"/>
      <c r="EO398" s="1595"/>
      <c r="EP398" s="1595"/>
      <c r="EQ398" s="1595"/>
      <c r="ER398" s="1595"/>
      <c r="ES398" s="1595"/>
      <c r="ET398" s="1595"/>
      <c r="EU398" s="1790"/>
      <c r="EV398"/>
    </row>
    <row r="399" spans="95:152" ht="17.399999999999999">
      <c r="CQ399"/>
      <c r="CR399" s="1607">
        <v>2022</v>
      </c>
      <c r="CS399" s="1839"/>
      <c r="CT399" s="614"/>
      <c r="CU399" s="614"/>
      <c r="CV399" s="1843"/>
      <c r="CW399" s="1839"/>
      <c r="CX399" s="614"/>
      <c r="CY399" s="614"/>
      <c r="CZ399" s="1843"/>
      <c r="DA399" s="1176"/>
      <c r="DB399" s="614"/>
      <c r="DC399" s="614"/>
      <c r="DD399" s="1843"/>
      <c r="DE399" s="1176"/>
      <c r="DF399"/>
      <c r="DG399"/>
      <c r="DH399" s="1075"/>
      <c r="DI399" s="1176"/>
      <c r="DJ399"/>
      <c r="DK399"/>
      <c r="DL399" s="12"/>
      <c r="DM399" s="1176"/>
      <c r="DN399" s="1837"/>
      <c r="DO399"/>
      <c r="DP399" s="1839"/>
      <c r="DQ399" s="1176"/>
      <c r="DR399" s="1838"/>
      <c r="DS399"/>
      <c r="DT399" s="667"/>
      <c r="DU399" s="1844"/>
      <c r="DV399" s="1176"/>
      <c r="DW399" s="667"/>
      <c r="DX399" s="667"/>
      <c r="DY399" s="667"/>
      <c r="DZ399" s="667"/>
      <c r="EA399" s="1839"/>
      <c r="EB399" s="667"/>
      <c r="EC399" s="1075"/>
      <c r="ED399" s="614"/>
      <c r="EE399" s="614"/>
      <c r="EF399" s="1843"/>
      <c r="EI399"/>
      <c r="EJ399" s="1607">
        <v>2022</v>
      </c>
      <c r="EK399" s="1595"/>
      <c r="EL399" s="1595"/>
      <c r="EM399" s="1595"/>
      <c r="EN399" s="1595"/>
      <c r="EO399" s="1595"/>
      <c r="EP399" s="1595"/>
      <c r="EQ399" s="1595"/>
      <c r="ER399" s="1595"/>
      <c r="ES399" s="1595"/>
      <c r="ET399" s="1595"/>
      <c r="EU399" s="1790"/>
      <c r="EV399"/>
    </row>
    <row r="400" spans="95:152" ht="17.399999999999999">
      <c r="CQ400"/>
      <c r="CR400" s="1607">
        <v>2023</v>
      </c>
      <c r="CS400" s="1839"/>
      <c r="CT400" s="614"/>
      <c r="CU400" s="614"/>
      <c r="CV400" s="1843"/>
      <c r="CW400" s="1839"/>
      <c r="CX400" s="614"/>
      <c r="CY400" s="614"/>
      <c r="CZ400" s="1843"/>
      <c r="DA400" s="1176"/>
      <c r="DB400" s="614"/>
      <c r="DC400" s="614"/>
      <c r="DD400" s="1843"/>
      <c r="DE400" s="1176"/>
      <c r="DF400"/>
      <c r="DG400"/>
      <c r="DH400" s="1075"/>
      <c r="DI400" s="1176"/>
      <c r="DJ400"/>
      <c r="DK400"/>
      <c r="DL400" s="12"/>
      <c r="DM400" s="1176"/>
      <c r="DN400" s="1837"/>
      <c r="DO400"/>
      <c r="DP400" s="1839"/>
      <c r="DQ400" s="1176"/>
      <c r="DR400" s="1838"/>
      <c r="DS400"/>
      <c r="DT400" s="667"/>
      <c r="DU400" s="1844"/>
      <c r="DV400" s="1176"/>
      <c r="DW400" s="667"/>
      <c r="DX400" s="667"/>
      <c r="DY400" s="667"/>
      <c r="DZ400" s="667"/>
      <c r="EA400" s="1839"/>
      <c r="EB400" s="667"/>
      <c r="EC400" s="1075"/>
      <c r="ED400" s="614"/>
      <c r="EE400" s="614"/>
      <c r="EF400" s="1843"/>
      <c r="EI400"/>
      <c r="EJ400" s="1607">
        <v>2023</v>
      </c>
      <c r="EK400" s="1595"/>
      <c r="EL400" s="1595"/>
      <c r="EM400" s="1595"/>
      <c r="EN400" s="1595"/>
      <c r="EO400" s="1595"/>
      <c r="EP400" s="1595"/>
      <c r="EQ400" s="1595"/>
      <c r="ER400" s="1595"/>
      <c r="ES400" s="1595"/>
      <c r="ET400" s="1595"/>
      <c r="EU400" s="1790"/>
      <c r="EV400"/>
    </row>
    <row r="401" spans="95:152" ht="17.399999999999999">
      <c r="CQ401"/>
      <c r="CR401" s="1607">
        <v>2024</v>
      </c>
      <c r="CS401" s="1839"/>
      <c r="CT401" s="614"/>
      <c r="CU401" s="614"/>
      <c r="CV401" s="1843"/>
      <c r="CW401" s="1839"/>
      <c r="CX401" s="614"/>
      <c r="CY401" s="614"/>
      <c r="CZ401" s="1843"/>
      <c r="DA401" s="1176"/>
      <c r="DB401" s="614"/>
      <c r="DC401" s="614"/>
      <c r="DD401" s="1843"/>
      <c r="DE401" s="1176"/>
      <c r="DF401"/>
      <c r="DG401"/>
      <c r="DH401" s="1075"/>
      <c r="DI401" s="1176"/>
      <c r="DJ401"/>
      <c r="DK401"/>
      <c r="DL401" s="12"/>
      <c r="DM401" s="1176"/>
      <c r="DN401" s="1837"/>
      <c r="DO401"/>
      <c r="DP401" s="1839"/>
      <c r="DQ401" s="1176"/>
      <c r="DR401" s="1838"/>
      <c r="DS401"/>
      <c r="DT401" s="667"/>
      <c r="DU401" s="1844"/>
      <c r="DV401" s="1176"/>
      <c r="DW401" s="667"/>
      <c r="DX401" s="667"/>
      <c r="DY401" s="667"/>
      <c r="DZ401" s="667"/>
      <c r="EA401" s="1839"/>
      <c r="EB401" s="667"/>
      <c r="EC401" s="1075"/>
      <c r="ED401" s="614"/>
      <c r="EE401" s="614"/>
      <c r="EF401" s="1843"/>
      <c r="EI401"/>
      <c r="EJ401" s="1607">
        <v>2024</v>
      </c>
      <c r="EK401" s="1595"/>
      <c r="EL401" s="1595"/>
      <c r="EM401" s="1595"/>
      <c r="EN401" s="1595"/>
      <c r="EO401" s="1595"/>
      <c r="EP401" s="1595"/>
      <c r="EQ401" s="1595"/>
      <c r="ER401" s="1595"/>
      <c r="ES401" s="1595"/>
      <c r="ET401" s="1595"/>
      <c r="EU401" s="1790"/>
      <c r="EV401"/>
    </row>
    <row r="402" spans="95:152" ht="17.399999999999999">
      <c r="CQ402"/>
      <c r="CR402" s="1607">
        <v>2025</v>
      </c>
      <c r="CS402" s="1839"/>
      <c r="CT402" s="614"/>
      <c r="CU402" s="614"/>
      <c r="CV402" s="1843"/>
      <c r="CW402" s="1839"/>
      <c r="CX402" s="614"/>
      <c r="CY402" s="614"/>
      <c r="CZ402" s="1843"/>
      <c r="DA402" s="1176"/>
      <c r="DB402" s="614"/>
      <c r="DC402" s="614"/>
      <c r="DD402" s="1843"/>
      <c r="DE402" s="1176"/>
      <c r="DF402"/>
      <c r="DG402"/>
      <c r="DH402" s="1075"/>
      <c r="DI402" s="1176"/>
      <c r="DJ402"/>
      <c r="DK402"/>
      <c r="DL402" s="12"/>
      <c r="DM402" s="1176"/>
      <c r="DN402" s="1837"/>
      <c r="DO402"/>
      <c r="DP402" s="1839"/>
      <c r="DQ402" s="1176"/>
      <c r="DR402" s="1838"/>
      <c r="DS402"/>
      <c r="DT402" s="667"/>
      <c r="DU402" s="1844"/>
      <c r="DV402" s="1176"/>
      <c r="DW402" s="667"/>
      <c r="DX402" s="667"/>
      <c r="DY402" s="667"/>
      <c r="DZ402" s="667"/>
      <c r="EA402" s="1839"/>
      <c r="EB402" s="667"/>
      <c r="EC402" s="1075"/>
      <c r="ED402" s="614"/>
      <c r="EE402" s="614"/>
      <c r="EF402" s="1843"/>
      <c r="EI402"/>
      <c r="EJ402" s="1607">
        <v>2025</v>
      </c>
      <c r="EK402" s="1595"/>
      <c r="EL402" s="1595"/>
      <c r="EM402" s="1595"/>
      <c r="EN402" s="1595"/>
      <c r="EO402" s="1595"/>
      <c r="EP402" s="1595"/>
      <c r="EQ402" s="1595"/>
      <c r="ER402" s="1595"/>
      <c r="ES402" s="1595"/>
      <c r="ET402" s="1595"/>
      <c r="EU402" s="1790"/>
      <c r="EV402"/>
    </row>
    <row r="403" spans="95:152" ht="17.399999999999999">
      <c r="CQ403"/>
      <c r="CR403" s="1607">
        <v>2026</v>
      </c>
      <c r="CS403" s="1839"/>
      <c r="CT403" s="614"/>
      <c r="CU403" s="614"/>
      <c r="CV403" s="1843"/>
      <c r="CW403" s="1839"/>
      <c r="CX403" s="614"/>
      <c r="CY403" s="614"/>
      <c r="CZ403" s="1843"/>
      <c r="DA403" s="1176"/>
      <c r="DB403" s="614"/>
      <c r="DC403" s="614"/>
      <c r="DD403" s="1843"/>
      <c r="DE403" s="1176"/>
      <c r="DF403"/>
      <c r="DG403"/>
      <c r="DH403" s="1075"/>
      <c r="DI403" s="1176"/>
      <c r="DJ403"/>
      <c r="DK403"/>
      <c r="DL403" s="12"/>
      <c r="DM403" s="1176"/>
      <c r="DN403" s="1837"/>
      <c r="DO403"/>
      <c r="DP403" s="1839"/>
      <c r="DQ403" s="1176"/>
      <c r="DR403" s="1838"/>
      <c r="DS403"/>
      <c r="DT403" s="667"/>
      <c r="DU403" s="1844"/>
      <c r="DV403" s="1176"/>
      <c r="DW403" s="667"/>
      <c r="DX403" s="667"/>
      <c r="DY403" s="667"/>
      <c r="DZ403" s="667"/>
      <c r="EA403" s="1839"/>
      <c r="EB403" s="667"/>
      <c r="EC403" s="1075"/>
      <c r="ED403" s="614"/>
      <c r="EE403" s="614"/>
      <c r="EF403" s="1843"/>
      <c r="EI403"/>
      <c r="EJ403" s="1607">
        <v>2026</v>
      </c>
      <c r="EK403" s="1595"/>
      <c r="EL403" s="1595"/>
      <c r="EM403" s="1595"/>
      <c r="EN403" s="1595"/>
      <c r="EO403" s="1595"/>
      <c r="EP403" s="1595"/>
      <c r="EQ403" s="1595"/>
      <c r="ER403" s="1595"/>
      <c r="ES403" s="1595"/>
      <c r="ET403" s="1595"/>
      <c r="EU403" s="1790"/>
      <c r="EV403"/>
    </row>
    <row r="404" spans="95:152" ht="17.399999999999999">
      <c r="CQ404"/>
      <c r="CR404" s="1607">
        <v>2027</v>
      </c>
      <c r="CS404" s="1839"/>
      <c r="CT404" s="614"/>
      <c r="CU404" s="614"/>
      <c r="CV404" s="1843"/>
      <c r="CW404" s="1839"/>
      <c r="CX404" s="614"/>
      <c r="CY404" s="614"/>
      <c r="CZ404" s="1843"/>
      <c r="DA404" s="1176"/>
      <c r="DB404" s="614"/>
      <c r="DC404" s="614"/>
      <c r="DD404" s="1843"/>
      <c r="DE404" s="1176"/>
      <c r="DF404"/>
      <c r="DG404"/>
      <c r="DH404" s="1075"/>
      <c r="DI404" s="1176"/>
      <c r="DJ404"/>
      <c r="DK404"/>
      <c r="DL404" s="12"/>
      <c r="DM404" s="1176"/>
      <c r="DN404" s="1837"/>
      <c r="DO404"/>
      <c r="DP404" s="1839"/>
      <c r="DQ404" s="1176"/>
      <c r="DR404" s="1838"/>
      <c r="DS404"/>
      <c r="DT404" s="667"/>
      <c r="DU404" s="1844"/>
      <c r="DV404" s="1176"/>
      <c r="DW404" s="667"/>
      <c r="DX404" s="667"/>
      <c r="DY404" s="667"/>
      <c r="DZ404" s="667"/>
      <c r="EA404" s="1839"/>
      <c r="EB404" s="667"/>
      <c r="EC404" s="1075"/>
      <c r="ED404" s="614"/>
      <c r="EE404" s="614"/>
      <c r="EF404" s="1843"/>
      <c r="EI404"/>
      <c r="EJ404" s="1607">
        <v>2027</v>
      </c>
      <c r="EK404" s="1595"/>
      <c r="EL404" s="1595"/>
      <c r="EM404" s="1595"/>
      <c r="EN404" s="1595"/>
      <c r="EO404" s="1595"/>
      <c r="EP404" s="1595"/>
      <c r="EQ404" s="1595"/>
      <c r="ER404" s="1595"/>
      <c r="ES404" s="1595"/>
      <c r="ET404" s="1595"/>
      <c r="EU404" s="1790"/>
      <c r="EV404"/>
    </row>
    <row r="405" spans="95:152" ht="17.399999999999999">
      <c r="CQ405"/>
      <c r="CR405" s="1607">
        <v>2028</v>
      </c>
      <c r="CS405" s="1839"/>
      <c r="CT405" s="614"/>
      <c r="CU405" s="614"/>
      <c r="CV405" s="1843"/>
      <c r="CW405" s="1839"/>
      <c r="CX405" s="614"/>
      <c r="CY405" s="614"/>
      <c r="CZ405" s="1843"/>
      <c r="DA405" s="1176"/>
      <c r="DB405" s="614"/>
      <c r="DC405" s="614"/>
      <c r="DD405" s="1843"/>
      <c r="DE405" s="1176"/>
      <c r="DF405"/>
      <c r="DG405"/>
      <c r="DH405" s="1075"/>
      <c r="DI405" s="1176"/>
      <c r="DJ405"/>
      <c r="DK405"/>
      <c r="DL405" s="12"/>
      <c r="DM405" s="1176"/>
      <c r="DN405" s="1837"/>
      <c r="DO405"/>
      <c r="DP405" s="1839"/>
      <c r="DQ405" s="1176"/>
      <c r="DR405" s="1838"/>
      <c r="DS405"/>
      <c r="DT405" s="667"/>
      <c r="DU405" s="1844"/>
      <c r="DV405" s="1176"/>
      <c r="DW405" s="667"/>
      <c r="DX405" s="667"/>
      <c r="DY405" s="667"/>
      <c r="DZ405" s="667"/>
      <c r="EA405" s="1839"/>
      <c r="EB405" s="667"/>
      <c r="EC405" s="1075"/>
      <c r="ED405" s="614"/>
      <c r="EE405" s="614"/>
      <c r="EF405" s="1843"/>
      <c r="EI405"/>
      <c r="EJ405" s="1607">
        <v>2028</v>
      </c>
      <c r="EK405" s="1595"/>
      <c r="EL405" s="1595"/>
      <c r="EM405" s="1595"/>
      <c r="EN405" s="1595"/>
      <c r="EO405" s="1595"/>
      <c r="EP405" s="1595"/>
      <c r="EQ405" s="1595"/>
      <c r="ER405" s="1595"/>
      <c r="ES405" s="1595"/>
      <c r="ET405" s="1595"/>
      <c r="EU405" s="1790"/>
      <c r="EV405"/>
    </row>
    <row r="406" spans="95:152" ht="17.399999999999999">
      <c r="CQ406"/>
      <c r="CR406" s="1607">
        <v>2029</v>
      </c>
      <c r="CS406" s="1839"/>
      <c r="CT406" s="614"/>
      <c r="CU406" s="614"/>
      <c r="CV406" s="1843"/>
      <c r="CW406" s="1839"/>
      <c r="CX406" s="614"/>
      <c r="CY406" s="614"/>
      <c r="CZ406" s="1843"/>
      <c r="DA406" s="1176"/>
      <c r="DB406" s="614"/>
      <c r="DC406" s="614"/>
      <c r="DD406" s="1843"/>
      <c r="DE406" s="1176"/>
      <c r="DF406"/>
      <c r="DG406"/>
      <c r="DH406" s="12"/>
      <c r="DI406" s="1176"/>
      <c r="DJ406"/>
      <c r="DK406"/>
      <c r="DL406" s="12"/>
      <c r="DM406" s="1176"/>
      <c r="DN406" s="1837"/>
      <c r="DO406"/>
      <c r="DP406" s="1839"/>
      <c r="DQ406" s="1176"/>
      <c r="DR406" s="1838"/>
      <c r="DS406"/>
      <c r="DT406" s="667"/>
      <c r="DU406" s="1844"/>
      <c r="DV406" s="1176"/>
      <c r="DW406" s="667"/>
      <c r="DX406" s="667"/>
      <c r="DY406" s="667"/>
      <c r="DZ406" s="667"/>
      <c r="EA406" s="1839"/>
      <c r="EB406" s="667"/>
      <c r="EC406" s="1075"/>
      <c r="ED406" s="614"/>
      <c r="EE406" s="614"/>
      <c r="EF406" s="1843"/>
      <c r="EI406"/>
      <c r="EJ406" s="1607">
        <v>2029</v>
      </c>
      <c r="EK406" s="1595"/>
      <c r="EL406" s="1595"/>
      <c r="EM406" s="1595"/>
      <c r="EN406" s="1595"/>
      <c r="EO406" s="1595"/>
      <c r="EP406" s="1595"/>
      <c r="EQ406" s="1595"/>
      <c r="ER406" s="1595"/>
      <c r="ES406" s="1595"/>
      <c r="ET406" s="1595"/>
      <c r="EU406" s="1790"/>
      <c r="EV406"/>
    </row>
    <row r="407" spans="95:152" ht="18" thickBot="1">
      <c r="CQ407"/>
      <c r="CR407" s="1612">
        <v>2030</v>
      </c>
      <c r="CS407" s="1845"/>
      <c r="CT407" s="1846"/>
      <c r="CU407" s="1846"/>
      <c r="CV407" s="1847"/>
      <c r="CW407" s="1845"/>
      <c r="CX407" s="1846"/>
      <c r="CY407" s="1846"/>
      <c r="CZ407" s="1847"/>
      <c r="DA407" s="1848"/>
      <c r="DB407" s="1846"/>
      <c r="DC407" s="1846"/>
      <c r="DD407" s="1847"/>
      <c r="DE407" s="1848"/>
      <c r="DF407" s="3"/>
      <c r="DG407" s="3"/>
      <c r="DH407" s="81"/>
      <c r="DI407" s="1848"/>
      <c r="DJ407" s="3"/>
      <c r="DK407" s="3"/>
      <c r="DL407" s="81"/>
      <c r="DM407" s="1848"/>
      <c r="DN407" s="1849"/>
      <c r="DO407" s="3"/>
      <c r="DP407" s="1850"/>
      <c r="DQ407" s="1848"/>
      <c r="DR407" s="81"/>
      <c r="DS407" s="3"/>
      <c r="DT407" s="81"/>
      <c r="DU407" s="1851"/>
      <c r="DV407" s="1848"/>
      <c r="DW407" s="3"/>
      <c r="DX407" s="3"/>
      <c r="DY407" s="3"/>
      <c r="DZ407" s="81"/>
      <c r="EA407" s="1845"/>
      <c r="EB407" s="1846"/>
      <c r="EC407" s="3"/>
      <c r="ED407" s="1846"/>
      <c r="EE407" s="1846"/>
      <c r="EF407" s="1847"/>
      <c r="EI407"/>
      <c r="EJ407" s="1612">
        <v>2030</v>
      </c>
      <c r="EK407" s="1783"/>
      <c r="EL407" s="1783"/>
      <c r="EM407" s="1783"/>
      <c r="EN407" s="1783"/>
      <c r="EO407" s="1783"/>
      <c r="EP407" s="1783"/>
      <c r="EQ407" s="1783"/>
      <c r="ER407" s="1783"/>
      <c r="ES407" s="1783"/>
      <c r="ET407" s="1783"/>
      <c r="EU407" s="1791"/>
      <c r="EV407"/>
    </row>
    <row r="408" spans="95:152"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</row>
    <row r="410" spans="95:152" ht="16.2" thickBot="1"/>
    <row r="411" spans="95:152" ht="20.399999999999999">
      <c r="CT411" s="1983" t="s">
        <v>351</v>
      </c>
      <c r="CU411" s="2705" t="s">
        <v>2258</v>
      </c>
      <c r="CV411" s="2706" t="s">
        <v>1676</v>
      </c>
      <c r="CW411" s="2707" t="s">
        <v>1984</v>
      </c>
      <c r="CX411" s="2708" t="s">
        <v>2258</v>
      </c>
      <c r="DJ411" s="2701" t="s">
        <v>2258</v>
      </c>
      <c r="DL411" s="1983" t="s">
        <v>351</v>
      </c>
      <c r="DM411" s="2315" t="s">
        <v>1920</v>
      </c>
      <c r="DN411" s="2315" t="s">
        <v>1920</v>
      </c>
      <c r="DO411" s="1343" t="s">
        <v>1116</v>
      </c>
      <c r="EB411" s="2746" t="s">
        <v>2273</v>
      </c>
      <c r="ED411" s="1983" t="s">
        <v>351</v>
      </c>
      <c r="EE411" s="2705" t="s">
        <v>2265</v>
      </c>
      <c r="EF411" s="2706" t="s">
        <v>1676</v>
      </c>
      <c r="EG411" s="2707" t="s">
        <v>1984</v>
      </c>
      <c r="EH411" s="2709" t="s">
        <v>2265</v>
      </c>
      <c r="EV411" s="2709" t="s">
        <v>2265</v>
      </c>
    </row>
    <row r="412" spans="95:152" ht="21" thickBot="1">
      <c r="CT412" s="1820">
        <v>44337</v>
      </c>
      <c r="CU412" s="2702" t="s">
        <v>1454</v>
      </c>
      <c r="CV412" s="2703" t="s">
        <v>46</v>
      </c>
      <c r="CW412" s="1605" t="s">
        <v>46</v>
      </c>
      <c r="CX412" s="2704" t="s">
        <v>1550</v>
      </c>
      <c r="DJ412" s="2482" t="s">
        <v>1550</v>
      </c>
      <c r="DL412" s="2483">
        <v>43929</v>
      </c>
      <c r="DM412" s="2447" t="s">
        <v>1454</v>
      </c>
      <c r="DN412" s="1629" t="s">
        <v>1607</v>
      </c>
      <c r="DO412" s="2447" t="s">
        <v>1454</v>
      </c>
      <c r="EB412" s="2482" t="s">
        <v>1550</v>
      </c>
      <c r="ED412" s="1820">
        <v>44337</v>
      </c>
      <c r="EE412" s="2702" t="s">
        <v>1454</v>
      </c>
      <c r="EF412" s="2703" t="s">
        <v>46</v>
      </c>
      <c r="EG412" s="1605" t="s">
        <v>46</v>
      </c>
      <c r="EH412" s="2704" t="s">
        <v>1550</v>
      </c>
      <c r="EV412" s="2482" t="s">
        <v>1550</v>
      </c>
    </row>
    <row r="413" spans="95:152" ht="17.399999999999999">
      <c r="CT413" s="2281">
        <v>1995</v>
      </c>
      <c r="CU413" s="1871">
        <f>CV413/CW413</f>
        <v>0.18602814222542435</v>
      </c>
      <c r="CV413" s="1838">
        <v>514.85530000000006</v>
      </c>
      <c r="CW413" s="1786">
        <f t="array" ref="CW413:CW436">TRANSPOSE(U167:AR167)</f>
        <v>2767.6205</v>
      </c>
      <c r="CX413" s="1058"/>
      <c r="DJ413" s="1882">
        <f t="shared" ref="DJ413:DJ436" si="253">CU413</f>
        <v>0.18602814222542435</v>
      </c>
      <c r="DL413" s="2097">
        <v>1995</v>
      </c>
      <c r="DM413" s="1055">
        <v>1</v>
      </c>
      <c r="DN413" s="837"/>
      <c r="DO413" s="1056">
        <v>1</v>
      </c>
      <c r="EB413" s="2745">
        <v>1</v>
      </c>
      <c r="ED413" s="2281">
        <v>1995</v>
      </c>
      <c r="EE413" s="1871">
        <v>1</v>
      </c>
      <c r="EF413" s="1495"/>
      <c r="EG413" s="1786">
        <v>2767.6205</v>
      </c>
      <c r="EH413" s="1058"/>
      <c r="EV413" s="1882">
        <v>1</v>
      </c>
    </row>
    <row r="414" spans="95:152" ht="17.399999999999999">
      <c r="CT414" s="2281">
        <v>1996</v>
      </c>
      <c r="CU414" s="1871">
        <f>CV414/CW414</f>
        <v>0.20193696820110807</v>
      </c>
      <c r="CV414" s="1838">
        <v>543.23611590000019</v>
      </c>
      <c r="CW414" s="1786">
        <v>2690.1271259999999</v>
      </c>
      <c r="CX414" s="1035"/>
      <c r="DJ414" s="1882">
        <f t="shared" si="253"/>
        <v>0.20193696820110807</v>
      </c>
      <c r="DL414" s="2281">
        <v>1996</v>
      </c>
      <c r="DM414" s="2119">
        <f t="shared" ref="DM414:DM436" si="254">EC373</f>
        <v>1.1463921152743077</v>
      </c>
      <c r="DN414" s="1382"/>
      <c r="DO414" s="1035">
        <f>НАСТРОЙКА!DR137</f>
        <v>1.218</v>
      </c>
      <c r="EB414" s="1975">
        <f t="shared" ref="EB414:EB436" si="255">DM414</f>
        <v>1.1463921152743077</v>
      </c>
      <c r="ED414" s="2281">
        <v>1996</v>
      </c>
      <c r="EE414" s="1871">
        <f>EB373</f>
        <v>1.0551238685898738</v>
      </c>
      <c r="EF414" s="1495"/>
      <c r="EG414" s="1786">
        <v>2690.1271259999999</v>
      </c>
      <c r="EH414" s="1035"/>
      <c r="EV414" s="1882">
        <f>EE414</f>
        <v>1.0551238685898738</v>
      </c>
    </row>
    <row r="415" spans="95:152" ht="17.399999999999999">
      <c r="CT415" s="2281">
        <v>1997</v>
      </c>
      <c r="CU415" s="1871">
        <f t="shared" ref="CU415:CU436" si="256">CV415/CW415</f>
        <v>0.20077030917127051</v>
      </c>
      <c r="CV415" s="1838">
        <v>547.65902196419995</v>
      </c>
      <c r="CW415" s="1786">
        <v>2727.788905764</v>
      </c>
      <c r="CX415" s="1035"/>
      <c r="DJ415" s="1882">
        <f t="shared" si="253"/>
        <v>0.20077030917127051</v>
      </c>
      <c r="DL415" s="2281">
        <v>1997</v>
      </c>
      <c r="DM415" s="1616">
        <f t="shared" si="254"/>
        <v>1.2513079717780982</v>
      </c>
      <c r="DN415" s="1382"/>
      <c r="DO415" s="1035">
        <f>НАСТРОЙКА!DR138</f>
        <v>1.3519800000000002</v>
      </c>
      <c r="EB415" s="1975">
        <f t="shared" si="255"/>
        <v>1.2513079717780982</v>
      </c>
      <c r="ED415" s="2281">
        <v>1997</v>
      </c>
      <c r="EE415" s="1871">
        <f t="shared" ref="EE415:EE436" si="257">EB374</f>
        <v>1.0637144494078237</v>
      </c>
      <c r="EF415" s="1495"/>
      <c r="EG415" s="1786">
        <v>2727.788905764</v>
      </c>
      <c r="EH415" s="1035"/>
      <c r="EV415" s="1882">
        <f t="shared" ref="EV415:EV436" si="258">EE415</f>
        <v>1.0637144494078237</v>
      </c>
    </row>
    <row r="416" spans="95:152" ht="17.399999999999999">
      <c r="CT416" s="2281">
        <v>1998</v>
      </c>
      <c r="CU416" s="1871">
        <f t="shared" si="256"/>
        <v>0.17564649920911823</v>
      </c>
      <c r="CV416" s="1838">
        <v>454.69111671309309</v>
      </c>
      <c r="CW416" s="1786">
        <v>2588.6716715700359</v>
      </c>
      <c r="CX416" s="1035"/>
      <c r="DJ416" s="1882">
        <f t="shared" si="253"/>
        <v>0.17564649920911823</v>
      </c>
      <c r="DL416" s="2281">
        <v>1998</v>
      </c>
      <c r="DM416" s="1616">
        <f t="shared" si="254"/>
        <v>1.7757982734232494</v>
      </c>
      <c r="DN416" s="1382"/>
      <c r="DO416" s="1035">
        <f>НАСТРОЙКА!DR139</f>
        <v>2.4930511200000005</v>
      </c>
      <c r="EB416" s="1975">
        <f t="shared" si="255"/>
        <v>1.7757982734232494</v>
      </c>
      <c r="ED416" s="2281">
        <v>1998</v>
      </c>
      <c r="EE416" s="1871">
        <f t="shared" si="257"/>
        <v>0.88314350986207779</v>
      </c>
      <c r="EF416" s="1495"/>
      <c r="EG416" s="1786">
        <v>2588.6716715700359</v>
      </c>
      <c r="EH416" s="1035"/>
      <c r="EV416" s="1882">
        <f t="shared" si="258"/>
        <v>0.88314350986207779</v>
      </c>
    </row>
    <row r="417" spans="58:152" ht="17.399999999999999">
      <c r="CT417" s="2281">
        <v>1999</v>
      </c>
      <c r="CU417" s="1871">
        <f t="shared" si="256"/>
        <v>0.17736677529339789</v>
      </c>
      <c r="CV417" s="1838">
        <v>485.77471878717267</v>
      </c>
      <c r="CW417" s="1786">
        <v>2738.8146285210983</v>
      </c>
      <c r="CX417" s="1035"/>
      <c r="DJ417" s="1882">
        <f t="shared" si="253"/>
        <v>0.17736677529339789</v>
      </c>
      <c r="DL417" s="2281">
        <v>1999</v>
      </c>
      <c r="DM417" s="1616">
        <f t="shared" si="254"/>
        <v>4.3836468174313525</v>
      </c>
      <c r="DN417" s="1382"/>
      <c r="DO417" s="1035">
        <f>НАСТРОЙКА!DR140</f>
        <v>3.4030147788000007</v>
      </c>
      <c r="EB417" s="1975">
        <f t="shared" si="255"/>
        <v>4.3836468174313525</v>
      </c>
      <c r="ED417" s="2281">
        <v>1999</v>
      </c>
      <c r="EE417" s="1871">
        <f t="shared" si="257"/>
        <v>0.94351698193098643</v>
      </c>
      <c r="EF417" s="1495"/>
      <c r="EG417" s="1786">
        <v>2738.8146285210983</v>
      </c>
      <c r="EH417" s="1035"/>
      <c r="EV417" s="1882">
        <f t="shared" si="258"/>
        <v>0.94351698193098643</v>
      </c>
    </row>
    <row r="418" spans="58:152" ht="17.399999999999999">
      <c r="CT418" s="2281">
        <v>2000</v>
      </c>
      <c r="CU418" s="1871">
        <f t="shared" si="256"/>
        <v>0.21045165705943777</v>
      </c>
      <c r="CV418" s="1838">
        <v>630.56855618427767</v>
      </c>
      <c r="CW418" s="1786">
        <v>2996.2632036020818</v>
      </c>
      <c r="CX418" s="1035"/>
      <c r="DJ418" s="1882">
        <f t="shared" si="253"/>
        <v>0.21045165705943777</v>
      </c>
      <c r="DL418" s="2281">
        <v>2000</v>
      </c>
      <c r="DM418" s="1616">
        <f t="shared" si="254"/>
        <v>5.422670804728047</v>
      </c>
      <c r="DN418" s="1382"/>
      <c r="DO418" s="1035">
        <f>НАСТРОЙКА!DR141</f>
        <v>4.0904237641176007</v>
      </c>
      <c r="EB418" s="1975">
        <f t="shared" si="255"/>
        <v>5.422670804728047</v>
      </c>
      <c r="ED418" s="2281">
        <v>2000</v>
      </c>
      <c r="EE418" s="1871">
        <f t="shared" si="257"/>
        <v>1.2247490822844354</v>
      </c>
      <c r="EF418" s="1495"/>
      <c r="EG418" s="1786">
        <v>2996.2632036020818</v>
      </c>
      <c r="EH418" s="1035"/>
      <c r="EV418" s="1882">
        <f t="shared" si="258"/>
        <v>1.2247490822844354</v>
      </c>
    </row>
    <row r="419" spans="58:152" ht="17.399999999999999">
      <c r="CT419" s="2281">
        <v>2001</v>
      </c>
      <c r="CU419" s="1871">
        <f t="shared" si="256"/>
        <v>0.22075386925949722</v>
      </c>
      <c r="CV419" s="1838">
        <v>693.84709359525198</v>
      </c>
      <c r="CW419" s="1786">
        <v>3143.0801005785834</v>
      </c>
      <c r="CX419" s="1035"/>
      <c r="DJ419" s="1882">
        <f t="shared" si="253"/>
        <v>0.22075386925949722</v>
      </c>
      <c r="DL419" s="2281">
        <v>2001</v>
      </c>
      <c r="DM419" s="1616">
        <f t="shared" si="254"/>
        <v>5.4161394271000169</v>
      </c>
      <c r="DN419" s="1382"/>
      <c r="DO419" s="1035">
        <f>НАСТРОЙКА!DR142</f>
        <v>4.8512425842434741</v>
      </c>
      <c r="EB419" s="1975">
        <f t="shared" si="255"/>
        <v>5.4161394271000169</v>
      </c>
      <c r="ED419" s="2281">
        <v>2001</v>
      </c>
      <c r="EE419" s="1871">
        <f t="shared" si="257"/>
        <v>1.3476545615734206</v>
      </c>
      <c r="EF419" s="1495"/>
      <c r="EG419" s="1786">
        <v>3143.0801005785834</v>
      </c>
      <c r="EH419" s="1035"/>
      <c r="EV419" s="1882">
        <f t="shared" si="258"/>
        <v>1.3476545615734206</v>
      </c>
    </row>
    <row r="420" spans="58:152" ht="17.399999999999999">
      <c r="CT420" s="2281">
        <v>2002</v>
      </c>
      <c r="CU420" s="1871">
        <f t="shared" si="256"/>
        <v>0.23009857341476964</v>
      </c>
      <c r="CV420" s="1838">
        <v>755.03985015142803</v>
      </c>
      <c r="CW420" s="1786">
        <v>3281.3756250040415</v>
      </c>
      <c r="CX420" s="1035"/>
      <c r="DJ420" s="1882">
        <f t="shared" si="253"/>
        <v>0.23009857341476964</v>
      </c>
      <c r="DL420" s="2281">
        <v>2002</v>
      </c>
      <c r="DM420" s="1616">
        <f t="shared" si="254"/>
        <v>5.5899915734957792</v>
      </c>
      <c r="DN420" s="1382"/>
      <c r="DO420" s="1035">
        <f>НАСТРОЙКА!DR143</f>
        <v>5.5837802144642392</v>
      </c>
      <c r="EB420" s="1975">
        <f t="shared" si="255"/>
        <v>5.5899915734957792</v>
      </c>
      <c r="ED420" s="2281">
        <v>2002</v>
      </c>
      <c r="EE420" s="1871">
        <f t="shared" si="257"/>
        <v>1.4665088426814834</v>
      </c>
      <c r="EF420" s="1495"/>
      <c r="EG420" s="1786">
        <v>3281.3756250040415</v>
      </c>
      <c r="EH420" s="1035"/>
      <c r="EV420" s="1882">
        <f t="shared" si="258"/>
        <v>1.4665088426814834</v>
      </c>
    </row>
    <row r="421" spans="58:152" ht="17.399999999999999"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T421" s="2281">
        <v>2003</v>
      </c>
      <c r="CU421" s="1871">
        <f t="shared" si="256"/>
        <v>0.24253877934926296</v>
      </c>
      <c r="CV421" s="1838">
        <v>856.34626241419789</v>
      </c>
      <c r="CW421" s="1786">
        <v>3530.7601725043487</v>
      </c>
      <c r="CX421" s="1035"/>
      <c r="DJ421" s="1882">
        <f t="shared" si="253"/>
        <v>0.24253877934926296</v>
      </c>
      <c r="DL421" s="2281">
        <v>2003</v>
      </c>
      <c r="DM421" s="1616">
        <f t="shared" si="254"/>
        <v>6.1009492646947514</v>
      </c>
      <c r="DN421" s="1382"/>
      <c r="DO421" s="1035">
        <f>НАСТРОЙКА!DR144</f>
        <v>6.2538338401999489</v>
      </c>
      <c r="EB421" s="1975">
        <f t="shared" si="255"/>
        <v>6.1009492646947514</v>
      </c>
      <c r="ED421" s="2281">
        <v>2003</v>
      </c>
      <c r="EE421" s="1871">
        <f t="shared" si="257"/>
        <v>1.6632756085335001</v>
      </c>
      <c r="EF421" s="1495"/>
      <c r="EG421" s="1786">
        <v>3530.7601725043487</v>
      </c>
      <c r="EH421" s="1035"/>
      <c r="EV421" s="1882">
        <f t="shared" si="258"/>
        <v>1.6632756085335001</v>
      </c>
    </row>
    <row r="422" spans="58:152" ht="17.399999999999999">
      <c r="BU422"/>
      <c r="CT422" s="2281">
        <v>2004</v>
      </c>
      <c r="CU422" s="1871">
        <f t="shared" si="256"/>
        <v>0.25160823372823521</v>
      </c>
      <c r="CV422" s="1838">
        <v>959.43779717956363</v>
      </c>
      <c r="CW422" s="1786">
        <v>3813.2209863046965</v>
      </c>
      <c r="CX422" s="1035"/>
      <c r="DJ422" s="1882">
        <f t="shared" si="253"/>
        <v>0.25160823372823521</v>
      </c>
      <c r="DL422" s="2281">
        <v>2004</v>
      </c>
      <c r="DM422" s="1616">
        <f t="shared" si="254"/>
        <v>6.8314599646456458</v>
      </c>
      <c r="DN422" s="1382"/>
      <c r="DO422" s="1035">
        <f>НАСТРОЙКА!DR145</f>
        <v>6.9855323995033425</v>
      </c>
      <c r="EB422" s="1975">
        <f t="shared" si="255"/>
        <v>6.8314599646456458</v>
      </c>
      <c r="ED422" s="2281">
        <v>2004</v>
      </c>
      <c r="EE422" s="1871">
        <f t="shared" si="257"/>
        <v>1.8635096058631688</v>
      </c>
      <c r="EF422" s="1495"/>
      <c r="EG422" s="1786">
        <v>3813.2209863046965</v>
      </c>
      <c r="EH422" s="1035"/>
      <c r="EV422" s="1882">
        <f t="shared" si="258"/>
        <v>1.8635096058631688</v>
      </c>
    </row>
    <row r="423" spans="58:152" ht="17.399999999999999">
      <c r="CT423" s="2281">
        <v>2005</v>
      </c>
      <c r="CU423" s="1871">
        <f t="shared" si="256"/>
        <v>0.25783555641470957</v>
      </c>
      <c r="CV423" s="1838">
        <v>1039.2254401560776</v>
      </c>
      <c r="CW423" s="1786">
        <v>4030.5745825240638</v>
      </c>
      <c r="CX423" s="1035"/>
      <c r="DJ423" s="1882">
        <f t="shared" si="253"/>
        <v>0.25783555641470957</v>
      </c>
      <c r="DL423" s="2281">
        <v>2005</v>
      </c>
      <c r="DM423" s="1616">
        <f t="shared" si="254"/>
        <v>8.0203116455157293</v>
      </c>
      <c r="DN423" s="1382"/>
      <c r="DO423" s="1035">
        <f>НАСТРОЙКА!DR146</f>
        <v>7.7469554310492068</v>
      </c>
      <c r="EB423" s="1975">
        <f t="shared" si="255"/>
        <v>8.0203116455157293</v>
      </c>
      <c r="ED423" s="2281">
        <v>2005</v>
      </c>
      <c r="EE423" s="1871">
        <f t="shared" si="257"/>
        <v>2.0184806102920132</v>
      </c>
      <c r="EF423" s="1495"/>
      <c r="EG423" s="1786">
        <v>4030.5745825240638</v>
      </c>
      <c r="EH423" s="1035"/>
      <c r="EV423" s="1882">
        <f t="shared" si="258"/>
        <v>2.0184806102920132</v>
      </c>
    </row>
    <row r="424" spans="58:152" ht="17.399999999999999">
      <c r="CT424" s="2281">
        <v>2006</v>
      </c>
      <c r="CU424" s="1871">
        <f t="shared" si="256"/>
        <v>0.26687813853792092</v>
      </c>
      <c r="CV424" s="1838">
        <v>1171.4070713444628</v>
      </c>
      <c r="CW424" s="1786">
        <v>4389.2957203687056</v>
      </c>
      <c r="CX424" s="1035"/>
      <c r="DJ424" s="1882">
        <f t="shared" si="253"/>
        <v>0.26687813853792092</v>
      </c>
      <c r="DL424" s="2281">
        <v>2006</v>
      </c>
      <c r="DM424" s="1616">
        <f t="shared" si="254"/>
        <v>8.5777715926432858</v>
      </c>
      <c r="DN424" s="1382"/>
      <c r="DO424" s="1035">
        <f>НАСТРОЙКА!DR147</f>
        <v>8.4441814198436358</v>
      </c>
      <c r="EB424" s="1975">
        <f t="shared" si="255"/>
        <v>8.5777715926432858</v>
      </c>
      <c r="ED424" s="2281">
        <v>2006</v>
      </c>
      <c r="EE424" s="1871">
        <f t="shared" si="257"/>
        <v>2.2752161070197054</v>
      </c>
      <c r="EF424" s="1495"/>
      <c r="EG424" s="1786">
        <v>4389.2957203687056</v>
      </c>
      <c r="EH424" s="1035"/>
      <c r="EV424" s="1882">
        <f t="shared" si="258"/>
        <v>2.2752161070197054</v>
      </c>
    </row>
    <row r="425" spans="58:152" ht="17.399999999999999">
      <c r="CT425" s="2281">
        <v>2007</v>
      </c>
      <c r="CU425" s="1871">
        <f t="shared" si="256"/>
        <v>0.27752871293871573</v>
      </c>
      <c r="CV425" s="1838">
        <v>1325.353284075698</v>
      </c>
      <c r="CW425" s="1786">
        <v>4775.553743761152</v>
      </c>
      <c r="CX425" s="1035"/>
      <c r="DJ425" s="1882">
        <f t="shared" si="253"/>
        <v>0.27752871293871573</v>
      </c>
      <c r="DL425" s="2281">
        <v>2007</v>
      </c>
      <c r="DM425" s="1616">
        <f t="shared" si="254"/>
        <v>8.5612179305936174</v>
      </c>
      <c r="DN425" s="1382"/>
      <c r="DO425" s="1035">
        <f>НАСТРОЙКА!DR148</f>
        <v>9.4465057543790749</v>
      </c>
      <c r="EB425" s="1975">
        <f t="shared" si="255"/>
        <v>8.5612179305936174</v>
      </c>
      <c r="ED425" s="2281">
        <v>2007</v>
      </c>
      <c r="EE425" s="1871">
        <f t="shared" si="257"/>
        <v>2.574224804669774</v>
      </c>
      <c r="EF425" s="1495"/>
      <c r="EG425" s="1786">
        <v>4775.553743761152</v>
      </c>
      <c r="EH425" s="1035"/>
      <c r="EV425" s="1882">
        <f t="shared" si="258"/>
        <v>2.574224804669774</v>
      </c>
    </row>
    <row r="426" spans="58:152" ht="17.399999999999999">
      <c r="CT426" s="2281">
        <v>2008</v>
      </c>
      <c r="CU426" s="1871">
        <f t="shared" si="256"/>
        <v>0.28233244102428678</v>
      </c>
      <c r="CV426" s="1838">
        <v>1415.7084330046953</v>
      </c>
      <c r="CW426" s="1786">
        <v>5014.3314309492098</v>
      </c>
      <c r="CX426" s="1035"/>
      <c r="DJ426" s="1882">
        <f t="shared" si="253"/>
        <v>0.28233244102428678</v>
      </c>
      <c r="DL426" s="2281">
        <v>2008</v>
      </c>
      <c r="DM426" s="1616">
        <f t="shared" si="254"/>
        <v>10.360928463828223</v>
      </c>
      <c r="DN426" s="1382"/>
      <c r="DO426" s="1035">
        <f>НАСТРОЙКА!DR149</f>
        <v>10.701001718560617</v>
      </c>
      <c r="EB426" s="1975">
        <f t="shared" si="255"/>
        <v>10.360928463828223</v>
      </c>
      <c r="ED426" s="2281">
        <v>2008</v>
      </c>
      <c r="EE426" s="1871">
        <f t="shared" si="257"/>
        <v>2.7497210051148255</v>
      </c>
      <c r="EF426" s="1495"/>
      <c r="EG426" s="1786">
        <v>5014.3314309492098</v>
      </c>
      <c r="EH426" s="1035"/>
      <c r="EV426" s="1882">
        <f t="shared" si="258"/>
        <v>2.7497210051148255</v>
      </c>
    </row>
    <row r="427" spans="58:152" ht="17.399999999999999">
      <c r="CT427" s="2281">
        <v>2009</v>
      </c>
      <c r="CU427" s="1871">
        <f t="shared" si="256"/>
        <v>0.20580264972695869</v>
      </c>
      <c r="CV427" s="1838">
        <v>955.59745566122933</v>
      </c>
      <c r="CW427" s="1786">
        <v>4643.2709050589683</v>
      </c>
      <c r="CX427" s="1035"/>
      <c r="DJ427" s="1882">
        <f t="shared" si="253"/>
        <v>0.20580264972695869</v>
      </c>
      <c r="DL427" s="2281">
        <v>2009</v>
      </c>
      <c r="DM427" s="1616">
        <f t="shared" si="254"/>
        <v>10.685163024983835</v>
      </c>
      <c r="DN427" s="1382"/>
      <c r="DO427" s="1035">
        <f>НАСТРОЙКА!DR150</f>
        <v>11.642689869793951</v>
      </c>
      <c r="EB427" s="1975">
        <f t="shared" si="255"/>
        <v>10.685163024983835</v>
      </c>
      <c r="ED427" s="2281">
        <v>2009</v>
      </c>
      <c r="EE427" s="1871">
        <f t="shared" si="257"/>
        <v>1.8560505362598563</v>
      </c>
      <c r="EF427" s="1495"/>
      <c r="EG427" s="1786">
        <v>4643.2709050589683</v>
      </c>
      <c r="EH427" s="1035"/>
      <c r="EV427" s="1882">
        <f t="shared" si="258"/>
        <v>1.8560505362598563</v>
      </c>
    </row>
    <row r="428" spans="58:152" ht="17.399999999999999">
      <c r="CT428" s="2281">
        <v>2010</v>
      </c>
      <c r="CU428" s="1871">
        <f t="shared" si="256"/>
        <v>0.24609376472050032</v>
      </c>
      <c r="CV428" s="1838">
        <v>1199.8140185252826</v>
      </c>
      <c r="CW428" s="1786">
        <v>4875.4344503119164</v>
      </c>
      <c r="CX428" s="1035"/>
      <c r="DJ428" s="1882">
        <f t="shared" si="253"/>
        <v>0.24609376472050032</v>
      </c>
      <c r="DL428" s="2281">
        <v>2010</v>
      </c>
      <c r="DM428" s="1616">
        <f t="shared" si="254"/>
        <v>12.376778209553063</v>
      </c>
      <c r="DN428" s="1382"/>
      <c r="DO428" s="1035">
        <f>НАСТРОЙКА!DR151</f>
        <v>12.664918040361862</v>
      </c>
      <c r="EB428" s="1975">
        <f t="shared" si="255"/>
        <v>12.376778209553063</v>
      </c>
      <c r="ED428" s="2281">
        <v>2010</v>
      </c>
      <c r="EE428" s="1871">
        <f t="shared" si="257"/>
        <v>2.3303907302212532</v>
      </c>
      <c r="EF428" s="1495"/>
      <c r="EG428" s="1786">
        <v>4875.4344503119164</v>
      </c>
      <c r="EH428" s="1035"/>
      <c r="EV428" s="1882">
        <f t="shared" si="258"/>
        <v>2.3303907302212532</v>
      </c>
    </row>
    <row r="429" spans="58:152" ht="17.399999999999999">
      <c r="CT429" s="2281">
        <v>2011</v>
      </c>
      <c r="CU429" s="1871">
        <f t="shared" si="256"/>
        <v>0.27167126619383269</v>
      </c>
      <c r="CV429" s="1838">
        <v>1381.4696147268057</v>
      </c>
      <c r="CW429" s="1786">
        <v>5085.0781316753291</v>
      </c>
      <c r="CX429" s="1035"/>
      <c r="DJ429" s="1882">
        <f t="shared" si="253"/>
        <v>0.27167126619383269</v>
      </c>
      <c r="DL429" s="2281">
        <v>2011</v>
      </c>
      <c r="DM429" s="1616">
        <f t="shared" si="254"/>
        <v>14.886630426588821</v>
      </c>
      <c r="DN429" s="1382"/>
      <c r="DO429" s="1035">
        <f>НАСТРОЙКА!DR152</f>
        <v>13.437478040823935</v>
      </c>
      <c r="EB429" s="1975">
        <f t="shared" si="255"/>
        <v>14.886630426588821</v>
      </c>
      <c r="ED429" s="2281">
        <v>2011</v>
      </c>
      <c r="EE429" s="1871">
        <f t="shared" si="257"/>
        <v>2.683219177751119</v>
      </c>
      <c r="EF429" s="1495"/>
      <c r="EG429" s="1786">
        <v>5085.0781316753291</v>
      </c>
      <c r="EH429" s="1035"/>
      <c r="EV429" s="1882">
        <f t="shared" si="258"/>
        <v>2.683219177751119</v>
      </c>
    </row>
    <row r="430" spans="58:152" ht="17.399999999999999">
      <c r="CT430" s="2281">
        <v>2012</v>
      </c>
      <c r="CU430" s="1871">
        <f t="shared" si="256"/>
        <v>0.27117347874806208</v>
      </c>
      <c r="CV430" s="1838">
        <v>1432.7169214123069</v>
      </c>
      <c r="CW430" s="1786">
        <v>5283.3961788106672</v>
      </c>
      <c r="CX430" s="1035"/>
      <c r="DJ430" s="1882">
        <f t="shared" si="253"/>
        <v>0.27117347874806208</v>
      </c>
      <c r="DL430" s="2281">
        <v>2012</v>
      </c>
      <c r="DM430" s="1616">
        <f t="shared" si="254"/>
        <v>15.682710215951944</v>
      </c>
      <c r="DN430" s="1382"/>
      <c r="DO430" s="1035">
        <f>НАСТРОЙКА!DR153</f>
        <v>14.321664095910151</v>
      </c>
      <c r="EB430" s="1975">
        <f t="shared" si="255"/>
        <v>15.682710215951944</v>
      </c>
      <c r="ED430" s="2281">
        <v>2012</v>
      </c>
      <c r="EE430" s="1871">
        <f t="shared" si="257"/>
        <v>2.7827564782033063</v>
      </c>
      <c r="EF430" s="1495"/>
      <c r="EG430" s="1786">
        <v>5283.3961788106672</v>
      </c>
      <c r="EH430" s="1035"/>
      <c r="EV430" s="1882">
        <f t="shared" si="258"/>
        <v>2.7827564782033063</v>
      </c>
    </row>
    <row r="431" spans="58:152" ht="17.399999999999999">
      <c r="CT431" s="2281">
        <v>2013</v>
      </c>
      <c r="CU431" s="1871">
        <f t="shared" si="256"/>
        <v>0.26539413338300072</v>
      </c>
      <c r="CV431" s="1838">
        <v>1431.6281795485993</v>
      </c>
      <c r="CW431" s="1786">
        <v>5394.3474985656912</v>
      </c>
      <c r="CX431" s="1035"/>
      <c r="DJ431" s="1882">
        <f t="shared" si="253"/>
        <v>0.26539413338300072</v>
      </c>
      <c r="DL431" s="2281">
        <v>2013</v>
      </c>
      <c r="DM431" s="1616">
        <f t="shared" si="254"/>
        <v>15.596922733834738</v>
      </c>
      <c r="DN431" s="1382"/>
      <c r="DO431" s="1035">
        <f>НАСТРОЙКА!DR154</f>
        <v>15.245411430096356</v>
      </c>
      <c r="EB431" s="1975">
        <f t="shared" si="255"/>
        <v>15.596922733834738</v>
      </c>
      <c r="ED431" s="2281">
        <v>2013</v>
      </c>
      <c r="EE431" s="1871">
        <f t="shared" si="257"/>
        <v>2.7806418221752773</v>
      </c>
      <c r="EF431" s="1495"/>
      <c r="EG431" s="1786">
        <v>5394.3474985656912</v>
      </c>
      <c r="EH431" s="1035"/>
      <c r="EV431" s="1882">
        <f t="shared" si="258"/>
        <v>2.7806418221752773</v>
      </c>
    </row>
    <row r="432" spans="58:152" ht="17.399999999999999">
      <c r="CT432" s="2281">
        <v>2014</v>
      </c>
      <c r="CU432" s="1871">
        <f t="shared" si="256"/>
        <v>0.24074796552908859</v>
      </c>
      <c r="CV432" s="1838">
        <v>1309.0676111217113</v>
      </c>
      <c r="CW432" s="1786">
        <v>5437.5022785542169</v>
      </c>
      <c r="CX432" s="1035"/>
      <c r="DJ432" s="1882">
        <f t="shared" si="253"/>
        <v>0.24074796552908859</v>
      </c>
      <c r="DL432" s="2281">
        <v>2014</v>
      </c>
      <c r="DM432" s="1616">
        <f t="shared" si="254"/>
        <v>19.408072573294923</v>
      </c>
      <c r="DN432" s="1382">
        <f t="shared" ref="DN432:DN436" si="259">0.0265*DO432*DO432+0.6278*DO432+0.9441</f>
        <v>19.765255226569561</v>
      </c>
      <c r="DO432" s="1035">
        <f>НАСТРОЙКА!DR155</f>
        <v>17.318787384589459</v>
      </c>
      <c r="EB432" s="1975">
        <f t="shared" si="255"/>
        <v>19.408072573294923</v>
      </c>
      <c r="ED432" s="2281">
        <v>2014</v>
      </c>
      <c r="EE432" s="1871">
        <f t="shared" si="257"/>
        <v>2.5425932511944835</v>
      </c>
      <c r="EF432" s="1495"/>
      <c r="EG432" s="1786">
        <v>5437.5022785542169</v>
      </c>
      <c r="EH432" s="1035"/>
      <c r="EV432" s="1882">
        <f t="shared" si="258"/>
        <v>2.5425932511944835</v>
      </c>
    </row>
    <row r="433" spans="98:152" ht="17.399999999999999">
      <c r="CT433" s="2281">
        <v>2015</v>
      </c>
      <c r="CU433" s="1871">
        <f t="shared" si="256"/>
        <v>0.20957161629151927</v>
      </c>
      <c r="CV433" s="1838">
        <v>1124.7320412710553</v>
      </c>
      <c r="CW433" s="1786">
        <v>5366.8147489330113</v>
      </c>
      <c r="CX433" s="1035"/>
      <c r="DJ433" s="1882">
        <f t="shared" si="253"/>
        <v>0.20957161629151927</v>
      </c>
      <c r="DL433" s="2281">
        <v>2015</v>
      </c>
      <c r="DM433" s="1616">
        <f t="shared" si="254"/>
        <v>25.392619710313024</v>
      </c>
      <c r="DN433" s="1382">
        <f t="shared" si="259"/>
        <v>23.350800161787738</v>
      </c>
      <c r="DO433" s="1035">
        <f>НАСТРОЙКА!DR156</f>
        <v>19.552910957201501</v>
      </c>
      <c r="EB433" s="1975">
        <f t="shared" si="255"/>
        <v>25.392619710313024</v>
      </c>
      <c r="ED433" s="2281">
        <v>2015</v>
      </c>
      <c r="EE433" s="1871">
        <f t="shared" si="257"/>
        <v>2.1845595087999583</v>
      </c>
      <c r="EF433" s="1495"/>
      <c r="EG433" s="1786">
        <v>5366.8147489330113</v>
      </c>
      <c r="EH433" s="1035"/>
      <c r="EV433" s="1882">
        <f t="shared" si="258"/>
        <v>2.1845595087999583</v>
      </c>
    </row>
    <row r="434" spans="98:152" ht="17.399999999999999">
      <c r="CT434" s="2281">
        <v>2016</v>
      </c>
      <c r="CU434" s="1871">
        <f t="shared" si="256"/>
        <v>0.20657808103265329</v>
      </c>
      <c r="CV434" s="1838">
        <v>1121.9702875974303</v>
      </c>
      <c r="CW434" s="1786">
        <v>5431.2165259202075</v>
      </c>
      <c r="CX434" s="1035"/>
      <c r="DJ434" s="1882">
        <f t="shared" si="253"/>
        <v>0.20657808103265329</v>
      </c>
      <c r="DL434" s="2281">
        <v>2016</v>
      </c>
      <c r="DM434" s="1616">
        <f t="shared" si="254"/>
        <v>24.686694352693262</v>
      </c>
      <c r="DN434" s="1382">
        <f t="shared" si="259"/>
        <v>25.13403662026203</v>
      </c>
      <c r="DO434" s="1035">
        <f>НАСТРОЙКА!DR157</f>
        <v>20.606812857794662</v>
      </c>
      <c r="EB434" s="1975">
        <f t="shared" si="255"/>
        <v>24.686694352693262</v>
      </c>
      <c r="ED434" s="2281">
        <v>2016</v>
      </c>
      <c r="EE434" s="1871">
        <f t="shared" si="257"/>
        <v>2.1739835580660896</v>
      </c>
      <c r="EF434" s="1495"/>
      <c r="EG434" s="1786">
        <v>5431.2165259202075</v>
      </c>
      <c r="EH434" s="1035"/>
      <c r="EV434" s="1882">
        <f t="shared" si="258"/>
        <v>2.1739835580660896</v>
      </c>
    </row>
    <row r="435" spans="98:152" ht="17.399999999999999">
      <c r="CT435" s="2281">
        <v>2017</v>
      </c>
      <c r="CU435" s="1871">
        <f t="shared" si="256"/>
        <v>0.22697099503222676</v>
      </c>
      <c r="CV435" s="1838">
        <v>1263.5468346016728</v>
      </c>
      <c r="CW435" s="1786">
        <v>5566.9969390682127</v>
      </c>
      <c r="CX435" s="1966">
        <f>CU435</f>
        <v>0.22697099503222676</v>
      </c>
      <c r="DJ435" s="1882">
        <f t="shared" si="253"/>
        <v>0.22697099503222676</v>
      </c>
      <c r="DL435" s="2281">
        <v>2017</v>
      </c>
      <c r="DM435" s="1616">
        <f t="shared" si="254"/>
        <v>23.815961506525245</v>
      </c>
      <c r="DN435" s="1382">
        <f t="shared" si="259"/>
        <v>26.030743304704799</v>
      </c>
      <c r="DO435" s="1035">
        <f>НАСТРОЙКА!DR158</f>
        <v>21.124043860525305</v>
      </c>
      <c r="EB435" s="1975">
        <f t="shared" si="255"/>
        <v>23.815961506525245</v>
      </c>
      <c r="ED435" s="2281">
        <v>2017</v>
      </c>
      <c r="EE435" s="1871">
        <f t="shared" si="257"/>
        <v>2.4593278252133119</v>
      </c>
      <c r="EF435" s="1495"/>
      <c r="EG435" s="1786">
        <v>5566.9969390682127</v>
      </c>
      <c r="EH435" s="1966">
        <f>EE435</f>
        <v>2.4593278252133119</v>
      </c>
      <c r="EV435" s="1882">
        <f t="shared" si="258"/>
        <v>2.4593278252133119</v>
      </c>
    </row>
    <row r="436" spans="98:152" ht="17.399999999999999">
      <c r="CT436" s="2281">
        <v>2018</v>
      </c>
      <c r="CU436" s="1871">
        <f t="shared" si="256"/>
        <v>0.2265787550715769</v>
      </c>
      <c r="CV436" s="1838">
        <v>1292.8973168398886</v>
      </c>
      <c r="CW436" s="1786">
        <v>5706.1718625449175</v>
      </c>
      <c r="CX436" s="1966">
        <f>CU436</f>
        <v>0.2265787550715769</v>
      </c>
      <c r="DJ436" s="1882">
        <f t="shared" si="253"/>
        <v>0.2265787550715769</v>
      </c>
      <c r="DL436" s="2281">
        <v>2018</v>
      </c>
      <c r="DM436" s="1616">
        <f t="shared" si="254"/>
        <v>28.984298505855161</v>
      </c>
      <c r="DN436" s="1382">
        <f t="shared" si="259"/>
        <v>27.624637450487874</v>
      </c>
      <c r="DO436" s="1035">
        <f>НАСТРОЙКА!DR159</f>
        <v>22.02392812898368</v>
      </c>
      <c r="EB436" s="1975">
        <f t="shared" si="255"/>
        <v>28.984298505855161</v>
      </c>
      <c r="ED436" s="2281">
        <v>2018</v>
      </c>
      <c r="EE436" s="1871">
        <f t="shared" si="257"/>
        <v>2.5430346985333676</v>
      </c>
      <c r="EF436" s="1495"/>
      <c r="EG436" s="1786">
        <v>5706.1718625449175</v>
      </c>
      <c r="EH436" s="1966">
        <f>EE436</f>
        <v>2.5430346985333676</v>
      </c>
      <c r="EV436" s="1882">
        <f t="shared" si="258"/>
        <v>2.5430346985333676</v>
      </c>
    </row>
    <row r="437" spans="98:152" ht="18">
      <c r="CT437" s="2281">
        <v>2019</v>
      </c>
      <c r="CU437" s="838"/>
      <c r="CV437" s="1841"/>
      <c r="CW437" s="1615"/>
      <c r="CX437" s="1966">
        <f>CX436+0.6*(CX436-CX435)</f>
        <v>0.22634341109518699</v>
      </c>
      <c r="DJ437" s="1882">
        <f>CX437</f>
        <v>0.22634341109518699</v>
      </c>
      <c r="DL437" s="2281">
        <v>2019</v>
      </c>
      <c r="DM437" s="1861"/>
      <c r="DN437" s="1382">
        <f>0.025*DO437*DO437+0.639*DO437+0.912</f>
        <v>28.287941205989458</v>
      </c>
      <c r="DO437" s="1035">
        <f>НАСТРОЙКА!DR160</f>
        <v>22.693455544104783</v>
      </c>
      <c r="EB437" s="1975">
        <f>DN437</f>
        <v>28.287941205989458</v>
      </c>
      <c r="ED437" s="2281">
        <v>2019</v>
      </c>
      <c r="EE437" s="838"/>
      <c r="EF437" s="1841"/>
      <c r="EG437" s="1615"/>
      <c r="EH437" s="1966">
        <f>EH436+0.6*(EH436-EH435)</f>
        <v>2.5932588225254012</v>
      </c>
      <c r="EV437" s="1882">
        <f>EH437</f>
        <v>2.5932588225254012</v>
      </c>
    </row>
    <row r="438" spans="98:152" ht="18">
      <c r="CT438" s="2281">
        <v>2020</v>
      </c>
      <c r="CU438" s="838"/>
      <c r="CV438" s="1843"/>
      <c r="CW438" s="1615"/>
      <c r="CX438" s="1966">
        <f t="shared" ref="CX438:CX453" si="260">CX437+0.6*(CX437-CX436)</f>
        <v>0.22620220470935304</v>
      </c>
      <c r="DJ438" s="1882">
        <f t="shared" ref="DJ438:DJ453" si="261">CX438</f>
        <v>0.22620220470935304</v>
      </c>
      <c r="DL438" s="2281">
        <v>2020</v>
      </c>
      <c r="DM438" s="1861"/>
      <c r="DN438" s="1382">
        <f t="shared" ref="DN438:DN453" si="262">0.025*DO438*DO438+0.639*DO438+0.912</f>
        <v>30.295292486376674</v>
      </c>
      <c r="DO438" s="1035">
        <f>НАСТРОЙКА!DR161</f>
        <v>23.807704211320324</v>
      </c>
      <c r="EB438" s="1975">
        <f t="shared" ref="EB438:EB453" si="263">DN438</f>
        <v>30.295292486376674</v>
      </c>
      <c r="ED438" s="2281">
        <v>2020</v>
      </c>
      <c r="EE438" s="838"/>
      <c r="EF438" s="1843"/>
      <c r="EG438" s="1615"/>
      <c r="EH438" s="1966">
        <f t="shared" ref="EH438:EH453" si="264">EH437+0.6*(EH437-EH436)</f>
        <v>2.6233932969206215</v>
      </c>
      <c r="EV438" s="1882">
        <f t="shared" ref="EV438:EV453" si="265">EH438</f>
        <v>2.6233932969206215</v>
      </c>
    </row>
    <row r="439" spans="98:152" ht="18">
      <c r="CT439" s="2281">
        <v>2021</v>
      </c>
      <c r="CU439" s="838"/>
      <c r="CV439" s="1843"/>
      <c r="CW439" s="1615"/>
      <c r="CX439" s="1966">
        <f t="shared" si="260"/>
        <v>0.22611748087785266</v>
      </c>
      <c r="DJ439" s="1882">
        <f t="shared" si="261"/>
        <v>0.22611748087785266</v>
      </c>
      <c r="DL439" s="2281">
        <v>2021</v>
      </c>
      <c r="DM439" s="1861"/>
      <c r="DN439" s="1382">
        <f t="shared" si="262"/>
        <v>32.50839100920102</v>
      </c>
      <c r="DO439" s="1035">
        <f>НАСТРОЙКА!DR162</f>
        <v>24.998089421886341</v>
      </c>
      <c r="EB439" s="1975">
        <f t="shared" si="263"/>
        <v>32.50839100920102</v>
      </c>
      <c r="ED439" s="2281">
        <v>2021</v>
      </c>
      <c r="EE439" s="838"/>
      <c r="EF439" s="1843"/>
      <c r="EG439" s="1615"/>
      <c r="EH439" s="1966">
        <f t="shared" si="264"/>
        <v>2.6414739815577537</v>
      </c>
      <c r="EV439" s="1882">
        <f t="shared" si="265"/>
        <v>2.6414739815577537</v>
      </c>
    </row>
    <row r="440" spans="98:152" ht="18">
      <c r="CT440" s="2281">
        <v>2022</v>
      </c>
      <c r="CU440" s="838"/>
      <c r="CV440" s="1843"/>
      <c r="CW440" s="1615"/>
      <c r="CX440" s="1966">
        <f t="shared" si="260"/>
        <v>0.22606664657895242</v>
      </c>
      <c r="DJ440" s="1882">
        <f t="shared" si="261"/>
        <v>0.22606664657895242</v>
      </c>
      <c r="DL440" s="2281">
        <v>2022</v>
      </c>
      <c r="DM440" s="1861"/>
      <c r="DN440" s="1382">
        <f t="shared" si="262"/>
        <v>34.908397682763393</v>
      </c>
      <c r="DO440" s="1035">
        <f>НАСТРОЙКА!DR163</f>
        <v>26.247993892980659</v>
      </c>
      <c r="EB440" s="1975">
        <f t="shared" si="263"/>
        <v>34.908397682763393</v>
      </c>
      <c r="ED440" s="2281">
        <v>2022</v>
      </c>
      <c r="EE440" s="838"/>
      <c r="EF440" s="1843"/>
      <c r="EG440" s="1615"/>
      <c r="EH440" s="1966">
        <f t="shared" si="264"/>
        <v>2.6523223923400332</v>
      </c>
      <c r="EV440" s="1882">
        <f t="shared" si="265"/>
        <v>2.6523223923400332</v>
      </c>
    </row>
    <row r="441" spans="98:152" ht="18">
      <c r="CT441" s="2281">
        <v>2023</v>
      </c>
      <c r="CU441" s="838"/>
      <c r="CV441" s="1843"/>
      <c r="CW441" s="1615"/>
      <c r="CX441" s="1966">
        <f t="shared" si="260"/>
        <v>0.22603614599961228</v>
      </c>
      <c r="DJ441" s="1882">
        <f t="shared" si="261"/>
        <v>0.22603614599961228</v>
      </c>
      <c r="DL441" s="2281">
        <v>2023</v>
      </c>
      <c r="DM441" s="1861"/>
      <c r="DN441" s="1382">
        <f t="shared" si="262"/>
        <v>37.512473870121873</v>
      </c>
      <c r="DO441" s="1035">
        <f>НАСТРОЙКА!DR164</f>
        <v>27.560393587629694</v>
      </c>
      <c r="EB441" s="1975">
        <f t="shared" si="263"/>
        <v>37.512473870121873</v>
      </c>
      <c r="ED441" s="2281">
        <v>2023</v>
      </c>
      <c r="EE441" s="838"/>
      <c r="EF441" s="1843"/>
      <c r="EG441" s="1615"/>
      <c r="EH441" s="1966">
        <f t="shared" si="264"/>
        <v>2.658831438809401</v>
      </c>
      <c r="EV441" s="1882">
        <f t="shared" si="265"/>
        <v>2.658831438809401</v>
      </c>
    </row>
    <row r="442" spans="98:152" ht="18">
      <c r="CT442" s="2281">
        <v>2024</v>
      </c>
      <c r="CU442" s="838"/>
      <c r="CV442" s="1843"/>
      <c r="CW442" s="1615"/>
      <c r="CX442" s="1966">
        <f t="shared" si="260"/>
        <v>0.22601784565200819</v>
      </c>
      <c r="DJ442" s="1882">
        <f t="shared" si="261"/>
        <v>0.22601784565200819</v>
      </c>
      <c r="DL442" s="2281">
        <v>2024</v>
      </c>
      <c r="DM442" s="1861"/>
      <c r="DN442" s="1382">
        <f t="shared" si="262"/>
        <v>40.339440137928356</v>
      </c>
      <c r="DO442" s="1035">
        <f>НАСТРОЙКА!DR165</f>
        <v>28.938413267011178</v>
      </c>
      <c r="EB442" s="1975">
        <f t="shared" si="263"/>
        <v>40.339440137928356</v>
      </c>
      <c r="ED442" s="2281">
        <v>2024</v>
      </c>
      <c r="EE442" s="838"/>
      <c r="EF442" s="1843"/>
      <c r="EG442" s="1615"/>
      <c r="EH442" s="1966">
        <f t="shared" si="264"/>
        <v>2.6627368666910218</v>
      </c>
      <c r="EV442" s="1882">
        <f t="shared" si="265"/>
        <v>2.6627368666910218</v>
      </c>
    </row>
    <row r="443" spans="98:152" ht="18">
      <c r="CT443" s="2281">
        <v>2025</v>
      </c>
      <c r="CU443" s="838"/>
      <c r="CV443" s="1843"/>
      <c r="CW443" s="1615"/>
      <c r="CX443" s="1966">
        <f t="shared" si="260"/>
        <v>0.22600686544344575</v>
      </c>
      <c r="DJ443" s="1882">
        <f t="shared" si="261"/>
        <v>0.22600686544344575</v>
      </c>
      <c r="DL443" s="2281">
        <v>2025</v>
      </c>
      <c r="DM443" s="1861"/>
      <c r="DN443" s="1382">
        <f t="shared" si="262"/>
        <v>43.409941332990961</v>
      </c>
      <c r="DO443" s="1035">
        <f>НАСТРОЙКА!DR166</f>
        <v>30.385333930361739</v>
      </c>
      <c r="EB443" s="1975">
        <f t="shared" si="263"/>
        <v>43.409941332990961</v>
      </c>
      <c r="ED443" s="2281">
        <v>2025</v>
      </c>
      <c r="EE443" s="838"/>
      <c r="EF443" s="1843"/>
      <c r="EG443" s="1615"/>
      <c r="EH443" s="1966">
        <f t="shared" si="264"/>
        <v>2.6650801234199943</v>
      </c>
      <c r="EV443" s="1882">
        <f t="shared" si="265"/>
        <v>2.6650801234199943</v>
      </c>
    </row>
    <row r="444" spans="98:152" ht="18">
      <c r="CT444" s="2281">
        <v>2026</v>
      </c>
      <c r="CU444" s="838"/>
      <c r="CV444" s="1843"/>
      <c r="CW444" s="1615"/>
      <c r="CX444" s="1966">
        <f t="shared" si="260"/>
        <v>0.2260002773183083</v>
      </c>
      <c r="DJ444" s="1882">
        <f t="shared" si="261"/>
        <v>0.2260002773183083</v>
      </c>
      <c r="DL444" s="2281">
        <v>2026</v>
      </c>
      <c r="DM444" s="1861"/>
      <c r="DN444" s="1382">
        <f t="shared" si="262"/>
        <v>46.746628329593726</v>
      </c>
      <c r="DO444" s="1035">
        <f>НАСТРОЙКА!DR167</f>
        <v>31.904600626879827</v>
      </c>
      <c r="EB444" s="1975">
        <f t="shared" si="263"/>
        <v>46.746628329593726</v>
      </c>
      <c r="ED444" s="2281">
        <v>2026</v>
      </c>
      <c r="EE444" s="838"/>
      <c r="EF444" s="1843"/>
      <c r="EG444" s="1615"/>
      <c r="EH444" s="1966">
        <f t="shared" si="264"/>
        <v>2.6664860774573778</v>
      </c>
      <c r="EV444" s="1882">
        <f t="shared" si="265"/>
        <v>2.6664860774573778</v>
      </c>
    </row>
    <row r="445" spans="98:152" ht="18">
      <c r="CT445" s="2281">
        <v>2027</v>
      </c>
      <c r="CU445" s="838"/>
      <c r="CV445" s="1843"/>
      <c r="CW445" s="1615"/>
      <c r="CX445" s="1966">
        <f t="shared" si="260"/>
        <v>0.22599632444322582</v>
      </c>
      <c r="DJ445" s="1882">
        <f t="shared" si="261"/>
        <v>0.22599632444322582</v>
      </c>
      <c r="DL445" s="2281">
        <v>2027</v>
      </c>
      <c r="DM445" s="1861"/>
      <c r="DN445" s="1382">
        <f t="shared" si="262"/>
        <v>50.374358143846841</v>
      </c>
      <c r="DO445" s="1035">
        <f>НАСТРОЙКА!DR168</f>
        <v>33.499830658223821</v>
      </c>
      <c r="EB445" s="1975">
        <f t="shared" si="263"/>
        <v>50.374358143846841</v>
      </c>
      <c r="ED445" s="2281">
        <v>2027</v>
      </c>
      <c r="EE445" s="838"/>
      <c r="EF445" s="1843"/>
      <c r="EG445" s="1615"/>
      <c r="EH445" s="1966">
        <f t="shared" si="264"/>
        <v>2.6673296498798078</v>
      </c>
      <c r="EV445" s="1882">
        <f t="shared" si="265"/>
        <v>2.6673296498798078</v>
      </c>
    </row>
    <row r="446" spans="98:152" ht="18">
      <c r="CT446" s="2281">
        <v>2028</v>
      </c>
      <c r="CU446" s="838"/>
      <c r="CV446" s="1843"/>
      <c r="CW446" s="1615"/>
      <c r="CX446" s="1966">
        <f t="shared" si="260"/>
        <v>0.22599395271817632</v>
      </c>
      <c r="DJ446" s="1882">
        <f t="shared" si="261"/>
        <v>0.22599395271817632</v>
      </c>
      <c r="DL446" s="2281">
        <v>2028</v>
      </c>
      <c r="DM446" s="1861"/>
      <c r="DN446" s="1382">
        <f t="shared" si="262"/>
        <v>54.32041428458438</v>
      </c>
      <c r="DO446" s="1035">
        <f>НАСТРОЙКА!DR169</f>
        <v>35.174822191135014</v>
      </c>
      <c r="EB446" s="1975">
        <f t="shared" si="263"/>
        <v>54.32041428458438</v>
      </c>
      <c r="ED446" s="2281">
        <v>2028</v>
      </c>
      <c r="EE446" s="838"/>
      <c r="EF446" s="1843"/>
      <c r="EG446" s="1615"/>
      <c r="EH446" s="1966">
        <f t="shared" si="264"/>
        <v>2.6678357933332659</v>
      </c>
      <c r="EV446" s="1882">
        <f t="shared" si="265"/>
        <v>2.6678357933332659</v>
      </c>
    </row>
    <row r="447" spans="98:152" ht="18">
      <c r="CT447" s="2281">
        <v>2029</v>
      </c>
      <c r="CU447" s="838"/>
      <c r="CV447" s="1843"/>
      <c r="CW447" s="1615"/>
      <c r="CX447" s="1966">
        <f t="shared" si="260"/>
        <v>0.22599252968314662</v>
      </c>
      <c r="DJ447" s="1882">
        <f t="shared" si="261"/>
        <v>0.22599252968314662</v>
      </c>
      <c r="DL447" s="2281">
        <v>2029</v>
      </c>
      <c r="DM447" s="1861"/>
      <c r="DN447" s="1382">
        <f t="shared" si="262"/>
        <v>58.614749401297182</v>
      </c>
      <c r="DO447" s="1035">
        <f>НАСТРОЙКА!DR170</f>
        <v>36.933563300691766</v>
      </c>
      <c r="EB447" s="1975">
        <f t="shared" si="263"/>
        <v>58.614749401297182</v>
      </c>
      <c r="ED447" s="2281">
        <v>2029</v>
      </c>
      <c r="EE447" s="838"/>
      <c r="EF447" s="1843"/>
      <c r="EG447" s="1615"/>
      <c r="EH447" s="1966">
        <f t="shared" si="264"/>
        <v>2.6681394794053408</v>
      </c>
      <c r="EV447" s="1882">
        <f t="shared" si="265"/>
        <v>2.6681394794053408</v>
      </c>
    </row>
    <row r="448" spans="98:152" ht="18">
      <c r="CT448" s="2281">
        <v>2030</v>
      </c>
      <c r="CU448" s="1645"/>
      <c r="CV448" s="1843"/>
      <c r="CW448" s="1615"/>
      <c r="CX448" s="1966">
        <f t="shared" si="260"/>
        <v>0.22599167586212879</v>
      </c>
      <c r="DJ448" s="1882">
        <f t="shared" si="261"/>
        <v>0.22599167586212879</v>
      </c>
      <c r="DL448" s="2281">
        <v>2030</v>
      </c>
      <c r="DM448" s="1861"/>
      <c r="DN448" s="1382">
        <f t="shared" si="262"/>
        <v>63.290252500100188</v>
      </c>
      <c r="DO448" s="1035">
        <f>НАСТРОЙКА!DR171</f>
        <v>38.780241465726355</v>
      </c>
      <c r="EB448" s="1975">
        <f t="shared" si="263"/>
        <v>63.290252500100188</v>
      </c>
      <c r="ED448" s="2281">
        <v>2030</v>
      </c>
      <c r="EE448" s="1645"/>
      <c r="EF448" s="1843"/>
      <c r="EG448" s="1615"/>
      <c r="EH448" s="1966">
        <f t="shared" si="264"/>
        <v>2.6683216910485856</v>
      </c>
      <c r="EV448" s="1882">
        <f t="shared" si="265"/>
        <v>2.6683216910485856</v>
      </c>
    </row>
    <row r="449" spans="98:152" ht="18">
      <c r="CT449" s="2281">
        <v>2031</v>
      </c>
      <c r="CU449" s="1645"/>
      <c r="CV449" s="1843"/>
      <c r="CW449" s="1615"/>
      <c r="CX449" s="1966">
        <f t="shared" si="260"/>
        <v>0.22599116356951809</v>
      </c>
      <c r="DJ449" s="1882">
        <f t="shared" si="261"/>
        <v>0.22599116356951809</v>
      </c>
      <c r="DL449" s="2281">
        <v>2031</v>
      </c>
      <c r="DM449" s="1861"/>
      <c r="DN449" s="1382">
        <f t="shared" si="262"/>
        <v>68.383043230789013</v>
      </c>
      <c r="DO449" s="1035">
        <f>НАСТРОЙКА!DR172</f>
        <v>40.719253539012676</v>
      </c>
      <c r="EB449" s="1975">
        <f t="shared" si="263"/>
        <v>68.383043230789013</v>
      </c>
      <c r="ED449" s="2281">
        <v>2031</v>
      </c>
      <c r="EE449" s="1645"/>
      <c r="EF449" s="1843"/>
      <c r="EG449" s="1615"/>
      <c r="EH449" s="1966">
        <f t="shared" si="264"/>
        <v>2.6684310180345325</v>
      </c>
      <c r="EV449" s="1882">
        <f t="shared" si="265"/>
        <v>2.6684310180345325</v>
      </c>
    </row>
    <row r="450" spans="98:152" ht="18">
      <c r="CT450" s="2281">
        <v>2032</v>
      </c>
      <c r="CU450" s="1645"/>
      <c r="CV450" s="1843"/>
      <c r="CW450" s="1615"/>
      <c r="CX450" s="1966">
        <f t="shared" si="260"/>
        <v>0.22599085619395168</v>
      </c>
      <c r="DJ450" s="1882">
        <f t="shared" si="261"/>
        <v>0.22599085619395168</v>
      </c>
      <c r="DL450" s="2281">
        <v>2032</v>
      </c>
      <c r="DM450" s="1861"/>
      <c r="DN450" s="1382">
        <f t="shared" si="262"/>
        <v>73.932796003844885</v>
      </c>
      <c r="DO450" s="1035">
        <f>НАСТРОЙКА!DR173</f>
        <v>42.755216215963316</v>
      </c>
      <c r="EB450" s="1975">
        <f t="shared" si="263"/>
        <v>73.932796003844885</v>
      </c>
      <c r="ED450" s="2281">
        <v>2032</v>
      </c>
      <c r="EE450" s="1645"/>
      <c r="EF450" s="1843"/>
      <c r="EG450" s="1615"/>
      <c r="EH450" s="1966">
        <f t="shared" si="264"/>
        <v>2.6684966142261008</v>
      </c>
      <c r="EV450" s="1882">
        <f t="shared" si="265"/>
        <v>2.6684966142261008</v>
      </c>
    </row>
    <row r="451" spans="98:152" ht="18">
      <c r="CT451" s="2281">
        <v>2033</v>
      </c>
      <c r="CU451" s="1645"/>
      <c r="CV451" s="1843"/>
      <c r="CW451" s="1615"/>
      <c r="CX451" s="1966">
        <f t="shared" si="260"/>
        <v>0.22599067176861182</v>
      </c>
      <c r="DJ451" s="1882">
        <f t="shared" si="261"/>
        <v>0.22599067176861182</v>
      </c>
      <c r="DL451" s="2281">
        <v>2033</v>
      </c>
      <c r="DM451" s="1861"/>
      <c r="DN451" s="1382">
        <f t="shared" si="262"/>
        <v>79.983096978233959</v>
      </c>
      <c r="DO451" s="1035">
        <f>НАСТРОЙКА!DR174</f>
        <v>44.892977026761486</v>
      </c>
      <c r="EB451" s="1975">
        <f t="shared" si="263"/>
        <v>79.983096978233959</v>
      </c>
      <c r="ED451" s="2281">
        <v>2033</v>
      </c>
      <c r="EE451" s="1645"/>
      <c r="EF451" s="1843"/>
      <c r="EG451" s="1615"/>
      <c r="EH451" s="1966">
        <f t="shared" si="264"/>
        <v>2.6685359719410418</v>
      </c>
      <c r="EV451" s="1882">
        <f t="shared" si="265"/>
        <v>2.6685359719410418</v>
      </c>
    </row>
    <row r="452" spans="98:152" ht="18">
      <c r="CT452" s="2281">
        <v>2034</v>
      </c>
      <c r="CU452" s="1645"/>
      <c r="CV452" s="1843"/>
      <c r="CW452" s="1615"/>
      <c r="CX452" s="1966">
        <f t="shared" si="260"/>
        <v>0.2259905611134079</v>
      </c>
      <c r="DJ452" s="1882">
        <f t="shared" si="261"/>
        <v>0.2259905611134079</v>
      </c>
      <c r="DL452" s="2281">
        <v>2034</v>
      </c>
      <c r="DM452" s="1861"/>
      <c r="DN452" s="1382">
        <f t="shared" si="262"/>
        <v>86.581837271697665</v>
      </c>
      <c r="DO452" s="1035">
        <f>НАСТРОЙКА!DR175</f>
        <v>47.137625878099563</v>
      </c>
      <c r="EB452" s="1975">
        <f t="shared" si="263"/>
        <v>86.581837271697665</v>
      </c>
      <c r="ED452" s="2281">
        <v>2034</v>
      </c>
      <c r="EE452" s="1645"/>
      <c r="EF452" s="1843"/>
      <c r="EG452" s="1615"/>
      <c r="EH452" s="1966">
        <f t="shared" si="264"/>
        <v>2.6685595865700065</v>
      </c>
      <c r="EV452" s="1882">
        <f t="shared" si="265"/>
        <v>2.6685595865700065</v>
      </c>
    </row>
    <row r="453" spans="98:152" ht="18">
      <c r="CT453" s="1596">
        <v>2035</v>
      </c>
      <c r="CU453" s="1769"/>
      <c r="CV453" s="1847"/>
      <c r="CW453" s="1777"/>
      <c r="CX453" s="2607">
        <f t="shared" si="260"/>
        <v>0.22599049472028554</v>
      </c>
      <c r="DJ453" s="2700">
        <f t="shared" si="261"/>
        <v>0.22599049472028554</v>
      </c>
      <c r="DL453" s="1596">
        <v>2035</v>
      </c>
      <c r="DM453" s="1863"/>
      <c r="DN453" s="1984">
        <f t="shared" si="262"/>
        <v>93.781646087901152</v>
      </c>
      <c r="DO453" s="1808">
        <f>НАСТРОЙКА!DR176</f>
        <v>49.494507172004546</v>
      </c>
      <c r="EB453" s="1976">
        <f t="shared" si="263"/>
        <v>93.781646087901152</v>
      </c>
      <c r="ED453" s="1596">
        <v>2035</v>
      </c>
      <c r="EE453" s="1769"/>
      <c r="EF453" s="1847"/>
      <c r="EG453" s="1777"/>
      <c r="EH453" s="2607">
        <f t="shared" si="264"/>
        <v>2.6685737553473854</v>
      </c>
      <c r="EV453" s="1882">
        <f t="shared" si="265"/>
        <v>2.6685737553473854</v>
      </c>
    </row>
    <row r="551" spans="54:102">
      <c r="BB551" s="751"/>
    </row>
    <row r="559" spans="54:102">
      <c r="CQ559"/>
      <c r="CR559"/>
      <c r="CS559"/>
      <c r="CT559"/>
      <c r="CU559"/>
      <c r="CV559"/>
      <c r="CW559"/>
      <c r="CX559"/>
    </row>
    <row r="604" spans="101:154" ht="19.5" customHeight="1"/>
    <row r="605" spans="101:154" ht="18" thickBot="1">
      <c r="CW605" s="614"/>
      <c r="CX605" s="614"/>
      <c r="CY605" s="614"/>
      <c r="CZ605" s="614"/>
      <c r="DA605" s="614"/>
      <c r="DB605" s="614"/>
      <c r="DC605" s="1873"/>
      <c r="DD605" s="614"/>
      <c r="DE605" s="614"/>
      <c r="DF605" s="614"/>
      <c r="DG605" s="614"/>
      <c r="DH605" s="614"/>
      <c r="DI605" s="614"/>
      <c r="DJ605" s="614"/>
      <c r="DL605" s="614"/>
      <c r="DM605" s="614"/>
      <c r="DN605" s="614"/>
      <c r="DO605" s="614"/>
      <c r="DP605" s="614"/>
      <c r="DQ605" s="614"/>
      <c r="DR605" s="614"/>
      <c r="DS605" s="614"/>
      <c r="DT605" s="614"/>
    </row>
    <row r="606" spans="101:154" ht="21">
      <c r="CW606" s="614"/>
      <c r="CX606" s="614"/>
      <c r="CY606" s="1852" t="s">
        <v>351</v>
      </c>
      <c r="CZ606" s="1864" t="s">
        <v>417</v>
      </c>
      <c r="DA606" s="1865" t="s">
        <v>1678</v>
      </c>
      <c r="DB606" s="1796" t="s">
        <v>636</v>
      </c>
      <c r="DC606" s="1866" t="s">
        <v>1679</v>
      </c>
      <c r="DD606" s="1867" t="s">
        <v>648</v>
      </c>
      <c r="DE606" s="1796" t="s">
        <v>636</v>
      </c>
      <c r="DF606" s="1796" t="s">
        <v>636</v>
      </c>
      <c r="DG606" s="614"/>
      <c r="DH606" s="614"/>
      <c r="DI606" s="614"/>
      <c r="DJ606" s="614"/>
      <c r="DK606" s="614"/>
      <c r="DL606" s="614"/>
      <c r="DM606" s="614"/>
      <c r="DN606" s="614"/>
      <c r="DO606" s="614"/>
      <c r="DP606" s="614"/>
      <c r="DQ606" s="614"/>
      <c r="DR606" s="614"/>
      <c r="DS606" s="614"/>
      <c r="DT606" s="614"/>
      <c r="DU606" s="1796" t="s">
        <v>636</v>
      </c>
      <c r="DZ606" s="1852" t="s">
        <v>351</v>
      </c>
      <c r="EA606" s="1853" t="s">
        <v>1688</v>
      </c>
      <c r="EB606" s="1853" t="s">
        <v>656</v>
      </c>
      <c r="EC606" s="2009" t="s">
        <v>660</v>
      </c>
      <c r="EF606" s="614"/>
      <c r="EG606" s="614"/>
      <c r="EH606" s="614"/>
      <c r="EI606" s="614"/>
      <c r="EJ606" s="614"/>
      <c r="EK606" s="614"/>
      <c r="EL606" s="614"/>
      <c r="EM606" s="614"/>
      <c r="EN606" s="614"/>
      <c r="EO606" s="614"/>
      <c r="ES606" s="1852" t="s">
        <v>351</v>
      </c>
      <c r="ET606" s="1864" t="s">
        <v>417</v>
      </c>
      <c r="EU606" s="1864" t="s">
        <v>439</v>
      </c>
      <c r="EV606" s="1864" t="s">
        <v>425</v>
      </c>
      <c r="EW606" s="1864" t="s">
        <v>1689</v>
      </c>
      <c r="EX606" s="1864" t="s">
        <v>1751</v>
      </c>
    </row>
    <row r="607" spans="101:154" ht="18" thickBot="1">
      <c r="CW607" s="614"/>
      <c r="CX607" s="614"/>
      <c r="CY607" s="1561">
        <v>43671</v>
      </c>
      <c r="CZ607" s="1854" t="s">
        <v>1618</v>
      </c>
      <c r="DA607" s="1855" t="s">
        <v>1454</v>
      </c>
      <c r="DB607" s="1856" t="s">
        <v>1454</v>
      </c>
      <c r="DC607" s="1855" t="s">
        <v>1454</v>
      </c>
      <c r="DD607" s="1855" t="s">
        <v>1454</v>
      </c>
      <c r="DE607" s="1629" t="s">
        <v>1621</v>
      </c>
      <c r="DF607" s="1593" t="s">
        <v>1622</v>
      </c>
      <c r="DG607" s="614"/>
      <c r="DH607" s="614"/>
      <c r="DI607" s="614"/>
      <c r="DJ607" s="614"/>
      <c r="DK607" s="614"/>
      <c r="DL607" s="614"/>
      <c r="DM607" s="614"/>
      <c r="DN607" s="614"/>
      <c r="DO607" s="614"/>
      <c r="DP607" s="614"/>
      <c r="DQ607" s="614"/>
      <c r="DR607" s="614"/>
      <c r="DS607" s="614"/>
      <c r="DT607" s="614"/>
      <c r="DU607" s="1856" t="s">
        <v>1368</v>
      </c>
      <c r="DZ607" s="720">
        <v>43678</v>
      </c>
      <c r="EA607" s="1501" t="s">
        <v>46</v>
      </c>
      <c r="EB607" s="1501" t="s">
        <v>46</v>
      </c>
      <c r="EC607" s="1824" t="s">
        <v>46</v>
      </c>
      <c r="EF607" s="614"/>
      <c r="EG607" s="614"/>
      <c r="EH607" s="614"/>
      <c r="EI607" s="614"/>
      <c r="EJ607" s="614"/>
      <c r="EK607" s="614"/>
      <c r="EL607" s="614"/>
      <c r="EM607" s="614"/>
      <c r="EN607" s="614"/>
      <c r="EO607" s="614"/>
      <c r="ES607" s="1876">
        <v>43678</v>
      </c>
      <c r="ET607" s="1501" t="s">
        <v>46</v>
      </c>
      <c r="EU607" s="1501" t="s">
        <v>46</v>
      </c>
      <c r="EV607" s="1501" t="s">
        <v>46</v>
      </c>
      <c r="EW607" s="1855" t="s">
        <v>1454</v>
      </c>
      <c r="EX607" s="1855" t="s">
        <v>1454</v>
      </c>
    </row>
    <row r="608" spans="101:154" ht="17.399999999999999">
      <c r="CW608" s="667">
        <v>363.36200000000002</v>
      </c>
      <c r="CX608" s="614"/>
      <c r="CY608" s="1857">
        <v>1995</v>
      </c>
      <c r="CZ608" s="1858">
        <v>0.36336200000000002</v>
      </c>
      <c r="DA608" s="1802">
        <v>1</v>
      </c>
      <c r="DB608" s="1802">
        <v>1</v>
      </c>
      <c r="DC608" s="1803">
        <v>1</v>
      </c>
      <c r="DD608" s="1803">
        <v>1</v>
      </c>
      <c r="DE608" s="1034">
        <v>1</v>
      </c>
      <c r="DF608" s="1056"/>
      <c r="DG608" s="614"/>
      <c r="DH608" s="614"/>
      <c r="DI608" s="614"/>
      <c r="DJ608" s="614"/>
      <c r="DK608" s="614"/>
      <c r="DL608" s="614"/>
      <c r="DM608" s="614"/>
      <c r="DN608" s="614"/>
      <c r="DO608" s="614"/>
      <c r="DP608" s="614"/>
      <c r="DQ608" s="614"/>
      <c r="DR608" s="614"/>
      <c r="DS608" s="614"/>
      <c r="DT608" s="614"/>
      <c r="DU608" s="1369">
        <f>DB608</f>
        <v>1</v>
      </c>
      <c r="DZ608" s="2010">
        <v>1995</v>
      </c>
      <c r="EA608" s="1874">
        <f t="array" ref="EA608:EA629">TRANSPOSE(U177:AP177)</f>
        <v>301.11700000000002</v>
      </c>
      <c r="EB608" s="1200">
        <f>CZ650</f>
        <v>230.40700000000001</v>
      </c>
      <c r="EC608" s="2011">
        <f t="array" ref="EC608:EC629">TRANSPOSE(U195:AP195)</f>
        <v>266.97399999999999</v>
      </c>
      <c r="EF608" s="614"/>
      <c r="EG608" s="614"/>
      <c r="EH608" s="614"/>
      <c r="EI608" s="614"/>
      <c r="EJ608" s="614"/>
      <c r="EK608" s="614"/>
      <c r="EL608" s="614"/>
      <c r="EM608" s="614"/>
      <c r="EN608" s="614"/>
      <c r="EO608" s="614"/>
      <c r="ES608" s="1857">
        <v>1995</v>
      </c>
      <c r="ET608" s="1874">
        <f t="array" ref="ET608:ET629">TRANSPOSE(U61:AP61)</f>
        <v>363.36200000000002</v>
      </c>
      <c r="EU608" s="1874">
        <f t="array" ref="EU608:EU629">TRANSPOSE(U79:AP79)</f>
        <v>266.97399999999999</v>
      </c>
      <c r="EV608" s="1200">
        <f t="array" ref="EV608:EV629">TRANSPOSE(U67:AP67)</f>
        <v>1428.5209</v>
      </c>
      <c r="EW608" s="1804">
        <f t="shared" ref="EW608:EW629" si="266">ET608/EV608</f>
        <v>0.25436239679797479</v>
      </c>
      <c r="EX608" s="1804">
        <f>EU608/EV608</f>
        <v>0.18688841024307029</v>
      </c>
    </row>
    <row r="609" spans="101:154" ht="17.399999999999999">
      <c r="CW609" s="667">
        <v>475.25639999999999</v>
      </c>
      <c r="CX609" s="614"/>
      <c r="CY609" s="1857">
        <v>1996</v>
      </c>
      <c r="CZ609" s="1859">
        <v>0.47525639999999997</v>
      </c>
      <c r="DA609" s="1597">
        <v>0.86</v>
      </c>
      <c r="DB609" s="1597">
        <v>1.5208627234830072</v>
      </c>
      <c r="DC609" s="1787">
        <f>DD609</f>
        <v>0</v>
      </c>
      <c r="DD609" s="1787">
        <f t="shared" ref="DD609:DD643" si="267">DT185</f>
        <v>0</v>
      </c>
      <c r="DE609" s="1034">
        <f>DB609</f>
        <v>1.5208627234830072</v>
      </c>
      <c r="DF609" s="1058"/>
      <c r="DG609" s="614"/>
      <c r="DH609" s="614"/>
      <c r="DI609" s="614"/>
      <c r="DJ609" s="614"/>
      <c r="DK609" s="614"/>
      <c r="DL609" s="614"/>
      <c r="DM609" s="614"/>
      <c r="DN609" s="614"/>
      <c r="DO609" s="614"/>
      <c r="DP609" s="614"/>
      <c r="DQ609" s="614"/>
      <c r="DR609" s="614"/>
      <c r="DS609" s="614"/>
      <c r="DT609" s="614"/>
      <c r="DU609" s="1975">
        <f>DB609</f>
        <v>1.5208627234830072</v>
      </c>
      <c r="DZ609" s="2010">
        <v>1996</v>
      </c>
      <c r="EA609" s="1875">
        <v>237.28019600000002</v>
      </c>
      <c r="EB609" s="1201">
        <f t="shared" ref="EB609:EB629" si="268">DX651</f>
        <v>197.18216614420064</v>
      </c>
      <c r="EC609" s="1788">
        <v>218.65170599999999</v>
      </c>
      <c r="EF609" s="614"/>
      <c r="EG609" s="614"/>
      <c r="EH609" s="614"/>
      <c r="EI609" s="614"/>
      <c r="EJ609" s="614"/>
      <c r="EK609" s="614"/>
      <c r="EL609" s="614"/>
      <c r="EM609" s="614"/>
      <c r="EN609" s="614"/>
      <c r="EO609" s="614"/>
      <c r="ES609" s="1857">
        <v>1996</v>
      </c>
      <c r="ET609" s="1875">
        <v>475.25639999999999</v>
      </c>
      <c r="EU609" s="1875">
        <v>375.95800000000003</v>
      </c>
      <c r="EV609" s="1201">
        <v>2007.8252000000002</v>
      </c>
      <c r="EW609" s="1035">
        <f t="shared" si="266"/>
        <v>0.23670207944396751</v>
      </c>
      <c r="EX609" s="1035">
        <f>EU609/EV609</f>
        <v>0.18724637981433842</v>
      </c>
    </row>
    <row r="610" spans="101:154" ht="17.399999999999999">
      <c r="CW610" s="667">
        <v>514.80129999999997</v>
      </c>
      <c r="CX610" s="614"/>
      <c r="CY610" s="1857">
        <v>1997</v>
      </c>
      <c r="CZ610" s="1859">
        <v>0.51480130000000002</v>
      </c>
      <c r="DA610" s="1597">
        <v>0.82473999999999992</v>
      </c>
      <c r="DB610" s="1597">
        <v>1.7178414165358658</v>
      </c>
      <c r="DC610" s="1787">
        <f t="shared" ref="DC610:DC629" si="269">DD610</f>
        <v>0</v>
      </c>
      <c r="DD610" s="1787">
        <f t="shared" si="267"/>
        <v>0</v>
      </c>
      <c r="DE610" s="1034">
        <f t="shared" ref="DE610:DE622" si="270">DB610</f>
        <v>1.7178414165358658</v>
      </c>
      <c r="DF610" s="1058"/>
      <c r="DG610" s="614"/>
      <c r="DH610" s="614"/>
      <c r="DI610" s="614"/>
      <c r="DJ610" s="614"/>
      <c r="DK610" s="614"/>
      <c r="DL610" s="614"/>
      <c r="DM610" s="614"/>
      <c r="DN610" s="614"/>
      <c r="DO610" s="614"/>
      <c r="DP610" s="614"/>
      <c r="DQ610" s="614"/>
      <c r="DR610" s="614"/>
      <c r="DS610" s="614"/>
      <c r="DT610" s="614"/>
      <c r="DU610" s="1975">
        <f t="shared" ref="DU610:DU629" si="271">DB610</f>
        <v>1.7178414165358658</v>
      </c>
      <c r="DZ610" s="2010">
        <v>1997</v>
      </c>
      <c r="EA610" s="1875">
        <v>218.53506051600002</v>
      </c>
      <c r="EB610" s="1201">
        <f t="shared" si="268"/>
        <v>168.29100626959249</v>
      </c>
      <c r="EC610" s="1788">
        <v>207.71912069999999</v>
      </c>
      <c r="EF610" s="614"/>
      <c r="EG610" s="614"/>
      <c r="EH610" s="614"/>
      <c r="EI610" s="614"/>
      <c r="EJ610" s="614"/>
      <c r="EK610" s="614"/>
      <c r="EL610" s="614"/>
      <c r="EM610" s="614"/>
      <c r="EN610" s="614"/>
      <c r="EO610" s="614"/>
      <c r="ES610" s="1857">
        <v>1997</v>
      </c>
      <c r="ET610" s="1875">
        <v>514.80129999999997</v>
      </c>
      <c r="EU610" s="1875">
        <v>408.79700000000003</v>
      </c>
      <c r="EV610" s="1201">
        <v>2342.5137</v>
      </c>
      <c r="EW610" s="1035">
        <f t="shared" si="266"/>
        <v>0.21976447779152794</v>
      </c>
      <c r="EX610" s="1035">
        <f t="shared" ref="EX610:EX629" si="272">EU610/EV610</f>
        <v>0.17451210637530104</v>
      </c>
    </row>
    <row r="611" spans="101:154" ht="17.399999999999999">
      <c r="CW611" s="667">
        <v>393.48219999999998</v>
      </c>
      <c r="CX611" s="614"/>
      <c r="CY611" s="1857">
        <v>1998</v>
      </c>
      <c r="CZ611" s="1859">
        <v>0.3934822</v>
      </c>
      <c r="DA611" s="1597">
        <v>0.45195752</v>
      </c>
      <c r="DB611" s="1597">
        <v>2.3960063610370872</v>
      </c>
      <c r="DC611" s="1787">
        <f t="shared" si="269"/>
        <v>0</v>
      </c>
      <c r="DD611" s="1787">
        <f t="shared" si="267"/>
        <v>0</v>
      </c>
      <c r="DE611" s="1034">
        <f t="shared" si="270"/>
        <v>2.3960063610370872</v>
      </c>
      <c r="DF611" s="1058"/>
      <c r="DG611" s="614"/>
      <c r="DH611" s="614"/>
      <c r="DI611" s="614"/>
      <c r="DJ611" s="614"/>
      <c r="DK611" s="614"/>
      <c r="DL611" s="614"/>
      <c r="DM611" s="614"/>
      <c r="DN611" s="614"/>
      <c r="DO611" s="614"/>
      <c r="DP611" s="614"/>
      <c r="DQ611" s="614"/>
      <c r="DR611" s="614"/>
      <c r="DS611" s="614"/>
      <c r="DT611" s="614"/>
      <c r="DU611" s="1975">
        <f t="shared" si="271"/>
        <v>2.3960063610370872</v>
      </c>
      <c r="DZ611" s="2010">
        <v>1998</v>
      </c>
      <c r="EA611" s="1875">
        <v>191.43671301201601</v>
      </c>
      <c r="EB611" s="1201">
        <f t="shared" si="268"/>
        <v>160.34593730407522</v>
      </c>
      <c r="EC611" s="1788">
        <v>182.79282621599998</v>
      </c>
      <c r="EF611" s="614"/>
      <c r="EG611" s="614"/>
      <c r="EH611" s="614"/>
      <c r="EI611" s="614"/>
      <c r="EJ611" s="614"/>
      <c r="EK611" s="614"/>
      <c r="EL611" s="614"/>
      <c r="EM611" s="614"/>
      <c r="EN611" s="614"/>
      <c r="EO611" s="614"/>
      <c r="ES611" s="1857">
        <v>1998</v>
      </c>
      <c r="ET611" s="1875">
        <v>393.48219999999998</v>
      </c>
      <c r="EU611" s="1875">
        <v>407.08600000000001</v>
      </c>
      <c r="EV611" s="1201">
        <v>2629.6228999999998</v>
      </c>
      <c r="EW611" s="1035">
        <f t="shared" si="266"/>
        <v>0.14963445899410141</v>
      </c>
      <c r="EX611" s="1035">
        <f t="shared" si="272"/>
        <v>0.15480774828968824</v>
      </c>
    </row>
    <row r="612" spans="101:154" ht="17.399999999999999">
      <c r="CW612" s="667">
        <v>715.31949999999995</v>
      </c>
      <c r="CX612" s="614"/>
      <c r="CY612" s="1857">
        <v>1999</v>
      </c>
      <c r="CZ612" s="1859">
        <v>0.7153195</v>
      </c>
      <c r="DA612" s="1597">
        <v>0.42212832368000003</v>
      </c>
      <c r="DB612" s="1597">
        <v>4.6635438415007862</v>
      </c>
      <c r="DC612" s="1787">
        <f t="shared" si="269"/>
        <v>0</v>
      </c>
      <c r="DD612" s="1787">
        <f t="shared" si="267"/>
        <v>0</v>
      </c>
      <c r="DE612" s="1034">
        <f t="shared" si="270"/>
        <v>4.6635438415007862</v>
      </c>
      <c r="DF612" s="1058"/>
      <c r="DG612" s="614"/>
      <c r="DH612" s="614"/>
      <c r="DI612" s="614"/>
      <c r="DJ612" s="614"/>
      <c r="DK612" s="614"/>
      <c r="DL612" s="614"/>
      <c r="DM612" s="614"/>
      <c r="DN612" s="614"/>
      <c r="DO612" s="614"/>
      <c r="DP612" s="614"/>
      <c r="DQ612" s="614"/>
      <c r="DR612" s="614"/>
      <c r="DS612" s="614"/>
      <c r="DT612" s="614"/>
      <c r="DU612" s="1975">
        <f t="shared" si="271"/>
        <v>4.6635438415007862</v>
      </c>
      <c r="DZ612" s="2010">
        <v>1999</v>
      </c>
      <c r="EA612" s="1875">
        <v>203.68866264478504</v>
      </c>
      <c r="EB612" s="1201">
        <f t="shared" si="268"/>
        <v>171.18012225705328</v>
      </c>
      <c r="EC612" s="1788">
        <v>191.9324675268</v>
      </c>
      <c r="EF612" s="614"/>
      <c r="EG612" s="614"/>
      <c r="EH612" s="614"/>
      <c r="EI612" s="614"/>
      <c r="EJ612" s="614"/>
      <c r="EK612" s="614"/>
      <c r="EL612" s="614"/>
      <c r="EM612" s="614"/>
      <c r="EN612" s="614"/>
      <c r="EO612" s="614"/>
      <c r="ES612" s="1857">
        <v>1999</v>
      </c>
      <c r="ET612" s="1875">
        <v>715.31949999999995</v>
      </c>
      <c r="EU612" s="1875">
        <v>670.43899999999996</v>
      </c>
      <c r="EV612" s="1201">
        <v>4823.2329</v>
      </c>
      <c r="EW612" s="1035">
        <f t="shared" si="266"/>
        <v>0.14830706184642253</v>
      </c>
      <c r="EX612" s="1035">
        <f t="shared" si="272"/>
        <v>0.13900199594342624</v>
      </c>
    </row>
    <row r="613" spans="101:154" ht="17.399999999999999">
      <c r="CW613" s="667">
        <v>1365.7338</v>
      </c>
      <c r="CX613" s="614"/>
      <c r="CY613" s="1857">
        <v>2000</v>
      </c>
      <c r="CZ613" s="1859">
        <v>1.3657337999999999</v>
      </c>
      <c r="DA613" s="1597">
        <v>0.73956882308736005</v>
      </c>
      <c r="DB613" s="1597">
        <v>5.0821555739588442</v>
      </c>
      <c r="DC613" s="1787">
        <f t="shared" si="269"/>
        <v>0</v>
      </c>
      <c r="DD613" s="1787">
        <f t="shared" si="267"/>
        <v>0</v>
      </c>
      <c r="DE613" s="1034">
        <f t="shared" si="270"/>
        <v>5.0821555739588442</v>
      </c>
      <c r="DF613" s="1058"/>
      <c r="DG613" s="614"/>
      <c r="DH613" s="614"/>
      <c r="DI613" s="614"/>
      <c r="DJ613" s="614"/>
      <c r="DK613" s="614"/>
      <c r="DL613" s="614"/>
      <c r="DM613" s="614"/>
      <c r="DN613" s="614"/>
      <c r="DO613" s="614"/>
      <c r="DP613" s="614"/>
      <c r="DQ613" s="614"/>
      <c r="DR613" s="614"/>
      <c r="DS613" s="614"/>
      <c r="DT613" s="614"/>
      <c r="DU613" s="1975">
        <f t="shared" si="271"/>
        <v>5.0821555739588442</v>
      </c>
      <c r="DZ613" s="2010">
        <v>2000</v>
      </c>
      <c r="EA613" s="1875">
        <v>240.55631058349115</v>
      </c>
      <c r="EB613" s="1201">
        <f t="shared" si="268"/>
        <v>213.79458307210035</v>
      </c>
      <c r="EC613" s="1788">
        <v>225.32871687646318</v>
      </c>
      <c r="EF613" s="614"/>
      <c r="EG613" s="614"/>
      <c r="EH613" s="614"/>
      <c r="EI613" s="614"/>
      <c r="EJ613" s="614"/>
      <c r="EK613" s="614"/>
      <c r="EL613" s="614"/>
      <c r="EM613" s="614"/>
      <c r="EN613" s="614"/>
      <c r="EO613" s="614"/>
      <c r="ES613" s="1857">
        <v>2000</v>
      </c>
      <c r="ET613" s="1875">
        <v>1365.7338</v>
      </c>
      <c r="EU613" s="1875">
        <v>1165.2339999999999</v>
      </c>
      <c r="EV613" s="1201">
        <v>7305.6466</v>
      </c>
      <c r="EW613" s="1035">
        <f t="shared" si="266"/>
        <v>0.18694222082957038</v>
      </c>
      <c r="EX613" s="1035">
        <f t="shared" si="272"/>
        <v>0.15949772330898129</v>
      </c>
    </row>
    <row r="614" spans="101:154" ht="17.399999999999999">
      <c r="CW614" s="667">
        <v>1963.1104</v>
      </c>
      <c r="CX614" s="614"/>
      <c r="CY614" s="1857">
        <v>2001</v>
      </c>
      <c r="CZ614" s="1859">
        <v>1.9631103999999999</v>
      </c>
      <c r="DA614" s="1597">
        <v>0.86307681654294921</v>
      </c>
      <c r="DB614" s="1597">
        <v>6.2597323676099625</v>
      </c>
      <c r="DC614" s="1787">
        <f t="shared" si="269"/>
        <v>0</v>
      </c>
      <c r="DD614" s="1787">
        <f t="shared" si="267"/>
        <v>0</v>
      </c>
      <c r="DE614" s="1034">
        <f t="shared" si="270"/>
        <v>6.2597323676099625</v>
      </c>
      <c r="DF614" s="1058"/>
      <c r="DG614" s="614"/>
      <c r="DH614" s="614"/>
      <c r="DI614" s="614"/>
      <c r="DJ614" s="614"/>
      <c r="DK614" s="614"/>
      <c r="DL614" s="614"/>
      <c r="DM614" s="614"/>
      <c r="DN614" s="614"/>
      <c r="DO614" s="614"/>
      <c r="DP614" s="614"/>
      <c r="DQ614" s="614"/>
      <c r="DR614" s="614"/>
      <c r="DS614" s="614"/>
      <c r="DT614" s="614"/>
      <c r="DU614" s="1975">
        <f t="shared" si="271"/>
        <v>6.2597323676099625</v>
      </c>
      <c r="DZ614" s="2010">
        <v>2001</v>
      </c>
      <c r="EA614" s="1875">
        <v>265.09305426300728</v>
      </c>
      <c r="EB614" s="1201">
        <f t="shared" si="268"/>
        <v>254.24220689655172</v>
      </c>
      <c r="EC614" s="1788">
        <v>247.86158856410952</v>
      </c>
      <c r="EF614" s="614"/>
      <c r="EG614" s="614"/>
      <c r="EH614" s="614"/>
      <c r="EI614" s="614"/>
      <c r="EJ614" s="614"/>
      <c r="EK614" s="614"/>
      <c r="EL614" s="614"/>
      <c r="EM614" s="614"/>
      <c r="EN614" s="614"/>
      <c r="EO614" s="614"/>
      <c r="ES614" s="1857">
        <v>2001</v>
      </c>
      <c r="ET614" s="1875">
        <v>1963.1104</v>
      </c>
      <c r="EU614" s="1875">
        <v>1504.7</v>
      </c>
      <c r="EV614" s="1201">
        <v>8943.5825999999997</v>
      </c>
      <c r="EW614" s="1035">
        <f t="shared" si="266"/>
        <v>0.21949933128587643</v>
      </c>
      <c r="EX614" s="1035">
        <f t="shared" si="272"/>
        <v>0.16824354034590122</v>
      </c>
    </row>
    <row r="615" spans="101:154" ht="17.399999999999999">
      <c r="CW615" s="667">
        <v>2169.3000000000002</v>
      </c>
      <c r="CX615" s="614"/>
      <c r="CY615" s="1857">
        <v>2002</v>
      </c>
      <c r="CZ615" s="1859">
        <v>2.1693000000000002</v>
      </c>
      <c r="DA615" s="1597">
        <v>0.84408912657900426</v>
      </c>
      <c r="DB615" s="1597">
        <v>7.0728069310904997</v>
      </c>
      <c r="DC615" s="1787">
        <f t="shared" si="269"/>
        <v>0</v>
      </c>
      <c r="DD615" s="1787">
        <f t="shared" si="267"/>
        <v>0</v>
      </c>
      <c r="DE615" s="1034">
        <f t="shared" si="270"/>
        <v>7.0728069310904997</v>
      </c>
      <c r="DF615" s="1058"/>
      <c r="DG615" s="614"/>
      <c r="DH615" s="614"/>
      <c r="DI615" s="614"/>
      <c r="DJ615" s="614"/>
      <c r="DK615" s="614"/>
      <c r="DL615" s="614"/>
      <c r="DM615" s="614"/>
      <c r="DN615" s="614"/>
      <c r="DO615" s="614"/>
      <c r="DP615" s="614"/>
      <c r="DQ615" s="614"/>
      <c r="DR615" s="614"/>
      <c r="DS615" s="614"/>
      <c r="DT615" s="614"/>
      <c r="DU615" s="1975">
        <f t="shared" si="271"/>
        <v>7.0728069310904997</v>
      </c>
      <c r="DZ615" s="2010">
        <v>2002</v>
      </c>
      <c r="EA615" s="1875">
        <v>272.51565978237147</v>
      </c>
      <c r="EB615" s="1201">
        <f t="shared" si="268"/>
        <v>274.46601880877739</v>
      </c>
      <c r="EC615" s="1788">
        <v>254.80171304390458</v>
      </c>
      <c r="EF615" s="614"/>
      <c r="EG615" s="614"/>
      <c r="EH615" s="614"/>
      <c r="EI615" s="614"/>
      <c r="EJ615" s="614"/>
      <c r="EK615" s="614"/>
      <c r="EL615" s="614"/>
      <c r="EM615" s="614"/>
      <c r="EN615" s="614"/>
      <c r="EO615" s="614"/>
      <c r="ES615" s="1857">
        <v>2002</v>
      </c>
      <c r="ET615" s="1875">
        <v>2169.3000000000002</v>
      </c>
      <c r="EU615" s="1875">
        <v>1762.4</v>
      </c>
      <c r="EV615" s="1201">
        <v>10819.270899999998</v>
      </c>
      <c r="EW615" s="1035">
        <f t="shared" si="266"/>
        <v>0.20050334445364526</v>
      </c>
      <c r="EX615" s="1035">
        <f t="shared" si="272"/>
        <v>0.16289452554515485</v>
      </c>
    </row>
    <row r="616" spans="101:154" ht="17.399999999999999">
      <c r="CW616" s="667">
        <v>2755</v>
      </c>
      <c r="CX616" s="614"/>
      <c r="CY616" s="1857">
        <v>2003</v>
      </c>
      <c r="CZ616" s="1859">
        <v>2.7549999999999999</v>
      </c>
      <c r="DA616" s="1597">
        <v>0.96479387167980191</v>
      </c>
      <c r="DB616" s="1597">
        <v>7.8586429903564099</v>
      </c>
      <c r="DC616" s="1787">
        <f t="shared" si="269"/>
        <v>0</v>
      </c>
      <c r="DD616" s="1787">
        <f t="shared" si="267"/>
        <v>0</v>
      </c>
      <c r="DE616" s="1034">
        <f t="shared" si="270"/>
        <v>7.8586429903564099</v>
      </c>
      <c r="DF616" s="1058"/>
      <c r="DG616" s="614"/>
      <c r="DH616" s="614"/>
      <c r="DI616" s="614"/>
      <c r="DJ616" s="614"/>
      <c r="DK616" s="614"/>
      <c r="DL616" s="614"/>
      <c r="DM616" s="614"/>
      <c r="DN616" s="614"/>
      <c r="DO616" s="614"/>
      <c r="DP616" s="614"/>
      <c r="DQ616" s="614"/>
      <c r="DR616" s="614"/>
      <c r="DS616" s="614"/>
      <c r="DT616" s="614"/>
      <c r="DU616" s="1975">
        <f t="shared" si="271"/>
        <v>7.8586429903564099</v>
      </c>
      <c r="DZ616" s="2010">
        <v>2003</v>
      </c>
      <c r="EA616" s="1875">
        <v>310.39533649212109</v>
      </c>
      <c r="EB616" s="1201">
        <f t="shared" si="268"/>
        <v>307.69085266457671</v>
      </c>
      <c r="EC616" s="1788">
        <v>286.65192717439265</v>
      </c>
      <c r="EF616" s="614"/>
      <c r="EG616" s="614"/>
      <c r="EH616" s="614"/>
      <c r="EI616" s="614"/>
      <c r="EJ616" s="614"/>
      <c r="EK616" s="614"/>
      <c r="EL616" s="614"/>
      <c r="EM616" s="614"/>
      <c r="EN616" s="614"/>
      <c r="EO616" s="614"/>
      <c r="ES616" s="1857">
        <v>2003</v>
      </c>
      <c r="ET616" s="1875">
        <v>2755</v>
      </c>
      <c r="EU616" s="1875">
        <v>2186.4</v>
      </c>
      <c r="EV616" s="1201">
        <v>13208.250299999998</v>
      </c>
      <c r="EW616" s="1035">
        <f t="shared" si="266"/>
        <v>0.2085817528760793</v>
      </c>
      <c r="EX616" s="1035">
        <f t="shared" si="272"/>
        <v>0.16553290181062064</v>
      </c>
    </row>
    <row r="617" spans="101:154" ht="17.399999999999999">
      <c r="CW617" s="667">
        <v>3558.9513999999999</v>
      </c>
      <c r="CX617" s="614"/>
      <c r="CY617" s="1857">
        <v>2004</v>
      </c>
      <c r="CZ617" s="1859">
        <v>3.5589513999999998</v>
      </c>
      <c r="DA617" s="1597">
        <v>1.0824987240247379</v>
      </c>
      <c r="DB617" s="1597">
        <v>9.0480534412004499</v>
      </c>
      <c r="DC617" s="1787">
        <f t="shared" si="269"/>
        <v>0</v>
      </c>
      <c r="DD617" s="1787">
        <f t="shared" si="267"/>
        <v>0</v>
      </c>
      <c r="DE617" s="1034">
        <f t="shared" si="270"/>
        <v>9.0480534412004499</v>
      </c>
      <c r="DF617" s="1058"/>
      <c r="DG617" s="614"/>
      <c r="DH617" s="614"/>
      <c r="DI617" s="614"/>
      <c r="DJ617" s="614"/>
      <c r="DK617" s="614"/>
      <c r="DL617" s="614"/>
      <c r="DM617" s="614"/>
      <c r="DN617" s="614"/>
      <c r="DO617" s="614"/>
      <c r="DP617" s="614"/>
      <c r="DQ617" s="614"/>
      <c r="DR617" s="614"/>
      <c r="DS617" s="614"/>
      <c r="DT617" s="614"/>
      <c r="DU617" s="1975">
        <f t="shared" si="271"/>
        <v>9.0480534412004499</v>
      </c>
      <c r="DZ617" s="2010">
        <v>2004</v>
      </c>
      <c r="EA617" s="1875">
        <v>349.50514889012834</v>
      </c>
      <c r="EB617" s="1201">
        <f t="shared" si="268"/>
        <v>343.80480250783694</v>
      </c>
      <c r="EC617" s="1788">
        <v>325.92324119728443</v>
      </c>
      <c r="EF617" s="614"/>
      <c r="EG617" s="614"/>
      <c r="EH617" s="614"/>
      <c r="EI617" s="614"/>
      <c r="EJ617" s="614"/>
      <c r="EK617" s="614"/>
      <c r="EL617" s="614"/>
      <c r="EM617" s="614"/>
      <c r="EN617" s="614"/>
      <c r="EO617" s="614"/>
      <c r="ES617" s="1857">
        <v>2004</v>
      </c>
      <c r="ET617" s="1875">
        <v>3558.9513999999999</v>
      </c>
      <c r="EU617" s="1875">
        <v>2865</v>
      </c>
      <c r="EV617" s="1201">
        <v>17027.166999999998</v>
      </c>
      <c r="EW617" s="1035">
        <f t="shared" si="266"/>
        <v>0.2090160623901792</v>
      </c>
      <c r="EX617" s="1035">
        <f t="shared" si="272"/>
        <v>0.16826052155358553</v>
      </c>
    </row>
    <row r="618" spans="101:154" ht="17.399999999999999">
      <c r="CW618" s="667">
        <v>4338.7304999999997</v>
      </c>
      <c r="CX618" s="614"/>
      <c r="CY618" s="1857">
        <v>2005</v>
      </c>
      <c r="CZ618" s="1859">
        <v>4.3387304999999996</v>
      </c>
      <c r="DA618" s="1597">
        <v>1.1857316682944767</v>
      </c>
      <c r="DB618" s="1597">
        <v>10.070168753275146</v>
      </c>
      <c r="DC618" s="1787">
        <f t="shared" si="269"/>
        <v>0</v>
      </c>
      <c r="DD618" s="1787">
        <f t="shared" si="267"/>
        <v>0</v>
      </c>
      <c r="DE618" s="1034">
        <f t="shared" si="270"/>
        <v>10.070168753275146</v>
      </c>
      <c r="DF618" s="1058"/>
      <c r="DG618" s="614"/>
      <c r="DH618" s="614"/>
      <c r="DI618" s="614"/>
      <c r="DJ618" s="614"/>
      <c r="DK618" s="614"/>
      <c r="DL618" s="614"/>
      <c r="DM618" s="614"/>
      <c r="DN618" s="614"/>
      <c r="DO618" s="614"/>
      <c r="DP618" s="614"/>
      <c r="DQ618" s="614"/>
      <c r="DR618" s="614"/>
      <c r="DS618" s="614"/>
      <c r="DT618" s="614"/>
      <c r="DU618" s="1975">
        <f t="shared" si="271"/>
        <v>10.070168753275146</v>
      </c>
      <c r="DZ618" s="2010">
        <v>2005</v>
      </c>
      <c r="EA618" s="1875">
        <v>386.44219393269077</v>
      </c>
      <c r="EB618" s="1201">
        <f t="shared" si="268"/>
        <v>381.36331034482754</v>
      </c>
      <c r="EC618" s="1788">
        <v>359.16741179940749</v>
      </c>
      <c r="EF618" s="614"/>
      <c r="EG618" s="614"/>
      <c r="EH618" s="614"/>
      <c r="EI618" s="614"/>
      <c r="EJ618" s="614"/>
      <c r="EK618" s="614"/>
      <c r="EL618" s="614"/>
      <c r="EM618" s="614"/>
      <c r="EN618" s="614"/>
      <c r="EO618" s="614"/>
      <c r="ES618" s="1857">
        <v>2005</v>
      </c>
      <c r="ET618" s="1875">
        <v>4338.7304999999997</v>
      </c>
      <c r="EU618" s="1875">
        <v>3611.1</v>
      </c>
      <c r="EV618" s="1201">
        <v>21609.765799999997</v>
      </c>
      <c r="EW618" s="1035">
        <f t="shared" si="266"/>
        <v>0.20077637768753609</v>
      </c>
      <c r="EX618" s="1035">
        <f t="shared" si="272"/>
        <v>0.16710500397926573</v>
      </c>
    </row>
    <row r="619" spans="101:154" ht="17.399999999999999">
      <c r="CW619" s="667">
        <v>5698.7272999999996</v>
      </c>
      <c r="CX619" s="614"/>
      <c r="CY619" s="1857">
        <v>2006</v>
      </c>
      <c r="CZ619" s="1859">
        <v>5.6987272999999998</v>
      </c>
      <c r="DA619" s="1597">
        <v>1.3956061735825991</v>
      </c>
      <c r="DB619" s="1597">
        <v>11.237649593940656</v>
      </c>
      <c r="DC619" s="1787">
        <f t="shared" si="269"/>
        <v>0</v>
      </c>
      <c r="DD619" s="1787">
        <f t="shared" si="267"/>
        <v>0</v>
      </c>
      <c r="DE619" s="1034">
        <f t="shared" si="270"/>
        <v>11.237649593940656</v>
      </c>
      <c r="DF619" s="1058"/>
      <c r="DG619" s="614"/>
      <c r="DH619" s="614"/>
      <c r="DI619" s="614"/>
      <c r="DJ619" s="614"/>
      <c r="DK619" s="614"/>
      <c r="DL619" s="614"/>
      <c r="DM619" s="614"/>
      <c r="DN619" s="614"/>
      <c r="DO619" s="614"/>
      <c r="DP619" s="614"/>
      <c r="DQ619" s="614"/>
      <c r="DR619" s="614"/>
      <c r="DS619" s="614"/>
      <c r="DT619" s="614"/>
      <c r="DU619" s="1975">
        <f t="shared" si="271"/>
        <v>11.237649593940656</v>
      </c>
      <c r="DZ619" s="2010">
        <v>2006</v>
      </c>
      <c r="EA619" s="1875">
        <v>456.0017888405751</v>
      </c>
      <c r="EB619" s="1201">
        <f t="shared" si="268"/>
        <v>443.47930407523506</v>
      </c>
      <c r="EC619" s="1788">
        <v>419.14836956990854</v>
      </c>
      <c r="EF619" s="614"/>
      <c r="EG619" s="614"/>
      <c r="EH619" s="614"/>
      <c r="EI619" s="614"/>
      <c r="EJ619" s="614"/>
      <c r="EK619" s="614"/>
      <c r="EL619" s="614"/>
      <c r="EM619" s="614"/>
      <c r="EN619" s="614"/>
      <c r="EO619" s="614"/>
      <c r="ES619" s="1857">
        <v>2006</v>
      </c>
      <c r="ET619" s="1875">
        <v>5698.7272999999996</v>
      </c>
      <c r="EU619" s="1875">
        <v>4730</v>
      </c>
      <c r="EV619" s="1201">
        <v>26917.203699999998</v>
      </c>
      <c r="EW619" s="1035">
        <f t="shared" si="266"/>
        <v>0.21171319887139689</v>
      </c>
      <c r="EX619" s="1035">
        <f t="shared" si="272"/>
        <v>0.17572404818558476</v>
      </c>
    </row>
    <row r="620" spans="101:154" ht="17.399999999999999">
      <c r="CW620" s="667">
        <v>8034.0982000000004</v>
      </c>
      <c r="CX620" s="614"/>
      <c r="CY620" s="1857">
        <v>2007</v>
      </c>
      <c r="CZ620" s="1859">
        <v>8.0340982000000007</v>
      </c>
      <c r="DA620" s="1597">
        <v>1.7026395317707708</v>
      </c>
      <c r="DB620" s="1597">
        <v>12.98598556755597</v>
      </c>
      <c r="DC620" s="1787">
        <f t="shared" si="269"/>
        <v>0</v>
      </c>
      <c r="DD620" s="1787">
        <f t="shared" si="267"/>
        <v>0</v>
      </c>
      <c r="DE620" s="1034">
        <f t="shared" si="270"/>
        <v>12.98598556755597</v>
      </c>
      <c r="DF620" s="1058"/>
      <c r="DG620" s="614"/>
      <c r="DH620" s="614"/>
      <c r="DI620" s="614"/>
      <c r="DJ620" s="614"/>
      <c r="DK620" s="614"/>
      <c r="DL620" s="614"/>
      <c r="DM620" s="614"/>
      <c r="DN620" s="614"/>
      <c r="DO620" s="614"/>
      <c r="DP620" s="614"/>
      <c r="DQ620" s="614"/>
      <c r="DR620" s="614"/>
      <c r="DS620" s="614"/>
      <c r="DT620" s="614"/>
      <c r="DU620" s="1975">
        <f t="shared" si="271"/>
        <v>12.98598556755597</v>
      </c>
      <c r="DZ620" s="2010">
        <v>2007</v>
      </c>
      <c r="EA620" s="1875">
        <v>551.76216449709591</v>
      </c>
      <c r="EB620" s="1201">
        <f t="shared" si="268"/>
        <v>540.9869686520376</v>
      </c>
      <c r="EC620" s="1788">
        <v>514.2950494622778</v>
      </c>
      <c r="EF620" s="614"/>
      <c r="EG620" s="614"/>
      <c r="EH620" s="614"/>
      <c r="EI620" s="614"/>
      <c r="EJ620" s="614"/>
      <c r="EK620" s="614"/>
      <c r="EL620" s="614"/>
      <c r="EM620" s="614"/>
      <c r="EN620" s="614"/>
      <c r="EO620" s="614"/>
      <c r="ES620" s="1857">
        <v>2007</v>
      </c>
      <c r="ET620" s="1875">
        <v>8034.0982000000004</v>
      </c>
      <c r="EU620" s="1875">
        <v>6716.2219999999998</v>
      </c>
      <c r="EV620" s="1201">
        <v>33247.513200000001</v>
      </c>
      <c r="EW620" s="1035">
        <f t="shared" si="266"/>
        <v>0.24164508640604135</v>
      </c>
      <c r="EX620" s="1035">
        <f t="shared" si="272"/>
        <v>0.2020067473798311</v>
      </c>
    </row>
    <row r="621" spans="101:154" ht="17.399999999999999">
      <c r="CW621" s="667">
        <v>10526.116099999999</v>
      </c>
      <c r="CX621" s="614"/>
      <c r="CY621" s="1857">
        <v>2008</v>
      </c>
      <c r="CZ621" s="1859">
        <v>10.526116099999999</v>
      </c>
      <c r="DA621" s="1597">
        <v>1.8814166826067016</v>
      </c>
      <c r="DB621" s="1597">
        <v>15.397267606350981</v>
      </c>
      <c r="DC621" s="1787">
        <f t="shared" si="269"/>
        <v>0</v>
      </c>
      <c r="DD621" s="1787">
        <f t="shared" si="267"/>
        <v>0</v>
      </c>
      <c r="DE621" s="1034">
        <f t="shared" si="270"/>
        <v>15.397267606350981</v>
      </c>
      <c r="DF621" s="1058"/>
      <c r="DG621" s="614"/>
      <c r="DH621" s="614"/>
      <c r="DI621" s="614"/>
      <c r="DJ621" s="614"/>
      <c r="DK621" s="614"/>
      <c r="DL621" s="614"/>
      <c r="DM621" s="614"/>
      <c r="DN621" s="614"/>
      <c r="DO621" s="614"/>
      <c r="DP621" s="614"/>
      <c r="DQ621" s="614"/>
      <c r="DR621" s="614"/>
      <c r="DS621" s="614"/>
      <c r="DT621" s="614"/>
      <c r="DU621" s="1975">
        <f t="shared" si="271"/>
        <v>15.397267606350981</v>
      </c>
      <c r="DZ621" s="2010">
        <v>2008</v>
      </c>
      <c r="EA621" s="1875">
        <v>610.24895393378813</v>
      </c>
      <c r="EB621" s="1201">
        <f t="shared" si="268"/>
        <v>616.82626332288396</v>
      </c>
      <c r="EC621" s="1788">
        <v>563.15307916119423</v>
      </c>
      <c r="EF621" s="614"/>
      <c r="EG621" s="614"/>
      <c r="EH621" s="614"/>
      <c r="EI621" s="614"/>
      <c r="EJ621" s="614"/>
      <c r="EK621" s="614"/>
      <c r="EL621" s="614"/>
      <c r="EM621" s="614"/>
      <c r="EN621" s="614"/>
      <c r="EO621" s="614"/>
      <c r="ES621" s="1857">
        <v>2008</v>
      </c>
      <c r="ET621" s="1875">
        <v>10526.116099999999</v>
      </c>
      <c r="EU621" s="1875">
        <v>8781.616</v>
      </c>
      <c r="EV621" s="1201">
        <v>41276.849199999997</v>
      </c>
      <c r="EW621" s="1035">
        <f t="shared" si="266"/>
        <v>0.25501258705569996</v>
      </c>
      <c r="EX621" s="1035">
        <f t="shared" si="272"/>
        <v>0.21274918435392595</v>
      </c>
    </row>
    <row r="622" spans="101:154" ht="17.399999999999999">
      <c r="CW622" s="667">
        <v>7344.7560000000003</v>
      </c>
      <c r="CX622" s="614"/>
      <c r="CY622" s="1857">
        <v>2009</v>
      </c>
      <c r="CZ622" s="1859">
        <v>7.3447560000000003</v>
      </c>
      <c r="DA622" s="1597">
        <v>1.110035842737954</v>
      </c>
      <c r="DB622" s="1597">
        <v>18.209619166526913</v>
      </c>
      <c r="DC622" s="1787">
        <f t="shared" si="269"/>
        <v>0</v>
      </c>
      <c r="DD622" s="1787">
        <f t="shared" si="267"/>
        <v>0</v>
      </c>
      <c r="DE622" s="1034">
        <f t="shared" si="270"/>
        <v>18.209619166526913</v>
      </c>
      <c r="DF622" s="1058"/>
      <c r="DG622" s="614"/>
      <c r="DH622" s="614"/>
      <c r="DI622" s="614"/>
      <c r="DJ622" s="614"/>
      <c r="DK622" s="614"/>
      <c r="DL622" s="614"/>
      <c r="DM622" s="614"/>
      <c r="DN622" s="614"/>
      <c r="DO622" s="614"/>
      <c r="DP622" s="614"/>
      <c r="DQ622" s="614"/>
      <c r="DR622" s="614"/>
      <c r="DS622" s="614"/>
      <c r="DT622" s="614"/>
      <c r="DU622" s="1975">
        <f t="shared" si="271"/>
        <v>18.209619166526913</v>
      </c>
      <c r="DZ622" s="2010">
        <v>2009</v>
      </c>
      <c r="EA622" s="1875">
        <v>522.37310456732268</v>
      </c>
      <c r="EB622" s="1201">
        <f t="shared" si="268"/>
        <v>595.88017241379293</v>
      </c>
      <c r="EC622" s="1788">
        <v>487.12741347443301</v>
      </c>
      <c r="EF622" s="614"/>
      <c r="EG622" s="614"/>
      <c r="EH622" s="614"/>
      <c r="EI622" s="614"/>
      <c r="EJ622" s="614"/>
      <c r="EK622" s="614"/>
      <c r="EL622" s="614"/>
      <c r="EM622" s="614"/>
      <c r="EN622" s="614"/>
      <c r="EO622" s="614"/>
      <c r="ES622" s="1857">
        <v>2009</v>
      </c>
      <c r="ET622" s="1875">
        <v>7344.7560000000003</v>
      </c>
      <c r="EU622" s="1875">
        <v>7976.0129999999999</v>
      </c>
      <c r="EV622" s="1201">
        <v>38807.270899999996</v>
      </c>
      <c r="EW622" s="1035">
        <f t="shared" si="266"/>
        <v>0.18926236835685348</v>
      </c>
      <c r="EX622" s="1035">
        <f t="shared" si="272"/>
        <v>0.20552883042337308</v>
      </c>
    </row>
    <row r="623" spans="101:154" ht="17.399999999999999">
      <c r="CW623" s="667">
        <v>10472.629999999999</v>
      </c>
      <c r="CX623" s="614"/>
      <c r="CY623" s="1857">
        <v>2010</v>
      </c>
      <c r="CZ623" s="1859">
        <v>10.472629999999999</v>
      </c>
      <c r="DA623" s="1597">
        <v>1.4263960579182708</v>
      </c>
      <c r="DB623" s="1597">
        <v>20.205803391972644</v>
      </c>
      <c r="DC623" s="1787">
        <f t="shared" si="269"/>
        <v>0</v>
      </c>
      <c r="DD623" s="1787">
        <f t="shared" si="267"/>
        <v>0</v>
      </c>
      <c r="DE623" s="830"/>
      <c r="DF623" s="1036">
        <f>DB623</f>
        <v>20.205803391972644</v>
      </c>
      <c r="DG623" s="614"/>
      <c r="DH623" s="614"/>
      <c r="DI623" s="614"/>
      <c r="DJ623" s="614"/>
      <c r="DK623" s="614"/>
      <c r="DL623" s="614"/>
      <c r="DM623" s="614"/>
      <c r="DN623" s="614"/>
      <c r="DO623" s="614"/>
      <c r="DP623" s="614"/>
      <c r="DQ623" s="614"/>
      <c r="DR623" s="614"/>
      <c r="DS623" s="614"/>
      <c r="DT623" s="614"/>
      <c r="DU623" s="1975">
        <f t="shared" si="271"/>
        <v>20.205803391972644</v>
      </c>
      <c r="DZ623" s="2010">
        <v>2010</v>
      </c>
      <c r="EA623" s="1875">
        <v>553.19311773679476</v>
      </c>
      <c r="EB623" s="1201">
        <f t="shared" si="268"/>
        <v>556.55208103448263</v>
      </c>
      <c r="EC623" s="1788">
        <v>517.81644052332229</v>
      </c>
      <c r="EF623" s="614"/>
      <c r="EG623" s="614"/>
      <c r="EH623" s="614"/>
      <c r="EI623" s="614"/>
      <c r="EJ623" s="614"/>
      <c r="EK623" s="614"/>
      <c r="EL623" s="614"/>
      <c r="EM623" s="614"/>
      <c r="EN623" s="614"/>
      <c r="EO623" s="614"/>
      <c r="ES623" s="1857">
        <v>2010</v>
      </c>
      <c r="ET623" s="1875">
        <v>10472.629999999999</v>
      </c>
      <c r="EU623" s="1875">
        <v>9152.1</v>
      </c>
      <c r="EV623" s="1201">
        <v>46308.53100000001</v>
      </c>
      <c r="EW623" s="1035">
        <f t="shared" si="266"/>
        <v>0.22614904368268554</v>
      </c>
      <c r="EX623" s="1035">
        <f t="shared" si="272"/>
        <v>0.19763313157137286</v>
      </c>
    </row>
    <row r="624" spans="101:154" ht="17.399999999999999">
      <c r="CW624" s="667">
        <v>14735.8874</v>
      </c>
      <c r="CX624" s="614"/>
      <c r="CY624" s="1857">
        <v>2011</v>
      </c>
      <c r="CZ624" s="1859">
        <v>14.735887399999999</v>
      </c>
      <c r="DA624" s="1597">
        <v>1.7259392300811076</v>
      </c>
      <c r="DB624" s="1597">
        <v>23.496938857350891</v>
      </c>
      <c r="DC624" s="1787">
        <f t="shared" si="269"/>
        <v>0</v>
      </c>
      <c r="DD624" s="1787">
        <f t="shared" si="267"/>
        <v>0</v>
      </c>
      <c r="DE624" s="830"/>
      <c r="DF624" s="1036">
        <f t="shared" ref="DF624:DF629" si="273">DB624</f>
        <v>23.496938857350891</v>
      </c>
      <c r="DG624" s="614"/>
      <c r="DH624" s="614"/>
      <c r="DI624" s="614"/>
      <c r="DJ624" s="614"/>
      <c r="DK624" s="614"/>
      <c r="DL624" s="614"/>
      <c r="DM624" s="614"/>
      <c r="DN624" s="614"/>
      <c r="DO624" s="614"/>
      <c r="DP624" s="614"/>
      <c r="DQ624" s="614"/>
      <c r="DR624" s="614"/>
      <c r="DS624" s="614"/>
      <c r="DT624" s="614"/>
      <c r="DU624" s="1975">
        <f t="shared" si="271"/>
        <v>23.496938857350891</v>
      </c>
      <c r="DZ624" s="2010">
        <v>2011</v>
      </c>
      <c r="EA624" s="1875">
        <v>603.53369145084309</v>
      </c>
      <c r="EB624" s="1201">
        <f t="shared" si="268"/>
        <v>717.52628864886628</v>
      </c>
      <c r="EC624" s="1788">
        <v>573.74061609984119</v>
      </c>
      <c r="EF624" s="614"/>
      <c r="EG624" s="614"/>
      <c r="EH624" s="614"/>
      <c r="EI624" s="614"/>
      <c r="EJ624" s="614"/>
      <c r="EK624" s="614"/>
      <c r="EL624" s="614"/>
      <c r="EM624" s="614"/>
      <c r="EN624" s="614"/>
      <c r="EO624" s="614"/>
      <c r="ES624" s="1857">
        <v>2011</v>
      </c>
      <c r="ET624" s="1875">
        <v>14735.8874</v>
      </c>
      <c r="EU624" s="1875">
        <v>11035.652</v>
      </c>
      <c r="EV624" s="1201">
        <v>60282.540400000005</v>
      </c>
      <c r="EW624" s="1035">
        <f t="shared" si="266"/>
        <v>0.24444702068328888</v>
      </c>
      <c r="EX624" s="1035">
        <f t="shared" si="272"/>
        <v>0.18306547678272694</v>
      </c>
    </row>
    <row r="625" spans="73:154" ht="17.399999999999999">
      <c r="CW625" s="667">
        <v>16730.202400000002</v>
      </c>
      <c r="CX625" s="614"/>
      <c r="CY625" s="1857">
        <v>2012</v>
      </c>
      <c r="CZ625" s="1859">
        <v>16.730202400000003</v>
      </c>
      <c r="DA625" s="1597">
        <v>1.8018805562046765</v>
      </c>
      <c r="DB625" s="1597">
        <v>25.552634846384688</v>
      </c>
      <c r="DC625" s="1787">
        <f t="shared" si="269"/>
        <v>0</v>
      </c>
      <c r="DD625" s="1787">
        <f t="shared" si="267"/>
        <v>0</v>
      </c>
      <c r="DE625" s="830"/>
      <c r="DF625" s="1036">
        <f t="shared" si="273"/>
        <v>25.552634846384688</v>
      </c>
      <c r="DG625" s="614"/>
      <c r="DH625" s="614"/>
      <c r="DI625" s="614"/>
      <c r="DJ625" s="614"/>
      <c r="DK625" s="614"/>
      <c r="DL625" s="614"/>
      <c r="DM625" s="614"/>
      <c r="DN625" s="614"/>
      <c r="DO625" s="614"/>
      <c r="DP625" s="614"/>
      <c r="DQ625" s="614"/>
      <c r="DR625" s="614"/>
      <c r="DS625" s="614"/>
      <c r="DT625" s="614"/>
      <c r="DU625" s="1975">
        <f t="shared" si="271"/>
        <v>25.552634846384688</v>
      </c>
      <c r="DZ625" s="2010">
        <v>2012</v>
      </c>
      <c r="EA625" s="1875">
        <v>633.71037602338527</v>
      </c>
      <c r="EB625" s="1201">
        <f t="shared" si="268"/>
        <v>780.30983890564198</v>
      </c>
      <c r="EC625" s="1788">
        <v>612.75497799463039</v>
      </c>
      <c r="EF625" s="614"/>
      <c r="EG625" s="614"/>
      <c r="EH625" s="614"/>
      <c r="EI625" s="614"/>
      <c r="EJ625" s="614"/>
      <c r="EK625" s="614"/>
      <c r="EL625" s="614"/>
      <c r="EM625" s="614"/>
      <c r="EN625" s="614"/>
      <c r="EO625" s="614"/>
      <c r="ES625" s="1857">
        <v>2012</v>
      </c>
      <c r="ET625" s="1875">
        <v>16730.202400000002</v>
      </c>
      <c r="EU625" s="1875">
        <v>12586.090400000001</v>
      </c>
      <c r="EV625" s="1201">
        <v>68163.883100000006</v>
      </c>
      <c r="EW625" s="1035">
        <f t="shared" si="266"/>
        <v>0.24544086456248265</v>
      </c>
      <c r="EX625" s="1035">
        <f t="shared" si="272"/>
        <v>0.18464456289169359</v>
      </c>
    </row>
    <row r="626" spans="73:154" ht="17.399999999999999">
      <c r="CW626" s="667">
        <v>16915.862100000002</v>
      </c>
      <c r="CX626" s="614"/>
      <c r="CY626" s="1857">
        <v>2013</v>
      </c>
      <c r="CZ626" s="1859">
        <v>16.915862100000002</v>
      </c>
      <c r="DA626" s="1597">
        <v>1.7009752450572146</v>
      </c>
      <c r="DB626" s="1597">
        <v>27.368855432385331</v>
      </c>
      <c r="DC626" s="1787">
        <f t="shared" si="269"/>
        <v>0</v>
      </c>
      <c r="DD626" s="1787">
        <f t="shared" si="267"/>
        <v>0</v>
      </c>
      <c r="DE626" s="830"/>
      <c r="DF626" s="1036">
        <f t="shared" si="273"/>
        <v>27.368855432385331</v>
      </c>
      <c r="DG626" s="614"/>
      <c r="DH626" s="614"/>
      <c r="DI626" s="614"/>
      <c r="DJ626" s="614"/>
      <c r="DK626" s="614"/>
      <c r="DL626" s="614"/>
      <c r="DM626" s="614"/>
      <c r="DN626" s="614"/>
      <c r="DO626" s="614"/>
      <c r="DP626" s="614"/>
      <c r="DQ626" s="614"/>
      <c r="DR626" s="614"/>
      <c r="DS626" s="614"/>
      <c r="DT626" s="614"/>
      <c r="DU626" s="1975">
        <f t="shared" si="271"/>
        <v>27.368855432385331</v>
      </c>
      <c r="DZ626" s="2010">
        <v>2013</v>
      </c>
      <c r="EA626" s="1875">
        <v>641.94861091168923</v>
      </c>
      <c r="EB626" s="1201">
        <f t="shared" si="268"/>
        <v>788.24558996731241</v>
      </c>
      <c r="EC626" s="1788">
        <v>617.65701781858741</v>
      </c>
      <c r="EF626" s="614"/>
      <c r="EG626" s="614"/>
      <c r="EH626" s="614"/>
      <c r="EI626" s="614"/>
      <c r="EJ626" s="614"/>
      <c r="EK626" s="614"/>
      <c r="EL626" s="614"/>
      <c r="EM626" s="614"/>
      <c r="EN626" s="614"/>
      <c r="EO626" s="614"/>
      <c r="ES626" s="1857">
        <v>2013</v>
      </c>
      <c r="ET626" s="1875">
        <v>16915.862100000002</v>
      </c>
      <c r="EU626" s="1875">
        <v>13450.2382</v>
      </c>
      <c r="EV626" s="1201">
        <v>73133.89509999998</v>
      </c>
      <c r="EW626" s="1035">
        <f t="shared" si="266"/>
        <v>0.23129989284544489</v>
      </c>
      <c r="EX626" s="1035">
        <f t="shared" si="272"/>
        <v>0.18391250980969567</v>
      </c>
    </row>
    <row r="627" spans="73:154" ht="17.399999999999999">
      <c r="CW627" s="667">
        <v>17614.564300000002</v>
      </c>
      <c r="CX627" s="614"/>
      <c r="CY627" s="1857">
        <v>2014</v>
      </c>
      <c r="CZ627" s="1859">
        <v>17.614564300000001</v>
      </c>
      <c r="DA627" s="1597">
        <v>1.5972157551087247</v>
      </c>
      <c r="DB627" s="1597">
        <v>30.350707025866967</v>
      </c>
      <c r="DC627" s="1787">
        <f t="shared" si="269"/>
        <v>0</v>
      </c>
      <c r="DD627" s="1787">
        <f t="shared" si="267"/>
        <v>0</v>
      </c>
      <c r="DE627" s="830"/>
      <c r="DF627" s="1036">
        <f t="shared" si="273"/>
        <v>30.350707025866967</v>
      </c>
      <c r="DG627" s="614"/>
      <c r="DH627" s="614"/>
      <c r="DI627" s="614"/>
      <c r="DJ627" s="614"/>
      <c r="DK627" s="614"/>
      <c r="DL627" s="614"/>
      <c r="DM627" s="614"/>
      <c r="DN627" s="614"/>
      <c r="DO627" s="614"/>
      <c r="DP627" s="614"/>
      <c r="DQ627" s="614"/>
      <c r="DR627" s="614"/>
      <c r="DS627" s="614"/>
      <c r="DT627" s="614"/>
      <c r="DU627" s="1975">
        <f t="shared" si="271"/>
        <v>30.350707025866967</v>
      </c>
      <c r="DZ627" s="2010">
        <v>2014</v>
      </c>
      <c r="EA627" s="1875">
        <v>630.39353591527879</v>
      </c>
      <c r="EB627" s="1201">
        <f t="shared" si="268"/>
        <v>764.59822226829294</v>
      </c>
      <c r="EC627" s="1788">
        <v>608.39216255130862</v>
      </c>
      <c r="EF627" s="614"/>
      <c r="EG627" s="614"/>
      <c r="EH627" s="614"/>
      <c r="EI627" s="614"/>
      <c r="EJ627" s="614"/>
      <c r="EK627" s="614"/>
      <c r="EL627" s="614"/>
      <c r="EM627" s="614"/>
      <c r="EN627" s="614"/>
      <c r="EO627" s="614"/>
      <c r="ES627" s="1857">
        <v>2014</v>
      </c>
      <c r="ET627" s="1875">
        <v>17883.66</v>
      </c>
      <c r="EU627" s="1875">
        <v>13902.6453</v>
      </c>
      <c r="EV627" s="1201">
        <v>79058</v>
      </c>
      <c r="EW627" s="1035">
        <f t="shared" si="266"/>
        <v>0.2262093652761264</v>
      </c>
      <c r="EX627" s="1035">
        <f t="shared" si="272"/>
        <v>0.17585374408661994</v>
      </c>
    </row>
    <row r="628" spans="73:154" ht="17.399999999999999">
      <c r="CW628" s="667">
        <v>18622.098899999997</v>
      </c>
      <c r="CX628" s="614"/>
      <c r="CY628" s="1857">
        <v>2015</v>
      </c>
      <c r="CZ628" s="1859">
        <v>18.622098899999997</v>
      </c>
      <c r="DA628" s="1597">
        <v>1.3831888439241555</v>
      </c>
      <c r="DB628" s="1597">
        <v>37.051657770633831</v>
      </c>
      <c r="DC628" s="1787">
        <f t="shared" si="269"/>
        <v>25.408791247612854</v>
      </c>
      <c r="DD628" s="1787">
        <f t="shared" si="267"/>
        <v>25.408791247612854</v>
      </c>
      <c r="DE628" s="830"/>
      <c r="DF628" s="1036">
        <f t="shared" si="273"/>
        <v>37.051657770633831</v>
      </c>
      <c r="DG628" s="614"/>
      <c r="DH628" s="614"/>
      <c r="DI628" s="614"/>
      <c r="DJ628" s="614"/>
      <c r="DK628" s="614"/>
      <c r="DL628" s="614"/>
      <c r="DM628" s="614"/>
      <c r="DN628" s="614"/>
      <c r="DO628" s="614"/>
      <c r="DP628" s="614"/>
      <c r="DQ628" s="614"/>
      <c r="DR628" s="614"/>
      <c r="DS628" s="614"/>
      <c r="DT628" s="614"/>
      <c r="DU628" s="1975">
        <f t="shared" si="271"/>
        <v>37.051657770633831</v>
      </c>
      <c r="DZ628" s="2010">
        <v>2015</v>
      </c>
      <c r="EA628" s="1875">
        <v>562.94142757234397</v>
      </c>
      <c r="EB628" s="1201">
        <f t="shared" si="268"/>
        <v>722.54532004353678</v>
      </c>
      <c r="EC628" s="1788">
        <v>546.94455413362641</v>
      </c>
      <c r="EF628" s="614"/>
      <c r="EG628" s="614"/>
      <c r="EH628" s="614"/>
      <c r="EI628" s="614"/>
      <c r="EJ628" s="614"/>
      <c r="EK628" s="614"/>
      <c r="EL628" s="614"/>
      <c r="EM628" s="614"/>
      <c r="EN628" s="614"/>
      <c r="EO628" s="614"/>
      <c r="ES628" s="1857">
        <v>2015</v>
      </c>
      <c r="ET628" s="1875">
        <v>18603.39</v>
      </c>
      <c r="EU628" s="1875">
        <v>13897.2</v>
      </c>
      <c r="EV628" s="1201">
        <v>83094</v>
      </c>
      <c r="EW628" s="1035">
        <f t="shared" si="266"/>
        <v>0.22388367391147374</v>
      </c>
      <c r="EX628" s="1035">
        <f t="shared" si="272"/>
        <v>0.16724673261607337</v>
      </c>
    </row>
    <row r="629" spans="73:154" ht="17.399999999999999">
      <c r="CW629" s="667">
        <v>20132.0831</v>
      </c>
      <c r="CX629" s="614"/>
      <c r="CY629" s="1857">
        <v>2016</v>
      </c>
      <c r="CZ629" s="1859">
        <v>20.132083099999999</v>
      </c>
      <c r="DA629" s="1597">
        <v>1.4039366765830177</v>
      </c>
      <c r="DB629" s="1597">
        <v>39.464053148184917</v>
      </c>
      <c r="DC629" s="1787">
        <f t="shared" si="269"/>
        <v>27.019844336572895</v>
      </c>
      <c r="DD629" s="1787">
        <f t="shared" si="267"/>
        <v>27.019844336572895</v>
      </c>
      <c r="DE629" s="830"/>
      <c r="DF629" s="1036">
        <f t="shared" si="273"/>
        <v>39.464053148184917</v>
      </c>
      <c r="DG629" s="614"/>
      <c r="DH629" s="614"/>
      <c r="DI629" s="614"/>
      <c r="DJ629" s="614"/>
      <c r="DK629" s="614"/>
      <c r="DL629" s="614"/>
      <c r="DM629" s="614"/>
      <c r="DN629" s="614"/>
      <c r="DO629" s="614"/>
      <c r="DP629" s="614"/>
      <c r="DQ629" s="614"/>
      <c r="DR629" s="614"/>
      <c r="DS629" s="614"/>
      <c r="DT629" s="614"/>
      <c r="DU629" s="1975">
        <f t="shared" si="271"/>
        <v>39.464053148184917</v>
      </c>
      <c r="DZ629" s="2010">
        <v>2016</v>
      </c>
      <c r="EA629" s="1875">
        <v>568.5708418480674</v>
      </c>
      <c r="EB629" s="1201">
        <f t="shared" si="268"/>
        <v>850.43584169124279</v>
      </c>
      <c r="EC629" s="1788">
        <v>545.85066502535915</v>
      </c>
      <c r="EF629" s="614"/>
      <c r="EG629" s="614"/>
      <c r="EH629" s="614"/>
      <c r="EI629" s="614"/>
      <c r="EJ629" s="614"/>
      <c r="EK629" s="614"/>
      <c r="EL629" s="614"/>
      <c r="EM629" s="614"/>
      <c r="EN629" s="614"/>
      <c r="EO629" s="614"/>
      <c r="ES629" s="1857">
        <v>2016</v>
      </c>
      <c r="ET629" s="1875">
        <v>20242.849999999999</v>
      </c>
      <c r="EU629" s="1875">
        <v>14748.8</v>
      </c>
      <c r="EV629" s="1201">
        <v>86014</v>
      </c>
      <c r="EW629" s="1035">
        <f t="shared" si="266"/>
        <v>0.23534366498476991</v>
      </c>
      <c r="EX629" s="1035">
        <f t="shared" si="272"/>
        <v>0.17146976073662426</v>
      </c>
    </row>
    <row r="630" spans="73:154" ht="17.399999999999999">
      <c r="CW630" s="614"/>
      <c r="CX630" s="614"/>
      <c r="CY630" s="1857">
        <v>2017</v>
      </c>
      <c r="CZ630" s="1860"/>
      <c r="DA630" s="1785"/>
      <c r="DB630" s="1787"/>
      <c r="DC630" s="1787"/>
      <c r="DD630" s="1787">
        <f t="shared" si="267"/>
        <v>28.017232863734257</v>
      </c>
      <c r="DE630" s="830"/>
      <c r="DF630" s="1058"/>
      <c r="DG630" s="614"/>
      <c r="DH630" s="614"/>
      <c r="DI630" s="614"/>
      <c r="DJ630" s="614"/>
      <c r="DK630" s="614"/>
      <c r="DL630" s="614"/>
      <c r="DM630" s="614"/>
      <c r="DN630" s="614"/>
      <c r="DO630" s="614"/>
      <c r="DP630" s="614"/>
      <c r="DQ630" s="614"/>
      <c r="DR630" s="614"/>
      <c r="DS630" s="614"/>
      <c r="DT630" s="614"/>
      <c r="DU630" s="1975">
        <f>2.1159*DD630-17.631</f>
        <v>41.650663016375312</v>
      </c>
      <c r="DZ630" s="2010">
        <v>2017</v>
      </c>
      <c r="EA630" s="1860"/>
      <c r="EB630" s="1034"/>
      <c r="EC630" s="1790"/>
      <c r="EF630" s="614"/>
      <c r="EG630" s="614"/>
      <c r="EH630" s="614"/>
      <c r="EI630" s="614"/>
      <c r="EJ630" s="614"/>
      <c r="EK630" s="614"/>
      <c r="EL630" s="614"/>
      <c r="EM630" s="614"/>
      <c r="EN630" s="614"/>
      <c r="EO630" s="614"/>
      <c r="ES630" s="1857">
        <v>2017</v>
      </c>
      <c r="ET630" s="1860"/>
      <c r="EU630" s="1860"/>
      <c r="EV630" s="1871"/>
      <c r="EW630" s="1036"/>
      <c r="EX630" s="1036"/>
    </row>
    <row r="631" spans="73:154" ht="17.399999999999999">
      <c r="CW631" s="614"/>
      <c r="CX631" s="614"/>
      <c r="CY631" s="1857">
        <v>2018</v>
      </c>
      <c r="CZ631" s="1860"/>
      <c r="DA631" s="1785"/>
      <c r="DB631" s="1787"/>
      <c r="DC631" s="1787"/>
      <c r="DD631" s="1787">
        <f t="shared" si="267"/>
        <v>29.489664817255768</v>
      </c>
      <c r="DE631" s="830"/>
      <c r="DF631" s="1058"/>
      <c r="DG631" s="614"/>
      <c r="DH631" s="614"/>
      <c r="DI631" s="614"/>
      <c r="DJ631" s="614"/>
      <c r="DK631" s="614"/>
      <c r="DL631" s="614"/>
      <c r="DM631" s="614"/>
      <c r="DN631" s="614"/>
      <c r="DO631" s="614"/>
      <c r="DP631" s="614"/>
      <c r="DQ631" s="614"/>
      <c r="DR631" s="614"/>
      <c r="DS631" s="614"/>
      <c r="DT631" s="614"/>
      <c r="DU631" s="1975">
        <f t="shared" ref="DU631:DU643" si="274">2.1159*DD631-17.631</f>
        <v>44.766181786831474</v>
      </c>
      <c r="DZ631" s="2010">
        <v>2018</v>
      </c>
      <c r="EA631" s="1860"/>
      <c r="EB631" s="1034"/>
      <c r="EC631" s="1790"/>
      <c r="EF631" s="614"/>
      <c r="EG631" s="614"/>
      <c r="EH631" s="614"/>
      <c r="EI631" s="614"/>
      <c r="EJ631" s="614"/>
      <c r="EK631" s="614"/>
      <c r="EL631" s="614"/>
      <c r="EM631" s="614"/>
      <c r="EN631" s="614"/>
      <c r="EO631" s="614"/>
      <c r="ES631" s="1857">
        <v>2018</v>
      </c>
      <c r="ET631" s="1860"/>
      <c r="EU631" s="1860"/>
      <c r="EV631" s="1871"/>
      <c r="EW631" s="1036"/>
      <c r="EX631" s="1036"/>
    </row>
    <row r="632" spans="73:154" ht="17.399999999999999">
      <c r="CW632" s="614"/>
      <c r="CX632" s="614"/>
      <c r="CY632" s="1857">
        <v>2019</v>
      </c>
      <c r="CZ632" s="1861"/>
      <c r="DA632" s="1595"/>
      <c r="DB632" s="1595"/>
      <c r="DC632" s="1595"/>
      <c r="DD632" s="1787">
        <f t="shared" si="267"/>
        <v>0</v>
      </c>
      <c r="DE632" s="830"/>
      <c r="DF632" s="1058"/>
      <c r="DG632" s="614"/>
      <c r="DH632" s="614"/>
      <c r="DI632" s="614"/>
      <c r="DJ632" s="614"/>
      <c r="DK632" s="614"/>
      <c r="DL632" s="614"/>
      <c r="DM632" s="614"/>
      <c r="DN632" s="614"/>
      <c r="DO632" s="614"/>
      <c r="DP632" s="614"/>
      <c r="DQ632" s="614"/>
      <c r="DR632" s="614"/>
      <c r="DS632" s="614"/>
      <c r="DT632" s="614"/>
      <c r="DU632" s="1975">
        <f t="shared" si="274"/>
        <v>-17.631</v>
      </c>
      <c r="DZ632" s="2010">
        <v>2019</v>
      </c>
      <c r="EA632" s="1861"/>
      <c r="EB632" s="838"/>
      <c r="EC632" s="1790"/>
      <c r="EF632" s="614"/>
      <c r="EG632" s="614"/>
      <c r="EH632" s="614"/>
      <c r="EI632" s="614"/>
      <c r="EJ632" s="614"/>
      <c r="EK632" s="614"/>
      <c r="EL632" s="614"/>
      <c r="EM632" s="614"/>
      <c r="EN632" s="614"/>
      <c r="EO632" s="614"/>
      <c r="ES632" s="1857">
        <v>2019</v>
      </c>
      <c r="ET632" s="1861"/>
      <c r="EU632" s="1861"/>
      <c r="EV632" s="838"/>
      <c r="EW632" s="1058"/>
      <c r="EX632" s="1058"/>
    </row>
    <row r="633" spans="73:154" ht="17.399999999999999">
      <c r="BU633" s="614"/>
      <c r="CW633" s="614"/>
      <c r="CX633" s="614"/>
      <c r="CY633" s="1857">
        <v>2020</v>
      </c>
      <c r="CZ633" s="1861"/>
      <c r="DA633" s="1595"/>
      <c r="DB633" s="1595"/>
      <c r="DC633" s="1595"/>
      <c r="DD633" s="1787">
        <f t="shared" si="267"/>
        <v>0</v>
      </c>
      <c r="DE633" s="830"/>
      <c r="DF633" s="1058"/>
      <c r="DG633" s="614"/>
      <c r="DH633" s="614"/>
      <c r="DI633" s="614"/>
      <c r="DJ633" s="614"/>
      <c r="DK633" s="614"/>
      <c r="DL633" s="614"/>
      <c r="DM633" s="614"/>
      <c r="DN633" s="614"/>
      <c r="DO633" s="614"/>
      <c r="DP633" s="614"/>
      <c r="DQ633" s="614"/>
      <c r="DR633" s="614"/>
      <c r="DS633" s="614"/>
      <c r="DT633" s="614"/>
      <c r="DU633" s="1975">
        <f t="shared" si="274"/>
        <v>-17.631</v>
      </c>
      <c r="DZ633" s="2010">
        <v>2020</v>
      </c>
      <c r="EA633" s="1861"/>
      <c r="EB633" s="838"/>
      <c r="EC633" s="1790"/>
      <c r="EF633" s="614"/>
      <c r="EG633" s="614"/>
      <c r="EH633" s="614"/>
      <c r="EI633" s="614"/>
      <c r="EJ633" s="614"/>
      <c r="EK633" s="614"/>
      <c r="EL633" s="614"/>
      <c r="EM633" s="614"/>
      <c r="EN633" s="614"/>
      <c r="EO633" s="614"/>
      <c r="ES633" s="1857">
        <v>2020</v>
      </c>
      <c r="ET633" s="1861"/>
      <c r="EU633" s="1861"/>
      <c r="EV633" s="838"/>
      <c r="EW633" s="1058"/>
      <c r="EX633" s="1058"/>
    </row>
    <row r="634" spans="73:154" ht="17.399999999999999">
      <c r="CW634" s="614"/>
      <c r="CX634" s="614"/>
      <c r="CY634" s="1857">
        <v>2021</v>
      </c>
      <c r="CZ634" s="1861"/>
      <c r="DA634" s="1595"/>
      <c r="DB634" s="1595"/>
      <c r="DC634" s="1595"/>
      <c r="DD634" s="1787">
        <f t="shared" si="267"/>
        <v>0</v>
      </c>
      <c r="DE634" s="830"/>
      <c r="DF634" s="1058"/>
      <c r="DG634" s="614"/>
      <c r="DH634" s="614"/>
      <c r="DI634" s="614"/>
      <c r="DJ634" s="614"/>
      <c r="DK634" s="614"/>
      <c r="DL634" s="614"/>
      <c r="DM634" s="614"/>
      <c r="DN634" s="614"/>
      <c r="DO634" s="614"/>
      <c r="DP634" s="614"/>
      <c r="DQ634" s="614"/>
      <c r="DR634" s="614"/>
      <c r="DS634" s="614"/>
      <c r="DT634" s="614"/>
      <c r="DU634" s="1975">
        <f t="shared" si="274"/>
        <v>-17.631</v>
      </c>
      <c r="DZ634" s="2010">
        <v>2021</v>
      </c>
      <c r="EA634" s="1861"/>
      <c r="EB634" s="838"/>
      <c r="EC634" s="1790"/>
      <c r="EF634" s="614"/>
      <c r="EG634" s="614"/>
      <c r="EH634" s="614"/>
      <c r="EI634" s="614"/>
      <c r="EJ634" s="614"/>
      <c r="EK634" s="614"/>
      <c r="EL634" s="614"/>
      <c r="EM634" s="614"/>
      <c r="EN634" s="614"/>
      <c r="EO634" s="614"/>
      <c r="ES634" s="1857">
        <v>2021</v>
      </c>
      <c r="ET634" s="1861"/>
      <c r="EU634" s="1861"/>
      <c r="EV634" s="838"/>
      <c r="EW634" s="1058"/>
      <c r="EX634" s="1058"/>
    </row>
    <row r="635" spans="73:154" ht="17.399999999999999">
      <c r="CW635" s="614"/>
      <c r="CX635" s="614"/>
      <c r="CY635" s="1857">
        <v>2022</v>
      </c>
      <c r="CZ635" s="1861"/>
      <c r="DA635" s="1595"/>
      <c r="DB635" s="1595"/>
      <c r="DC635" s="1595"/>
      <c r="DD635" s="1787">
        <f t="shared" si="267"/>
        <v>0</v>
      </c>
      <c r="DE635" s="830"/>
      <c r="DF635" s="1058"/>
      <c r="DG635" s="614"/>
      <c r="DH635" s="614"/>
      <c r="DI635" s="614"/>
      <c r="DJ635" s="614"/>
      <c r="DK635" s="614"/>
      <c r="DL635" s="614"/>
      <c r="DM635" s="614"/>
      <c r="DN635" s="614"/>
      <c r="DO635" s="614"/>
      <c r="DP635" s="614"/>
      <c r="DQ635" s="614"/>
      <c r="DR635" s="614"/>
      <c r="DS635" s="614"/>
      <c r="DT635" s="614"/>
      <c r="DU635" s="1975">
        <f t="shared" si="274"/>
        <v>-17.631</v>
      </c>
      <c r="DZ635" s="2010">
        <v>2022</v>
      </c>
      <c r="EA635" s="1861"/>
      <c r="EB635" s="838"/>
      <c r="EC635" s="1790"/>
      <c r="EF635" s="614"/>
      <c r="EG635" s="614"/>
      <c r="EH635" s="614"/>
      <c r="EI635" s="614"/>
      <c r="EJ635" s="614"/>
      <c r="EK635" s="614"/>
      <c r="EL635" s="614"/>
      <c r="EM635" s="614"/>
      <c r="EN635" s="614"/>
      <c r="EO635" s="614"/>
      <c r="ES635" s="1857">
        <v>2022</v>
      </c>
      <c r="ET635" s="1861"/>
      <c r="EU635" s="1861"/>
      <c r="EV635" s="838"/>
      <c r="EW635" s="1058"/>
      <c r="EX635" s="1058"/>
    </row>
    <row r="636" spans="73:154" ht="17.399999999999999">
      <c r="CW636" s="614"/>
      <c r="CX636" s="614"/>
      <c r="CY636" s="1857">
        <v>2023</v>
      </c>
      <c r="CZ636" s="1861"/>
      <c r="DA636" s="1595"/>
      <c r="DB636" s="1595"/>
      <c r="DC636" s="1595"/>
      <c r="DD636" s="1787">
        <f t="shared" si="267"/>
        <v>0</v>
      </c>
      <c r="DE636" s="830"/>
      <c r="DF636" s="1058"/>
      <c r="DG636" s="614"/>
      <c r="DH636" s="614"/>
      <c r="DI636" s="614"/>
      <c r="DJ636" s="614"/>
      <c r="DK636" s="614"/>
      <c r="DL636" s="614"/>
      <c r="DM636" s="614"/>
      <c r="DN636" s="614"/>
      <c r="DO636" s="614"/>
      <c r="DP636" s="614"/>
      <c r="DQ636" s="614"/>
      <c r="DR636" s="614"/>
      <c r="DS636" s="614"/>
      <c r="DT636" s="614"/>
      <c r="DU636" s="1975">
        <f t="shared" si="274"/>
        <v>-17.631</v>
      </c>
      <c r="DZ636" s="2010">
        <v>2023</v>
      </c>
      <c r="EA636" s="1861"/>
      <c r="EB636" s="838"/>
      <c r="EC636" s="1790"/>
      <c r="EF636" s="614"/>
      <c r="EG636" s="614"/>
      <c r="EH636" s="614"/>
      <c r="EI636" s="614"/>
      <c r="EJ636" s="614"/>
      <c r="EK636" s="614"/>
      <c r="EL636" s="614"/>
      <c r="EM636" s="614"/>
      <c r="EN636" s="614"/>
      <c r="EO636" s="614"/>
      <c r="ES636" s="1857">
        <v>2023</v>
      </c>
      <c r="ET636" s="1861"/>
      <c r="EU636" s="1861"/>
      <c r="EV636" s="838"/>
      <c r="EW636" s="1058"/>
      <c r="EX636" s="1058"/>
    </row>
    <row r="637" spans="73:154" ht="17.399999999999999">
      <c r="CW637" s="614"/>
      <c r="CX637" s="614"/>
      <c r="CY637" s="1857">
        <v>2024</v>
      </c>
      <c r="CZ637" s="1861"/>
      <c r="DA637" s="1595"/>
      <c r="DB637" s="1595"/>
      <c r="DC637" s="1595"/>
      <c r="DD637" s="1787">
        <f t="shared" si="267"/>
        <v>0</v>
      </c>
      <c r="DE637" s="830"/>
      <c r="DF637" s="1058"/>
      <c r="DG637" s="614"/>
      <c r="DH637" s="614"/>
      <c r="DI637" s="614"/>
      <c r="DJ637" s="614"/>
      <c r="DK637" s="614"/>
      <c r="DL637" s="614"/>
      <c r="DM637" s="614"/>
      <c r="DN637" s="614"/>
      <c r="DO637" s="614"/>
      <c r="DP637" s="614"/>
      <c r="DQ637" s="614"/>
      <c r="DR637" s="614"/>
      <c r="DS637" s="614"/>
      <c r="DT637" s="614"/>
      <c r="DU637" s="1975">
        <f t="shared" si="274"/>
        <v>-17.631</v>
      </c>
      <c r="DZ637" s="2010">
        <v>2024</v>
      </c>
      <c r="EA637" s="1861"/>
      <c r="EB637" s="838"/>
      <c r="EC637" s="1790"/>
      <c r="EF637" s="614"/>
      <c r="EG637" s="614"/>
      <c r="EH637" s="614"/>
      <c r="EI637" s="614"/>
      <c r="EJ637" s="614"/>
      <c r="EK637" s="614"/>
      <c r="EL637" s="614"/>
      <c r="EM637" s="614"/>
      <c r="EN637" s="614"/>
      <c r="EO637" s="614"/>
      <c r="ES637" s="1857">
        <v>2024</v>
      </c>
      <c r="ET637" s="1861"/>
      <c r="EU637" s="1861"/>
      <c r="EV637" s="838"/>
      <c r="EW637" s="1058"/>
      <c r="EX637" s="1058"/>
    </row>
    <row r="638" spans="73:154" ht="17.399999999999999">
      <c r="CW638" s="614"/>
      <c r="CX638" s="614"/>
      <c r="CY638" s="1857">
        <v>2025</v>
      </c>
      <c r="CZ638" s="1861"/>
      <c r="DA638" s="1595"/>
      <c r="DB638" s="1595"/>
      <c r="DC638" s="1595"/>
      <c r="DD638" s="1787">
        <f t="shared" si="267"/>
        <v>0</v>
      </c>
      <c r="DE638" s="830"/>
      <c r="DF638" s="1058"/>
      <c r="DG638" s="614"/>
      <c r="DH638" s="614"/>
      <c r="DI638" s="614"/>
      <c r="DJ638" s="614"/>
      <c r="DK638" s="614"/>
      <c r="DL638" s="614"/>
      <c r="DM638" s="614"/>
      <c r="DN638" s="614"/>
      <c r="DO638" s="614"/>
      <c r="DP638" s="614"/>
      <c r="DQ638" s="614"/>
      <c r="DR638" s="614"/>
      <c r="DS638" s="614"/>
      <c r="DT638" s="614"/>
      <c r="DU638" s="1975">
        <f t="shared" si="274"/>
        <v>-17.631</v>
      </c>
      <c r="DZ638" s="2010">
        <v>2025</v>
      </c>
      <c r="EA638" s="1861"/>
      <c r="EB638" s="838"/>
      <c r="EC638" s="1790"/>
      <c r="EF638" s="614"/>
      <c r="EG638" s="614"/>
      <c r="EH638" s="614"/>
      <c r="EI638" s="614"/>
      <c r="EJ638" s="614"/>
      <c r="EK638" s="614"/>
      <c r="EL638" s="614"/>
      <c r="EM638" s="614"/>
      <c r="EN638" s="614"/>
      <c r="EO638" s="614"/>
      <c r="ES638" s="1857">
        <v>2025</v>
      </c>
      <c r="ET638" s="1861"/>
      <c r="EU638" s="1861"/>
      <c r="EV638" s="838"/>
      <c r="EW638" s="1058"/>
      <c r="EX638" s="1058"/>
    </row>
    <row r="639" spans="73:154" ht="17.399999999999999">
      <c r="CW639" s="614"/>
      <c r="CX639" s="614"/>
      <c r="CY639" s="1857">
        <v>2026</v>
      </c>
      <c r="CZ639" s="1861"/>
      <c r="DA639" s="1595"/>
      <c r="DB639" s="1595"/>
      <c r="DC639" s="1595"/>
      <c r="DD639" s="1787">
        <f t="shared" si="267"/>
        <v>0</v>
      </c>
      <c r="DE639" s="830"/>
      <c r="DF639" s="1058"/>
      <c r="DG639" s="614"/>
      <c r="DH639" s="614"/>
      <c r="DI639" s="614"/>
      <c r="DJ639" s="614"/>
      <c r="DK639" s="614"/>
      <c r="DL639" s="614"/>
      <c r="DM639" s="614"/>
      <c r="DN639" s="614"/>
      <c r="DO639" s="614"/>
      <c r="DP639" s="614"/>
      <c r="DQ639" s="614"/>
      <c r="DR639" s="614"/>
      <c r="DS639" s="614"/>
      <c r="DT639" s="614"/>
      <c r="DU639" s="1975">
        <f t="shared" si="274"/>
        <v>-17.631</v>
      </c>
      <c r="DZ639" s="2010">
        <v>2026</v>
      </c>
      <c r="EA639" s="1861"/>
      <c r="EB639" s="838"/>
      <c r="EC639" s="1790"/>
      <c r="EF639" s="614"/>
      <c r="EG639" s="614"/>
      <c r="EH639" s="614"/>
      <c r="EI639" s="614"/>
      <c r="EJ639" s="614"/>
      <c r="EK639" s="614"/>
      <c r="EL639" s="614"/>
      <c r="EM639" s="614"/>
      <c r="EN639" s="614"/>
      <c r="EO639" s="614"/>
      <c r="ES639" s="1857">
        <v>2026</v>
      </c>
      <c r="ET639" s="1861"/>
      <c r="EU639" s="1861"/>
      <c r="EV639" s="838"/>
      <c r="EW639" s="1058"/>
      <c r="EX639" s="1058"/>
    </row>
    <row r="640" spans="73:154" ht="17.399999999999999">
      <c r="CW640" s="614"/>
      <c r="CX640" s="614"/>
      <c r="CY640" s="1857">
        <v>2027</v>
      </c>
      <c r="CZ640" s="1861"/>
      <c r="DA640" s="1595"/>
      <c r="DB640" s="1595"/>
      <c r="DC640" s="1595"/>
      <c r="DD640" s="1787">
        <f t="shared" si="267"/>
        <v>0</v>
      </c>
      <c r="DE640" s="830"/>
      <c r="DF640" s="1058"/>
      <c r="DG640" s="614"/>
      <c r="DH640" s="614"/>
      <c r="DI640" s="614"/>
      <c r="DJ640" s="614"/>
      <c r="DK640" s="614"/>
      <c r="DL640" s="614"/>
      <c r="DM640" s="614"/>
      <c r="DN640" s="614"/>
      <c r="DO640" s="614"/>
      <c r="DP640" s="614"/>
      <c r="DQ640" s="614"/>
      <c r="DR640" s="614"/>
      <c r="DS640" s="614"/>
      <c r="DT640" s="614"/>
      <c r="DU640" s="1975">
        <f t="shared" si="274"/>
        <v>-17.631</v>
      </c>
      <c r="DZ640" s="2010">
        <v>2027</v>
      </c>
      <c r="EA640" s="1861"/>
      <c r="EB640" s="838"/>
      <c r="EC640" s="1790"/>
      <c r="EF640" s="614"/>
      <c r="EG640" s="614"/>
      <c r="EH640" s="614"/>
      <c r="EI640" s="614"/>
      <c r="EJ640" s="614"/>
      <c r="EK640" s="614"/>
      <c r="EL640" s="614"/>
      <c r="EM640" s="614"/>
      <c r="EN640" s="614"/>
      <c r="EO640" s="614"/>
      <c r="ES640" s="1857">
        <v>2027</v>
      </c>
      <c r="ET640" s="1861"/>
      <c r="EU640" s="1861"/>
      <c r="EV640" s="838"/>
      <c r="EW640" s="1058"/>
      <c r="EX640" s="1058"/>
    </row>
    <row r="641" spans="101:154" ht="17.399999999999999">
      <c r="CW641" s="614"/>
      <c r="CX641" s="614"/>
      <c r="CY641" s="1857">
        <v>2028</v>
      </c>
      <c r="CZ641" s="1861"/>
      <c r="DA641" s="1595"/>
      <c r="DB641" s="1595"/>
      <c r="DC641" s="1595"/>
      <c r="DD641" s="1787">
        <f t="shared" si="267"/>
        <v>0</v>
      </c>
      <c r="DE641" s="830"/>
      <c r="DF641" s="1058"/>
      <c r="DG641" s="614"/>
      <c r="DH641" s="614"/>
      <c r="DI641" s="614"/>
      <c r="DJ641" s="614"/>
      <c r="DK641" s="614"/>
      <c r="DL641" s="614"/>
      <c r="DM641" s="614"/>
      <c r="DN641" s="614"/>
      <c r="DO641" s="614"/>
      <c r="DP641" s="614"/>
      <c r="DQ641" s="614"/>
      <c r="DR641" s="614"/>
      <c r="DS641" s="614"/>
      <c r="DT641" s="614"/>
      <c r="DU641" s="1975">
        <f t="shared" si="274"/>
        <v>-17.631</v>
      </c>
      <c r="DZ641" s="2010">
        <v>2028</v>
      </c>
      <c r="EA641" s="1861"/>
      <c r="EB641" s="838"/>
      <c r="EC641" s="1790"/>
      <c r="EF641" s="614"/>
      <c r="EG641" s="614"/>
      <c r="EH641" s="614"/>
      <c r="EI641" s="614"/>
      <c r="EJ641" s="614"/>
      <c r="EK641" s="614"/>
      <c r="EL641" s="614"/>
      <c r="EM641" s="614"/>
      <c r="EN641" s="614"/>
      <c r="EO641" s="614"/>
      <c r="ES641" s="1857">
        <v>2028</v>
      </c>
      <c r="ET641" s="1861"/>
      <c r="EU641" s="1861"/>
      <c r="EV641" s="838"/>
      <c r="EW641" s="1058"/>
      <c r="EX641" s="1058"/>
    </row>
    <row r="642" spans="101:154" ht="17.399999999999999">
      <c r="CW642" s="614"/>
      <c r="CX642" s="614"/>
      <c r="CY642" s="1857">
        <v>2029</v>
      </c>
      <c r="CZ642" s="1861"/>
      <c r="DA642" s="1595"/>
      <c r="DB642" s="1595"/>
      <c r="DC642" s="1595"/>
      <c r="DD642" s="1787">
        <f t="shared" si="267"/>
        <v>0</v>
      </c>
      <c r="DE642" s="830"/>
      <c r="DF642" s="1058"/>
      <c r="DG642" s="614"/>
      <c r="DH642" s="614"/>
      <c r="DI642" s="614"/>
      <c r="DJ642" s="614"/>
      <c r="DK642" s="614"/>
      <c r="DL642" s="614"/>
      <c r="DM642" s="614"/>
      <c r="DN642" s="614"/>
      <c r="DO642" s="614"/>
      <c r="DP642" s="614"/>
      <c r="DQ642" s="614"/>
      <c r="DR642" s="614"/>
      <c r="DS642" s="614"/>
      <c r="DT642" s="614"/>
      <c r="DU642" s="1975">
        <f t="shared" si="274"/>
        <v>-17.631</v>
      </c>
      <c r="DZ642" s="2010">
        <v>2029</v>
      </c>
      <c r="EA642" s="1861"/>
      <c r="EB642" s="838"/>
      <c r="EC642" s="1790"/>
      <c r="EF642" s="614"/>
      <c r="EG642" s="614"/>
      <c r="EH642" s="614"/>
      <c r="EI642" s="614"/>
      <c r="EJ642" s="614"/>
      <c r="EK642" s="614"/>
      <c r="EL642" s="614"/>
      <c r="EM642" s="614"/>
      <c r="EN642" s="614"/>
      <c r="EO642" s="614"/>
      <c r="ES642" s="1857">
        <v>2029</v>
      </c>
      <c r="ET642" s="1861"/>
      <c r="EU642" s="1861"/>
      <c r="EV642" s="838"/>
      <c r="EW642" s="1058"/>
      <c r="EX642" s="1058"/>
    </row>
    <row r="643" spans="101:154" ht="15.75" customHeight="1" thickBot="1">
      <c r="CW643" s="614"/>
      <c r="CX643" s="614"/>
      <c r="CY643" s="1862">
        <v>2030</v>
      </c>
      <c r="CZ643" s="1863"/>
      <c r="DA643" s="843"/>
      <c r="DB643" s="843"/>
      <c r="DC643" s="843"/>
      <c r="DD643" s="1787">
        <f t="shared" si="267"/>
        <v>0</v>
      </c>
      <c r="DE643" s="1646"/>
      <c r="DF643" s="1303"/>
      <c r="DG643" s="614"/>
      <c r="DH643" s="614"/>
      <c r="DI643" s="614"/>
      <c r="DJ643" s="614"/>
      <c r="DK643" s="614"/>
      <c r="DL643" s="614"/>
      <c r="DM643" s="614"/>
      <c r="DN643" s="614"/>
      <c r="DO643" s="614"/>
      <c r="DP643" s="614"/>
      <c r="DQ643" s="614"/>
      <c r="DR643" s="614"/>
      <c r="DS643" s="614"/>
      <c r="DT643" s="614"/>
      <c r="DU643" s="1976">
        <f t="shared" si="274"/>
        <v>-17.631</v>
      </c>
      <c r="DZ643" s="2012">
        <v>2030</v>
      </c>
      <c r="EA643" s="2013"/>
      <c r="EB643" s="1783"/>
      <c r="EC643" s="1791"/>
      <c r="EF643" s="614"/>
      <c r="EG643" s="614"/>
      <c r="EH643" s="614"/>
      <c r="EI643" s="614"/>
      <c r="EJ643" s="614"/>
      <c r="EK643" s="614"/>
      <c r="EL643" s="614"/>
      <c r="EM643" s="614"/>
      <c r="EN643" s="614"/>
      <c r="EO643" s="614"/>
      <c r="ES643" s="1862">
        <v>2030</v>
      </c>
      <c r="ET643" s="1863"/>
      <c r="EU643" s="1863"/>
      <c r="EV643" s="843"/>
      <c r="EW643" s="1303"/>
      <c r="EX643" s="1303"/>
    </row>
    <row r="644" spans="101:154" ht="18" customHeight="1">
      <c r="CW644" s="614"/>
      <c r="CX644" s="614"/>
      <c r="CY644" s="614"/>
      <c r="CZ644" s="614"/>
      <c r="DA644" s="614"/>
      <c r="DB644" s="614"/>
      <c r="DC644" s="614"/>
      <c r="DD644" s="614"/>
      <c r="DE644" s="614"/>
      <c r="DF644" s="614"/>
      <c r="DG644" s="614"/>
      <c r="DH644" s="614"/>
      <c r="DI644" s="614"/>
      <c r="DJ644" s="614"/>
      <c r="DK644" s="614"/>
      <c r="DL644" s="614"/>
      <c r="DM644" s="614"/>
      <c r="DN644" s="614"/>
      <c r="DO644" s="614"/>
      <c r="DP644" s="614"/>
      <c r="DQ644" s="614"/>
      <c r="DR644" s="614"/>
      <c r="DS644" s="614"/>
      <c r="DT644" s="614"/>
    </row>
    <row r="645" spans="101:154" ht="17.399999999999999">
      <c r="DK645" s="614"/>
    </row>
    <row r="647" spans="101:154" ht="18" thickBot="1">
      <c r="CW647" s="614"/>
      <c r="CX647" s="614"/>
      <c r="CY647" s="614"/>
      <c r="CZ647" s="614"/>
      <c r="DA647" s="614"/>
      <c r="DB647" s="614"/>
      <c r="DC647" s="614"/>
      <c r="DD647" s="614"/>
      <c r="DE647" s="614"/>
      <c r="DF647" s="614"/>
      <c r="DG647" s="614"/>
      <c r="DH647" s="614"/>
      <c r="DI647" s="614"/>
      <c r="DJ647" s="614"/>
      <c r="DL647" s="614"/>
      <c r="DM647" s="614"/>
      <c r="DN647" s="614"/>
      <c r="DO647" s="614"/>
      <c r="DP647" s="614"/>
      <c r="DQ647" s="614"/>
      <c r="DR647" s="614"/>
      <c r="DU647" s="614"/>
      <c r="DV647" s="614"/>
      <c r="DW647" s="614"/>
      <c r="DX647" s="614"/>
      <c r="DY647" s="614"/>
      <c r="DZ647" s="614"/>
      <c r="EA647" s="614"/>
      <c r="EB647" s="614"/>
      <c r="EC647" s="614"/>
      <c r="ED647" s="614"/>
      <c r="EE647" s="614"/>
      <c r="EF647" s="614"/>
      <c r="EG647" s="614"/>
      <c r="EH647" s="614"/>
      <c r="EI647" s="614"/>
      <c r="EJ647" s="614"/>
      <c r="EK647" s="614"/>
      <c r="EL647" s="614"/>
      <c r="EM647" s="614"/>
      <c r="EN647" s="614"/>
    </row>
    <row r="648" spans="101:154" ht="21">
      <c r="CW648" s="614"/>
      <c r="CX648" s="614"/>
      <c r="CY648" s="1852" t="s">
        <v>351</v>
      </c>
      <c r="CZ648" s="1864" t="s">
        <v>450</v>
      </c>
      <c r="DA648" s="1865" t="s">
        <v>1680</v>
      </c>
      <c r="DB648" s="1796" t="s">
        <v>652</v>
      </c>
      <c r="DC648" s="1869" t="s">
        <v>1679</v>
      </c>
      <c r="DD648" s="1867" t="s">
        <v>648</v>
      </c>
      <c r="DE648" s="614"/>
      <c r="DF648" s="614"/>
      <c r="DG648" s="614"/>
      <c r="DH648" s="614"/>
      <c r="DI648" s="614"/>
      <c r="DJ648" s="614"/>
      <c r="DK648" s="614"/>
      <c r="DL648" s="614"/>
      <c r="DM648" s="614"/>
      <c r="DN648" s="614"/>
      <c r="DO648" s="614"/>
      <c r="DP648" s="614"/>
      <c r="DQ648" s="614"/>
      <c r="DR648" s="614"/>
      <c r="DS648" s="1796" t="s">
        <v>652</v>
      </c>
      <c r="DU648" s="1852" t="s">
        <v>351</v>
      </c>
      <c r="DV648" s="1853" t="s">
        <v>450</v>
      </c>
      <c r="DW648" s="1865" t="s">
        <v>1680</v>
      </c>
      <c r="DX648" s="1853" t="s">
        <v>656</v>
      </c>
      <c r="DY648" s="1869" t="s">
        <v>1679</v>
      </c>
      <c r="DZ648" s="1867" t="s">
        <v>648</v>
      </c>
      <c r="EA648" s="1867" t="s">
        <v>37</v>
      </c>
      <c r="EB648" s="1867" t="s">
        <v>1683</v>
      </c>
      <c r="EC648" s="1867" t="s">
        <v>660</v>
      </c>
      <c r="ED648" s="614"/>
      <c r="EE648" s="614"/>
      <c r="EF648" s="614"/>
      <c r="EG648" s="614"/>
      <c r="EH648" s="614"/>
      <c r="EI648" s="614"/>
      <c r="EJ648" s="614"/>
      <c r="EK648" s="614"/>
      <c r="EL648" s="614"/>
      <c r="EM648" s="614"/>
      <c r="EN648" s="614"/>
      <c r="ES648" s="1852" t="s">
        <v>351</v>
      </c>
      <c r="ET648" s="1853" t="s">
        <v>450</v>
      </c>
      <c r="EU648" s="1865" t="s">
        <v>1680</v>
      </c>
      <c r="EV648" s="1853" t="s">
        <v>656</v>
      </c>
    </row>
    <row r="649" spans="101:154" ht="18" thickBot="1">
      <c r="CW649" s="614"/>
      <c r="CX649" s="614"/>
      <c r="CY649" s="1561">
        <v>43673</v>
      </c>
      <c r="CZ649" s="1854" t="s">
        <v>1618</v>
      </c>
      <c r="DA649" s="1855" t="s">
        <v>1454</v>
      </c>
      <c r="DB649" s="1856" t="s">
        <v>1454</v>
      </c>
      <c r="DC649" s="1855" t="s">
        <v>1454</v>
      </c>
      <c r="DD649" s="1855" t="s">
        <v>1454</v>
      </c>
      <c r="DE649" s="614"/>
      <c r="DF649" s="614"/>
      <c r="DG649" s="614"/>
      <c r="DH649" s="614"/>
      <c r="DI649" s="614"/>
      <c r="DJ649" s="614"/>
      <c r="DK649" s="614"/>
      <c r="DL649" s="614"/>
      <c r="DM649" s="614"/>
      <c r="DN649" s="614"/>
      <c r="DO649" s="614"/>
      <c r="DP649" s="614"/>
      <c r="DQ649" s="614"/>
      <c r="DR649" s="614"/>
      <c r="DS649" s="1856" t="s">
        <v>1368</v>
      </c>
      <c r="DU649" s="720">
        <v>43666</v>
      </c>
      <c r="DV649" s="1854" t="s">
        <v>1618</v>
      </c>
      <c r="DW649" s="1855" t="s">
        <v>1454</v>
      </c>
      <c r="DX649" s="1855" t="s">
        <v>46</v>
      </c>
      <c r="DY649" s="1855" t="s">
        <v>46</v>
      </c>
      <c r="DZ649" s="1855" t="s">
        <v>1454</v>
      </c>
      <c r="EA649" s="1855" t="s">
        <v>1454</v>
      </c>
      <c r="EB649" s="1855" t="s">
        <v>46</v>
      </c>
      <c r="EC649" s="1855" t="s">
        <v>46</v>
      </c>
      <c r="ED649" s="614"/>
      <c r="EE649" s="614"/>
      <c r="EF649" s="614"/>
      <c r="EG649" s="614"/>
      <c r="EH649" s="614"/>
      <c r="EI649" s="614"/>
      <c r="EJ649" s="614"/>
      <c r="EK649" s="614"/>
      <c r="EL649" s="614"/>
      <c r="EM649" s="614"/>
      <c r="EN649" s="614"/>
      <c r="ES649" s="1876">
        <v>43666</v>
      </c>
      <c r="ET649" s="1490" t="s">
        <v>1618</v>
      </c>
      <c r="EU649" s="1855" t="s">
        <v>1454</v>
      </c>
      <c r="EV649" s="1855" t="s">
        <v>46</v>
      </c>
    </row>
    <row r="650" spans="101:154" ht="18" customHeight="1">
      <c r="CW650" s="614"/>
      <c r="CX650" s="614"/>
      <c r="CY650" s="1857">
        <v>1995</v>
      </c>
      <c r="CZ650" s="1874">
        <f t="array" ref="CZ650:CZ671">TRANSPOSE(U83:AP83)</f>
        <v>230.40700000000001</v>
      </c>
      <c r="DA650" s="1802">
        <f t="array" ref="DA650:DA671">TRANSPOSE(U166:AP166)</f>
        <v>1</v>
      </c>
      <c r="DB650" s="1802">
        <v>1</v>
      </c>
      <c r="DC650" s="1803">
        <v>1</v>
      </c>
      <c r="DD650" s="1804">
        <v>1</v>
      </c>
      <c r="DE650" s="614"/>
      <c r="DF650" s="614"/>
      <c r="DG650" s="614"/>
      <c r="DH650" s="614"/>
      <c r="DI650" s="614"/>
      <c r="DJ650" s="614"/>
      <c r="DK650" s="614"/>
      <c r="DL650" s="614"/>
      <c r="DM650" s="614"/>
      <c r="DN650" s="614"/>
      <c r="DO650" s="614"/>
      <c r="DP650" s="614"/>
      <c r="DQ650" s="614"/>
      <c r="DR650" s="614"/>
      <c r="DS650" s="1369">
        <v>1</v>
      </c>
      <c r="DU650" s="1857">
        <v>1995</v>
      </c>
      <c r="DV650" s="1858">
        <v>0.230407</v>
      </c>
      <c r="DW650" s="1802">
        <v>1</v>
      </c>
      <c r="DX650" s="1200">
        <f>DV650*1000</f>
        <v>230.40700000000001</v>
      </c>
      <c r="DY650" s="1803"/>
      <c r="DZ650" s="1804">
        <v>1</v>
      </c>
      <c r="EA650" s="1055">
        <v>1</v>
      </c>
      <c r="EB650" s="1200">
        <v>266.97399999999999</v>
      </c>
      <c r="EC650" s="1494">
        <f>EB650</f>
        <v>266.97399999999999</v>
      </c>
      <c r="ED650" s="614"/>
      <c r="EE650" s="614"/>
      <c r="EF650" s="614"/>
      <c r="EG650" s="614"/>
      <c r="EH650" s="614"/>
      <c r="EI650" s="614"/>
      <c r="EJ650" s="614"/>
      <c r="EK650" s="614"/>
      <c r="EL650" s="614"/>
      <c r="EM650" s="614"/>
      <c r="EN650" s="614"/>
      <c r="ES650" s="1857">
        <v>1995</v>
      </c>
      <c r="ET650" s="1858">
        <v>0.230407</v>
      </c>
      <c r="EU650" s="1802">
        <v>1</v>
      </c>
      <c r="EV650" s="1494">
        <v>230.40700000000001</v>
      </c>
    </row>
    <row r="651" spans="101:154" ht="17.399999999999999">
      <c r="CW651" s="614"/>
      <c r="CX651" s="614"/>
      <c r="CY651" s="1857">
        <v>1996</v>
      </c>
      <c r="CZ651" s="1875">
        <v>334.30200000000002</v>
      </c>
      <c r="DA651" s="1597">
        <v>0.85579937304075238</v>
      </c>
      <c r="DB651" s="1597">
        <f t="shared" ref="DB651:DB671" si="275">CZ651/(CZ$650*DA651)</f>
        <v>1.6953967315458069</v>
      </c>
      <c r="DC651" s="1787">
        <f>DD651</f>
        <v>0</v>
      </c>
      <c r="DD651" s="1035">
        <f t="shared" ref="DD651:DD685" si="276">DT185</f>
        <v>0</v>
      </c>
      <c r="DE651" s="614"/>
      <c r="DF651" s="614"/>
      <c r="DG651" s="614"/>
      <c r="DH651" s="614"/>
      <c r="DI651" s="614"/>
      <c r="DJ651" s="614"/>
      <c r="DK651" s="614"/>
      <c r="DL651" s="614"/>
      <c r="DM651" s="614"/>
      <c r="DN651" s="614"/>
      <c r="DO651" s="614"/>
      <c r="DP651" s="614"/>
      <c r="DQ651" s="614"/>
      <c r="DR651" s="614"/>
      <c r="DS651" s="1975">
        <f>DB651</f>
        <v>1.6953967315458069</v>
      </c>
      <c r="DU651" s="1857">
        <v>1996</v>
      </c>
      <c r="DV651" s="1859">
        <v>0.33430200000000004</v>
      </c>
      <c r="DW651" s="1597">
        <v>0.85579937304075238</v>
      </c>
      <c r="DX651" s="1786">
        <f t="shared" ref="DX651:DX671" si="277">DX$650*DW651</f>
        <v>197.18216614420064</v>
      </c>
      <c r="DY651" s="1787"/>
      <c r="DZ651" s="1035">
        <v>1.7194377618988257</v>
      </c>
      <c r="EA651" s="1861">
        <v>0.81899999999999995</v>
      </c>
      <c r="EB651" s="1201">
        <v>375.95800000000003</v>
      </c>
      <c r="EC651" s="1495">
        <f t="shared" ref="EC651:EC671" si="278">EC$650*EA651</f>
        <v>218.65170599999999</v>
      </c>
      <c r="ED651" s="614"/>
      <c r="EE651" s="614"/>
      <c r="EF651" s="614"/>
      <c r="EG651" s="614"/>
      <c r="EH651" s="614"/>
      <c r="EI651" s="614"/>
      <c r="EJ651" s="614"/>
      <c r="EK651" s="614"/>
      <c r="EL651" s="614"/>
      <c r="EM651" s="614"/>
      <c r="EN651" s="614"/>
      <c r="ES651" s="1857">
        <v>1996</v>
      </c>
      <c r="ET651" s="1859">
        <v>0.33430200000000004</v>
      </c>
      <c r="EU651" s="1382">
        <v>0.85579937304075238</v>
      </c>
      <c r="EV651" s="1495">
        <v>197.18216614420064</v>
      </c>
    </row>
    <row r="652" spans="101:154" ht="17.399999999999999">
      <c r="CW652" s="614"/>
      <c r="CX652" s="614"/>
      <c r="CY652" s="1857">
        <v>1997</v>
      </c>
      <c r="CZ652" s="1875">
        <v>406.47199999999998</v>
      </c>
      <c r="DA652" s="1597">
        <v>0.73040752351097182</v>
      </c>
      <c r="DB652" s="1597">
        <f t="shared" si="275"/>
        <v>2.415292468742241</v>
      </c>
      <c r="DC652" s="1787">
        <f t="shared" ref="DC652:DC671" si="279">DD652</f>
        <v>0</v>
      </c>
      <c r="DD652" s="1035">
        <f t="shared" si="276"/>
        <v>0</v>
      </c>
      <c r="DE652" s="614"/>
      <c r="DF652" s="614"/>
      <c r="DG652" s="614"/>
      <c r="DH652" s="614"/>
      <c r="DI652" s="614"/>
      <c r="DJ652" s="614"/>
      <c r="DK652" s="614"/>
      <c r="DL652" s="614"/>
      <c r="DM652" s="614"/>
      <c r="DN652" s="614"/>
      <c r="DO652" s="614"/>
      <c r="DP652" s="614"/>
      <c r="DQ652" s="614"/>
      <c r="DR652" s="614"/>
      <c r="DS652" s="1975">
        <f t="shared" ref="DS652:DS685" si="280">DB652</f>
        <v>2.415292468742241</v>
      </c>
      <c r="DU652" s="1857">
        <v>1997</v>
      </c>
      <c r="DV652" s="1859">
        <v>0.406472</v>
      </c>
      <c r="DW652" s="1597">
        <v>0.73040752351097182</v>
      </c>
      <c r="DX652" s="1786">
        <f t="shared" si="277"/>
        <v>168.29100626959249</v>
      </c>
      <c r="DY652" s="1787">
        <f>0.7*DX652+0.2*DX651+0.1*DX650</f>
        <v>180.28083761755488</v>
      </c>
      <c r="DZ652" s="1035">
        <v>1.9680277801214479</v>
      </c>
      <c r="EA652" s="1860">
        <v>0.77804999999999991</v>
      </c>
      <c r="EB652" s="1201">
        <v>408.79700000000003</v>
      </c>
      <c r="EC652" s="1495">
        <f t="shared" si="278"/>
        <v>207.71912069999996</v>
      </c>
      <c r="ED652" s="614"/>
      <c r="EE652" s="614"/>
      <c r="EF652" s="614"/>
      <c r="EG652" s="614"/>
      <c r="EH652" s="614"/>
      <c r="EI652" s="614"/>
      <c r="EJ652" s="614"/>
      <c r="EK652" s="614"/>
      <c r="EL652" s="614"/>
      <c r="EM652" s="614"/>
      <c r="EN652" s="614"/>
      <c r="ES652" s="1857">
        <v>1997</v>
      </c>
      <c r="ET652" s="1859">
        <v>0.406472</v>
      </c>
      <c r="EU652" s="1382">
        <v>0.73040752351097182</v>
      </c>
      <c r="EV652" s="1495">
        <v>168.29100626959249</v>
      </c>
    </row>
    <row r="653" spans="101:154" ht="17.399999999999999">
      <c r="CW653" s="614"/>
      <c r="CX653" s="614"/>
      <c r="CY653" s="1857">
        <v>1998</v>
      </c>
      <c r="CZ653" s="1875">
        <v>428.56400000000002</v>
      </c>
      <c r="DA653" s="1597">
        <v>0.6959247648902821</v>
      </c>
      <c r="DB653" s="1597">
        <f t="shared" si="275"/>
        <v>2.6727462335842294</v>
      </c>
      <c r="DC653" s="1787">
        <f t="shared" si="279"/>
        <v>0</v>
      </c>
      <c r="DD653" s="1035">
        <f t="shared" si="276"/>
        <v>0</v>
      </c>
      <c r="DE653" s="614"/>
      <c r="DF653" s="614"/>
      <c r="DG653" s="614"/>
      <c r="DH653" s="614"/>
      <c r="DI653" s="614"/>
      <c r="DJ653" s="614"/>
      <c r="DK653" s="614"/>
      <c r="DL653" s="614"/>
      <c r="DM653" s="614"/>
      <c r="DN653" s="614"/>
      <c r="DO653" s="614"/>
      <c r="DP653" s="614"/>
      <c r="DQ653" s="614"/>
      <c r="DR653" s="614"/>
      <c r="DS653" s="1975">
        <f t="shared" si="280"/>
        <v>2.6727462335842294</v>
      </c>
      <c r="DU653" s="1857">
        <v>1998</v>
      </c>
      <c r="DV653" s="1859">
        <v>0.428564</v>
      </c>
      <c r="DW653" s="1597">
        <v>0.6959247648902821</v>
      </c>
      <c r="DX653" s="1786">
        <f t="shared" si="277"/>
        <v>160.34593730407522</v>
      </c>
      <c r="DY653" s="1787">
        <f t="shared" ref="DY653:DY671" si="281">0.7*DX653+0.2*DX652+0.1*DX651</f>
        <v>165.61857398119122</v>
      </c>
      <c r="DZ653" s="1035">
        <v>2.2270348811115843</v>
      </c>
      <c r="EA653" s="1860">
        <v>0.68468399999999996</v>
      </c>
      <c r="EB653" s="1201">
        <v>407.08600000000001</v>
      </c>
      <c r="EC653" s="1495">
        <f t="shared" si="278"/>
        <v>182.79282621599998</v>
      </c>
      <c r="ED653" s="614"/>
      <c r="EE653" s="614"/>
      <c r="EF653" s="614"/>
      <c r="EG653" s="614"/>
      <c r="EH653" s="614"/>
      <c r="EI653" s="614"/>
      <c r="EJ653" s="614"/>
      <c r="EK653" s="614"/>
      <c r="EL653" s="614"/>
      <c r="EM653" s="614"/>
      <c r="EN653" s="614"/>
      <c r="ES653" s="1857">
        <v>1998</v>
      </c>
      <c r="ET653" s="1859">
        <v>0.428564</v>
      </c>
      <c r="EU653" s="1382">
        <v>0.6959247648902821</v>
      </c>
      <c r="EV653" s="1495">
        <v>160.34593730407522</v>
      </c>
    </row>
    <row r="654" spans="101:154" ht="17.399999999999999">
      <c r="CW654" s="614"/>
      <c r="CX654" s="614"/>
      <c r="CY654" s="1857">
        <v>1999</v>
      </c>
      <c r="CZ654" s="1875">
        <v>597.30600000000004</v>
      </c>
      <c r="DA654" s="1597">
        <v>0.74294670846394983</v>
      </c>
      <c r="DB654" s="1597">
        <f t="shared" si="275"/>
        <v>3.4893420575027583</v>
      </c>
      <c r="DC654" s="1787">
        <f t="shared" si="279"/>
        <v>0</v>
      </c>
      <c r="DD654" s="1035">
        <f t="shared" si="276"/>
        <v>0</v>
      </c>
      <c r="DE654" s="614"/>
      <c r="DF654" s="614"/>
      <c r="DG654" s="614"/>
      <c r="DH654" s="614"/>
      <c r="DI654" s="614"/>
      <c r="DJ654" s="614"/>
      <c r="DK654" s="614"/>
      <c r="DL654" s="614"/>
      <c r="DM654" s="614"/>
      <c r="DN654" s="614"/>
      <c r="DO654" s="614"/>
      <c r="DP654" s="614"/>
      <c r="DQ654" s="614"/>
      <c r="DR654" s="614"/>
      <c r="DS654" s="1975">
        <f t="shared" si="280"/>
        <v>3.4893420575027583</v>
      </c>
      <c r="DU654" s="1857">
        <v>1999</v>
      </c>
      <c r="DV654" s="1859">
        <v>0.597306</v>
      </c>
      <c r="DW654" s="1597">
        <v>0.74294670846394983</v>
      </c>
      <c r="DX654" s="1786">
        <f t="shared" si="277"/>
        <v>171.18012225705328</v>
      </c>
      <c r="DY654" s="1787">
        <f t="shared" si="281"/>
        <v>168.72437366771157</v>
      </c>
      <c r="DZ654" s="1035">
        <v>3.4930984248737649</v>
      </c>
      <c r="EA654" s="1860">
        <v>0.71891819999999995</v>
      </c>
      <c r="EB654" s="1201">
        <v>670.43899999999996</v>
      </c>
      <c r="EC654" s="1495">
        <f t="shared" si="278"/>
        <v>191.93246752679997</v>
      </c>
      <c r="ED654" s="614"/>
      <c r="EE654" s="614"/>
      <c r="EF654" s="614"/>
      <c r="EG654" s="614"/>
      <c r="EH654" s="614"/>
      <c r="EI654" s="614"/>
      <c r="EJ654" s="614"/>
      <c r="EK654" s="614"/>
      <c r="EL654" s="614"/>
      <c r="EM654" s="614"/>
      <c r="EN654" s="614"/>
      <c r="ES654" s="1857">
        <v>1999</v>
      </c>
      <c r="ET654" s="1859">
        <v>0.597306</v>
      </c>
      <c r="EU654" s="1382">
        <v>0.74294670846394983</v>
      </c>
      <c r="EV654" s="1495">
        <v>171.18012225705328</v>
      </c>
    </row>
    <row r="655" spans="101:154" ht="17.399999999999999">
      <c r="CW655" s="614"/>
      <c r="CX655" s="614"/>
      <c r="CY655" s="1857">
        <v>2000</v>
      </c>
      <c r="CZ655" s="1875">
        <v>843.37800000000004</v>
      </c>
      <c r="DA655" s="1597">
        <v>0.92789968652037635</v>
      </c>
      <c r="DB655" s="1597">
        <f t="shared" si="275"/>
        <v>3.9448052793534916</v>
      </c>
      <c r="DC655" s="1787">
        <f t="shared" si="279"/>
        <v>0</v>
      </c>
      <c r="DD655" s="1035">
        <f t="shared" si="276"/>
        <v>0</v>
      </c>
      <c r="DE655" s="614"/>
      <c r="DF655" s="614"/>
      <c r="DG655" s="614"/>
      <c r="DH655" s="614"/>
      <c r="DI655" s="614"/>
      <c r="DJ655" s="614"/>
      <c r="DK655" s="614"/>
      <c r="DL655" s="614"/>
      <c r="DM655" s="614"/>
      <c r="DN655" s="614"/>
      <c r="DO655" s="614"/>
      <c r="DP655" s="614"/>
      <c r="DQ655" s="614"/>
      <c r="DR655" s="614"/>
      <c r="DS655" s="1975">
        <f t="shared" si="280"/>
        <v>3.9448052793534916</v>
      </c>
      <c r="DU655" s="1857">
        <v>2000</v>
      </c>
      <c r="DV655" s="1859">
        <v>0.84337800000000007</v>
      </c>
      <c r="DW655" s="1597">
        <v>0.92789968652037635</v>
      </c>
      <c r="DX655" s="1786">
        <f t="shared" si="277"/>
        <v>213.79458307210035</v>
      </c>
      <c r="DY655" s="1787">
        <f t="shared" si="281"/>
        <v>199.92682633228841</v>
      </c>
      <c r="DZ655" s="1035">
        <v>5.1712627496070169</v>
      </c>
      <c r="EA655" s="1860">
        <v>0.84400996679999984</v>
      </c>
      <c r="EB655" s="1201">
        <v>1165.2339999999999</v>
      </c>
      <c r="EC655" s="1495">
        <f t="shared" si="278"/>
        <v>225.32871687646315</v>
      </c>
      <c r="ED655" s="614"/>
      <c r="EE655" s="614"/>
      <c r="EF655" s="614"/>
      <c r="EG655" s="614"/>
      <c r="EH655" s="614"/>
      <c r="EI655" s="614"/>
      <c r="EJ655" s="614"/>
      <c r="EK655" s="614"/>
      <c r="EL655" s="614"/>
      <c r="EM655" s="614"/>
      <c r="EN655" s="614"/>
      <c r="ES655" s="1857">
        <v>2000</v>
      </c>
      <c r="ET655" s="1859">
        <v>0.84337800000000007</v>
      </c>
      <c r="EU655" s="1382">
        <v>0.92789968652037635</v>
      </c>
      <c r="EV655" s="1495">
        <v>213.79458307210035</v>
      </c>
    </row>
    <row r="656" spans="101:154" ht="17.399999999999999">
      <c r="CW656" s="614"/>
      <c r="CX656" s="614"/>
      <c r="CY656" s="1857">
        <v>2001</v>
      </c>
      <c r="CZ656" s="1875">
        <v>1117.655</v>
      </c>
      <c r="DA656" s="1597">
        <v>1.103448275862069</v>
      </c>
      <c r="DB656" s="1597">
        <f t="shared" si="275"/>
        <v>4.3960246162225971</v>
      </c>
      <c r="DC656" s="1787">
        <f t="shared" si="279"/>
        <v>0</v>
      </c>
      <c r="DD656" s="1035">
        <f t="shared" si="276"/>
        <v>0</v>
      </c>
      <c r="DE656" s="614"/>
      <c r="DF656" s="614"/>
      <c r="DG656" s="614"/>
      <c r="DH656" s="614"/>
      <c r="DI656" s="614"/>
      <c r="DJ656" s="614"/>
      <c r="DK656" s="614"/>
      <c r="DL656" s="614"/>
      <c r="DM656" s="614"/>
      <c r="DN656" s="614"/>
      <c r="DO656" s="614"/>
      <c r="DP656" s="614"/>
      <c r="DQ656" s="614"/>
      <c r="DR656" s="614"/>
      <c r="DS656" s="1975">
        <f t="shared" si="280"/>
        <v>4.3960246162225971</v>
      </c>
      <c r="DU656" s="1857">
        <v>2001</v>
      </c>
      <c r="DV656" s="1859">
        <v>1.1176550000000001</v>
      </c>
      <c r="DW656" s="1597">
        <v>1.103448275862069</v>
      </c>
      <c r="DX656" s="1786">
        <f t="shared" si="277"/>
        <v>254.24220689655172</v>
      </c>
      <c r="DY656" s="1787">
        <f t="shared" si="281"/>
        <v>237.84647366771162</v>
      </c>
      <c r="DZ656" s="1035">
        <v>6.0707268468539208</v>
      </c>
      <c r="EA656" s="1860">
        <v>0.92841096347999985</v>
      </c>
      <c r="EB656" s="1201">
        <v>1504.7</v>
      </c>
      <c r="EC656" s="1495">
        <f t="shared" si="278"/>
        <v>247.86158856410947</v>
      </c>
      <c r="ED656" s="614"/>
      <c r="EE656" s="614"/>
      <c r="EF656" s="614"/>
      <c r="EG656" s="614"/>
      <c r="EH656" s="614"/>
      <c r="EI656" s="614"/>
      <c r="EJ656" s="614"/>
      <c r="EK656" s="614"/>
      <c r="EL656" s="614"/>
      <c r="EM656" s="614"/>
      <c r="EN656" s="614"/>
      <c r="ES656" s="1857">
        <v>2001</v>
      </c>
      <c r="ET656" s="1859">
        <v>1.1176550000000001</v>
      </c>
      <c r="EU656" s="1382">
        <v>1.103448275862069</v>
      </c>
      <c r="EV656" s="1495">
        <v>254.24220689655172</v>
      </c>
    </row>
    <row r="657" spans="101:152" ht="17.399999999999999">
      <c r="CW657" s="614"/>
      <c r="CX657" s="614"/>
      <c r="CY657" s="1857">
        <v>2002</v>
      </c>
      <c r="CZ657" s="1875">
        <v>1615.0630000000001</v>
      </c>
      <c r="DA657" s="1597">
        <v>1.1912225705329151</v>
      </c>
      <c r="DB657" s="1597">
        <f t="shared" si="275"/>
        <v>5.8843823618297426</v>
      </c>
      <c r="DC657" s="1787">
        <f t="shared" si="279"/>
        <v>0</v>
      </c>
      <c r="DD657" s="1035">
        <f t="shared" si="276"/>
        <v>0</v>
      </c>
      <c r="DE657" s="614"/>
      <c r="DF657" s="614"/>
      <c r="DG657" s="614"/>
      <c r="DH657" s="614"/>
      <c r="DI657" s="614"/>
      <c r="DJ657" s="614"/>
      <c r="DK657" s="614"/>
      <c r="DL657" s="614"/>
      <c r="DM657" s="614"/>
      <c r="DN657" s="614"/>
      <c r="DO657" s="614"/>
      <c r="DP657" s="614"/>
      <c r="DQ657" s="614"/>
      <c r="DR657" s="614"/>
      <c r="DS657" s="1975">
        <f t="shared" si="280"/>
        <v>5.8843823618297426</v>
      </c>
      <c r="DU657" s="1857">
        <v>2002</v>
      </c>
      <c r="DV657" s="1859">
        <v>1.6150630000000001</v>
      </c>
      <c r="DW657" s="1597">
        <v>1.1912225705329151</v>
      </c>
      <c r="DX657" s="1786">
        <f t="shared" si="277"/>
        <v>274.46601880877739</v>
      </c>
      <c r="DY657" s="1787">
        <f t="shared" si="281"/>
        <v>264.35411285266457</v>
      </c>
      <c r="DZ657" s="1035">
        <v>6.9167509862711292</v>
      </c>
      <c r="EA657" s="1860">
        <v>0.95440647045743987</v>
      </c>
      <c r="EB657" s="1201">
        <v>1762.4</v>
      </c>
      <c r="EC657" s="1495">
        <f t="shared" si="278"/>
        <v>254.80171304390456</v>
      </c>
      <c r="ED657" s="614"/>
      <c r="EE657" s="614"/>
      <c r="EF657" s="614"/>
      <c r="EG657" s="614"/>
      <c r="EH657" s="614"/>
      <c r="EI657" s="614"/>
      <c r="EJ657" s="614"/>
      <c r="EK657" s="614"/>
      <c r="EL657" s="614"/>
      <c r="EM657" s="614"/>
      <c r="EN657" s="614"/>
      <c r="ES657" s="1857">
        <v>2002</v>
      </c>
      <c r="ET657" s="1859">
        <v>1.6150630000000001</v>
      </c>
      <c r="EU657" s="1382">
        <v>1.1912225705329151</v>
      </c>
      <c r="EV657" s="1495">
        <v>274.46601880877739</v>
      </c>
    </row>
    <row r="658" spans="101:152" ht="17.399999999999999">
      <c r="CW658" s="614"/>
      <c r="CX658" s="614"/>
      <c r="CY658" s="1857">
        <v>2003</v>
      </c>
      <c r="CZ658" s="1875">
        <v>1815.6579999999999</v>
      </c>
      <c r="DA658" s="1597">
        <v>1.3354231974921627</v>
      </c>
      <c r="DB658" s="1597">
        <f t="shared" si="275"/>
        <v>5.900916404490272</v>
      </c>
      <c r="DC658" s="1787">
        <f t="shared" si="279"/>
        <v>0</v>
      </c>
      <c r="DD658" s="1035">
        <f t="shared" si="276"/>
        <v>0</v>
      </c>
      <c r="DE658" s="614"/>
      <c r="DF658" s="614"/>
      <c r="DG658" s="614"/>
      <c r="DH658" s="614"/>
      <c r="DI658" s="614"/>
      <c r="DJ658" s="614"/>
      <c r="DK658" s="614"/>
      <c r="DL658" s="614"/>
      <c r="DM658" s="614"/>
      <c r="DN658" s="614"/>
      <c r="DO658" s="614"/>
      <c r="DP658" s="614"/>
      <c r="DQ658" s="614"/>
      <c r="DR658" s="614"/>
      <c r="DS658" s="1975">
        <f t="shared" si="280"/>
        <v>5.900916404490272</v>
      </c>
      <c r="DU658" s="1857">
        <v>2003</v>
      </c>
      <c r="DV658" s="1859">
        <v>1.815658</v>
      </c>
      <c r="DW658" s="1597">
        <v>1.3354231974921627</v>
      </c>
      <c r="DX658" s="1786">
        <f t="shared" si="277"/>
        <v>307.69085266457671</v>
      </c>
      <c r="DY658" s="1787">
        <f t="shared" si="281"/>
        <v>295.70102131661434</v>
      </c>
      <c r="DZ658" s="1035">
        <v>7.6273689193439242</v>
      </c>
      <c r="EA658" s="1860">
        <v>1.0737072792646198</v>
      </c>
      <c r="EB658" s="1201">
        <v>2186.4</v>
      </c>
      <c r="EC658" s="1495">
        <f t="shared" si="278"/>
        <v>286.6519271743926</v>
      </c>
      <c r="ED658" s="614"/>
      <c r="EE658" s="614"/>
      <c r="EF658" s="614"/>
      <c r="EG658" s="614"/>
      <c r="EH658" s="614"/>
      <c r="EI658" s="614"/>
      <c r="EJ658" s="614"/>
      <c r="EK658" s="614"/>
      <c r="EL658" s="614"/>
      <c r="EM658" s="614"/>
      <c r="EN658" s="614"/>
      <c r="ES658" s="1857">
        <v>2003</v>
      </c>
      <c r="ET658" s="1859">
        <v>1.815658</v>
      </c>
      <c r="EU658" s="1382">
        <v>1.3354231974921627</v>
      </c>
      <c r="EV658" s="1495">
        <v>307.69085266457671</v>
      </c>
    </row>
    <row r="659" spans="101:152" ht="17.399999999999999">
      <c r="CW659" s="614"/>
      <c r="CX659" s="614"/>
      <c r="CY659" s="1857">
        <v>2004</v>
      </c>
      <c r="CZ659" s="1875">
        <v>1972.1120000000001</v>
      </c>
      <c r="DA659" s="1597">
        <v>1.4921630094043885</v>
      </c>
      <c r="DB659" s="1597">
        <f t="shared" si="275"/>
        <v>5.7361386042739948</v>
      </c>
      <c r="DC659" s="1787">
        <f t="shared" si="279"/>
        <v>0</v>
      </c>
      <c r="DD659" s="1035">
        <f t="shared" si="276"/>
        <v>0</v>
      </c>
      <c r="DE659" s="614"/>
      <c r="DF659" s="614"/>
      <c r="DG659" s="614"/>
      <c r="DH659" s="614"/>
      <c r="DI659" s="614"/>
      <c r="DJ659" s="614"/>
      <c r="DK659" s="614"/>
      <c r="DL659" s="614"/>
      <c r="DM659" s="614"/>
      <c r="DN659" s="614"/>
      <c r="DO659" s="614"/>
      <c r="DP659" s="614"/>
      <c r="DQ659" s="614"/>
      <c r="DR659" s="614"/>
      <c r="DS659" s="1975">
        <f t="shared" si="280"/>
        <v>5.7361386042739948</v>
      </c>
      <c r="DU659" s="1857">
        <v>2004</v>
      </c>
      <c r="DV659" s="1859">
        <v>1.9721120000000001</v>
      </c>
      <c r="DW659" s="1597">
        <v>1.4921630094043885</v>
      </c>
      <c r="DX659" s="1786">
        <f t="shared" si="277"/>
        <v>343.80480250783694</v>
      </c>
      <c r="DY659" s="1787">
        <f t="shared" si="281"/>
        <v>329.64813416927893</v>
      </c>
      <c r="DZ659" s="1035">
        <v>8.7904133177964709</v>
      </c>
      <c r="EA659" s="1860">
        <v>1.2208051765238728</v>
      </c>
      <c r="EB659" s="1201">
        <v>2865</v>
      </c>
      <c r="EC659" s="1495">
        <f t="shared" si="278"/>
        <v>325.92324119728437</v>
      </c>
      <c r="ED659" s="614"/>
      <c r="EE659" s="614"/>
      <c r="EF659" s="614"/>
      <c r="EG659" s="614"/>
      <c r="EH659" s="614"/>
      <c r="EI659" s="614"/>
      <c r="EJ659" s="614"/>
      <c r="EK659" s="614"/>
      <c r="EL659" s="614"/>
      <c r="EM659" s="614"/>
      <c r="EN659" s="614"/>
      <c r="ES659" s="1857">
        <v>2004</v>
      </c>
      <c r="ET659" s="1859">
        <v>1.9721120000000001</v>
      </c>
      <c r="EU659" s="1382">
        <v>1.4921630094043885</v>
      </c>
      <c r="EV659" s="1495">
        <v>343.80480250783694</v>
      </c>
    </row>
    <row r="660" spans="101:152" ht="17.399999999999999">
      <c r="CW660" s="614"/>
      <c r="CX660" s="614"/>
      <c r="CY660" s="1857">
        <v>2005</v>
      </c>
      <c r="CZ660" s="1875">
        <v>2943.6860000000001</v>
      </c>
      <c r="DA660" s="1597">
        <v>1.6551724137931032</v>
      </c>
      <c r="DB660" s="1597">
        <f t="shared" si="275"/>
        <v>7.7188495068870893</v>
      </c>
      <c r="DC660" s="1787">
        <f t="shared" si="279"/>
        <v>0</v>
      </c>
      <c r="DD660" s="1035">
        <f t="shared" si="276"/>
        <v>0</v>
      </c>
      <c r="DE660" s="614"/>
      <c r="DF660" s="614"/>
      <c r="DG660" s="614"/>
      <c r="DH660" s="614"/>
      <c r="DI660" s="614"/>
      <c r="DJ660" s="614"/>
      <c r="DK660" s="614"/>
      <c r="DL660" s="614"/>
      <c r="DM660" s="614"/>
      <c r="DN660" s="614"/>
      <c r="DO660" s="614"/>
      <c r="DP660" s="614"/>
      <c r="DQ660" s="614"/>
      <c r="DR660" s="614"/>
      <c r="DS660" s="1975">
        <f t="shared" si="280"/>
        <v>7.7188495068870893</v>
      </c>
      <c r="DU660" s="1857">
        <v>2005</v>
      </c>
      <c r="DV660" s="1859">
        <v>2.943686</v>
      </c>
      <c r="DW660" s="1597">
        <v>1.6551724137931032</v>
      </c>
      <c r="DX660" s="1786">
        <f t="shared" si="277"/>
        <v>381.36331034482754</v>
      </c>
      <c r="DY660" s="1787">
        <f t="shared" si="281"/>
        <v>366.48436300940438</v>
      </c>
      <c r="DZ660" s="1035">
        <v>10.054085870175701</v>
      </c>
      <c r="EA660" s="1860">
        <v>1.3453273045293079</v>
      </c>
      <c r="EB660" s="1201">
        <v>3611.1</v>
      </c>
      <c r="EC660" s="1495">
        <f t="shared" si="278"/>
        <v>359.16741179940743</v>
      </c>
      <c r="ED660" s="614"/>
      <c r="EE660" s="614"/>
      <c r="EF660" s="614"/>
      <c r="EG660" s="614"/>
      <c r="EH660" s="614"/>
      <c r="EI660" s="614"/>
      <c r="EJ660" s="614"/>
      <c r="EK660" s="614"/>
      <c r="EL660" s="614"/>
      <c r="EM660" s="614"/>
      <c r="EN660" s="614"/>
      <c r="ES660" s="1857">
        <v>2005</v>
      </c>
      <c r="ET660" s="1859">
        <v>2.943686</v>
      </c>
      <c r="EU660" s="1382">
        <v>1.6551724137931032</v>
      </c>
      <c r="EV660" s="1495">
        <v>381.36331034482754</v>
      </c>
    </row>
    <row r="661" spans="101:152" ht="17.399999999999999">
      <c r="CW661" s="614"/>
      <c r="CX661" s="614"/>
      <c r="CY661" s="1857">
        <v>2006</v>
      </c>
      <c r="CZ661" s="1875">
        <v>3252.4360000000001</v>
      </c>
      <c r="DA661" s="1597">
        <v>1.9247648902821313</v>
      </c>
      <c r="DB661" s="1597">
        <f t="shared" si="275"/>
        <v>7.3339070619814839</v>
      </c>
      <c r="DC661" s="1787">
        <f t="shared" si="279"/>
        <v>0</v>
      </c>
      <c r="DD661" s="1035">
        <f t="shared" si="276"/>
        <v>0</v>
      </c>
      <c r="DE661" s="614"/>
      <c r="DF661" s="614"/>
      <c r="DG661" s="614"/>
      <c r="DH661" s="614"/>
      <c r="DI661" s="614"/>
      <c r="DJ661" s="614"/>
      <c r="DK661" s="614"/>
      <c r="DL661" s="614"/>
      <c r="DM661" s="614"/>
      <c r="DN661" s="614"/>
      <c r="DO661" s="614"/>
      <c r="DP661" s="614"/>
      <c r="DQ661" s="614"/>
      <c r="DR661" s="614"/>
      <c r="DS661" s="1975">
        <f t="shared" si="280"/>
        <v>7.3339070619814839</v>
      </c>
      <c r="DU661" s="1857">
        <v>2006</v>
      </c>
      <c r="DV661" s="1859">
        <v>3.2524360000000003</v>
      </c>
      <c r="DW661" s="1597">
        <v>1.9247648902821313</v>
      </c>
      <c r="DX661" s="1786">
        <f t="shared" si="277"/>
        <v>443.47930407523506</v>
      </c>
      <c r="DY661" s="1787">
        <f t="shared" si="281"/>
        <v>421.08865517241378</v>
      </c>
      <c r="DZ661" s="1035">
        <v>11.28478682823815</v>
      </c>
      <c r="EA661" s="1860">
        <v>1.5699969643857024</v>
      </c>
      <c r="EB661" s="1201">
        <v>4730</v>
      </c>
      <c r="EC661" s="1495">
        <f t="shared" si="278"/>
        <v>419.14836956990848</v>
      </c>
      <c r="ED661" s="614"/>
      <c r="EE661" s="614"/>
      <c r="EF661" s="614"/>
      <c r="EG661" s="614"/>
      <c r="EH661" s="614"/>
      <c r="EI661" s="614"/>
      <c r="EJ661" s="614"/>
      <c r="EK661" s="614"/>
      <c r="EL661" s="614"/>
      <c r="EM661" s="614"/>
      <c r="EN661" s="614"/>
      <c r="ES661" s="1857">
        <v>2006</v>
      </c>
      <c r="ET661" s="1859">
        <v>3.2524360000000003</v>
      </c>
      <c r="EU661" s="1382">
        <v>1.9247648902821313</v>
      </c>
      <c r="EV661" s="1495">
        <v>443.47930407523506</v>
      </c>
    </row>
    <row r="662" spans="101:152" ht="17.399999999999999">
      <c r="CW662" s="614"/>
      <c r="CX662" s="614"/>
      <c r="CY662" s="1857">
        <v>2007</v>
      </c>
      <c r="CZ662" s="1875">
        <v>4296.4110000000001</v>
      </c>
      <c r="DA662" s="1597">
        <v>2.3479623824451408</v>
      </c>
      <c r="DB662" s="1597">
        <f t="shared" si="275"/>
        <v>7.9418012798076258</v>
      </c>
      <c r="DC662" s="1787">
        <f t="shared" si="279"/>
        <v>0</v>
      </c>
      <c r="DD662" s="1035">
        <f t="shared" si="276"/>
        <v>0</v>
      </c>
      <c r="DE662" s="614"/>
      <c r="DF662" s="614"/>
      <c r="DG662" s="614"/>
      <c r="DH662" s="614"/>
      <c r="DI662" s="614"/>
      <c r="DJ662" s="614"/>
      <c r="DK662" s="614"/>
      <c r="DL662" s="614"/>
      <c r="DM662" s="614"/>
      <c r="DN662" s="614"/>
      <c r="DO662" s="614"/>
      <c r="DP662" s="614"/>
      <c r="DQ662" s="614"/>
      <c r="DR662" s="614"/>
      <c r="DS662" s="1975">
        <f t="shared" si="280"/>
        <v>7.9418012798076258</v>
      </c>
      <c r="DU662" s="1857">
        <v>2007</v>
      </c>
      <c r="DV662" s="1859">
        <v>4.296411</v>
      </c>
      <c r="DW662" s="1597">
        <v>2.3479623824451408</v>
      </c>
      <c r="DX662" s="1786">
        <f t="shared" si="277"/>
        <v>540.9869686520376</v>
      </c>
      <c r="DY662" s="1787">
        <f t="shared" si="281"/>
        <v>505.52306990595605</v>
      </c>
      <c r="DZ662" s="1035">
        <v>13.059083510568808</v>
      </c>
      <c r="EA662" s="1860">
        <v>1.9263862753012568</v>
      </c>
      <c r="EB662" s="1201">
        <v>6716.2219999999998</v>
      </c>
      <c r="EC662" s="1495">
        <f t="shared" si="278"/>
        <v>514.29504946227769</v>
      </c>
      <c r="ED662" s="614"/>
      <c r="EE662" s="614"/>
      <c r="EF662" s="614"/>
      <c r="EG662" s="614"/>
      <c r="EH662" s="614"/>
      <c r="EI662" s="614"/>
      <c r="EJ662" s="614"/>
      <c r="EK662" s="614"/>
      <c r="EL662" s="614"/>
      <c r="EM662" s="614"/>
      <c r="EN662" s="614"/>
      <c r="ES662" s="1857">
        <v>2007</v>
      </c>
      <c r="ET662" s="1859">
        <v>4.296411</v>
      </c>
      <c r="EU662" s="1382">
        <v>2.3479623824451408</v>
      </c>
      <c r="EV662" s="1495">
        <v>540.9869686520376</v>
      </c>
    </row>
    <row r="663" spans="101:152" ht="17.399999999999999">
      <c r="CW663" s="614"/>
      <c r="CX663" s="614"/>
      <c r="CY663" s="1857">
        <v>2008</v>
      </c>
      <c r="CZ663" s="1875">
        <v>5744.8469999999998</v>
      </c>
      <c r="DA663" s="1597">
        <v>2.6771159874608146</v>
      </c>
      <c r="DB663" s="1597">
        <f t="shared" si="275"/>
        <v>9.3135577091872328</v>
      </c>
      <c r="DC663" s="1787">
        <f t="shared" si="279"/>
        <v>0</v>
      </c>
      <c r="DD663" s="1035">
        <f t="shared" si="276"/>
        <v>0</v>
      </c>
      <c r="DE663" s="614"/>
      <c r="DF663" s="614"/>
      <c r="DG663" s="614"/>
      <c r="DH663" s="614"/>
      <c r="DI663" s="614"/>
      <c r="DJ663" s="614"/>
      <c r="DK663" s="614"/>
      <c r="DL663" s="614"/>
      <c r="DM663" s="614"/>
      <c r="DN663" s="614"/>
      <c r="DO663" s="614"/>
      <c r="DP663" s="614"/>
      <c r="DQ663" s="614"/>
      <c r="DR663" s="614"/>
      <c r="DS663" s="1975">
        <f t="shared" si="280"/>
        <v>9.3135577091872328</v>
      </c>
      <c r="DU663" s="1857">
        <v>2008</v>
      </c>
      <c r="DV663" s="1859">
        <v>5.744847</v>
      </c>
      <c r="DW663" s="1597">
        <v>2.6771159874608146</v>
      </c>
      <c r="DX663" s="1786">
        <f t="shared" si="277"/>
        <v>616.82626332288396</v>
      </c>
      <c r="DY663" s="1787">
        <f t="shared" si="281"/>
        <v>584.32370846394974</v>
      </c>
      <c r="DZ663" s="1035">
        <v>15.593657080025295</v>
      </c>
      <c r="EA663" s="1860">
        <v>2.1093929714548763</v>
      </c>
      <c r="EB663" s="1201">
        <v>8781.616</v>
      </c>
      <c r="EC663" s="1495">
        <f t="shared" si="278"/>
        <v>563.15307916119411</v>
      </c>
      <c r="ED663" s="614"/>
      <c r="EE663" s="614"/>
      <c r="EF663" s="614"/>
      <c r="EG663" s="614"/>
      <c r="EH663" s="614"/>
      <c r="EI663" s="614"/>
      <c r="EJ663" s="614"/>
      <c r="EK663" s="614"/>
      <c r="EL663" s="614"/>
      <c r="EM663" s="614"/>
      <c r="EN663" s="614"/>
      <c r="ES663" s="1857">
        <v>2008</v>
      </c>
      <c r="ET663" s="1859">
        <v>5.744847</v>
      </c>
      <c r="EU663" s="1382">
        <v>2.6771159874608146</v>
      </c>
      <c r="EV663" s="1495">
        <v>616.82626332288396</v>
      </c>
    </row>
    <row r="664" spans="101:152" ht="17.399999999999999">
      <c r="CW664" s="614"/>
      <c r="CX664" s="614"/>
      <c r="CY664" s="1857">
        <v>2009</v>
      </c>
      <c r="CZ664" s="1875">
        <v>6356.223</v>
      </c>
      <c r="DA664" s="1597">
        <v>2.5862068965517233</v>
      </c>
      <c r="DB664" s="1597">
        <f t="shared" si="275"/>
        <v>10.666948313202292</v>
      </c>
      <c r="DC664" s="1787">
        <f t="shared" si="279"/>
        <v>0</v>
      </c>
      <c r="DD664" s="1035">
        <f t="shared" si="276"/>
        <v>0</v>
      </c>
      <c r="DE664" s="614"/>
      <c r="DF664" s="614"/>
      <c r="DG664" s="614"/>
      <c r="DH664" s="614"/>
      <c r="DI664" s="614"/>
      <c r="DJ664" s="614"/>
      <c r="DK664" s="614"/>
      <c r="DL664" s="614"/>
      <c r="DM664" s="614"/>
      <c r="DN664" s="614"/>
      <c r="DO664" s="614"/>
      <c r="DP664" s="614"/>
      <c r="DQ664" s="614"/>
      <c r="DR664" s="614"/>
      <c r="DS664" s="1975">
        <f t="shared" si="280"/>
        <v>10.666948313202292</v>
      </c>
      <c r="DU664" s="1857">
        <v>2009</v>
      </c>
      <c r="DV664" s="1859">
        <v>6.356223</v>
      </c>
      <c r="DW664" s="1597">
        <v>2.5862068965517233</v>
      </c>
      <c r="DX664" s="1786">
        <f t="shared" si="277"/>
        <v>595.88017241379293</v>
      </c>
      <c r="DY664" s="1787">
        <f t="shared" si="281"/>
        <v>594.58007021943558</v>
      </c>
      <c r="DZ664" s="1035">
        <v>16.373566297801109</v>
      </c>
      <c r="EA664" s="1860">
        <v>1.8246249203084679</v>
      </c>
      <c r="EB664" s="1201">
        <v>7976.0129999999999</v>
      </c>
      <c r="EC664" s="1495">
        <f t="shared" si="278"/>
        <v>487.1274134744329</v>
      </c>
      <c r="ED664" s="614"/>
      <c r="EE664" s="614"/>
      <c r="EF664" s="614"/>
      <c r="EG664" s="614"/>
      <c r="EH664" s="614"/>
      <c r="EI664" s="614"/>
      <c r="EJ664" s="614"/>
      <c r="EK664" s="614"/>
      <c r="EL664" s="614"/>
      <c r="EM664" s="614"/>
      <c r="EN664" s="614"/>
      <c r="ES664" s="1857">
        <v>2009</v>
      </c>
      <c r="ET664" s="1859">
        <v>6.356223</v>
      </c>
      <c r="EU664" s="1382">
        <v>2.5862068965517233</v>
      </c>
      <c r="EV664" s="1495">
        <v>595.88017241379293</v>
      </c>
    </row>
    <row r="665" spans="101:152" ht="17.399999999999999">
      <c r="CW665" s="614"/>
      <c r="CX665" s="614"/>
      <c r="CY665" s="1857">
        <v>2010</v>
      </c>
      <c r="CZ665" s="1875">
        <v>6275.9309999999996</v>
      </c>
      <c r="DA665" s="1597">
        <v>2.4155172413793098</v>
      </c>
      <c r="DB665" s="1597">
        <f t="shared" si="275"/>
        <v>11.276448716775453</v>
      </c>
      <c r="DC665" s="1787">
        <f t="shared" si="279"/>
        <v>0</v>
      </c>
      <c r="DD665" s="1035">
        <f t="shared" si="276"/>
        <v>0</v>
      </c>
      <c r="DE665" s="614"/>
      <c r="DF665" s="614"/>
      <c r="DG665" s="614"/>
      <c r="DH665" s="614"/>
      <c r="DI665" s="614"/>
      <c r="DJ665" s="614"/>
      <c r="DK665" s="614"/>
      <c r="DL665" s="614"/>
      <c r="DM665" s="614"/>
      <c r="DN665" s="614"/>
      <c r="DO665" s="614"/>
      <c r="DP665" s="614"/>
      <c r="DQ665" s="614"/>
      <c r="DR665" s="614"/>
      <c r="DS665" s="1975">
        <f t="shared" si="280"/>
        <v>11.276448716775453</v>
      </c>
      <c r="DU665" s="1857">
        <v>2010</v>
      </c>
      <c r="DV665" s="1859">
        <v>6.2759309999999999</v>
      </c>
      <c r="DW665" s="1597">
        <v>2.4155172413793098</v>
      </c>
      <c r="DX665" s="1786">
        <f t="shared" si="277"/>
        <v>556.55208103448263</v>
      </c>
      <c r="DY665" s="1787">
        <f t="shared" si="281"/>
        <v>570.44511753918482</v>
      </c>
      <c r="DZ665" s="1035">
        <v>17.674409856030429</v>
      </c>
      <c r="EA665" s="1860">
        <v>1.9395762902879012</v>
      </c>
      <c r="EB665" s="1201">
        <v>9152.1</v>
      </c>
      <c r="EC665" s="1495">
        <f t="shared" si="278"/>
        <v>517.81644052332217</v>
      </c>
      <c r="ED665" s="614"/>
      <c r="EE665" s="614"/>
      <c r="EF665" s="614"/>
      <c r="EG665" s="614"/>
      <c r="EH665" s="614"/>
      <c r="EI665" s="614"/>
      <c r="EJ665" s="614"/>
      <c r="EK665" s="614"/>
      <c r="EL665" s="614"/>
      <c r="EM665" s="614"/>
      <c r="EN665" s="614"/>
      <c r="ES665" s="1857">
        <v>2010</v>
      </c>
      <c r="ET665" s="1859">
        <v>6.2759309999999999</v>
      </c>
      <c r="EU665" s="1382">
        <v>2.4155172413793098</v>
      </c>
      <c r="EV665" s="1495">
        <v>556.55208103448263</v>
      </c>
    </row>
    <row r="666" spans="101:152" ht="17.399999999999999">
      <c r="CW666" s="614"/>
      <c r="CX666" s="614"/>
      <c r="CY666" s="1857">
        <v>2011</v>
      </c>
      <c r="CZ666" s="1875">
        <v>8813.3140000000003</v>
      </c>
      <c r="DA666" s="1597">
        <v>3.1141687910908358</v>
      </c>
      <c r="DB666" s="1597">
        <f t="shared" si="275"/>
        <v>12.282914423380724</v>
      </c>
      <c r="DC666" s="1787">
        <f t="shared" si="279"/>
        <v>0</v>
      </c>
      <c r="DD666" s="1035">
        <f t="shared" si="276"/>
        <v>0</v>
      </c>
      <c r="DE666" s="614"/>
      <c r="DF666" s="614"/>
      <c r="DG666" s="614"/>
      <c r="DH666" s="614"/>
      <c r="DI666" s="614"/>
      <c r="DJ666" s="614"/>
      <c r="DK666" s="614"/>
      <c r="DL666" s="614"/>
      <c r="DM666" s="614"/>
      <c r="DN666" s="614"/>
      <c r="DO666" s="614"/>
      <c r="DP666" s="614"/>
      <c r="DQ666" s="614"/>
      <c r="DR666" s="614"/>
      <c r="DS666" s="1975">
        <f t="shared" si="280"/>
        <v>12.282914423380724</v>
      </c>
      <c r="DU666" s="1857">
        <v>2011</v>
      </c>
      <c r="DV666" s="1859">
        <v>8.8133140000000001</v>
      </c>
      <c r="DW666" s="1597">
        <v>3.1141687910908358</v>
      </c>
      <c r="DX666" s="1786">
        <f t="shared" si="277"/>
        <v>717.52628864886628</v>
      </c>
      <c r="DY666" s="1787">
        <f t="shared" si="281"/>
        <v>673.16683550248217</v>
      </c>
      <c r="DZ666" s="1035">
        <v>19.234566440524759</v>
      </c>
      <c r="EA666" s="1860">
        <v>2.1490505296389948</v>
      </c>
      <c r="EB666" s="1201">
        <v>11035.652</v>
      </c>
      <c r="EC666" s="1495">
        <f t="shared" si="278"/>
        <v>573.74061609984096</v>
      </c>
      <c r="ED666" s="614"/>
      <c r="EE666" s="614"/>
      <c r="EF666" s="614"/>
      <c r="EG666" s="614"/>
      <c r="EH666" s="614"/>
      <c r="EI666" s="614"/>
      <c r="EJ666" s="614"/>
      <c r="EK666" s="614"/>
      <c r="EL666" s="614"/>
      <c r="EM666" s="614"/>
      <c r="EN666" s="614"/>
      <c r="ES666" s="1857">
        <v>2011</v>
      </c>
      <c r="ET666" s="1859">
        <v>8.8133140000000001</v>
      </c>
      <c r="EU666" s="1382">
        <v>3.1141687910908358</v>
      </c>
      <c r="EV666" s="1495">
        <v>717.52628864886628</v>
      </c>
    </row>
    <row r="667" spans="101:152" ht="17.399999999999999">
      <c r="CW667" s="614"/>
      <c r="CX667" s="614"/>
      <c r="CY667" s="1857">
        <v>2012</v>
      </c>
      <c r="CZ667" s="1875">
        <v>10338.4</v>
      </c>
      <c r="DA667" s="1597">
        <v>3.3866585603112838</v>
      </c>
      <c r="DB667" s="1597">
        <f t="shared" si="275"/>
        <v>13.249096044334458</v>
      </c>
      <c r="DC667" s="1787">
        <f t="shared" si="279"/>
        <v>0</v>
      </c>
      <c r="DD667" s="1035">
        <f t="shared" si="276"/>
        <v>0</v>
      </c>
      <c r="DE667" s="614"/>
      <c r="DF667" s="614"/>
      <c r="DG667" s="614"/>
      <c r="DH667" s="614"/>
      <c r="DI667" s="614"/>
      <c r="DJ667" s="614"/>
      <c r="DK667" s="614"/>
      <c r="DL667" s="614"/>
      <c r="DM667" s="614"/>
      <c r="DN667" s="614"/>
      <c r="DO667" s="614"/>
      <c r="DP667" s="614"/>
      <c r="DQ667" s="614"/>
      <c r="DR667" s="614"/>
      <c r="DS667" s="1975">
        <f t="shared" si="280"/>
        <v>13.249096044334458</v>
      </c>
      <c r="DU667" s="1857">
        <v>2012</v>
      </c>
      <c r="DV667" s="1859">
        <v>10.3384</v>
      </c>
      <c r="DW667" s="1597">
        <v>3.3866585603112838</v>
      </c>
      <c r="DX667" s="1786">
        <f t="shared" si="277"/>
        <v>780.30983890564198</v>
      </c>
      <c r="DY667" s="1787">
        <f t="shared" si="281"/>
        <v>745.37735306717082</v>
      </c>
      <c r="DZ667" s="1035">
        <v>20.540168341333814</v>
      </c>
      <c r="EA667" s="1860">
        <v>2.2951859656544467</v>
      </c>
      <c r="EB667" s="1201">
        <v>12586.090400000001</v>
      </c>
      <c r="EC667" s="1495">
        <f t="shared" si="278"/>
        <v>612.75497799463017</v>
      </c>
      <c r="ED667" s="614"/>
      <c r="EE667" s="614"/>
      <c r="EF667" s="614"/>
      <c r="EG667" s="614"/>
      <c r="EH667" s="614"/>
      <c r="EI667" s="614"/>
      <c r="EJ667" s="614"/>
      <c r="EK667" s="614"/>
      <c r="EL667" s="614"/>
      <c r="EM667" s="614"/>
      <c r="EN667" s="614"/>
      <c r="ES667" s="1857">
        <v>2012</v>
      </c>
      <c r="ET667" s="1859">
        <v>10.3384</v>
      </c>
      <c r="EU667" s="1382">
        <v>3.3866585603112838</v>
      </c>
      <c r="EV667" s="1495">
        <v>780.30983890564198</v>
      </c>
    </row>
    <row r="668" spans="101:152" ht="17.399999999999999">
      <c r="CW668" s="614"/>
      <c r="CX668" s="614"/>
      <c r="CY668" s="1857">
        <v>2013</v>
      </c>
      <c r="CZ668" s="1875">
        <v>11160.485000000001</v>
      </c>
      <c r="DA668" s="1597">
        <v>3.4211008778696494</v>
      </c>
      <c r="DB668" s="1597">
        <f t="shared" si="275"/>
        <v>14.158639315017053</v>
      </c>
      <c r="DC668" s="1787">
        <f t="shared" si="279"/>
        <v>0</v>
      </c>
      <c r="DD668" s="1035">
        <f t="shared" si="276"/>
        <v>0</v>
      </c>
      <c r="DE668" s="614"/>
      <c r="DF668" s="614"/>
      <c r="DG668" s="614"/>
      <c r="DH668" s="614"/>
      <c r="DI668" s="614"/>
      <c r="DJ668" s="614"/>
      <c r="DK668" s="614"/>
      <c r="DL668" s="614"/>
      <c r="DM668" s="614"/>
      <c r="DN668" s="614"/>
      <c r="DO668" s="614"/>
      <c r="DP668" s="614"/>
      <c r="DQ668" s="614"/>
      <c r="DR668" s="614"/>
      <c r="DS668" s="1975">
        <f t="shared" si="280"/>
        <v>14.158639315017053</v>
      </c>
      <c r="DU668" s="1857">
        <v>2013</v>
      </c>
      <c r="DV668" s="1859">
        <v>11.160485000000001</v>
      </c>
      <c r="DW668" s="1597">
        <v>3.4211008778696494</v>
      </c>
      <c r="DX668" s="1786">
        <f t="shared" si="277"/>
        <v>788.24558996731241</v>
      </c>
      <c r="DY668" s="1787">
        <f t="shared" si="281"/>
        <v>779.58650962313368</v>
      </c>
      <c r="DZ668" s="1035">
        <v>21.776225011581566</v>
      </c>
      <c r="EA668" s="1860">
        <v>2.313547453379682</v>
      </c>
      <c r="EB668" s="1201">
        <v>13450.2382</v>
      </c>
      <c r="EC668" s="1495">
        <f t="shared" si="278"/>
        <v>617.65701781858718</v>
      </c>
      <c r="ED668" s="614"/>
      <c r="EE668" s="614"/>
      <c r="EF668" s="614"/>
      <c r="EG668" s="614"/>
      <c r="EH668" s="614"/>
      <c r="EI668" s="614"/>
      <c r="EJ668" s="614"/>
      <c r="EK668" s="614"/>
      <c r="EL668" s="614"/>
      <c r="EM668" s="614"/>
      <c r="EN668" s="614"/>
      <c r="ES668" s="1857">
        <v>2013</v>
      </c>
      <c r="ET668" s="1859">
        <v>11.160485000000001</v>
      </c>
      <c r="EU668" s="1382">
        <v>3.4211008778696494</v>
      </c>
      <c r="EV668" s="1495">
        <v>788.24558996731241</v>
      </c>
    </row>
    <row r="669" spans="101:152" ht="17.399999999999999">
      <c r="CW669" s="614"/>
      <c r="CX669" s="614"/>
      <c r="CY669" s="1857">
        <v>2014</v>
      </c>
      <c r="CZ669" s="1875">
        <v>10888</v>
      </c>
      <c r="DA669" s="1597">
        <v>3.3184678515335597</v>
      </c>
      <c r="DB669" s="1597">
        <f t="shared" si="275"/>
        <v>14.240158664898734</v>
      </c>
      <c r="DC669" s="1787">
        <f t="shared" si="279"/>
        <v>0</v>
      </c>
      <c r="DD669" s="1035">
        <f t="shared" si="276"/>
        <v>0</v>
      </c>
      <c r="DE669" s="614"/>
      <c r="DF669" s="614"/>
      <c r="DG669" s="614"/>
      <c r="DH669" s="614"/>
      <c r="DI669" s="614"/>
      <c r="DJ669" s="614"/>
      <c r="DK669" s="614"/>
      <c r="DL669" s="614"/>
      <c r="DM669" s="614"/>
      <c r="DN669" s="614"/>
      <c r="DO669" s="614"/>
      <c r="DP669" s="614"/>
      <c r="DQ669" s="614"/>
      <c r="DR669" s="614"/>
      <c r="DS669" s="1975">
        <f t="shared" si="280"/>
        <v>14.240158664898734</v>
      </c>
      <c r="DU669" s="1857">
        <v>2014</v>
      </c>
      <c r="DV669" s="1859">
        <v>10.888</v>
      </c>
      <c r="DW669" s="1597">
        <v>3.3184678515335597</v>
      </c>
      <c r="DX669" s="1786">
        <f t="shared" si="277"/>
        <v>764.59822226829294</v>
      </c>
      <c r="DY669" s="1787">
        <f t="shared" si="281"/>
        <v>770.89885747183178</v>
      </c>
      <c r="DZ669" s="1035">
        <v>22.851453644141131</v>
      </c>
      <c r="EA669" s="1860">
        <v>2.2788442415789869</v>
      </c>
      <c r="EB669" s="1201">
        <v>13902.6453</v>
      </c>
      <c r="EC669" s="1495">
        <f t="shared" si="278"/>
        <v>608.39216255130839</v>
      </c>
      <c r="ED669" s="614"/>
      <c r="EE669" s="614"/>
      <c r="EF669" s="614"/>
      <c r="EG669" s="614"/>
      <c r="EH669" s="614"/>
      <c r="EI669" s="614"/>
      <c r="EJ669" s="614"/>
      <c r="EK669" s="614"/>
      <c r="EL669" s="614"/>
      <c r="EM669" s="614"/>
      <c r="EN669" s="614"/>
      <c r="ES669" s="1857">
        <v>2014</v>
      </c>
      <c r="ET669" s="1859">
        <v>10.888</v>
      </c>
      <c r="EU669" s="1382">
        <v>3.3184678515335597</v>
      </c>
      <c r="EV669" s="1495">
        <v>764.59822226829294</v>
      </c>
    </row>
    <row r="670" spans="101:152" ht="17.399999999999999">
      <c r="CW670" s="614"/>
      <c r="CX670" s="614"/>
      <c r="CY670" s="1857">
        <v>2015</v>
      </c>
      <c r="CZ670" s="1875">
        <v>10721</v>
      </c>
      <c r="DA670" s="1597">
        <v>3.1359521196992137</v>
      </c>
      <c r="DB670" s="1597">
        <f t="shared" si="275"/>
        <v>14.837823597492831</v>
      </c>
      <c r="DC670" s="1787">
        <f t="shared" si="279"/>
        <v>25.408791247612854</v>
      </c>
      <c r="DD670" s="1035">
        <f t="shared" si="276"/>
        <v>25.408791247612854</v>
      </c>
      <c r="DE670" s="614"/>
      <c r="DF670" s="614"/>
      <c r="DG670" s="614"/>
      <c r="DH670" s="614"/>
      <c r="DI670" s="614"/>
      <c r="DJ670" s="614"/>
      <c r="DK670" s="614"/>
      <c r="DL670" s="614"/>
      <c r="DM670" s="614"/>
      <c r="DN670" s="614"/>
      <c r="DO670" s="614"/>
      <c r="DP670" s="614"/>
      <c r="DQ670" s="614"/>
      <c r="DR670" s="614"/>
      <c r="DS670" s="1975">
        <f t="shared" si="280"/>
        <v>14.837823597492831</v>
      </c>
      <c r="DU670" s="1857">
        <v>2015</v>
      </c>
      <c r="DV670" s="1859">
        <v>10.721</v>
      </c>
      <c r="DW670" s="1597">
        <v>3.1359521196992137</v>
      </c>
      <c r="DX670" s="1786">
        <f t="shared" si="277"/>
        <v>722.54532004353678</v>
      </c>
      <c r="DY670" s="1787">
        <f t="shared" si="281"/>
        <v>737.52592748086545</v>
      </c>
      <c r="DZ670" s="1035">
        <v>25.408791247612857</v>
      </c>
      <c r="EA670" s="1860">
        <v>2.0486809731795095</v>
      </c>
      <c r="EB670" s="1201">
        <v>13897.2</v>
      </c>
      <c r="EC670" s="1495">
        <f t="shared" si="278"/>
        <v>546.9445541336263</v>
      </c>
      <c r="ED670" s="614"/>
      <c r="EE670" s="614"/>
      <c r="EF670" s="614"/>
      <c r="EG670" s="614"/>
      <c r="EH670" s="614"/>
      <c r="EI670" s="614"/>
      <c r="EJ670" s="614"/>
      <c r="EK670" s="614"/>
      <c r="EL670" s="614"/>
      <c r="EM670" s="614"/>
      <c r="EN670" s="614"/>
      <c r="ES670" s="1857">
        <v>2015</v>
      </c>
      <c r="ET670" s="1859">
        <v>10.721</v>
      </c>
      <c r="EU670" s="1382">
        <v>3.1359521196992137</v>
      </c>
      <c r="EV670" s="1495">
        <v>722.54532004353678</v>
      </c>
    </row>
    <row r="671" spans="101:152" ht="17.399999999999999">
      <c r="CW671" s="614"/>
      <c r="CX671" s="614"/>
      <c r="CY671" s="1857">
        <v>2016</v>
      </c>
      <c r="CZ671" s="1875">
        <v>13256</v>
      </c>
      <c r="DA671" s="1597">
        <v>3.6627920758086816</v>
      </c>
      <c r="DB671" s="1597">
        <f t="shared" si="275"/>
        <v>15.70740928445748</v>
      </c>
      <c r="DC671" s="1787">
        <f t="shared" si="279"/>
        <v>27.019844336572895</v>
      </c>
      <c r="DD671" s="1035">
        <f t="shared" si="276"/>
        <v>27.019844336572895</v>
      </c>
      <c r="DE671" s="614"/>
      <c r="DF671" s="614"/>
      <c r="DG671" s="614"/>
      <c r="DH671" s="614"/>
      <c r="DI671" s="614"/>
      <c r="DJ671" s="614"/>
      <c r="DK671" s="614"/>
      <c r="DL671" s="614"/>
      <c r="DM671" s="614"/>
      <c r="DN671" s="614"/>
      <c r="DO671" s="614"/>
      <c r="DP671" s="614"/>
      <c r="DQ671" s="614"/>
      <c r="DR671" s="614"/>
      <c r="DS671" s="1975">
        <f t="shared" si="280"/>
        <v>15.70740928445748</v>
      </c>
      <c r="DU671" s="1857">
        <v>2016</v>
      </c>
      <c r="DV671" s="1859">
        <v>13.256</v>
      </c>
      <c r="DW671" s="1597">
        <v>3.6910156448859746</v>
      </c>
      <c r="DX671" s="1786">
        <f t="shared" si="277"/>
        <v>850.43584169124279</v>
      </c>
      <c r="DY671" s="1787">
        <f t="shared" si="281"/>
        <v>816.2739754194065</v>
      </c>
      <c r="DZ671" s="1035">
        <v>27.019844336572895</v>
      </c>
      <c r="EA671" s="1860">
        <v>2.0445836112331506</v>
      </c>
      <c r="EB671" s="1201">
        <v>14748.8</v>
      </c>
      <c r="EC671" s="1495">
        <f t="shared" si="278"/>
        <v>545.85066502535915</v>
      </c>
      <c r="ED671" s="614"/>
      <c r="EE671" s="614"/>
      <c r="EF671" s="614"/>
      <c r="EG671" s="614"/>
      <c r="EH671" s="614"/>
      <c r="EI671" s="614"/>
      <c r="EJ671" s="614"/>
      <c r="EK671" s="614"/>
      <c r="EL671" s="614"/>
      <c r="EM671" s="614"/>
      <c r="EN671" s="614"/>
      <c r="ES671" s="1857">
        <v>2016</v>
      </c>
      <c r="ET671" s="1859">
        <v>13.256</v>
      </c>
      <c r="EU671" s="1382">
        <v>3.6910156448859746</v>
      </c>
      <c r="EV671" s="1495">
        <v>850.43584169124279</v>
      </c>
    </row>
    <row r="672" spans="101:152" ht="17.399999999999999">
      <c r="CW672" s="614"/>
      <c r="CX672" s="614"/>
      <c r="CY672" s="1857">
        <v>2017</v>
      </c>
      <c r="CZ672" s="1860"/>
      <c r="DA672" s="1785"/>
      <c r="DB672" s="1597">
        <f>0.5602*DD672+1.219</f>
        <v>16.914253850263933</v>
      </c>
      <c r="DC672" s="1787"/>
      <c r="DD672" s="1035">
        <f t="shared" si="276"/>
        <v>28.017232863734257</v>
      </c>
      <c r="DE672" s="614"/>
      <c r="DF672" s="614"/>
      <c r="DG672" s="614"/>
      <c r="DH672" s="614"/>
      <c r="DI672" s="614"/>
      <c r="DJ672" s="614"/>
      <c r="DK672" s="614"/>
      <c r="DL672" s="614"/>
      <c r="DM672" s="614"/>
      <c r="DN672" s="614"/>
      <c r="DO672" s="614"/>
      <c r="DP672" s="614"/>
      <c r="DQ672" s="614"/>
      <c r="DR672" s="614"/>
      <c r="DS672" s="1975">
        <f t="shared" si="280"/>
        <v>16.914253850263933</v>
      </c>
      <c r="DU672" s="1857">
        <v>2017</v>
      </c>
      <c r="DV672" s="1860"/>
      <c r="DW672" s="1785"/>
      <c r="DX672" s="1787"/>
      <c r="DY672" s="1787"/>
      <c r="DZ672" s="1035"/>
      <c r="EA672" s="1861"/>
      <c r="EB672" s="838"/>
      <c r="EC672" s="1058"/>
      <c r="ED672" s="614"/>
      <c r="EE672" s="614"/>
      <c r="EF672" s="614"/>
      <c r="EG672" s="614"/>
      <c r="EH672" s="614"/>
      <c r="EI672" s="614"/>
      <c r="EJ672" s="614"/>
      <c r="EK672" s="614"/>
      <c r="EL672" s="614"/>
      <c r="EM672" s="614"/>
      <c r="EN672" s="614"/>
      <c r="ES672" s="1857">
        <v>2017</v>
      </c>
      <c r="ET672" s="1860"/>
      <c r="EU672" s="1871"/>
      <c r="EV672" s="1036"/>
    </row>
    <row r="673" spans="101:152" ht="17.399999999999999">
      <c r="CW673" s="614"/>
      <c r="CX673" s="614"/>
      <c r="CY673" s="1857">
        <v>2018</v>
      </c>
      <c r="CZ673" s="1860"/>
      <c r="DA673" s="1785"/>
      <c r="DB673" s="1597">
        <f t="shared" ref="DB673:DB685" si="282">0.5602*DD673+1.219</f>
        <v>17.739110230626682</v>
      </c>
      <c r="DC673" s="1787"/>
      <c r="DD673" s="1035">
        <f t="shared" si="276"/>
        <v>29.489664817255768</v>
      </c>
      <c r="DE673" s="614"/>
      <c r="DF673" s="614"/>
      <c r="DG673" s="614"/>
      <c r="DH673" s="614"/>
      <c r="DI673" s="614"/>
      <c r="DJ673" s="614"/>
      <c r="DK673" s="614"/>
      <c r="DL673" s="614"/>
      <c r="DM673" s="614"/>
      <c r="DN673" s="614"/>
      <c r="DO673" s="614"/>
      <c r="DP673" s="614"/>
      <c r="DQ673" s="614"/>
      <c r="DR673" s="614"/>
      <c r="DS673" s="1975">
        <f t="shared" si="280"/>
        <v>17.739110230626682</v>
      </c>
      <c r="DU673" s="1857">
        <v>2018</v>
      </c>
      <c r="DV673" s="1860"/>
      <c r="DW673" s="1785"/>
      <c r="DX673" s="1787"/>
      <c r="DY673" s="1787"/>
      <c r="DZ673" s="1035"/>
      <c r="EA673" s="1861"/>
      <c r="EB673" s="838"/>
      <c r="EC673" s="1058"/>
      <c r="ED673" s="614"/>
      <c r="EE673" s="614"/>
      <c r="EF673" s="614"/>
      <c r="EG673" s="614"/>
      <c r="EH673" s="614"/>
      <c r="EI673" s="614"/>
      <c r="EJ673" s="614"/>
      <c r="EK673" s="614"/>
      <c r="EL673" s="614"/>
      <c r="EM673" s="614"/>
      <c r="EN673" s="614"/>
      <c r="ES673" s="1857">
        <v>2018</v>
      </c>
      <c r="ET673" s="1860"/>
      <c r="EU673" s="1871"/>
      <c r="EV673" s="1036"/>
    </row>
    <row r="674" spans="101:152" ht="17.399999999999999">
      <c r="CW674" s="614"/>
      <c r="CX674" s="614"/>
      <c r="CY674" s="1857">
        <v>2019</v>
      </c>
      <c r="CZ674" s="1861"/>
      <c r="DA674" s="1595"/>
      <c r="DB674" s="1597">
        <f t="shared" si="282"/>
        <v>1.2190000000000001</v>
      </c>
      <c r="DC674" s="1595"/>
      <c r="DD674" s="1035">
        <f t="shared" si="276"/>
        <v>0</v>
      </c>
      <c r="DE674" s="614"/>
      <c r="DF674" s="614"/>
      <c r="DG674" s="614"/>
      <c r="DH674" s="614"/>
      <c r="DI674" s="614"/>
      <c r="DJ674" s="614"/>
      <c r="DK674" s="614"/>
      <c r="DL674" s="614"/>
      <c r="DM674" s="614"/>
      <c r="DN674" s="614"/>
      <c r="DO674" s="614"/>
      <c r="DP674" s="614"/>
      <c r="DQ674" s="614"/>
      <c r="DR674" s="614"/>
      <c r="DS674" s="1975">
        <f t="shared" si="280"/>
        <v>1.2190000000000001</v>
      </c>
      <c r="DU674" s="1857">
        <v>2019</v>
      </c>
      <c r="DV674" s="1861"/>
      <c r="DW674" s="1595"/>
      <c r="DX674" s="1595"/>
      <c r="DY674" s="1595"/>
      <c r="DZ674" s="1036"/>
      <c r="EA674" s="1861"/>
      <c r="EB674" s="838"/>
      <c r="EC674" s="1058"/>
      <c r="ED674" s="614"/>
      <c r="EE674" s="614"/>
      <c r="EF674" s="614"/>
      <c r="EG674" s="614"/>
      <c r="EH674" s="614"/>
      <c r="EI674" s="614"/>
      <c r="EJ674" s="614"/>
      <c r="EK674" s="614"/>
      <c r="EL674" s="614"/>
      <c r="EM674" s="614"/>
      <c r="EN674" s="614"/>
      <c r="ES674" s="1857">
        <v>2019</v>
      </c>
      <c r="ET674" s="1861"/>
      <c r="EU674" s="838"/>
      <c r="EV674" s="1058"/>
    </row>
    <row r="675" spans="101:152" ht="17.399999999999999">
      <c r="CW675" s="614"/>
      <c r="CX675" s="614"/>
      <c r="CY675" s="1857">
        <v>2020</v>
      </c>
      <c r="CZ675" s="1861"/>
      <c r="DA675" s="1595"/>
      <c r="DB675" s="1597">
        <f t="shared" si="282"/>
        <v>1.2190000000000001</v>
      </c>
      <c r="DC675" s="1595"/>
      <c r="DD675" s="1035">
        <f t="shared" si="276"/>
        <v>0</v>
      </c>
      <c r="DE675" s="614"/>
      <c r="DF675" s="614"/>
      <c r="DG675" s="614"/>
      <c r="DH675" s="614"/>
      <c r="DI675" s="614"/>
      <c r="DJ675" s="614"/>
      <c r="DK675" s="614"/>
      <c r="DL675" s="614"/>
      <c r="DM675" s="614"/>
      <c r="DN675" s="614"/>
      <c r="DO675" s="614"/>
      <c r="DP675" s="614"/>
      <c r="DQ675" s="614"/>
      <c r="DR675" s="614"/>
      <c r="DS675" s="1975">
        <f t="shared" si="280"/>
        <v>1.2190000000000001</v>
      </c>
      <c r="DU675" s="1857">
        <v>2020</v>
      </c>
      <c r="DV675" s="1861"/>
      <c r="DW675" s="1595"/>
      <c r="DX675" s="1595"/>
      <c r="DY675" s="1595"/>
      <c r="DZ675" s="1036"/>
      <c r="EA675" s="1861"/>
      <c r="EB675" s="838"/>
      <c r="EC675" s="1058"/>
      <c r="ED675" s="614"/>
      <c r="EE675" s="614"/>
      <c r="EF675" s="614"/>
      <c r="EG675" s="614"/>
      <c r="EH675" s="614"/>
      <c r="EI675" s="614"/>
      <c r="EJ675" s="614"/>
      <c r="EK675" s="614"/>
      <c r="EL675" s="614"/>
      <c r="EM675" s="614"/>
      <c r="EN675" s="614"/>
      <c r="ES675" s="1857">
        <v>2020</v>
      </c>
      <c r="ET675" s="1861"/>
      <c r="EU675" s="838"/>
      <c r="EV675" s="1058"/>
    </row>
    <row r="676" spans="101:152" ht="17.399999999999999">
      <c r="CW676" s="614"/>
      <c r="CX676" s="614"/>
      <c r="CY676" s="1857">
        <v>2021</v>
      </c>
      <c r="CZ676" s="1861"/>
      <c r="DA676" s="1595"/>
      <c r="DB676" s="1597">
        <f t="shared" si="282"/>
        <v>1.2190000000000001</v>
      </c>
      <c r="DC676" s="1595"/>
      <c r="DD676" s="1035">
        <f t="shared" si="276"/>
        <v>0</v>
      </c>
      <c r="DE676" s="614"/>
      <c r="DF676" s="614"/>
      <c r="DG676" s="614"/>
      <c r="DH676" s="614"/>
      <c r="DI676" s="614"/>
      <c r="DJ676" s="614"/>
      <c r="DK676" s="614"/>
      <c r="DL676" s="614"/>
      <c r="DM676" s="614"/>
      <c r="DN676" s="614"/>
      <c r="DO676" s="614"/>
      <c r="DP676" s="614"/>
      <c r="DQ676" s="614"/>
      <c r="DR676" s="614"/>
      <c r="DS676" s="1975">
        <f t="shared" si="280"/>
        <v>1.2190000000000001</v>
      </c>
      <c r="DU676" s="1857">
        <v>2021</v>
      </c>
      <c r="DV676" s="1861"/>
      <c r="DW676" s="1595"/>
      <c r="DX676" s="1595"/>
      <c r="DY676" s="1595"/>
      <c r="DZ676" s="1058"/>
      <c r="EA676" s="1861"/>
      <c r="EB676" s="838"/>
      <c r="EC676" s="1058"/>
      <c r="ED676" s="614"/>
      <c r="EE676" s="614"/>
      <c r="EF676" s="614"/>
      <c r="EG676" s="614"/>
      <c r="EH676" s="614"/>
      <c r="EI676" s="614"/>
      <c r="EJ676" s="614"/>
      <c r="EK676" s="614"/>
      <c r="EL676" s="614"/>
      <c r="EM676" s="614"/>
      <c r="EN676" s="614"/>
      <c r="ES676" s="1857">
        <v>2021</v>
      </c>
      <c r="ET676" s="1861"/>
      <c r="EU676" s="838"/>
      <c r="EV676" s="1058"/>
    </row>
    <row r="677" spans="101:152" ht="17.399999999999999">
      <c r="CW677" s="614"/>
      <c r="CX677" s="614"/>
      <c r="CY677" s="1857">
        <v>2022</v>
      </c>
      <c r="CZ677" s="1861"/>
      <c r="DA677" s="1595"/>
      <c r="DB677" s="1597">
        <f t="shared" si="282"/>
        <v>1.2190000000000001</v>
      </c>
      <c r="DC677" s="1595"/>
      <c r="DD677" s="1035">
        <f t="shared" si="276"/>
        <v>0</v>
      </c>
      <c r="DE677" s="614"/>
      <c r="DF677" s="614"/>
      <c r="DG677" s="614"/>
      <c r="DH677" s="614"/>
      <c r="DI677" s="614"/>
      <c r="DJ677" s="614"/>
      <c r="DK677" s="614"/>
      <c r="DL677" s="614"/>
      <c r="DM677" s="614"/>
      <c r="DN677" s="614"/>
      <c r="DO677" s="614"/>
      <c r="DP677" s="614"/>
      <c r="DQ677" s="614"/>
      <c r="DR677" s="614"/>
      <c r="DS677" s="1975">
        <f t="shared" si="280"/>
        <v>1.2190000000000001</v>
      </c>
      <c r="DU677" s="1857">
        <v>2022</v>
      </c>
      <c r="DV677" s="1861"/>
      <c r="DW677" s="1595"/>
      <c r="DX677" s="1595"/>
      <c r="DY677" s="1595"/>
      <c r="DZ677" s="1058"/>
      <c r="EA677" s="1861"/>
      <c r="EB677" s="838"/>
      <c r="EC677" s="1058"/>
      <c r="ED677" s="614"/>
      <c r="EE677" s="614"/>
      <c r="EF677" s="614"/>
      <c r="EG677" s="614"/>
      <c r="EH677" s="614"/>
      <c r="EI677" s="614"/>
      <c r="EJ677" s="614"/>
      <c r="EK677" s="614"/>
      <c r="EL677" s="614"/>
      <c r="EM677" s="614"/>
      <c r="EN677" s="614"/>
      <c r="ES677" s="1857">
        <v>2022</v>
      </c>
      <c r="ET677" s="1861"/>
      <c r="EU677" s="838"/>
      <c r="EV677" s="1058"/>
    </row>
    <row r="678" spans="101:152" ht="17.399999999999999">
      <c r="CW678" s="614"/>
      <c r="CX678" s="614"/>
      <c r="CY678" s="1857">
        <v>2023</v>
      </c>
      <c r="CZ678" s="1861"/>
      <c r="DA678" s="1595"/>
      <c r="DB678" s="1597">
        <f t="shared" si="282"/>
        <v>1.2190000000000001</v>
      </c>
      <c r="DC678" s="1595"/>
      <c r="DD678" s="1035">
        <f t="shared" si="276"/>
        <v>0</v>
      </c>
      <c r="DE678" s="614"/>
      <c r="DF678" s="614"/>
      <c r="DG678" s="614"/>
      <c r="DH678" s="614"/>
      <c r="DI678" s="614"/>
      <c r="DJ678" s="614"/>
      <c r="DK678" s="614"/>
      <c r="DL678" s="614"/>
      <c r="DM678" s="614"/>
      <c r="DN678" s="614"/>
      <c r="DO678" s="614"/>
      <c r="DP678" s="614"/>
      <c r="DQ678" s="614"/>
      <c r="DR678" s="614"/>
      <c r="DS678" s="1975">
        <f t="shared" si="280"/>
        <v>1.2190000000000001</v>
      </c>
      <c r="DU678" s="1857">
        <v>2023</v>
      </c>
      <c r="DV678" s="1861"/>
      <c r="DW678" s="1595"/>
      <c r="DX678" s="1595"/>
      <c r="DY678" s="1595"/>
      <c r="DZ678" s="1058"/>
      <c r="EA678" s="1861"/>
      <c r="EB678" s="838"/>
      <c r="EC678" s="1058"/>
      <c r="ED678" s="614"/>
      <c r="EE678" s="614"/>
      <c r="EF678" s="614"/>
      <c r="EG678" s="614"/>
      <c r="EH678" s="614"/>
      <c r="EI678" s="614"/>
      <c r="EJ678" s="614"/>
      <c r="EK678" s="614"/>
      <c r="EL678" s="614"/>
      <c r="EM678" s="614"/>
      <c r="EN678" s="614"/>
      <c r="ES678" s="1857">
        <v>2023</v>
      </c>
      <c r="ET678" s="1861"/>
      <c r="EU678" s="838"/>
      <c r="EV678" s="1058"/>
    </row>
    <row r="679" spans="101:152" ht="17.399999999999999">
      <c r="CW679" s="614"/>
      <c r="CX679" s="614"/>
      <c r="CY679" s="1857">
        <v>2024</v>
      </c>
      <c r="CZ679" s="1861"/>
      <c r="DA679" s="1595"/>
      <c r="DB679" s="1597">
        <f t="shared" si="282"/>
        <v>1.2190000000000001</v>
      </c>
      <c r="DC679" s="1595"/>
      <c r="DD679" s="1035">
        <f t="shared" si="276"/>
        <v>0</v>
      </c>
      <c r="DE679" s="614"/>
      <c r="DF679" s="614"/>
      <c r="DG679" s="614"/>
      <c r="DH679" s="614"/>
      <c r="DI679" s="614"/>
      <c r="DJ679" s="614"/>
      <c r="DK679" s="614"/>
      <c r="DL679" s="614"/>
      <c r="DM679" s="614"/>
      <c r="DN679" s="614"/>
      <c r="DO679" s="614"/>
      <c r="DP679" s="614"/>
      <c r="DQ679" s="614"/>
      <c r="DR679" s="614"/>
      <c r="DS679" s="1975">
        <f t="shared" si="280"/>
        <v>1.2190000000000001</v>
      </c>
      <c r="DU679" s="1857">
        <v>2024</v>
      </c>
      <c r="DV679" s="1861"/>
      <c r="DW679" s="1595"/>
      <c r="DX679" s="1595"/>
      <c r="DY679" s="1595"/>
      <c r="DZ679" s="1058"/>
      <c r="EA679" s="1861"/>
      <c r="EB679" s="838"/>
      <c r="EC679" s="1058"/>
      <c r="ED679" s="614"/>
      <c r="EE679" s="614"/>
      <c r="EF679" s="614"/>
      <c r="EG679" s="614"/>
      <c r="EH679" s="614"/>
      <c r="EI679" s="614"/>
      <c r="EJ679" s="614"/>
      <c r="EK679" s="614"/>
      <c r="EL679" s="614"/>
      <c r="EM679" s="614"/>
      <c r="EN679" s="614"/>
      <c r="ES679" s="1857">
        <v>2024</v>
      </c>
      <c r="ET679" s="1861"/>
      <c r="EU679" s="838"/>
      <c r="EV679" s="1058"/>
    </row>
    <row r="680" spans="101:152" ht="17.399999999999999">
      <c r="CW680" s="614"/>
      <c r="CX680" s="614"/>
      <c r="CY680" s="1857">
        <v>2025</v>
      </c>
      <c r="CZ680" s="1861"/>
      <c r="DA680" s="1595"/>
      <c r="DB680" s="1597">
        <f t="shared" si="282"/>
        <v>1.2190000000000001</v>
      </c>
      <c r="DC680" s="1595"/>
      <c r="DD680" s="1035">
        <f t="shared" si="276"/>
        <v>0</v>
      </c>
      <c r="DE680" s="614"/>
      <c r="DF680" s="614"/>
      <c r="DG680" s="614"/>
      <c r="DH680" s="614"/>
      <c r="DI680" s="614"/>
      <c r="DJ680" s="614"/>
      <c r="DK680" s="614"/>
      <c r="DL680" s="614"/>
      <c r="DM680" s="614"/>
      <c r="DN680" s="614"/>
      <c r="DO680" s="614"/>
      <c r="DP680" s="614"/>
      <c r="DQ680" s="614"/>
      <c r="DR680" s="614"/>
      <c r="DS680" s="1975">
        <f t="shared" si="280"/>
        <v>1.2190000000000001</v>
      </c>
      <c r="DU680" s="1857">
        <v>2025</v>
      </c>
      <c r="DV680" s="1861"/>
      <c r="DW680" s="1595"/>
      <c r="DX680" s="1595"/>
      <c r="DY680" s="1595"/>
      <c r="DZ680" s="1058"/>
      <c r="EA680" s="1861"/>
      <c r="EB680" s="838"/>
      <c r="EC680" s="1058"/>
      <c r="ED680" s="614"/>
      <c r="EE680" s="614"/>
      <c r="EF680" s="614"/>
      <c r="EG680" s="614"/>
      <c r="EH680" s="614"/>
      <c r="EI680" s="614"/>
      <c r="EJ680" s="614"/>
      <c r="EK680" s="614"/>
      <c r="EL680" s="614"/>
      <c r="EM680" s="614"/>
      <c r="EN680" s="614"/>
      <c r="ES680" s="1857">
        <v>2025</v>
      </c>
      <c r="ET680" s="1861"/>
      <c r="EU680" s="838"/>
      <c r="EV680" s="1058"/>
    </row>
    <row r="681" spans="101:152" ht="17.399999999999999">
      <c r="CW681" s="614"/>
      <c r="CX681" s="614"/>
      <c r="CY681" s="1857">
        <v>2026</v>
      </c>
      <c r="CZ681" s="1861"/>
      <c r="DA681" s="1595"/>
      <c r="DB681" s="1597">
        <f t="shared" si="282"/>
        <v>1.2190000000000001</v>
      </c>
      <c r="DC681" s="1595"/>
      <c r="DD681" s="1035">
        <f t="shared" si="276"/>
        <v>0</v>
      </c>
      <c r="DE681" s="614"/>
      <c r="DF681" s="614"/>
      <c r="DG681" s="614"/>
      <c r="DH681" s="614"/>
      <c r="DI681" s="614"/>
      <c r="DJ681" s="614"/>
      <c r="DK681" s="614"/>
      <c r="DL681" s="614"/>
      <c r="DM681" s="614"/>
      <c r="DN681" s="614"/>
      <c r="DO681" s="614"/>
      <c r="DP681" s="614"/>
      <c r="DQ681" s="614"/>
      <c r="DR681" s="614"/>
      <c r="DS681" s="1975">
        <f t="shared" si="280"/>
        <v>1.2190000000000001</v>
      </c>
      <c r="DU681" s="1857">
        <v>2026</v>
      </c>
      <c r="DV681" s="1861"/>
      <c r="DW681" s="1595"/>
      <c r="DX681" s="1595"/>
      <c r="DY681" s="1595"/>
      <c r="DZ681" s="1058"/>
      <c r="EA681" s="1861"/>
      <c r="EB681" s="838"/>
      <c r="EC681" s="1058"/>
      <c r="ED681" s="614"/>
      <c r="EE681" s="614"/>
      <c r="EF681" s="614"/>
      <c r="EG681" s="614"/>
      <c r="EH681" s="614"/>
      <c r="EI681" s="614"/>
      <c r="EJ681" s="614"/>
      <c r="EK681" s="614"/>
      <c r="EL681" s="614"/>
      <c r="EM681" s="614"/>
      <c r="EN681" s="614"/>
      <c r="ES681" s="1857">
        <v>2026</v>
      </c>
      <c r="ET681" s="1861"/>
      <c r="EU681" s="838"/>
      <c r="EV681" s="1058"/>
    </row>
    <row r="682" spans="101:152" ht="17.399999999999999">
      <c r="CW682" s="614"/>
      <c r="CX682" s="614"/>
      <c r="CY682" s="1857">
        <v>2027</v>
      </c>
      <c r="CZ682" s="1861"/>
      <c r="DA682" s="1595"/>
      <c r="DB682" s="1597">
        <f t="shared" si="282"/>
        <v>1.2190000000000001</v>
      </c>
      <c r="DC682" s="1595"/>
      <c r="DD682" s="1035">
        <f t="shared" si="276"/>
        <v>0</v>
      </c>
      <c r="DE682" s="614"/>
      <c r="DF682" s="614"/>
      <c r="DG682" s="614"/>
      <c r="DH682" s="614"/>
      <c r="DI682" s="614"/>
      <c r="DJ682" s="614"/>
      <c r="DK682" s="614"/>
      <c r="DL682" s="614"/>
      <c r="DM682" s="614"/>
      <c r="DN682" s="614"/>
      <c r="DO682" s="614"/>
      <c r="DP682" s="614"/>
      <c r="DQ682" s="614"/>
      <c r="DR682" s="614"/>
      <c r="DS682" s="1975">
        <f t="shared" si="280"/>
        <v>1.2190000000000001</v>
      </c>
      <c r="DU682" s="1857">
        <v>2027</v>
      </c>
      <c r="DV682" s="1861"/>
      <c r="DW682" s="1595"/>
      <c r="DX682" s="1595"/>
      <c r="DY682" s="1595"/>
      <c r="DZ682" s="1058"/>
      <c r="EA682" s="1861"/>
      <c r="EB682" s="838"/>
      <c r="EC682" s="1058"/>
      <c r="ED682" s="614"/>
      <c r="EE682" s="614"/>
      <c r="EF682" s="614"/>
      <c r="EG682" s="614"/>
      <c r="EH682" s="614"/>
      <c r="EI682" s="614"/>
      <c r="EJ682" s="614"/>
      <c r="EK682" s="614"/>
      <c r="EL682" s="614"/>
      <c r="EM682" s="614"/>
      <c r="EN682" s="614"/>
      <c r="ES682" s="1857">
        <v>2027</v>
      </c>
      <c r="ET682" s="1861"/>
      <c r="EU682" s="838"/>
      <c r="EV682" s="1058"/>
    </row>
    <row r="683" spans="101:152" ht="17.399999999999999">
      <c r="CW683" s="614"/>
      <c r="CX683" s="614"/>
      <c r="CY683" s="1857">
        <v>2028</v>
      </c>
      <c r="CZ683" s="1861"/>
      <c r="DA683" s="1595"/>
      <c r="DB683" s="1597">
        <f t="shared" si="282"/>
        <v>1.2190000000000001</v>
      </c>
      <c r="DC683" s="1595"/>
      <c r="DD683" s="1035">
        <f t="shared" si="276"/>
        <v>0</v>
      </c>
      <c r="DE683" s="614"/>
      <c r="DF683" s="614"/>
      <c r="DG683" s="614"/>
      <c r="DH683" s="614"/>
      <c r="DI683" s="614"/>
      <c r="DJ683" s="614"/>
      <c r="DK683" s="614"/>
      <c r="DL683" s="614"/>
      <c r="DM683" s="614"/>
      <c r="DN683" s="614"/>
      <c r="DO683" s="614"/>
      <c r="DP683" s="614"/>
      <c r="DQ683" s="614"/>
      <c r="DR683" s="614"/>
      <c r="DS683" s="1975">
        <f t="shared" si="280"/>
        <v>1.2190000000000001</v>
      </c>
      <c r="DU683" s="1857">
        <v>2028</v>
      </c>
      <c r="DV683" s="1861"/>
      <c r="DW683" s="1595"/>
      <c r="DX683" s="1595"/>
      <c r="DY683" s="1595"/>
      <c r="DZ683" s="1058"/>
      <c r="EA683" s="1861"/>
      <c r="EB683" s="838"/>
      <c r="EC683" s="1058"/>
      <c r="ED683" s="614"/>
      <c r="EE683" s="614"/>
      <c r="EF683" s="614"/>
      <c r="EG683" s="614"/>
      <c r="EH683" s="614"/>
      <c r="EI683" s="614"/>
      <c r="EJ683" s="614"/>
      <c r="EK683" s="614"/>
      <c r="EL683" s="614"/>
      <c r="EM683" s="614"/>
      <c r="EN683" s="614"/>
      <c r="ES683" s="1857">
        <v>2028</v>
      </c>
      <c r="ET683" s="1861"/>
      <c r="EU683" s="838"/>
      <c r="EV683" s="1058"/>
    </row>
    <row r="684" spans="101:152" ht="17.399999999999999">
      <c r="CW684" s="614"/>
      <c r="CX684" s="614"/>
      <c r="CY684" s="1857">
        <v>2029</v>
      </c>
      <c r="CZ684" s="1861"/>
      <c r="DA684" s="1595"/>
      <c r="DB684" s="1597">
        <f t="shared" si="282"/>
        <v>1.2190000000000001</v>
      </c>
      <c r="DC684" s="1595"/>
      <c r="DD684" s="1035">
        <f t="shared" si="276"/>
        <v>0</v>
      </c>
      <c r="DE684" s="614"/>
      <c r="DF684" s="614"/>
      <c r="DG684" s="614"/>
      <c r="DH684" s="614"/>
      <c r="DI684" s="614"/>
      <c r="DJ684" s="614"/>
      <c r="DK684" s="614"/>
      <c r="DL684" s="614"/>
      <c r="DM684" s="614"/>
      <c r="DN684" s="614"/>
      <c r="DO684" s="614"/>
      <c r="DP684" s="614"/>
      <c r="DQ684" s="614"/>
      <c r="DR684" s="614"/>
      <c r="DS684" s="1975">
        <f t="shared" si="280"/>
        <v>1.2190000000000001</v>
      </c>
      <c r="DU684" s="1857">
        <v>2029</v>
      </c>
      <c r="DV684" s="1861"/>
      <c r="DW684" s="1595"/>
      <c r="DX684" s="1595"/>
      <c r="DY684" s="1595"/>
      <c r="DZ684" s="1058"/>
      <c r="EA684" s="1861"/>
      <c r="EB684" s="838"/>
      <c r="EC684" s="1058"/>
      <c r="ED684" s="614"/>
      <c r="EE684" s="614"/>
      <c r="EF684" s="614"/>
      <c r="EG684" s="614"/>
      <c r="EH684" s="614"/>
      <c r="EI684" s="614"/>
      <c r="EJ684" s="614"/>
      <c r="EK684" s="614"/>
      <c r="EL684" s="614"/>
      <c r="EM684" s="614"/>
      <c r="EN684" s="614"/>
      <c r="ES684" s="1857">
        <v>2029</v>
      </c>
      <c r="ET684" s="1861"/>
      <c r="EU684" s="838"/>
      <c r="EV684" s="1058"/>
    </row>
    <row r="685" spans="101:152" ht="17.399999999999999">
      <c r="CW685" s="614"/>
      <c r="CX685" s="614"/>
      <c r="CY685" s="1862">
        <v>2030</v>
      </c>
      <c r="CZ685" s="1863"/>
      <c r="DA685" s="843"/>
      <c r="DB685" s="1984">
        <f t="shared" si="282"/>
        <v>1.2190000000000001</v>
      </c>
      <c r="DC685" s="843"/>
      <c r="DD685" s="1035">
        <f t="shared" si="276"/>
        <v>0</v>
      </c>
      <c r="DE685" s="614"/>
      <c r="DF685" s="614"/>
      <c r="DG685" s="614"/>
      <c r="DH685" s="614"/>
      <c r="DI685" s="614"/>
      <c r="DJ685" s="614"/>
      <c r="DK685" s="614"/>
      <c r="DL685" s="614"/>
      <c r="DM685" s="614"/>
      <c r="DN685" s="614"/>
      <c r="DO685" s="614"/>
      <c r="DP685" s="614"/>
      <c r="DQ685" s="614"/>
      <c r="DR685" s="614"/>
      <c r="DS685" s="1976">
        <f t="shared" si="280"/>
        <v>1.2190000000000001</v>
      </c>
      <c r="DU685" s="1862">
        <v>2030</v>
      </c>
      <c r="DV685" s="1863"/>
      <c r="DW685" s="843"/>
      <c r="DX685" s="843"/>
      <c r="DY685" s="843"/>
      <c r="DZ685" s="1303"/>
      <c r="EA685" s="1863"/>
      <c r="EB685" s="843"/>
      <c r="EC685" s="1303"/>
      <c r="ED685" s="614"/>
      <c r="EE685" s="614"/>
      <c r="EF685" s="614"/>
      <c r="EG685" s="614"/>
      <c r="EH685" s="614"/>
      <c r="EI685" s="614"/>
      <c r="EJ685" s="614"/>
      <c r="EK685" s="614"/>
      <c r="EL685" s="614"/>
      <c r="EM685" s="614"/>
      <c r="EN685" s="614"/>
      <c r="ES685" s="1862">
        <v>2030</v>
      </c>
      <c r="ET685" s="1863"/>
      <c r="EU685" s="843"/>
      <c r="EV685" s="1303"/>
    </row>
    <row r="686" spans="101:152" ht="17.399999999999999">
      <c r="DK686" s="614"/>
    </row>
    <row r="690" spans="101:192" ht="19.5" customHeight="1"/>
    <row r="691" spans="101:192" ht="16.2" thickBot="1"/>
    <row r="692" spans="101:192" ht="21">
      <c r="CW692" s="614"/>
      <c r="CX692" s="614"/>
      <c r="CY692" s="2047" t="s">
        <v>351</v>
      </c>
      <c r="CZ692" s="2048" t="s">
        <v>468</v>
      </c>
      <c r="DA692" s="2049" t="s">
        <v>619</v>
      </c>
      <c r="DE692" s="614"/>
      <c r="DF692" s="614"/>
      <c r="DG692" s="614"/>
      <c r="DH692" s="614"/>
      <c r="DI692" s="614"/>
      <c r="DJ692" s="614"/>
      <c r="DL692" s="614"/>
      <c r="DM692" s="614"/>
      <c r="DN692" s="614"/>
      <c r="DO692" s="614"/>
      <c r="DP692" s="614"/>
      <c r="DQ692" s="614"/>
      <c r="DR692" s="614"/>
      <c r="DU692" s="1852" t="s">
        <v>351</v>
      </c>
      <c r="DV692" s="1877" t="s">
        <v>461</v>
      </c>
      <c r="DW692" s="1865" t="s">
        <v>1695</v>
      </c>
      <c r="ED692" s="614"/>
      <c r="EE692" s="614"/>
      <c r="EF692" s="614"/>
      <c r="EG692" s="614"/>
      <c r="EH692" s="614"/>
      <c r="EJ692" s="1852" t="s">
        <v>351</v>
      </c>
      <c r="EK692" s="1877" t="s">
        <v>1696</v>
      </c>
      <c r="EL692" s="1864" t="s">
        <v>590</v>
      </c>
      <c r="EM692" s="1864" t="s">
        <v>1698</v>
      </c>
      <c r="EZ692" s="1796" t="s">
        <v>1698</v>
      </c>
      <c r="FB692" s="1852" t="s">
        <v>351</v>
      </c>
      <c r="FC692" s="2117" t="s">
        <v>461</v>
      </c>
      <c r="FD692" s="1591" t="s">
        <v>1285</v>
      </c>
      <c r="FE692" s="1796" t="s">
        <v>1833</v>
      </c>
      <c r="FF692" s="1591" t="s">
        <v>1764</v>
      </c>
      <c r="FG692" s="1591" t="s">
        <v>425</v>
      </c>
      <c r="FK692" s="614"/>
      <c r="FL692" s="614"/>
      <c r="FM692" s="614"/>
      <c r="FN692" s="614"/>
      <c r="FO692" s="614"/>
      <c r="FW692" s="1852" t="s">
        <v>351</v>
      </c>
      <c r="FX692" s="1877" t="s">
        <v>432</v>
      </c>
      <c r="FY692" s="1865" t="s">
        <v>1285</v>
      </c>
      <c r="FZ692" s="1877" t="s">
        <v>432</v>
      </c>
      <c r="GA692" s="1865"/>
      <c r="GF692" s="614"/>
      <c r="GG692" s="614"/>
      <c r="GH692" s="614"/>
      <c r="GI692" s="614"/>
      <c r="GJ692" s="614"/>
    </row>
    <row r="693" spans="101:192" ht="18" thickBot="1">
      <c r="CW693" s="614"/>
      <c r="CX693" s="614"/>
      <c r="CY693" s="1563">
        <v>43668</v>
      </c>
      <c r="CZ693" s="1854" t="s">
        <v>1694</v>
      </c>
      <c r="DA693" s="1854" t="s">
        <v>1618</v>
      </c>
      <c r="DE693" s="614"/>
      <c r="DF693" s="614"/>
      <c r="DG693" s="614"/>
      <c r="DH693" s="614"/>
      <c r="DI693" s="614"/>
      <c r="DJ693" s="614"/>
      <c r="DK693" s="614"/>
      <c r="DL693" s="614"/>
      <c r="DM693" s="614"/>
      <c r="DN693" s="614"/>
      <c r="DO693" s="614"/>
      <c r="DP693" s="614"/>
      <c r="DQ693" s="614"/>
      <c r="DR693" s="614"/>
      <c r="DU693" s="720">
        <v>43668</v>
      </c>
      <c r="DV693" s="1854" t="s">
        <v>1618</v>
      </c>
      <c r="DW693" s="1854" t="s">
        <v>1618</v>
      </c>
      <c r="ED693" s="614"/>
      <c r="EE693" s="614"/>
      <c r="EF693" s="614"/>
      <c r="EG693" s="614"/>
      <c r="EH693" s="614"/>
      <c r="EJ693" s="1967">
        <v>43668</v>
      </c>
      <c r="EK693" s="1855" t="s">
        <v>1697</v>
      </c>
      <c r="EL693" s="1629" t="s">
        <v>1454</v>
      </c>
      <c r="EM693" s="1855" t="s">
        <v>1697</v>
      </c>
      <c r="EZ693" s="1856" t="s">
        <v>1368</v>
      </c>
      <c r="FB693" s="720">
        <v>43756</v>
      </c>
      <c r="FC693" s="2022" t="s">
        <v>46</v>
      </c>
      <c r="FD693" s="2022" t="s">
        <v>46</v>
      </c>
      <c r="FE693" s="2022" t="s">
        <v>1832</v>
      </c>
      <c r="FF693" s="2022" t="s">
        <v>46</v>
      </c>
      <c r="FG693" s="2022" t="s">
        <v>46</v>
      </c>
      <c r="FK693" s="614"/>
      <c r="FL693" s="614"/>
      <c r="FM693" s="614"/>
      <c r="FN693" s="614"/>
      <c r="FO693" s="614"/>
      <c r="FW693" s="720">
        <v>43688</v>
      </c>
      <c r="FX693" s="2022" t="s">
        <v>46</v>
      </c>
      <c r="FY693" s="2022" t="s">
        <v>46</v>
      </c>
      <c r="FZ693" s="2022" t="s">
        <v>1278</v>
      </c>
      <c r="GA693" s="2022"/>
      <c r="GF693" s="614"/>
      <c r="GG693" s="614"/>
      <c r="GH693" s="614"/>
      <c r="GI693" s="614"/>
      <c r="GJ693" s="614"/>
    </row>
    <row r="694" spans="101:192" ht="17.399999999999999">
      <c r="CX694" s="614"/>
      <c r="CY694" s="1857">
        <v>1995</v>
      </c>
      <c r="CZ694" s="1858">
        <f t="array" ref="CZ694:CZ715">TRANSPOSE(U91:AP91)</f>
        <v>64.055000000000007</v>
      </c>
      <c r="DA694" s="1838">
        <f t="array" ref="DA694:DA715">TRANSPOSE(U167:AP167)</f>
        <v>2767.6205</v>
      </c>
      <c r="DE694" s="614"/>
      <c r="DF694" s="614"/>
      <c r="DG694" s="614"/>
      <c r="DH694" s="614"/>
      <c r="DI694" s="614"/>
      <c r="DJ694" s="614"/>
      <c r="DK694" s="614"/>
      <c r="DL694" s="614"/>
      <c r="DM694" s="614"/>
      <c r="DN694" s="614"/>
      <c r="DO694" s="614"/>
      <c r="DP694" s="614"/>
      <c r="DQ694" s="614"/>
      <c r="DR694" s="614"/>
      <c r="DS694" s="1174">
        <f t="array" ref="DS694:DS715">TRANSPOSE(U88:AP88)</f>
        <v>647.87</v>
      </c>
      <c r="DT694" s="1767">
        <f t="array" ref="DT694:DT715">TRANSPOSE(U51:AP51)</f>
        <v>2767.6205</v>
      </c>
      <c r="DU694" s="1857">
        <v>1995</v>
      </c>
      <c r="DV694" s="1858">
        <f>DS694/1000</f>
        <v>0.64787000000000006</v>
      </c>
      <c r="DW694" s="1800">
        <f>DT694/1000</f>
        <v>2.7676205</v>
      </c>
      <c r="ED694" s="614"/>
      <c r="EE694" s="614"/>
      <c r="EF694" s="614"/>
      <c r="EG694" s="614"/>
      <c r="EH694" s="614"/>
      <c r="EJ694" s="1857">
        <v>1995</v>
      </c>
      <c r="EK694" s="1803">
        <f t="shared" ref="EK694:EK715" si="283">DS694/CZ694</f>
        <v>10.114276793380688</v>
      </c>
      <c r="EL694" s="1803">
        <f t="array" ref="EL694:EL715">TRANSPOSE(U151:AP151)</f>
        <v>1</v>
      </c>
      <c r="EM694" s="1804">
        <f>EK694/EL694</f>
        <v>10.114276793380688</v>
      </c>
      <c r="EZ694" s="1369">
        <f t="shared" ref="EZ694:EZ729" si="284">EM694</f>
        <v>10.114276793380688</v>
      </c>
      <c r="FB694" s="1857">
        <v>1995</v>
      </c>
      <c r="FC694" s="1874">
        <f t="array" ref="FC694:FC715">TRANSPOSE(U88:AP88)</f>
        <v>647.87</v>
      </c>
      <c r="FD694" s="1494">
        <f t="array" ref="FD694:FD715">TRANSPOSE(U89:AP89)</f>
        <v>910.9</v>
      </c>
      <c r="FE694" s="2118">
        <f>FF694/FG694</f>
        <v>0.18412751259012031</v>
      </c>
      <c r="FF694" s="2020">
        <f t="shared" ref="FF694:FF715" si="285">FD694-FC694</f>
        <v>263.02999999999997</v>
      </c>
      <c r="FG694" s="2014">
        <f t="shared" ref="FG694:FG715" si="286">DY372</f>
        <v>1428.5209</v>
      </c>
      <c r="FK694" s="614"/>
      <c r="FL694" s="614"/>
      <c r="FM694" s="614"/>
      <c r="FN694" s="614"/>
      <c r="FO694" s="614"/>
      <c r="FW694" s="1857">
        <v>1995</v>
      </c>
      <c r="FX694" s="1874">
        <f t="array" ref="FX694:FX715">TRANSPOSE(U69:AP69)</f>
        <v>719.79349999999999</v>
      </c>
      <c r="FY694" s="1494">
        <f>FD694</f>
        <v>910.9</v>
      </c>
      <c r="FZ694" s="2020"/>
      <c r="GA694" s="2014"/>
      <c r="GF694" s="614"/>
      <c r="GG694" s="614"/>
      <c r="GH694" s="614"/>
      <c r="GI694" s="614"/>
      <c r="GJ694" s="614"/>
    </row>
    <row r="695" spans="101:192" ht="17.399999999999999">
      <c r="CX695" s="614"/>
      <c r="CY695" s="1857">
        <v>1996</v>
      </c>
      <c r="CZ695" s="1859">
        <v>62.927999999999997</v>
      </c>
      <c r="DA695" s="1838">
        <v>2690.1271259999999</v>
      </c>
      <c r="DE695" s="614"/>
      <c r="DF695" s="614"/>
      <c r="DG695" s="614"/>
      <c r="DH695" s="614"/>
      <c r="DI695" s="614"/>
      <c r="DJ695" s="614"/>
      <c r="DK695" s="614"/>
      <c r="DL695" s="614"/>
      <c r="DM695" s="614"/>
      <c r="DN695" s="614"/>
      <c r="DO695" s="614"/>
      <c r="DP695" s="614"/>
      <c r="DQ695" s="614"/>
      <c r="DR695" s="614">
        <f t="shared" ref="DR695:DR715" si="287">CZ695*EM695*EL695</f>
        <v>1022.6400000000001</v>
      </c>
      <c r="DS695" s="1174">
        <v>1022.64</v>
      </c>
      <c r="DT695" s="1767">
        <v>3799.1260000000002</v>
      </c>
      <c r="DU695" s="1857">
        <v>1996</v>
      </c>
      <c r="DV695" s="1859">
        <f>DS695/1000</f>
        <v>1.02264</v>
      </c>
      <c r="DW695" s="1036">
        <f>DT695/1000</f>
        <v>3.7991260000000002</v>
      </c>
      <c r="ED695" s="614"/>
      <c r="EE695" s="614"/>
      <c r="EF695" s="614"/>
      <c r="EG695" s="614"/>
      <c r="EH695" s="614"/>
      <c r="EJ695" s="1857">
        <v>1996</v>
      </c>
      <c r="EK695" s="1787">
        <f t="shared" si="283"/>
        <v>16.250953470633107</v>
      </c>
      <c r="EL695" s="1787">
        <v>1.218</v>
      </c>
      <c r="EM695" s="1035">
        <f>EK695/EL695</f>
        <v>13.342326330569053</v>
      </c>
      <c r="EZ695" s="1975">
        <f t="shared" si="284"/>
        <v>13.342326330569053</v>
      </c>
      <c r="FB695" s="1857">
        <v>1996</v>
      </c>
      <c r="FC695" s="1875">
        <v>1022.64</v>
      </c>
      <c r="FD695" s="1495">
        <v>1357.1</v>
      </c>
      <c r="FE695" s="1966">
        <f>FF695/FG695</f>
        <v>0.16657824595487689</v>
      </c>
      <c r="FF695" s="2021">
        <f t="shared" si="285"/>
        <v>334.45999999999992</v>
      </c>
      <c r="FG695" s="2016">
        <f t="shared" si="286"/>
        <v>2007.8252000000002</v>
      </c>
      <c r="FK695" s="614"/>
      <c r="FL695" s="614"/>
      <c r="FM695" s="614"/>
      <c r="FN695" s="614"/>
      <c r="FO695" s="614"/>
      <c r="FW695" s="1857">
        <v>1996</v>
      </c>
      <c r="FX695" s="1875">
        <v>1007.827</v>
      </c>
      <c r="FY695" s="1495">
        <f>FD695</f>
        <v>1357.1</v>
      </c>
      <c r="FZ695" s="2021">
        <f>0.8336*FY695-523.88</f>
        <v>607.39855999999997</v>
      </c>
      <c r="GA695" s="2016"/>
      <c r="GF695" s="614"/>
      <c r="GG695" s="614"/>
      <c r="GH695" s="614"/>
      <c r="GI695" s="614"/>
      <c r="GJ695" s="614"/>
    </row>
    <row r="696" spans="101:192" ht="17.399999999999999">
      <c r="CX696" s="614"/>
      <c r="CY696" s="1857">
        <v>1997</v>
      </c>
      <c r="CZ696" s="1859">
        <v>60.021000000000001</v>
      </c>
      <c r="DA696" s="1838">
        <v>2727.788905764</v>
      </c>
      <c r="DE696" s="614"/>
      <c r="DF696" s="614"/>
      <c r="DG696" s="614"/>
      <c r="DH696" s="614"/>
      <c r="DI696" s="614"/>
      <c r="DJ696" s="614"/>
      <c r="DK696" s="614"/>
      <c r="DL696" s="614"/>
      <c r="DM696" s="614"/>
      <c r="DN696" s="614"/>
      <c r="DO696" s="614"/>
      <c r="DP696" s="614"/>
      <c r="DQ696" s="614"/>
      <c r="DR696" s="614">
        <f t="shared" si="287"/>
        <v>1202.9000000000001</v>
      </c>
      <c r="DS696" s="1174">
        <v>1202.9000000000001</v>
      </c>
      <c r="DT696" s="1767">
        <v>4327.5309999999999</v>
      </c>
      <c r="DU696" s="1857">
        <v>1997</v>
      </c>
      <c r="DV696" s="1859">
        <f t="shared" ref="DV696:DV715" si="288">DS696/1000</f>
        <v>1.2029000000000001</v>
      </c>
      <c r="DW696" s="1036">
        <f t="shared" ref="DW696:DW715" si="289">DT696/1000</f>
        <v>4.3275309999999996</v>
      </c>
      <c r="ED696" s="614"/>
      <c r="EE696" s="614"/>
      <c r="EF696" s="614"/>
      <c r="EG696" s="614"/>
      <c r="EH696" s="614"/>
      <c r="EJ696" s="1857">
        <v>1997</v>
      </c>
      <c r="EK696" s="1787">
        <f t="shared" si="283"/>
        <v>20.04131887172823</v>
      </c>
      <c r="EL696" s="1787">
        <v>1.3519800000000002</v>
      </c>
      <c r="EM696" s="1035">
        <f t="shared" ref="EM696:EM715" si="290">EK696/EL696</f>
        <v>14.823679989147935</v>
      </c>
      <c r="EZ696" s="1975">
        <f t="shared" si="284"/>
        <v>14.823679989147935</v>
      </c>
      <c r="FB696" s="1857">
        <v>1997</v>
      </c>
      <c r="FC696" s="1875">
        <v>1202.9000000000001</v>
      </c>
      <c r="FD696" s="1495">
        <v>1656.4</v>
      </c>
      <c r="FE696" s="1966">
        <f t="shared" ref="FE696:FE715" si="291">FF696/FG696</f>
        <v>0.19359545261144043</v>
      </c>
      <c r="FF696" s="2021">
        <f t="shared" si="285"/>
        <v>453.5</v>
      </c>
      <c r="FG696" s="2016">
        <f t="shared" si="286"/>
        <v>2342.5137</v>
      </c>
      <c r="FK696" s="614"/>
      <c r="FL696" s="614"/>
      <c r="FM696" s="614"/>
      <c r="FN696" s="614"/>
      <c r="FO696" s="614"/>
      <c r="FW696" s="1857">
        <v>1997</v>
      </c>
      <c r="FX696" s="1875">
        <v>1235.2137</v>
      </c>
      <c r="FY696" s="1495">
        <f t="shared" ref="FY696:FY715" si="292">FD696</f>
        <v>1656.4</v>
      </c>
      <c r="FZ696" s="2021">
        <f t="shared" ref="FZ696:FZ718" si="293">0.8336*FY696-523.88</f>
        <v>856.89503999999999</v>
      </c>
      <c r="GA696" s="2016"/>
      <c r="GF696" s="614"/>
      <c r="GG696" s="614"/>
      <c r="GH696" s="614"/>
      <c r="GI696" s="614"/>
      <c r="GJ696" s="614"/>
    </row>
    <row r="697" spans="101:192" ht="17.399999999999999">
      <c r="CX697" s="614"/>
      <c r="CY697" s="1857">
        <v>1998</v>
      </c>
      <c r="CZ697" s="1859">
        <v>58.436999999999998</v>
      </c>
      <c r="DA697" s="1838">
        <v>2588.6716715700359</v>
      </c>
      <c r="DE697" s="614"/>
      <c r="DF697" s="614"/>
      <c r="DG697" s="614"/>
      <c r="DH697" s="614"/>
      <c r="DI697" s="614"/>
      <c r="DJ697" s="614"/>
      <c r="DK697" s="614"/>
      <c r="DL697" s="614"/>
      <c r="DM697" s="614"/>
      <c r="DN697" s="614"/>
      <c r="DO697" s="614"/>
      <c r="DP697" s="614"/>
      <c r="DQ697" s="614"/>
      <c r="DR697" s="614">
        <f t="shared" si="287"/>
        <v>1263.0469999999998</v>
      </c>
      <c r="DS697" s="1174">
        <v>1263.047</v>
      </c>
      <c r="DT697" s="1767">
        <v>4573.9769999999999</v>
      </c>
      <c r="DU697" s="1857">
        <v>1998</v>
      </c>
      <c r="DV697" s="1859">
        <f t="shared" si="288"/>
        <v>1.263047</v>
      </c>
      <c r="DW697" s="1036">
        <f t="shared" si="289"/>
        <v>4.5739770000000002</v>
      </c>
      <c r="ED697" s="614"/>
      <c r="EE697" s="614"/>
      <c r="EF697" s="614"/>
      <c r="EG697" s="614"/>
      <c r="EH697" s="614"/>
      <c r="EJ697" s="1857">
        <v>1998</v>
      </c>
      <c r="EK697" s="1787">
        <f t="shared" si="283"/>
        <v>21.613823433783391</v>
      </c>
      <c r="EL697" s="1787">
        <v>2.4930511200000005</v>
      </c>
      <c r="EM697" s="1035">
        <f t="shared" si="290"/>
        <v>8.6696270527270158</v>
      </c>
      <c r="EZ697" s="1975">
        <f t="shared" si="284"/>
        <v>8.6696270527270158</v>
      </c>
      <c r="FB697" s="1857">
        <v>1998</v>
      </c>
      <c r="FC697" s="1875">
        <v>1263.047</v>
      </c>
      <c r="FD697" s="1495">
        <v>1776</v>
      </c>
      <c r="FE697" s="1966">
        <f t="shared" si="291"/>
        <v>0.19506713300983194</v>
      </c>
      <c r="FF697" s="2021">
        <f t="shared" si="285"/>
        <v>512.95299999999997</v>
      </c>
      <c r="FG697" s="2016">
        <f t="shared" si="286"/>
        <v>2629.6228999999998</v>
      </c>
      <c r="FK697" s="614"/>
      <c r="FL697" s="614"/>
      <c r="FM697" s="614"/>
      <c r="FN697" s="614"/>
      <c r="FO697" s="614"/>
      <c r="FW697" s="1857">
        <v>1998</v>
      </c>
      <c r="FX697" s="1875">
        <v>1462.2840000000001</v>
      </c>
      <c r="FY697" s="1495">
        <f t="shared" si="292"/>
        <v>1776</v>
      </c>
      <c r="FZ697" s="2021">
        <f t="shared" si="293"/>
        <v>956.59360000000004</v>
      </c>
      <c r="GA697" s="2016"/>
      <c r="GF697" s="614"/>
      <c r="GG697" s="614"/>
      <c r="GH697" s="614"/>
      <c r="GI697" s="614"/>
      <c r="GJ697" s="614"/>
    </row>
    <row r="698" spans="101:192" ht="17.399999999999999">
      <c r="CX698" s="614"/>
      <c r="CY698" s="1857">
        <v>1999</v>
      </c>
      <c r="CZ698" s="1859">
        <v>63.082000000000001</v>
      </c>
      <c r="DA698" s="1838">
        <v>2738.8146285210983</v>
      </c>
      <c r="DE698" s="614"/>
      <c r="DF698" s="614"/>
      <c r="DG698" s="614"/>
      <c r="DH698" s="614"/>
      <c r="DI698" s="614"/>
      <c r="DJ698" s="614"/>
      <c r="DK698" s="614"/>
      <c r="DL698" s="614"/>
      <c r="DM698" s="614"/>
      <c r="DN698" s="614"/>
      <c r="DO698" s="614"/>
      <c r="DP698" s="614"/>
      <c r="DQ698" s="614"/>
      <c r="DR698" s="614">
        <f t="shared" si="287"/>
        <v>1933.6059999999998</v>
      </c>
      <c r="DS698" s="1174">
        <v>1933.606</v>
      </c>
      <c r="DT698" s="1767">
        <v>8303.2019999999993</v>
      </c>
      <c r="DU698" s="1857">
        <v>1999</v>
      </c>
      <c r="DV698" s="1859">
        <f t="shared" si="288"/>
        <v>1.9336059999999999</v>
      </c>
      <c r="DW698" s="1036">
        <f t="shared" si="289"/>
        <v>8.3032019999999989</v>
      </c>
      <c r="ED698" s="614"/>
      <c r="EE698" s="614"/>
      <c r="EF698" s="614"/>
      <c r="EG698" s="614"/>
      <c r="EH698" s="614"/>
      <c r="EJ698" s="1857">
        <v>1999</v>
      </c>
      <c r="EK698" s="1787">
        <f t="shared" si="283"/>
        <v>30.652262134998889</v>
      </c>
      <c r="EL698" s="1787">
        <v>3.4030147788000007</v>
      </c>
      <c r="EM698" s="1035">
        <f t="shared" si="290"/>
        <v>9.0073843716328916</v>
      </c>
      <c r="EZ698" s="1975">
        <f t="shared" si="284"/>
        <v>9.0073843716328916</v>
      </c>
      <c r="FB698" s="1857">
        <v>1999</v>
      </c>
      <c r="FC698" s="1875">
        <v>1933.606</v>
      </c>
      <c r="FD698" s="1495">
        <v>2908.1</v>
      </c>
      <c r="FE698" s="1966">
        <f t="shared" si="291"/>
        <v>0.2020416637977403</v>
      </c>
      <c r="FF698" s="2021">
        <f t="shared" si="285"/>
        <v>974.49399999999991</v>
      </c>
      <c r="FG698" s="2016">
        <f t="shared" si="286"/>
        <v>4823.2329</v>
      </c>
      <c r="FK698" s="614"/>
      <c r="FL698" s="614"/>
      <c r="FM698" s="614"/>
      <c r="FN698" s="614"/>
      <c r="FO698" s="614"/>
      <c r="FW698" s="1857">
        <v>1999</v>
      </c>
      <c r="FX698" s="1875">
        <v>2526.1678999999999</v>
      </c>
      <c r="FY698" s="1495">
        <f t="shared" si="292"/>
        <v>2908.1</v>
      </c>
      <c r="FZ698" s="2021">
        <f t="shared" si="293"/>
        <v>1900.3121599999999</v>
      </c>
      <c r="GA698" s="2016"/>
      <c r="GF698" s="614"/>
      <c r="GG698" s="614"/>
      <c r="GH698" s="614"/>
      <c r="GI698" s="614"/>
      <c r="GJ698" s="614"/>
    </row>
    <row r="699" spans="101:192" ht="17.399999999999999">
      <c r="CX699" s="614"/>
      <c r="CY699" s="1857">
        <v>2000</v>
      </c>
      <c r="CZ699" s="1859">
        <v>65.069999999999993</v>
      </c>
      <c r="DA699" s="1838">
        <v>2996.2632036020818</v>
      </c>
      <c r="DE699" s="614"/>
      <c r="DF699" s="614"/>
      <c r="DG699" s="614"/>
      <c r="DH699" s="614"/>
      <c r="DI699" s="614"/>
      <c r="DJ699" s="614"/>
      <c r="DK699" s="614"/>
      <c r="DL699" s="614"/>
      <c r="DM699" s="614"/>
      <c r="DN699" s="614"/>
      <c r="DO699" s="614"/>
      <c r="DP699" s="614"/>
      <c r="DQ699" s="614"/>
      <c r="DR699" s="614">
        <f t="shared" si="287"/>
        <v>2937.23</v>
      </c>
      <c r="DS699" s="1174">
        <v>2937.23</v>
      </c>
      <c r="DT699" s="1767">
        <v>12552.212</v>
      </c>
      <c r="DU699" s="1857">
        <v>2000</v>
      </c>
      <c r="DV699" s="1859">
        <f t="shared" si="288"/>
        <v>2.93723</v>
      </c>
      <c r="DW699" s="1036">
        <f t="shared" si="289"/>
        <v>12.552211999999999</v>
      </c>
      <c r="ED699" s="614"/>
      <c r="EE699" s="614"/>
      <c r="EF699" s="614"/>
      <c r="EG699" s="614"/>
      <c r="EH699" s="614"/>
      <c r="EJ699" s="1857">
        <v>2000</v>
      </c>
      <c r="EK699" s="1787">
        <f t="shared" si="283"/>
        <v>45.139542031658216</v>
      </c>
      <c r="EL699" s="1787">
        <v>4.0904237641176007</v>
      </c>
      <c r="EM699" s="1035">
        <f t="shared" si="290"/>
        <v>11.035419466226347</v>
      </c>
      <c r="EZ699" s="1975">
        <f t="shared" si="284"/>
        <v>11.035419466226347</v>
      </c>
      <c r="FB699" s="1857">
        <v>2000</v>
      </c>
      <c r="FC699" s="1875">
        <v>2937.23</v>
      </c>
      <c r="FD699" s="1495">
        <v>3983.9</v>
      </c>
      <c r="FE699" s="1966">
        <f t="shared" si="291"/>
        <v>0.14326863278604252</v>
      </c>
      <c r="FF699" s="2021">
        <f t="shared" si="285"/>
        <v>1046.67</v>
      </c>
      <c r="FG699" s="2016">
        <f t="shared" si="286"/>
        <v>7305.6466</v>
      </c>
      <c r="FK699" s="614"/>
      <c r="FL699" s="614"/>
      <c r="FM699" s="614"/>
      <c r="FN699" s="614"/>
      <c r="FO699" s="614"/>
      <c r="FW699" s="1857">
        <v>2000</v>
      </c>
      <c r="FX699" s="1875">
        <v>3295.2372999999998</v>
      </c>
      <c r="FY699" s="1495">
        <f t="shared" si="292"/>
        <v>3983.9</v>
      </c>
      <c r="FZ699" s="2021">
        <f t="shared" si="293"/>
        <v>2797.0990400000001</v>
      </c>
      <c r="GA699" s="2016"/>
      <c r="GF699" s="614"/>
      <c r="GG699" s="614"/>
      <c r="GH699" s="614"/>
      <c r="GI699" s="614"/>
      <c r="GJ699" s="614"/>
    </row>
    <row r="700" spans="101:192" ht="17.399999999999999">
      <c r="CX700" s="614"/>
      <c r="CY700" s="1857">
        <v>2001</v>
      </c>
      <c r="CZ700" s="1859">
        <v>65.123000000000005</v>
      </c>
      <c r="DA700" s="1838">
        <v>3143.0801005785834</v>
      </c>
      <c r="DE700" s="614"/>
      <c r="DF700" s="614"/>
      <c r="DG700" s="614"/>
      <c r="DH700" s="614"/>
      <c r="DI700" s="614"/>
      <c r="DJ700" s="614"/>
      <c r="DK700" s="614"/>
      <c r="DL700" s="614"/>
      <c r="DM700" s="614"/>
      <c r="DN700" s="614"/>
      <c r="DO700" s="614"/>
      <c r="DP700" s="614"/>
      <c r="DQ700" s="614"/>
      <c r="DR700" s="614">
        <f t="shared" si="287"/>
        <v>3848.4000000000005</v>
      </c>
      <c r="DS700" s="1174">
        <v>3848.4</v>
      </c>
      <c r="DT700" s="1767">
        <v>15922.788</v>
      </c>
      <c r="DU700" s="1857">
        <v>2001</v>
      </c>
      <c r="DV700" s="1859">
        <f t="shared" si="288"/>
        <v>3.8484000000000003</v>
      </c>
      <c r="DW700" s="1036">
        <f t="shared" si="289"/>
        <v>15.922788000000001</v>
      </c>
      <c r="ED700" s="614"/>
      <c r="EE700" s="614"/>
      <c r="EF700" s="614"/>
      <c r="EG700" s="614"/>
      <c r="EH700" s="614"/>
      <c r="EJ700" s="1857">
        <v>2001</v>
      </c>
      <c r="EK700" s="1787">
        <f t="shared" si="283"/>
        <v>59.094329192451205</v>
      </c>
      <c r="EL700" s="1787">
        <v>4.8512425842434741</v>
      </c>
      <c r="EM700" s="1035">
        <f t="shared" si="290"/>
        <v>12.181276892725549</v>
      </c>
      <c r="EZ700" s="1975">
        <f t="shared" si="284"/>
        <v>12.181276892725549</v>
      </c>
      <c r="FB700" s="1857">
        <v>2001</v>
      </c>
      <c r="FC700" s="1875">
        <v>3848.4</v>
      </c>
      <c r="FD700" s="1495">
        <v>5325.8</v>
      </c>
      <c r="FE700" s="1966">
        <f t="shared" si="291"/>
        <v>0.16519107231144711</v>
      </c>
      <c r="FF700" s="2021">
        <f t="shared" si="285"/>
        <v>1477.4</v>
      </c>
      <c r="FG700" s="2016">
        <f t="shared" si="286"/>
        <v>8943.5825999999997</v>
      </c>
      <c r="FK700" s="614"/>
      <c r="FL700" s="614"/>
      <c r="FM700" s="614"/>
      <c r="FN700" s="614"/>
      <c r="FO700" s="614"/>
      <c r="FW700" s="1857">
        <v>2001</v>
      </c>
      <c r="FX700" s="1875">
        <v>4318.1211000000003</v>
      </c>
      <c r="FY700" s="1495">
        <f t="shared" si="292"/>
        <v>5325.8</v>
      </c>
      <c r="FZ700" s="2021">
        <f t="shared" si="293"/>
        <v>3915.7068799999997</v>
      </c>
      <c r="GA700" s="2016"/>
      <c r="GF700" s="614"/>
      <c r="GG700" s="614"/>
      <c r="GH700" s="614"/>
      <c r="GI700" s="614"/>
      <c r="GJ700" s="614"/>
    </row>
    <row r="701" spans="101:192" ht="17.399999999999999">
      <c r="CX701" s="614"/>
      <c r="CY701" s="1857">
        <v>2002</v>
      </c>
      <c r="CZ701" s="1859">
        <v>66.659000000000006</v>
      </c>
      <c r="DA701" s="1838">
        <v>3281.3756250040415</v>
      </c>
      <c r="DE701" s="614"/>
      <c r="DF701" s="614"/>
      <c r="DG701" s="614"/>
      <c r="DH701" s="614"/>
      <c r="DI701" s="614"/>
      <c r="DJ701" s="614"/>
      <c r="DK701" s="614"/>
      <c r="DL701" s="614"/>
      <c r="DM701" s="614"/>
      <c r="DN701" s="614"/>
      <c r="DO701" s="614"/>
      <c r="DP701" s="614"/>
      <c r="DQ701" s="614"/>
      <c r="DR701" s="614">
        <f t="shared" si="287"/>
        <v>5065.1000000000004</v>
      </c>
      <c r="DS701" s="1174">
        <v>5065.1000000000004</v>
      </c>
      <c r="DT701" s="1767">
        <v>18973.673599999998</v>
      </c>
      <c r="DU701" s="1857">
        <v>2002</v>
      </c>
      <c r="DV701" s="1859">
        <f t="shared" si="288"/>
        <v>5.0651000000000002</v>
      </c>
      <c r="DW701" s="1036">
        <f t="shared" si="289"/>
        <v>18.973673599999998</v>
      </c>
      <c r="ED701" s="614"/>
      <c r="EE701" s="614"/>
      <c r="EF701" s="614"/>
      <c r="EG701" s="614"/>
      <c r="EH701" s="614"/>
      <c r="EJ701" s="1857">
        <v>2002</v>
      </c>
      <c r="EK701" s="1787">
        <f t="shared" si="283"/>
        <v>75.985238302404781</v>
      </c>
      <c r="EL701" s="1787">
        <v>5.5837802144642392</v>
      </c>
      <c r="EM701" s="1035">
        <f t="shared" si="290"/>
        <v>13.608207233080632</v>
      </c>
      <c r="EZ701" s="1975">
        <f t="shared" si="284"/>
        <v>13.608207233080632</v>
      </c>
      <c r="FB701" s="1857">
        <v>2002</v>
      </c>
      <c r="FC701" s="1875">
        <v>5065.1000000000004</v>
      </c>
      <c r="FD701" s="1495">
        <v>6831</v>
      </c>
      <c r="FE701" s="1966">
        <f t="shared" si="291"/>
        <v>0.16321802239003</v>
      </c>
      <c r="FF701" s="2021">
        <f t="shared" si="285"/>
        <v>1765.8999999999996</v>
      </c>
      <c r="FG701" s="2016">
        <f t="shared" si="286"/>
        <v>10819.270899999998</v>
      </c>
      <c r="FK701" s="614"/>
      <c r="FL701" s="614"/>
      <c r="FM701" s="614"/>
      <c r="FN701" s="614"/>
      <c r="FO701" s="614"/>
      <c r="FW701" s="1857">
        <v>2002</v>
      </c>
      <c r="FX701" s="1875">
        <v>5409.1576999999997</v>
      </c>
      <c r="FY701" s="1495">
        <f t="shared" si="292"/>
        <v>6831</v>
      </c>
      <c r="FZ701" s="2021">
        <f t="shared" si="293"/>
        <v>5170.4416000000001</v>
      </c>
      <c r="GA701" s="2016"/>
      <c r="GF701" s="614"/>
      <c r="GG701" s="614"/>
      <c r="GH701" s="614"/>
      <c r="GI701" s="614"/>
      <c r="GJ701" s="614"/>
    </row>
    <row r="702" spans="101:192" ht="17.399999999999999">
      <c r="CX702" s="614"/>
      <c r="CY702" s="1857">
        <v>2003</v>
      </c>
      <c r="CZ702" s="1859">
        <v>66.338999999999999</v>
      </c>
      <c r="DA702" s="1838">
        <v>3530.7601725043487</v>
      </c>
      <c r="DE702" s="614"/>
      <c r="DF702" s="614"/>
      <c r="DG702" s="614"/>
      <c r="DH702" s="614"/>
      <c r="DI702" s="614"/>
      <c r="DJ702" s="614"/>
      <c r="DK702" s="614"/>
      <c r="DL702" s="614"/>
      <c r="DM702" s="614"/>
      <c r="DN702" s="614"/>
      <c r="DO702" s="614"/>
      <c r="DP702" s="614"/>
      <c r="DQ702" s="614"/>
      <c r="DR702" s="614">
        <f t="shared" si="287"/>
        <v>6231.3869999999997</v>
      </c>
      <c r="DS702" s="1174">
        <v>6231.3869999999997</v>
      </c>
      <c r="DT702" s="1767">
        <v>23273.089499999998</v>
      </c>
      <c r="DU702" s="1857">
        <v>2003</v>
      </c>
      <c r="DV702" s="1859">
        <f t="shared" si="288"/>
        <v>6.2313869999999998</v>
      </c>
      <c r="DW702" s="1036">
        <f t="shared" si="289"/>
        <v>23.273089499999998</v>
      </c>
      <c r="ED702" s="614"/>
      <c r="EE702" s="614"/>
      <c r="EF702" s="614"/>
      <c r="EG702" s="614"/>
      <c r="EH702" s="614"/>
      <c r="EJ702" s="1857">
        <v>2003</v>
      </c>
      <c r="EK702" s="1787">
        <f t="shared" si="283"/>
        <v>93.93248315470538</v>
      </c>
      <c r="EL702" s="1787">
        <v>6.2538338401999489</v>
      </c>
      <c r="EM702" s="1035">
        <f t="shared" si="290"/>
        <v>15.019983829903314</v>
      </c>
      <c r="EZ702" s="1975">
        <f t="shared" si="284"/>
        <v>15.019983829903314</v>
      </c>
      <c r="FB702" s="1857">
        <v>2003</v>
      </c>
      <c r="FC702" s="1875">
        <v>6231.3869999999997</v>
      </c>
      <c r="FD702" s="1495">
        <v>8900.5</v>
      </c>
      <c r="FE702" s="1966">
        <f t="shared" si="291"/>
        <v>0.20207922619394944</v>
      </c>
      <c r="FF702" s="2021">
        <f t="shared" si="285"/>
        <v>2669.1130000000003</v>
      </c>
      <c r="FG702" s="2016">
        <f t="shared" si="286"/>
        <v>13208.250299999998</v>
      </c>
      <c r="FK702" s="614"/>
      <c r="FL702" s="614"/>
      <c r="FM702" s="614"/>
      <c r="FN702" s="614"/>
      <c r="FO702" s="614"/>
      <c r="FW702" s="1857">
        <v>2003</v>
      </c>
      <c r="FX702" s="1875">
        <v>6537.4014999999999</v>
      </c>
      <c r="FY702" s="1495">
        <f t="shared" si="292"/>
        <v>8900.5</v>
      </c>
      <c r="FZ702" s="2021">
        <f t="shared" si="293"/>
        <v>6895.5767999999998</v>
      </c>
      <c r="GA702" s="2016"/>
      <c r="GF702" s="614"/>
      <c r="GG702" s="614"/>
      <c r="GH702" s="614"/>
      <c r="GI702" s="614"/>
      <c r="GJ702" s="614"/>
    </row>
    <row r="703" spans="101:192" ht="17.399999999999999">
      <c r="CX703" s="614"/>
      <c r="CY703" s="1857">
        <v>2004</v>
      </c>
      <c r="CZ703" s="1859">
        <v>67.319000000000003</v>
      </c>
      <c r="DA703" s="1838">
        <v>3813.2209863046965</v>
      </c>
      <c r="DE703" s="614"/>
      <c r="DF703" s="614"/>
      <c r="DG703" s="614"/>
      <c r="DH703" s="614"/>
      <c r="DI703" s="614"/>
      <c r="DJ703" s="614"/>
      <c r="DK703" s="614"/>
      <c r="DL703" s="614"/>
      <c r="DM703" s="614"/>
      <c r="DN703" s="614"/>
      <c r="DO703" s="614"/>
      <c r="DP703" s="614"/>
      <c r="DQ703" s="614"/>
      <c r="DR703" s="614">
        <f t="shared" si="287"/>
        <v>7845.0370000000012</v>
      </c>
      <c r="DS703" s="1174">
        <v>7845.0370000000003</v>
      </c>
      <c r="DT703" s="1767">
        <v>29490.622599999999</v>
      </c>
      <c r="DU703" s="1857">
        <v>2004</v>
      </c>
      <c r="DV703" s="1859">
        <f t="shared" si="288"/>
        <v>7.8450370000000005</v>
      </c>
      <c r="DW703" s="1036">
        <f t="shared" si="289"/>
        <v>29.490622599999998</v>
      </c>
      <c r="ED703" s="614"/>
      <c r="EE703" s="614"/>
      <c r="EF703" s="614"/>
      <c r="EG703" s="614"/>
      <c r="EH703" s="614"/>
      <c r="EJ703" s="1857">
        <v>2004</v>
      </c>
      <c r="EK703" s="1787">
        <f t="shared" si="283"/>
        <v>116.53525750531054</v>
      </c>
      <c r="EL703" s="1787">
        <v>6.9855323995033425</v>
      </c>
      <c r="EM703" s="1035">
        <f t="shared" si="290"/>
        <v>16.682373059152365</v>
      </c>
      <c r="EZ703" s="1975">
        <f t="shared" si="284"/>
        <v>16.682373059152365</v>
      </c>
      <c r="FB703" s="1857">
        <v>2004</v>
      </c>
      <c r="FC703" s="1875">
        <v>7845.0370000000003</v>
      </c>
      <c r="FD703" s="1495">
        <v>10976.3</v>
      </c>
      <c r="FE703" s="1966">
        <f t="shared" si="291"/>
        <v>0.18389806125704877</v>
      </c>
      <c r="FF703" s="2021">
        <f t="shared" si="285"/>
        <v>3131.262999999999</v>
      </c>
      <c r="FG703" s="2016">
        <f t="shared" si="286"/>
        <v>17027.166999999998</v>
      </c>
      <c r="FK703" s="614"/>
      <c r="FL703" s="614"/>
      <c r="FM703" s="614"/>
      <c r="FN703" s="614"/>
      <c r="FO703" s="614"/>
      <c r="FW703" s="1857">
        <v>2004</v>
      </c>
      <c r="FX703" s="1875">
        <v>8438.4840999999997</v>
      </c>
      <c r="FY703" s="1495">
        <f t="shared" si="292"/>
        <v>10976.3</v>
      </c>
      <c r="FZ703" s="2021">
        <f t="shared" si="293"/>
        <v>8625.9636800000007</v>
      </c>
      <c r="GA703" s="2016"/>
      <c r="GF703" s="614"/>
      <c r="GG703" s="614"/>
      <c r="GH703" s="614"/>
      <c r="GI703" s="614"/>
      <c r="GJ703" s="614"/>
    </row>
    <row r="704" spans="101:192" ht="17.399999999999999">
      <c r="CX704" s="614"/>
      <c r="CY704" s="1857">
        <v>2005</v>
      </c>
      <c r="CZ704" s="1859">
        <v>68.338999999999999</v>
      </c>
      <c r="DA704" s="1838">
        <v>4030.5745825240638</v>
      </c>
      <c r="DE704" s="614"/>
      <c r="DF704" s="614"/>
      <c r="DG704" s="614"/>
      <c r="DH704" s="614"/>
      <c r="DI704" s="614"/>
      <c r="DJ704" s="614"/>
      <c r="DK704" s="614"/>
      <c r="DL704" s="614"/>
      <c r="DM704" s="614"/>
      <c r="DN704" s="614"/>
      <c r="DO704" s="614"/>
      <c r="DP704" s="614"/>
      <c r="DQ704" s="614"/>
      <c r="DR704" s="614">
        <f t="shared" si="287"/>
        <v>9439.8269999999993</v>
      </c>
      <c r="DS704" s="1174">
        <v>9439.8269999999993</v>
      </c>
      <c r="DT704" s="1767">
        <v>37020.601999999999</v>
      </c>
      <c r="DU704" s="1857">
        <v>2005</v>
      </c>
      <c r="DV704" s="1859">
        <f t="shared" si="288"/>
        <v>9.4398269999999993</v>
      </c>
      <c r="DW704" s="1036">
        <f t="shared" si="289"/>
        <v>37.020601999999997</v>
      </c>
      <c r="ED704" s="614"/>
      <c r="EE704" s="614"/>
      <c r="EF704" s="614"/>
      <c r="EG704" s="614"/>
      <c r="EH704" s="614"/>
      <c r="EJ704" s="1857">
        <v>2005</v>
      </c>
      <c r="EK704" s="1787">
        <f t="shared" si="283"/>
        <v>138.13235487788816</v>
      </c>
      <c r="EL704" s="1787">
        <v>7.7469554310492068</v>
      </c>
      <c r="EM704" s="1035">
        <f t="shared" si="290"/>
        <v>17.830534344403766</v>
      </c>
      <c r="EZ704" s="1975">
        <f t="shared" si="284"/>
        <v>17.830534344403766</v>
      </c>
      <c r="FB704" s="1857">
        <v>2005</v>
      </c>
      <c r="FC704" s="1875">
        <v>9439.8269999999993</v>
      </c>
      <c r="FD704" s="1495">
        <v>13819</v>
      </c>
      <c r="FE704" s="1966">
        <f t="shared" si="291"/>
        <v>0.20264786951092276</v>
      </c>
      <c r="FF704" s="2021">
        <f t="shared" si="285"/>
        <v>4379.1730000000007</v>
      </c>
      <c r="FG704" s="2016">
        <f t="shared" si="286"/>
        <v>21609.765799999997</v>
      </c>
      <c r="FK704" s="614"/>
      <c r="FL704" s="614"/>
      <c r="FM704" s="614"/>
      <c r="FN704" s="614"/>
      <c r="FO704" s="614"/>
      <c r="FW704" s="1857">
        <v>2005</v>
      </c>
      <c r="FX704" s="1875">
        <v>10652.8578</v>
      </c>
      <c r="FY704" s="1495">
        <f t="shared" si="292"/>
        <v>13819</v>
      </c>
      <c r="FZ704" s="2021">
        <f t="shared" si="293"/>
        <v>10995.638400000002</v>
      </c>
      <c r="GA704" s="2016"/>
      <c r="GF704" s="614"/>
      <c r="GG704" s="614"/>
      <c r="GH704" s="614"/>
      <c r="GI704" s="614"/>
      <c r="GJ704" s="614"/>
    </row>
    <row r="705" spans="101:192" ht="17.399999999999999">
      <c r="CX705" s="614"/>
      <c r="CY705" s="1857">
        <v>2006</v>
      </c>
      <c r="CZ705" s="1859">
        <v>69.168999999999997</v>
      </c>
      <c r="DA705" s="1838">
        <v>4389.2957203687056</v>
      </c>
      <c r="DE705" s="614"/>
      <c r="DF705" s="614"/>
      <c r="DG705" s="614"/>
      <c r="DH705" s="614"/>
      <c r="DI705" s="614"/>
      <c r="DJ705" s="614"/>
      <c r="DK705" s="614"/>
      <c r="DL705" s="614"/>
      <c r="DM705" s="614"/>
      <c r="DN705" s="614"/>
      <c r="DO705" s="614"/>
      <c r="DP705" s="614"/>
      <c r="DQ705" s="614"/>
      <c r="DR705" s="614">
        <f t="shared" si="287"/>
        <v>11985.905000000002</v>
      </c>
      <c r="DS705" s="1174">
        <v>11985.905000000001</v>
      </c>
      <c r="DT705" s="1767">
        <v>46223.866499999996</v>
      </c>
      <c r="DU705" s="1857">
        <v>2006</v>
      </c>
      <c r="DV705" s="1859">
        <f t="shared" si="288"/>
        <v>11.985905000000001</v>
      </c>
      <c r="DW705" s="1036">
        <f t="shared" si="289"/>
        <v>46.2238665</v>
      </c>
      <c r="ED705" s="614"/>
      <c r="EE705" s="614"/>
      <c r="EF705" s="614"/>
      <c r="EG705" s="614"/>
      <c r="EH705" s="614"/>
      <c r="EJ705" s="1857">
        <v>2006</v>
      </c>
      <c r="EK705" s="1787">
        <f t="shared" si="283"/>
        <v>173.28434703407598</v>
      </c>
      <c r="EL705" s="1787">
        <v>8.4441814198436358</v>
      </c>
      <c r="EM705" s="1035">
        <f t="shared" si="290"/>
        <v>20.521153966074401</v>
      </c>
      <c r="EZ705" s="1975">
        <f t="shared" si="284"/>
        <v>20.521153966074401</v>
      </c>
      <c r="FB705" s="1857">
        <v>2006</v>
      </c>
      <c r="FC705" s="1875">
        <v>11985.905000000001</v>
      </c>
      <c r="FD705" s="1495">
        <v>17290.099999999999</v>
      </c>
      <c r="FE705" s="1966">
        <f t="shared" si="291"/>
        <v>0.19705594455935252</v>
      </c>
      <c r="FF705" s="2021">
        <f t="shared" si="285"/>
        <v>5304.1949999999979</v>
      </c>
      <c r="FG705" s="2016">
        <f t="shared" si="286"/>
        <v>26917.203699999998</v>
      </c>
      <c r="FK705" s="614"/>
      <c r="FL705" s="614"/>
      <c r="FM705" s="614"/>
      <c r="FN705" s="614"/>
      <c r="FO705" s="614"/>
      <c r="FW705" s="1857">
        <v>2006</v>
      </c>
      <c r="FX705" s="1875">
        <v>12974.743399999999</v>
      </c>
      <c r="FY705" s="1495">
        <f t="shared" si="292"/>
        <v>17290.099999999999</v>
      </c>
      <c r="FZ705" s="2021">
        <f t="shared" si="293"/>
        <v>13889.147359999999</v>
      </c>
      <c r="GA705" s="2016"/>
      <c r="GF705" s="614"/>
      <c r="GG705" s="614"/>
      <c r="GH705" s="614"/>
      <c r="GI705" s="614"/>
      <c r="GJ705" s="614"/>
    </row>
    <row r="706" spans="101:192" ht="17.399999999999999">
      <c r="CX706" s="614"/>
      <c r="CY706" s="1857">
        <v>2007</v>
      </c>
      <c r="CZ706" s="1859">
        <v>70.77</v>
      </c>
      <c r="DA706" s="1838">
        <v>4775.553743761152</v>
      </c>
      <c r="DE706" s="614"/>
      <c r="DF706" s="614"/>
      <c r="DG706" s="614"/>
      <c r="DH706" s="614"/>
      <c r="DI706" s="614"/>
      <c r="DJ706" s="614"/>
      <c r="DK706" s="614"/>
      <c r="DL706" s="614"/>
      <c r="DM706" s="614"/>
      <c r="DN706" s="614"/>
      <c r="DO706" s="614"/>
      <c r="DP706" s="614"/>
      <c r="DQ706" s="614"/>
      <c r="DR706" s="614">
        <f t="shared" si="287"/>
        <v>15526.109999999999</v>
      </c>
      <c r="DS706" s="1174">
        <v>15526.11</v>
      </c>
      <c r="DT706" s="1767">
        <v>57752.1325</v>
      </c>
      <c r="DU706" s="1857">
        <v>2007</v>
      </c>
      <c r="DV706" s="1859">
        <f t="shared" si="288"/>
        <v>15.526110000000001</v>
      </c>
      <c r="DW706" s="1036">
        <f t="shared" si="289"/>
        <v>57.752132500000002</v>
      </c>
      <c r="ED706" s="614"/>
      <c r="EE706" s="614"/>
      <c r="EF706" s="614"/>
      <c r="EG706" s="614"/>
      <c r="EH706" s="614"/>
      <c r="EJ706" s="1857">
        <v>2007</v>
      </c>
      <c r="EK706" s="1787">
        <f t="shared" si="283"/>
        <v>219.38830012717256</v>
      </c>
      <c r="EL706" s="1787">
        <v>9.4465057543790749</v>
      </c>
      <c r="EM706" s="1035">
        <f t="shared" si="290"/>
        <v>23.22428057861201</v>
      </c>
      <c r="EZ706" s="1975">
        <f t="shared" si="284"/>
        <v>23.22428057861201</v>
      </c>
      <c r="FB706" s="1857">
        <v>2007</v>
      </c>
      <c r="FC706" s="1875">
        <v>15526.11</v>
      </c>
      <c r="FD706" s="1495">
        <v>21311.5</v>
      </c>
      <c r="FE706" s="1966">
        <f t="shared" si="291"/>
        <v>0.17400970608532609</v>
      </c>
      <c r="FF706" s="2021">
        <f t="shared" si="285"/>
        <v>5785.3899999999994</v>
      </c>
      <c r="FG706" s="2016">
        <f t="shared" si="286"/>
        <v>33247.513200000001</v>
      </c>
      <c r="FK706" s="614"/>
      <c r="FL706" s="614"/>
      <c r="FM706" s="614"/>
      <c r="FN706" s="614"/>
      <c r="FO706" s="614"/>
      <c r="FW706" s="1857">
        <v>2007</v>
      </c>
      <c r="FX706" s="1875">
        <v>16031.739799999999</v>
      </c>
      <c r="FY706" s="1495">
        <f t="shared" si="292"/>
        <v>21311.5</v>
      </c>
      <c r="FZ706" s="2021">
        <f t="shared" si="293"/>
        <v>17241.386399999999</v>
      </c>
      <c r="GA706" s="2016"/>
      <c r="GF706" s="614"/>
      <c r="GG706" s="614"/>
      <c r="GH706" s="614"/>
      <c r="GI706" s="614"/>
      <c r="GJ706" s="614"/>
    </row>
    <row r="707" spans="101:192" ht="17.399999999999999">
      <c r="CX707" s="614"/>
      <c r="CY707" s="1857">
        <v>2008</v>
      </c>
      <c r="CZ707" s="1859">
        <v>71.003</v>
      </c>
      <c r="DA707" s="1838">
        <v>5014.3314309492098</v>
      </c>
      <c r="DE707" s="614"/>
      <c r="DF707" s="614"/>
      <c r="DG707" s="614"/>
      <c r="DH707" s="614"/>
      <c r="DI707" s="614"/>
      <c r="DJ707" s="614"/>
      <c r="DK707" s="614"/>
      <c r="DL707" s="614"/>
      <c r="DM707" s="614"/>
      <c r="DN707" s="614"/>
      <c r="DO707" s="614"/>
      <c r="DP707" s="614"/>
      <c r="DQ707" s="614"/>
      <c r="DR707" s="614">
        <f t="shared" si="287"/>
        <v>19559.759999999998</v>
      </c>
      <c r="DS707" s="1174">
        <v>19559.759999999998</v>
      </c>
      <c r="DT707" s="1767">
        <v>71601.657999999996</v>
      </c>
      <c r="DU707" s="1857">
        <v>2008</v>
      </c>
      <c r="DV707" s="1859">
        <f t="shared" si="288"/>
        <v>19.559759999999997</v>
      </c>
      <c r="DW707" s="1036">
        <f t="shared" si="289"/>
        <v>71.601658</v>
      </c>
      <c r="ED707" s="614"/>
      <c r="EE707" s="614"/>
      <c r="EF707" s="614"/>
      <c r="EG707" s="614"/>
      <c r="EH707" s="614"/>
      <c r="EJ707" s="1857">
        <v>2008</v>
      </c>
      <c r="EK707" s="1787">
        <f t="shared" si="283"/>
        <v>275.47793755193442</v>
      </c>
      <c r="EL707" s="1787">
        <v>10.701001718560617</v>
      </c>
      <c r="EM707" s="1035">
        <f t="shared" si="290"/>
        <v>25.743191599915818</v>
      </c>
      <c r="EZ707" s="1975">
        <f t="shared" si="284"/>
        <v>25.743191599915818</v>
      </c>
      <c r="FB707" s="1857">
        <v>2008</v>
      </c>
      <c r="FC707" s="1875">
        <v>19559.759999999998</v>
      </c>
      <c r="FD707" s="1495">
        <v>25244</v>
      </c>
      <c r="FE707" s="1966">
        <f t="shared" si="291"/>
        <v>0.13771012347521919</v>
      </c>
      <c r="FF707" s="2021">
        <f t="shared" si="285"/>
        <v>5684.2400000000016</v>
      </c>
      <c r="FG707" s="2016">
        <f t="shared" si="286"/>
        <v>41276.849199999997</v>
      </c>
      <c r="FK707" s="614"/>
      <c r="FL707" s="614"/>
      <c r="FM707" s="614"/>
      <c r="FN707" s="614"/>
      <c r="FO707" s="614"/>
      <c r="FW707" s="1857">
        <v>2008</v>
      </c>
      <c r="FX707" s="1875">
        <v>19966.954699999998</v>
      </c>
      <c r="FY707" s="1495">
        <f t="shared" si="292"/>
        <v>25244</v>
      </c>
      <c r="FZ707" s="2021">
        <f t="shared" si="293"/>
        <v>20519.518400000001</v>
      </c>
      <c r="GA707" s="2016"/>
      <c r="GF707" s="614"/>
      <c r="GG707" s="614"/>
      <c r="GH707" s="614"/>
      <c r="GI707" s="614"/>
      <c r="GJ707" s="614"/>
    </row>
    <row r="708" spans="101:192" ht="17.399999999999999">
      <c r="CX708" s="614"/>
      <c r="CY708" s="1857">
        <v>2009</v>
      </c>
      <c r="CZ708" s="1859">
        <v>69.41</v>
      </c>
      <c r="DA708" s="1838">
        <v>4643.2709050589683</v>
      </c>
      <c r="DE708" s="614"/>
      <c r="DF708" s="614"/>
      <c r="DG708" s="614"/>
      <c r="DH708" s="614"/>
      <c r="DI708" s="614"/>
      <c r="DJ708" s="614"/>
      <c r="DK708" s="614"/>
      <c r="DL708" s="614"/>
      <c r="DM708" s="614"/>
      <c r="DN708" s="614"/>
      <c r="DO708" s="614"/>
      <c r="DP708" s="614"/>
      <c r="DQ708" s="614"/>
      <c r="DR708" s="614">
        <f t="shared" si="287"/>
        <v>20411.610000000004</v>
      </c>
      <c r="DS708" s="1174">
        <v>20411.61</v>
      </c>
      <c r="DT708" s="1767">
        <v>68116.5</v>
      </c>
      <c r="DU708" s="1857">
        <v>2009</v>
      </c>
      <c r="DV708" s="1859">
        <f t="shared" si="288"/>
        <v>20.41161</v>
      </c>
      <c r="DW708" s="1036">
        <f t="shared" si="289"/>
        <v>68.116500000000002</v>
      </c>
      <c r="ED708" s="614"/>
      <c r="EE708" s="614"/>
      <c r="EF708" s="614"/>
      <c r="EG708" s="614"/>
      <c r="EH708" s="614"/>
      <c r="EJ708" s="1857">
        <v>2009</v>
      </c>
      <c r="EK708" s="1787">
        <f t="shared" si="283"/>
        <v>294.07304422993809</v>
      </c>
      <c r="EL708" s="1787">
        <v>11.642689869793951</v>
      </c>
      <c r="EM708" s="1035">
        <f t="shared" si="290"/>
        <v>25.258170364297655</v>
      </c>
      <c r="EZ708" s="1975">
        <f t="shared" si="284"/>
        <v>25.258170364297655</v>
      </c>
      <c r="FB708" s="1857">
        <v>2009</v>
      </c>
      <c r="FC708" s="1875">
        <v>20411.61</v>
      </c>
      <c r="FD708" s="1495">
        <v>28697.5</v>
      </c>
      <c r="FE708" s="1966">
        <f t="shared" si="291"/>
        <v>0.21351385469365744</v>
      </c>
      <c r="FF708" s="2021">
        <f t="shared" si="285"/>
        <v>8285.89</v>
      </c>
      <c r="FG708" s="2016">
        <f t="shared" si="286"/>
        <v>38807.270899999996</v>
      </c>
      <c r="FK708" s="614"/>
      <c r="FL708" s="614"/>
      <c r="FM708" s="614"/>
      <c r="FN708" s="614"/>
      <c r="FO708" s="614"/>
      <c r="FW708" s="1857">
        <v>2009</v>
      </c>
      <c r="FX708" s="1875">
        <v>20986.036</v>
      </c>
      <c r="FY708" s="1495">
        <f t="shared" si="292"/>
        <v>28697.5</v>
      </c>
      <c r="FZ708" s="2021">
        <f t="shared" si="293"/>
        <v>23398.356</v>
      </c>
      <c r="GA708" s="2016"/>
      <c r="GF708" s="614"/>
      <c r="GG708" s="614"/>
      <c r="GH708" s="614"/>
      <c r="GI708" s="614"/>
      <c r="GJ708" s="614"/>
    </row>
    <row r="709" spans="101:192" ht="17.399999999999999">
      <c r="CX709" s="614"/>
      <c r="CY709" s="1857">
        <v>2010</v>
      </c>
      <c r="CZ709" s="1859">
        <v>69.933708461473046</v>
      </c>
      <c r="DA709" s="1838">
        <v>4875.4344503119164</v>
      </c>
      <c r="DE709" s="614"/>
      <c r="DF709" s="614"/>
      <c r="DG709" s="614"/>
      <c r="DH709" s="614"/>
      <c r="DI709" s="614"/>
      <c r="DJ709" s="614"/>
      <c r="DK709" s="614"/>
      <c r="DL709" s="614"/>
      <c r="DM709" s="614"/>
      <c r="DN709" s="614"/>
      <c r="DO709" s="614"/>
      <c r="DP709" s="614"/>
      <c r="DQ709" s="614"/>
      <c r="DR709" s="614">
        <f t="shared" si="287"/>
        <v>22995.629999999997</v>
      </c>
      <c r="DS709" s="1174">
        <v>22995.63</v>
      </c>
      <c r="DT709" s="1767">
        <v>82054.600000000006</v>
      </c>
      <c r="DU709" s="1857">
        <v>2010</v>
      </c>
      <c r="DV709" s="1859">
        <f t="shared" si="288"/>
        <v>22.995630000000002</v>
      </c>
      <c r="DW709" s="1036">
        <f t="shared" si="289"/>
        <v>82.054600000000008</v>
      </c>
      <c r="ED709" s="614"/>
      <c r="EE709" s="614"/>
      <c r="EF709" s="614"/>
      <c r="EG709" s="614"/>
      <c r="EH709" s="614"/>
      <c r="EJ709" s="1857">
        <v>2010</v>
      </c>
      <c r="EK709" s="1787">
        <f t="shared" si="283"/>
        <v>328.82040014606758</v>
      </c>
      <c r="EL709" s="1787">
        <v>12.664918040361862</v>
      </c>
      <c r="EM709" s="1035">
        <f t="shared" si="290"/>
        <v>25.963089464783661</v>
      </c>
      <c r="EZ709" s="1975">
        <f t="shared" si="284"/>
        <v>25.963089464783661</v>
      </c>
      <c r="FB709" s="1857">
        <v>2010</v>
      </c>
      <c r="FC709" s="1875">
        <v>22995.63</v>
      </c>
      <c r="FD709" s="1495">
        <v>32498.3</v>
      </c>
      <c r="FE709" s="1966">
        <f t="shared" si="291"/>
        <v>0.20520344296820808</v>
      </c>
      <c r="FF709" s="2021">
        <f t="shared" si="285"/>
        <v>9502.6699999999983</v>
      </c>
      <c r="FG709" s="2016">
        <f t="shared" si="286"/>
        <v>46308.53100000001</v>
      </c>
      <c r="FK709" s="614"/>
      <c r="FL709" s="614"/>
      <c r="FM709" s="614"/>
      <c r="FN709" s="614"/>
      <c r="FO709" s="614"/>
      <c r="FW709" s="1857">
        <v>2010</v>
      </c>
      <c r="FX709" s="1875">
        <v>23617.623</v>
      </c>
      <c r="FY709" s="1495">
        <f t="shared" si="292"/>
        <v>32498.3</v>
      </c>
      <c r="FZ709" s="2021">
        <f t="shared" si="293"/>
        <v>26566.702879999997</v>
      </c>
      <c r="GA709" s="2016"/>
      <c r="GF709" s="614"/>
      <c r="GG709" s="614"/>
      <c r="GH709" s="614"/>
      <c r="GI709" s="614"/>
      <c r="GJ709" s="614"/>
    </row>
    <row r="710" spans="101:192" ht="17.399999999999999">
      <c r="CX710" s="614"/>
      <c r="CY710" s="1857">
        <v>2011</v>
      </c>
      <c r="CZ710" s="1859">
        <v>70.85661311334043</v>
      </c>
      <c r="DA710" s="1838">
        <v>5085.0781316753291</v>
      </c>
      <c r="DE710" s="614"/>
      <c r="DF710" s="614"/>
      <c r="DG710" s="614"/>
      <c r="DH710" s="614"/>
      <c r="DI710" s="614"/>
      <c r="DJ710" s="614"/>
      <c r="DK710" s="614"/>
      <c r="DL710" s="614"/>
      <c r="DM710" s="614"/>
      <c r="DN710" s="614"/>
      <c r="DO710" s="614"/>
      <c r="DP710" s="614"/>
      <c r="DQ710" s="614"/>
      <c r="DR710" s="614">
        <f t="shared" si="287"/>
        <v>26386.6754</v>
      </c>
      <c r="DS710" s="1174">
        <v>26386.6754</v>
      </c>
      <c r="DT710" s="1767">
        <v>100960.3907</v>
      </c>
      <c r="DU710" s="1857">
        <v>2011</v>
      </c>
      <c r="DV710" s="1859">
        <f t="shared" si="288"/>
        <v>26.386675400000001</v>
      </c>
      <c r="DW710" s="1036">
        <f t="shared" si="289"/>
        <v>100.9603907</v>
      </c>
      <c r="ED710" s="614"/>
      <c r="EE710" s="614"/>
      <c r="EF710" s="614"/>
      <c r="EG710" s="614"/>
      <c r="EH710" s="614"/>
      <c r="EJ710" s="1857">
        <v>2011</v>
      </c>
      <c r="EK710" s="1787">
        <f t="shared" si="283"/>
        <v>372.39538048188314</v>
      </c>
      <c r="EL710" s="1787">
        <v>13.437478040823935</v>
      </c>
      <c r="EM710" s="1035">
        <f t="shared" si="290"/>
        <v>27.713189882098536</v>
      </c>
      <c r="EZ710" s="1975">
        <f t="shared" si="284"/>
        <v>27.713189882098536</v>
      </c>
      <c r="FB710" s="1857">
        <v>2011</v>
      </c>
      <c r="FC710" s="1875">
        <v>26386.6754</v>
      </c>
      <c r="FD710" s="1495">
        <v>35648.699999999997</v>
      </c>
      <c r="FE710" s="1966">
        <f t="shared" si="291"/>
        <v>0.15364356808028609</v>
      </c>
      <c r="FF710" s="2021">
        <f t="shared" si="285"/>
        <v>9262.024599999997</v>
      </c>
      <c r="FG710" s="2016">
        <f t="shared" si="286"/>
        <v>60282.540400000005</v>
      </c>
      <c r="FK710" s="614"/>
      <c r="FL710" s="614"/>
      <c r="FM710" s="614"/>
      <c r="FN710" s="614"/>
      <c r="FO710" s="614"/>
      <c r="FW710" s="1857">
        <v>2011</v>
      </c>
      <c r="FX710" s="1875">
        <v>29939.463500000002</v>
      </c>
      <c r="FY710" s="1495">
        <f t="shared" si="292"/>
        <v>35648.699999999997</v>
      </c>
      <c r="FZ710" s="2021">
        <f t="shared" si="293"/>
        <v>29192.876319999996</v>
      </c>
      <c r="GA710" s="2016"/>
      <c r="GF710" s="614"/>
      <c r="GG710" s="614"/>
      <c r="GH710" s="614"/>
      <c r="GI710" s="614"/>
      <c r="GJ710" s="614"/>
    </row>
    <row r="711" spans="101:192" ht="17.399999999999999">
      <c r="CX711" s="614"/>
      <c r="CY711" s="1857">
        <v>2012</v>
      </c>
      <c r="CZ711" s="1859">
        <v>71.545415863579535</v>
      </c>
      <c r="DA711" s="1838">
        <v>5283.3961788106672</v>
      </c>
      <c r="DE711" s="614"/>
      <c r="DF711" s="614"/>
      <c r="DG711" s="614"/>
      <c r="DH711" s="614"/>
      <c r="DI711" s="614"/>
      <c r="DJ711" s="614"/>
      <c r="DK711" s="614"/>
      <c r="DL711" s="614"/>
      <c r="DM711" s="614"/>
      <c r="DN711" s="614"/>
      <c r="DO711" s="614"/>
      <c r="DP711" s="614"/>
      <c r="DQ711" s="614"/>
      <c r="DR711" s="614">
        <f t="shared" si="287"/>
        <v>30201.161499999995</v>
      </c>
      <c r="DS711" s="1174">
        <v>30201.161499999998</v>
      </c>
      <c r="DT711" s="1767">
        <v>113092.1725</v>
      </c>
      <c r="DU711" s="1857">
        <v>2012</v>
      </c>
      <c r="DV711" s="1859">
        <f t="shared" si="288"/>
        <v>30.201161499999998</v>
      </c>
      <c r="DW711" s="1036">
        <f t="shared" si="289"/>
        <v>113.0921725</v>
      </c>
      <c r="ED711" s="614"/>
      <c r="EE711" s="614"/>
      <c r="EF711" s="614"/>
      <c r="EG711" s="614"/>
      <c r="EH711" s="614"/>
      <c r="EJ711" s="1857">
        <v>2012</v>
      </c>
      <c r="EK711" s="1787">
        <f t="shared" si="283"/>
        <v>422.12573839233232</v>
      </c>
      <c r="EL711" s="1787">
        <v>14.321664095910151</v>
      </c>
      <c r="EM711" s="1035">
        <f t="shared" si="290"/>
        <v>29.474629174753449</v>
      </c>
      <c r="EZ711" s="1975">
        <f t="shared" si="284"/>
        <v>29.474629174753449</v>
      </c>
      <c r="FB711" s="1857">
        <v>2012</v>
      </c>
      <c r="FC711" s="1875">
        <v>30201.161499999998</v>
      </c>
      <c r="FD711" s="1495">
        <v>39904</v>
      </c>
      <c r="FE711" s="1966">
        <f t="shared" si="291"/>
        <v>0.14234574174369477</v>
      </c>
      <c r="FF711" s="2021">
        <f t="shared" si="285"/>
        <v>9702.8385000000017</v>
      </c>
      <c r="FG711" s="2016">
        <f t="shared" si="286"/>
        <v>68163.883100000006</v>
      </c>
      <c r="FK711" s="614"/>
      <c r="FL711" s="614"/>
      <c r="FM711" s="614"/>
      <c r="FN711" s="614"/>
      <c r="FO711" s="614"/>
      <c r="FW711" s="1857">
        <v>2012</v>
      </c>
      <c r="FX711" s="1875">
        <v>34492.361700000001</v>
      </c>
      <c r="FY711" s="1495">
        <f t="shared" si="292"/>
        <v>39904</v>
      </c>
      <c r="FZ711" s="2021">
        <f t="shared" si="293"/>
        <v>32740.094399999998</v>
      </c>
      <c r="GA711" s="2016"/>
      <c r="GF711" s="614"/>
      <c r="GG711" s="614"/>
      <c r="GH711" s="614"/>
      <c r="GI711" s="614"/>
      <c r="GJ711" s="614"/>
    </row>
    <row r="712" spans="101:192" ht="17.399999999999999">
      <c r="CX712" s="614"/>
      <c r="CY712" s="1857">
        <v>2013</v>
      </c>
      <c r="CZ712" s="1859">
        <v>71.391459581339006</v>
      </c>
      <c r="DA712" s="1838">
        <v>5394.3474985656912</v>
      </c>
      <c r="DE712" s="614"/>
      <c r="DF712" s="614"/>
      <c r="DG712" s="614"/>
      <c r="DH712" s="614"/>
      <c r="DI712" s="614"/>
      <c r="DJ712" s="614"/>
      <c r="DK712" s="614"/>
      <c r="DL712" s="614"/>
      <c r="DM712" s="614"/>
      <c r="DN712" s="614"/>
      <c r="DO712" s="614"/>
      <c r="DP712" s="614"/>
      <c r="DQ712" s="614"/>
      <c r="DR712" s="614">
        <f t="shared" si="287"/>
        <v>33792.282200000001</v>
      </c>
      <c r="DS712" s="1174">
        <v>33792.282200000001</v>
      </c>
      <c r="DT712" s="1767">
        <v>123165.48509999999</v>
      </c>
      <c r="DU712" s="1857">
        <v>2013</v>
      </c>
      <c r="DV712" s="1859">
        <f t="shared" si="288"/>
        <v>33.792282200000002</v>
      </c>
      <c r="DW712" s="1036">
        <f t="shared" si="289"/>
        <v>123.16548509999998</v>
      </c>
      <c r="ED712" s="614"/>
      <c r="EE712" s="614"/>
      <c r="EF712" s="614"/>
      <c r="EG712" s="614"/>
      <c r="EH712" s="614"/>
      <c r="EJ712" s="1857">
        <v>2013</v>
      </c>
      <c r="EK712" s="1787">
        <f t="shared" si="283"/>
        <v>473.33788100380787</v>
      </c>
      <c r="EL712" s="1787">
        <v>15.245411430096356</v>
      </c>
      <c r="EM712" s="1035">
        <f t="shared" si="290"/>
        <v>31.047891568828341</v>
      </c>
      <c r="EZ712" s="1975">
        <f t="shared" si="284"/>
        <v>31.047891568828341</v>
      </c>
      <c r="FB712" s="1857">
        <v>2013</v>
      </c>
      <c r="FC712" s="1875">
        <v>33792.282200000001</v>
      </c>
      <c r="FD712" s="1495">
        <v>44650</v>
      </c>
      <c r="FE712" s="1966">
        <f t="shared" si="291"/>
        <v>0.14846355147847173</v>
      </c>
      <c r="FF712" s="2021">
        <f t="shared" si="285"/>
        <v>10857.717799999999</v>
      </c>
      <c r="FG712" s="2016">
        <f t="shared" si="286"/>
        <v>73133.89509999998</v>
      </c>
      <c r="FK712" s="614"/>
      <c r="FL712" s="614"/>
      <c r="FM712" s="614"/>
      <c r="FN712" s="614"/>
      <c r="FO712" s="614"/>
      <c r="FW712" s="1857">
        <v>2013</v>
      </c>
      <c r="FX712" s="1875">
        <v>38465.140799999994</v>
      </c>
      <c r="FY712" s="1495">
        <f t="shared" si="292"/>
        <v>44650</v>
      </c>
      <c r="FZ712" s="2021">
        <f t="shared" si="293"/>
        <v>36696.36</v>
      </c>
      <c r="GA712" s="2016"/>
      <c r="GF712" s="614"/>
      <c r="GG712" s="614"/>
      <c r="GH712" s="614"/>
      <c r="GI712" s="614"/>
      <c r="GJ712" s="614"/>
    </row>
    <row r="713" spans="101:192" ht="17.399999999999999">
      <c r="CX713" s="614"/>
      <c r="CY713" s="1857">
        <v>2014</v>
      </c>
      <c r="CZ713" s="1859">
        <v>71.539043569577998</v>
      </c>
      <c r="DA713" s="1838">
        <v>5437.5022785542169</v>
      </c>
      <c r="DE713" s="614"/>
      <c r="DF713" s="614"/>
      <c r="DG713" s="614"/>
      <c r="DH713" s="614"/>
      <c r="DI713" s="614"/>
      <c r="DJ713" s="614"/>
      <c r="DK713" s="614"/>
      <c r="DL713" s="614"/>
      <c r="DM713" s="614"/>
      <c r="DN713" s="614"/>
      <c r="DO713" s="614"/>
      <c r="DP713" s="614"/>
      <c r="DQ713" s="614"/>
      <c r="DR713" s="614">
        <f t="shared" si="287"/>
        <v>37430.46</v>
      </c>
      <c r="DS713" s="1174">
        <v>37430.46</v>
      </c>
      <c r="DT713" s="1767">
        <v>132844.9</v>
      </c>
      <c r="DU713" s="1857">
        <v>2014</v>
      </c>
      <c r="DV713" s="1859">
        <f t="shared" si="288"/>
        <v>37.430459999999997</v>
      </c>
      <c r="DW713" s="1036">
        <f t="shared" si="289"/>
        <v>132.8449</v>
      </c>
      <c r="ED713" s="614"/>
      <c r="EE713" s="614"/>
      <c r="EF713" s="614"/>
      <c r="EG713" s="614"/>
      <c r="EH713" s="614"/>
      <c r="EJ713" s="1857">
        <v>2014</v>
      </c>
      <c r="EK713" s="1787">
        <f t="shared" si="283"/>
        <v>523.2172270180771</v>
      </c>
      <c r="EL713" s="1787">
        <v>17.318787384589459</v>
      </c>
      <c r="EM713" s="1035">
        <f t="shared" si="290"/>
        <v>30.210961968598586</v>
      </c>
      <c r="EZ713" s="1975">
        <f t="shared" si="284"/>
        <v>30.210961968598586</v>
      </c>
      <c r="FB713" s="1857">
        <v>2014</v>
      </c>
      <c r="FC713" s="1875">
        <v>37430.46</v>
      </c>
      <c r="FD713" s="1495">
        <v>47921</v>
      </c>
      <c r="FE713" s="1966">
        <f t="shared" si="291"/>
        <v>0.13269422449340992</v>
      </c>
      <c r="FF713" s="2021">
        <f t="shared" si="285"/>
        <v>10490.54</v>
      </c>
      <c r="FG713" s="2016">
        <f t="shared" si="286"/>
        <v>79058</v>
      </c>
      <c r="FK713" s="614"/>
      <c r="FL713" s="614"/>
      <c r="FM713" s="614"/>
      <c r="FN713" s="614"/>
      <c r="FO713" s="614"/>
      <c r="FW713" s="1857">
        <v>2014</v>
      </c>
      <c r="FX713" s="1875">
        <v>41954.83</v>
      </c>
      <c r="FY713" s="1495">
        <f t="shared" si="292"/>
        <v>47921</v>
      </c>
      <c r="FZ713" s="2021">
        <f t="shared" si="293"/>
        <v>39423.065600000002</v>
      </c>
      <c r="GA713" s="2016"/>
      <c r="GF713" s="614"/>
      <c r="GG713" s="614"/>
      <c r="GH713" s="614"/>
      <c r="GI713" s="614"/>
      <c r="GJ713" s="614"/>
    </row>
    <row r="714" spans="101:192" ht="17.399999999999999">
      <c r="CX714" s="614"/>
      <c r="CY714" s="1857">
        <v>2015</v>
      </c>
      <c r="CZ714" s="1859">
        <v>72.323622532452006</v>
      </c>
      <c r="DA714" s="1838">
        <v>5366.8147489330113</v>
      </c>
      <c r="DE714" s="614"/>
      <c r="DF714" s="614"/>
      <c r="DG714" s="614"/>
      <c r="DH714" s="614"/>
      <c r="DI714" s="614"/>
      <c r="DJ714" s="614"/>
      <c r="DK714" s="614"/>
      <c r="DL714" s="614"/>
      <c r="DM714" s="614"/>
      <c r="DN714" s="614"/>
      <c r="DO714" s="614"/>
      <c r="DP714" s="614"/>
      <c r="DQ714" s="614"/>
      <c r="DR714" s="614">
        <f t="shared" si="287"/>
        <v>37745.49</v>
      </c>
      <c r="DS714" s="1174">
        <v>37745.49</v>
      </c>
      <c r="DT714" s="1767">
        <v>145956.1</v>
      </c>
      <c r="DU714" s="1857">
        <v>2015</v>
      </c>
      <c r="DV714" s="1859">
        <f t="shared" si="288"/>
        <v>37.745489999999997</v>
      </c>
      <c r="DW714" s="1036">
        <f t="shared" si="289"/>
        <v>145.95609999999999</v>
      </c>
      <c r="ED714" s="614"/>
      <c r="EE714" s="614"/>
      <c r="EF714" s="614"/>
      <c r="EG714" s="614"/>
      <c r="EH714" s="614"/>
      <c r="EJ714" s="1857">
        <v>2015</v>
      </c>
      <c r="EK714" s="1787">
        <f t="shared" si="283"/>
        <v>521.89711574615046</v>
      </c>
      <c r="EL714" s="1787">
        <v>19.552910957201501</v>
      </c>
      <c r="EM714" s="1035">
        <f t="shared" si="290"/>
        <v>26.691530324487637</v>
      </c>
      <c r="EZ714" s="1975">
        <f t="shared" si="284"/>
        <v>26.691530324487637</v>
      </c>
      <c r="FB714" s="1857">
        <v>2015</v>
      </c>
      <c r="FC714" s="1875">
        <v>37745.49</v>
      </c>
      <c r="FD714" s="1495">
        <v>53526</v>
      </c>
      <c r="FE714" s="1966">
        <f t="shared" si="291"/>
        <v>0.18991154595999712</v>
      </c>
      <c r="FF714" s="2021">
        <f t="shared" si="285"/>
        <v>15780.510000000002</v>
      </c>
      <c r="FG714" s="2016">
        <f t="shared" si="286"/>
        <v>83094</v>
      </c>
      <c r="FK714" s="614"/>
      <c r="FL714" s="614"/>
      <c r="FM714" s="614"/>
      <c r="FN714" s="614"/>
      <c r="FO714" s="614"/>
      <c r="FW714" s="1857">
        <v>2015</v>
      </c>
      <c r="FX714" s="1875">
        <v>43242.32</v>
      </c>
      <c r="FY714" s="1495">
        <f t="shared" si="292"/>
        <v>53526</v>
      </c>
      <c r="FZ714" s="2021">
        <f t="shared" si="293"/>
        <v>44095.393600000003</v>
      </c>
      <c r="GA714" s="2016"/>
      <c r="GF714" s="614"/>
      <c r="GG714" s="614"/>
      <c r="GH714" s="614"/>
      <c r="GI714" s="614"/>
      <c r="GJ714" s="614"/>
    </row>
    <row r="715" spans="101:192" ht="17.399999999999999">
      <c r="CX715" s="614"/>
      <c r="CY715" s="1857">
        <v>2016</v>
      </c>
      <c r="CZ715" s="1859">
        <v>72.393000000000001</v>
      </c>
      <c r="DA715" s="1838">
        <v>5431.2165259202075</v>
      </c>
      <c r="DE715" s="614"/>
      <c r="DF715" s="614"/>
      <c r="DG715" s="614"/>
      <c r="DH715" s="614"/>
      <c r="DI715" s="614"/>
      <c r="DJ715" s="614"/>
      <c r="DK715" s="614"/>
      <c r="DL715" s="614"/>
      <c r="DM715" s="614"/>
      <c r="DN715" s="614"/>
      <c r="DO715" s="614"/>
      <c r="DP715" s="614"/>
      <c r="DQ715" s="614"/>
      <c r="DR715" s="614">
        <f t="shared" si="287"/>
        <v>41245.360000000001</v>
      </c>
      <c r="DS715" s="1174">
        <v>41245.360000000001</v>
      </c>
      <c r="DT715" s="1767">
        <v>153856.5</v>
      </c>
      <c r="DU715" s="1857">
        <v>2016</v>
      </c>
      <c r="DV715" s="1859">
        <f t="shared" si="288"/>
        <v>41.245359999999998</v>
      </c>
      <c r="DW715" s="1036">
        <f t="shared" si="289"/>
        <v>153.85650000000001</v>
      </c>
      <c r="ED715" s="614"/>
      <c r="EE715" s="614"/>
      <c r="EF715" s="614"/>
      <c r="EG715" s="614"/>
      <c r="EH715" s="614"/>
      <c r="EJ715" s="1857">
        <v>2016</v>
      </c>
      <c r="EK715" s="1787">
        <f t="shared" si="283"/>
        <v>569.74237840675198</v>
      </c>
      <c r="EL715" s="1787">
        <v>20.608768148890384</v>
      </c>
      <c r="EM715" s="1035">
        <f t="shared" si="290"/>
        <v>27.645629971213395</v>
      </c>
      <c r="EZ715" s="1975">
        <f t="shared" si="284"/>
        <v>27.645629971213395</v>
      </c>
      <c r="FB715" s="1857">
        <v>2016</v>
      </c>
      <c r="FC715" s="1875">
        <v>41245.360000000001</v>
      </c>
      <c r="FD715" s="1495">
        <v>54117</v>
      </c>
      <c r="FE715" s="1966">
        <f t="shared" si="291"/>
        <v>0.14964587160229728</v>
      </c>
      <c r="FF715" s="2021">
        <f t="shared" si="285"/>
        <v>12871.64</v>
      </c>
      <c r="FG715" s="2016">
        <f t="shared" si="286"/>
        <v>86014</v>
      </c>
      <c r="FK715" s="614"/>
      <c r="FL715" s="614"/>
      <c r="FM715" s="614"/>
      <c r="FN715" s="614"/>
      <c r="FO715" s="614"/>
      <c r="FW715" s="1857">
        <v>2016</v>
      </c>
      <c r="FX715" s="1875">
        <v>45317.05</v>
      </c>
      <c r="FY715" s="1495">
        <f t="shared" si="292"/>
        <v>54117</v>
      </c>
      <c r="FZ715" s="2021">
        <f t="shared" si="293"/>
        <v>44588.051200000002</v>
      </c>
      <c r="GA715" s="2016"/>
      <c r="GF715" s="614"/>
      <c r="GG715" s="614"/>
      <c r="GH715" s="614"/>
      <c r="GI715" s="614"/>
      <c r="GJ715" s="614"/>
    </row>
    <row r="716" spans="101:192" ht="17.399999999999999">
      <c r="CW716" s="614"/>
      <c r="CX716" s="614"/>
      <c r="CY716" s="1857">
        <v>2017</v>
      </c>
      <c r="CZ716" s="1860"/>
      <c r="DA716" s="1966"/>
      <c r="DE716" s="614"/>
      <c r="DF716" s="614"/>
      <c r="DG716" s="614"/>
      <c r="DH716" s="614"/>
      <c r="DI716" s="614"/>
      <c r="DJ716" s="614"/>
      <c r="DK716" s="614"/>
      <c r="DL716" s="614"/>
      <c r="DM716" s="614"/>
      <c r="DN716" s="614"/>
      <c r="DO716" s="614"/>
      <c r="DP716" s="614"/>
      <c r="DQ716" s="614"/>
      <c r="DR716" s="614"/>
      <c r="DU716" s="1857">
        <v>2017</v>
      </c>
      <c r="DV716" s="1860"/>
      <c r="DW716" s="1966"/>
      <c r="ED716" s="614"/>
      <c r="EE716" s="614"/>
      <c r="EF716" s="614"/>
      <c r="EG716" s="614"/>
      <c r="EH716" s="614"/>
      <c r="EJ716" s="1857">
        <v>2017</v>
      </c>
      <c r="EK716" s="1787"/>
      <c r="EL716" s="1787"/>
      <c r="EM716" s="1035">
        <f>EM715+0.8*(EM715-EM714)</f>
        <v>28.408909688594001</v>
      </c>
      <c r="EZ716" s="1975">
        <f t="shared" si="284"/>
        <v>28.408909688594001</v>
      </c>
      <c r="FB716" s="1857">
        <v>2017</v>
      </c>
      <c r="FC716" s="1860"/>
      <c r="FD716" s="1966"/>
      <c r="FE716" s="1966"/>
      <c r="FF716" s="2015"/>
      <c r="FG716" s="2017"/>
      <c r="FK716" s="614"/>
      <c r="FL716" s="614"/>
      <c r="FM716" s="614"/>
      <c r="FN716" s="614"/>
      <c r="FO716" s="614"/>
      <c r="FW716" s="1857">
        <v>2017</v>
      </c>
      <c r="FX716" s="1860"/>
      <c r="FY716" s="1495">
        <v>60000</v>
      </c>
      <c r="FZ716" s="2021">
        <f t="shared" si="293"/>
        <v>49492.12</v>
      </c>
      <c r="GA716" s="2017"/>
      <c r="GF716" s="614"/>
      <c r="GG716" s="614"/>
      <c r="GH716" s="614"/>
      <c r="GI716" s="614"/>
      <c r="GJ716" s="614"/>
    </row>
    <row r="717" spans="101:192" ht="17.399999999999999">
      <c r="CW717" s="614"/>
      <c r="CX717" s="614"/>
      <c r="CY717" s="1857">
        <v>2018</v>
      </c>
      <c r="CZ717" s="1860"/>
      <c r="DA717" s="1966"/>
      <c r="DE717" s="614"/>
      <c r="DF717" s="614"/>
      <c r="DG717" s="614"/>
      <c r="DH717" s="614"/>
      <c r="DI717" s="614"/>
      <c r="DJ717" s="614"/>
      <c r="DK717" s="614"/>
      <c r="DL717" s="614"/>
      <c r="DM717" s="614"/>
      <c r="DN717" s="614"/>
      <c r="DO717" s="614"/>
      <c r="DP717" s="614"/>
      <c r="DQ717" s="614"/>
      <c r="DR717" s="614"/>
      <c r="DU717" s="1857">
        <v>2018</v>
      </c>
      <c r="DV717" s="1860"/>
      <c r="DW717" s="1966"/>
      <c r="ED717" s="614"/>
      <c r="EE717" s="614"/>
      <c r="EF717" s="614"/>
      <c r="EG717" s="614"/>
      <c r="EH717" s="614"/>
      <c r="EJ717" s="1857">
        <v>2018</v>
      </c>
      <c r="EK717" s="1787"/>
      <c r="EL717" s="1787"/>
      <c r="EM717" s="1035">
        <f t="shared" ref="EM717:EM729" si="294">EM716+0.8*(EM716-EM715)</f>
        <v>29.019533462498487</v>
      </c>
      <c r="EZ717" s="1975">
        <f t="shared" si="284"/>
        <v>29.019533462498487</v>
      </c>
      <c r="FB717" s="1857">
        <v>2018</v>
      </c>
      <c r="FC717" s="1860"/>
      <c r="FD717" s="1966"/>
      <c r="FE717" s="1966"/>
      <c r="FF717" s="2015"/>
      <c r="FG717" s="2017"/>
      <c r="FK717" s="614"/>
      <c r="FL717" s="614"/>
      <c r="FM717" s="614"/>
      <c r="FN717" s="614"/>
      <c r="FO717" s="614"/>
      <c r="FW717" s="1857">
        <v>2018</v>
      </c>
      <c r="FX717" s="1860"/>
      <c r="FY717" s="1495">
        <v>70000</v>
      </c>
      <c r="FZ717" s="2021">
        <f t="shared" si="293"/>
        <v>57828.12</v>
      </c>
      <c r="GA717" s="2017"/>
      <c r="GF717" s="614"/>
      <c r="GG717" s="614"/>
      <c r="GH717" s="614"/>
      <c r="GI717" s="614"/>
      <c r="GJ717" s="614"/>
    </row>
    <row r="718" spans="101:192" ht="17.399999999999999">
      <c r="CW718" s="614"/>
      <c r="CX718" s="614"/>
      <c r="CY718" s="1857">
        <v>2019</v>
      </c>
      <c r="CZ718" s="1861"/>
      <c r="DA718" s="1058"/>
      <c r="DE718" s="614"/>
      <c r="DF718" s="614"/>
      <c r="DG718" s="614"/>
      <c r="DH718" s="614"/>
      <c r="DI718" s="614"/>
      <c r="DJ718" s="614"/>
      <c r="DK718" s="614"/>
      <c r="DL718" s="614"/>
      <c r="DM718" s="614"/>
      <c r="DN718" s="614"/>
      <c r="DO718" s="614"/>
      <c r="DP718" s="614"/>
      <c r="DQ718" s="614"/>
      <c r="DR718" s="614"/>
      <c r="DU718" s="1857">
        <v>2019</v>
      </c>
      <c r="DV718" s="1861"/>
      <c r="DW718" s="1058"/>
      <c r="ED718" s="614"/>
      <c r="EE718" s="614"/>
      <c r="EF718" s="614"/>
      <c r="EG718" s="614"/>
      <c r="EH718" s="614"/>
      <c r="EJ718" s="1857">
        <v>2019</v>
      </c>
      <c r="EK718" s="1595"/>
      <c r="EL718" s="1595"/>
      <c r="EM718" s="1035">
        <f t="shared" si="294"/>
        <v>29.508032481622074</v>
      </c>
      <c r="EZ718" s="1975">
        <f t="shared" si="284"/>
        <v>29.508032481622074</v>
      </c>
      <c r="FB718" s="1857">
        <v>2019</v>
      </c>
      <c r="FC718" s="1861"/>
      <c r="FD718" s="1058"/>
      <c r="FE718" s="1058"/>
      <c r="FF718" s="2015"/>
      <c r="FG718" s="2017"/>
      <c r="FK718" s="614"/>
      <c r="FL718" s="614"/>
      <c r="FM718" s="614"/>
      <c r="FN718" s="614"/>
      <c r="FO718" s="614"/>
      <c r="FW718" s="1857">
        <v>2019</v>
      </c>
      <c r="FX718" s="1861"/>
      <c r="FY718" s="1495">
        <v>80000</v>
      </c>
      <c r="FZ718" s="2021">
        <f t="shared" si="293"/>
        <v>66164.12</v>
      </c>
      <c r="GA718" s="2017"/>
      <c r="GF718" s="614"/>
      <c r="GG718" s="614"/>
      <c r="GH718" s="614"/>
      <c r="GI718" s="614"/>
      <c r="GJ718" s="614"/>
    </row>
    <row r="719" spans="101:192" ht="17.399999999999999">
      <c r="CW719" s="614"/>
      <c r="CX719" s="614"/>
      <c r="CY719" s="1857">
        <v>2020</v>
      </c>
      <c r="CZ719" s="1861"/>
      <c r="DA719" s="1058"/>
      <c r="DE719" s="614"/>
      <c r="DF719" s="614"/>
      <c r="DG719" s="614"/>
      <c r="DH719" s="614"/>
      <c r="DI719" s="614"/>
      <c r="DJ719" s="614"/>
      <c r="DK719" s="614"/>
      <c r="DL719" s="614"/>
      <c r="DM719" s="614"/>
      <c r="DN719" s="614"/>
      <c r="DO719" s="614"/>
      <c r="DP719" s="614"/>
      <c r="DQ719" s="614"/>
      <c r="DR719" s="614"/>
      <c r="DU719" s="1857">
        <v>2020</v>
      </c>
      <c r="DV719" s="1861"/>
      <c r="DW719" s="1058"/>
      <c r="ED719" s="614"/>
      <c r="EE719" s="614"/>
      <c r="EF719" s="614"/>
      <c r="EG719" s="614"/>
      <c r="EH719" s="614"/>
      <c r="EJ719" s="1857">
        <v>2020</v>
      </c>
      <c r="EK719" s="1595"/>
      <c r="EL719" s="1595"/>
      <c r="EM719" s="1035">
        <f t="shared" si="294"/>
        <v>29.898831696920944</v>
      </c>
      <c r="EZ719" s="1975">
        <f t="shared" si="284"/>
        <v>29.898831696920944</v>
      </c>
      <c r="FB719" s="1857">
        <v>2020</v>
      </c>
      <c r="FC719" s="1861"/>
      <c r="FD719" s="1058"/>
      <c r="FE719" s="1058"/>
      <c r="FF719" s="2015"/>
      <c r="FG719" s="2017"/>
      <c r="FK719" s="614"/>
      <c r="FL719" s="614"/>
      <c r="FM719" s="614"/>
      <c r="FN719" s="614"/>
      <c r="FO719" s="614"/>
      <c r="FW719" s="1857">
        <v>2020</v>
      </c>
      <c r="FX719" s="1861"/>
      <c r="FY719" s="1058"/>
      <c r="FZ719" s="2015"/>
      <c r="GA719" s="2017"/>
      <c r="GF719" s="614"/>
      <c r="GG719" s="614"/>
      <c r="GH719" s="614"/>
      <c r="GI719" s="614"/>
      <c r="GJ719" s="614"/>
    </row>
    <row r="720" spans="101:192" ht="17.399999999999999">
      <c r="CW720" s="614"/>
      <c r="CX720" s="614"/>
      <c r="CY720" s="1857">
        <v>2021</v>
      </c>
      <c r="CZ720" s="1861"/>
      <c r="DA720" s="1058"/>
      <c r="DE720" s="614"/>
      <c r="DF720" s="614"/>
      <c r="DG720" s="614"/>
      <c r="DH720" s="614"/>
      <c r="DI720" s="614"/>
      <c r="DJ720" s="614"/>
      <c r="DK720" s="614"/>
      <c r="DL720" s="614"/>
      <c r="DM720" s="614"/>
      <c r="DN720" s="614"/>
      <c r="DO720" s="614"/>
      <c r="DP720" s="614"/>
      <c r="DQ720" s="614"/>
      <c r="DR720" s="614"/>
      <c r="DU720" s="1857">
        <v>2021</v>
      </c>
      <c r="DV720" s="1861"/>
      <c r="DW720" s="1058"/>
      <c r="ED720" s="614"/>
      <c r="EE720" s="614"/>
      <c r="EF720" s="614"/>
      <c r="EG720" s="614"/>
      <c r="EH720" s="614"/>
      <c r="EJ720" s="1857">
        <v>2021</v>
      </c>
      <c r="EK720" s="1595"/>
      <c r="EL720" s="1595"/>
      <c r="EM720" s="1035">
        <f t="shared" si="294"/>
        <v>30.211471069160041</v>
      </c>
      <c r="EZ720" s="1975">
        <f t="shared" si="284"/>
        <v>30.211471069160041</v>
      </c>
      <c r="FB720" s="1857">
        <v>2021</v>
      </c>
      <c r="FC720" s="1861"/>
      <c r="FD720" s="1058"/>
      <c r="FE720" s="1058"/>
      <c r="FF720" s="2015"/>
      <c r="FG720" s="2017"/>
      <c r="FK720" s="614"/>
      <c r="FL720" s="614"/>
      <c r="FM720" s="614"/>
      <c r="FN720" s="614"/>
      <c r="FO720" s="614"/>
      <c r="FW720" s="1857">
        <v>2021</v>
      </c>
      <c r="FX720" s="1861"/>
      <c r="FY720" s="1058"/>
      <c r="FZ720" s="2015"/>
      <c r="GA720" s="2017"/>
      <c r="GF720" s="614"/>
      <c r="GG720" s="614"/>
      <c r="GH720" s="614"/>
      <c r="GI720" s="614"/>
      <c r="GJ720" s="614"/>
    </row>
    <row r="721" spans="101:192" ht="17.399999999999999">
      <c r="CW721" s="614"/>
      <c r="CX721" s="614"/>
      <c r="CY721" s="1857">
        <v>2022</v>
      </c>
      <c r="CZ721" s="1861"/>
      <c r="DA721" s="1058"/>
      <c r="DE721" s="614"/>
      <c r="DF721" s="614"/>
      <c r="DG721" s="614"/>
      <c r="DH721" s="614"/>
      <c r="DI721" s="614"/>
      <c r="DJ721" s="614"/>
      <c r="DK721" s="614"/>
      <c r="DL721" s="614"/>
      <c r="DM721" s="614"/>
      <c r="DN721" s="614"/>
      <c r="DO721" s="614"/>
      <c r="DP721" s="614"/>
      <c r="DQ721" s="614"/>
      <c r="DR721" s="614"/>
      <c r="DU721" s="1857">
        <v>2022</v>
      </c>
      <c r="DV721" s="1861"/>
      <c r="DW721" s="1058"/>
      <c r="ED721" s="614"/>
      <c r="EE721" s="614"/>
      <c r="EF721" s="614"/>
      <c r="EG721" s="614"/>
      <c r="EH721" s="614"/>
      <c r="EJ721" s="1857">
        <v>2022</v>
      </c>
      <c r="EK721" s="1595"/>
      <c r="EL721" s="1595"/>
      <c r="EM721" s="1035">
        <f t="shared" si="294"/>
        <v>30.461582566951318</v>
      </c>
      <c r="EZ721" s="1975">
        <f t="shared" si="284"/>
        <v>30.461582566951318</v>
      </c>
      <c r="FB721" s="1857">
        <v>2022</v>
      </c>
      <c r="FC721" s="1861"/>
      <c r="FD721" s="1058"/>
      <c r="FE721" s="1058"/>
      <c r="FF721" s="2015"/>
      <c r="FG721" s="2017"/>
      <c r="FK721" s="614"/>
      <c r="FL721" s="614"/>
      <c r="FM721" s="614"/>
      <c r="FN721" s="614"/>
      <c r="FO721" s="614"/>
      <c r="FW721" s="1857">
        <v>2022</v>
      </c>
      <c r="FX721" s="1861"/>
      <c r="FY721" s="1058"/>
      <c r="FZ721" s="2015"/>
      <c r="GA721" s="2017"/>
      <c r="GF721" s="614"/>
      <c r="GG721" s="614"/>
      <c r="GH721" s="614"/>
      <c r="GI721" s="614"/>
      <c r="GJ721" s="614"/>
    </row>
    <row r="722" spans="101:192" ht="17.399999999999999">
      <c r="CW722" s="614"/>
      <c r="CX722" s="614"/>
      <c r="CY722" s="1857">
        <v>2023</v>
      </c>
      <c r="CZ722" s="1861"/>
      <c r="DA722" s="1058"/>
      <c r="DE722" s="614"/>
      <c r="DF722" s="614"/>
      <c r="DG722" s="614"/>
      <c r="DH722" s="614"/>
      <c r="DI722" s="614"/>
      <c r="DJ722" s="614"/>
      <c r="DK722" s="614"/>
      <c r="DL722" s="614"/>
      <c r="DM722" s="614"/>
      <c r="DN722" s="614"/>
      <c r="DO722" s="614"/>
      <c r="DP722" s="614"/>
      <c r="DQ722" s="614"/>
      <c r="DR722" s="614"/>
      <c r="DU722" s="1857">
        <v>2023</v>
      </c>
      <c r="DV722" s="1861"/>
      <c r="DW722" s="1058"/>
      <c r="ED722" s="614"/>
      <c r="EE722" s="614"/>
      <c r="EF722" s="614"/>
      <c r="EG722" s="614"/>
      <c r="EH722" s="614"/>
      <c r="EJ722" s="1857">
        <v>2023</v>
      </c>
      <c r="EK722" s="1595"/>
      <c r="EL722" s="1595"/>
      <c r="EM722" s="1035">
        <f t="shared" si="294"/>
        <v>30.661671765184341</v>
      </c>
      <c r="EZ722" s="1975">
        <f t="shared" si="284"/>
        <v>30.661671765184341</v>
      </c>
      <c r="FB722" s="1857">
        <v>2023</v>
      </c>
      <c r="FC722" s="1861"/>
      <c r="FD722" s="1058"/>
      <c r="FE722" s="1058"/>
      <c r="FF722" s="2015"/>
      <c r="FG722" s="2017"/>
      <c r="FK722" s="614"/>
      <c r="FL722" s="614"/>
      <c r="FM722" s="614"/>
      <c r="FN722" s="614"/>
      <c r="FO722" s="614"/>
      <c r="FW722" s="1857">
        <v>2023</v>
      </c>
      <c r="FX722" s="1861"/>
      <c r="FY722" s="1058"/>
      <c r="FZ722" s="2015"/>
      <c r="GA722" s="2017"/>
      <c r="GF722" s="614"/>
      <c r="GG722" s="614"/>
      <c r="GH722" s="614"/>
      <c r="GI722" s="614"/>
      <c r="GJ722" s="614"/>
    </row>
    <row r="723" spans="101:192" ht="17.399999999999999">
      <c r="CW723" s="614"/>
      <c r="CX723" s="614"/>
      <c r="CY723" s="1857">
        <v>2024</v>
      </c>
      <c r="CZ723" s="1861"/>
      <c r="DA723" s="1058"/>
      <c r="DE723" s="614"/>
      <c r="DF723" s="614"/>
      <c r="DG723" s="614"/>
      <c r="DH723" s="614"/>
      <c r="DI723" s="614"/>
      <c r="DJ723" s="614"/>
      <c r="DK723" s="614"/>
      <c r="DL723" s="614"/>
      <c r="DM723" s="614"/>
      <c r="DN723" s="614"/>
      <c r="DO723" s="614"/>
      <c r="DP723" s="614"/>
      <c r="DQ723" s="614"/>
      <c r="DR723" s="614"/>
      <c r="DU723" s="1857">
        <v>2024</v>
      </c>
      <c r="DV723" s="1861"/>
      <c r="DW723" s="1058"/>
      <c r="ED723" s="614"/>
      <c r="EE723" s="614"/>
      <c r="EF723" s="614"/>
      <c r="EG723" s="614"/>
      <c r="EH723" s="614"/>
      <c r="EJ723" s="1857">
        <v>2024</v>
      </c>
      <c r="EK723" s="1595"/>
      <c r="EL723" s="1595"/>
      <c r="EM723" s="1035">
        <f t="shared" si="294"/>
        <v>30.821743123770759</v>
      </c>
      <c r="EZ723" s="1975">
        <f t="shared" si="284"/>
        <v>30.821743123770759</v>
      </c>
      <c r="FB723" s="1857">
        <v>2024</v>
      </c>
      <c r="FC723" s="1861"/>
      <c r="FD723" s="1058"/>
      <c r="FE723" s="1058"/>
      <c r="FF723" s="2015"/>
      <c r="FG723" s="2017"/>
      <c r="FK723" s="614"/>
      <c r="FL723" s="614"/>
      <c r="FM723" s="614"/>
      <c r="FN723" s="614"/>
      <c r="FO723" s="614"/>
      <c r="FW723" s="1857">
        <v>2024</v>
      </c>
      <c r="FX723" s="1861"/>
      <c r="FY723" s="1058"/>
      <c r="FZ723" s="2015"/>
      <c r="GA723" s="2017"/>
      <c r="GF723" s="614"/>
      <c r="GG723" s="614"/>
      <c r="GH723" s="614"/>
      <c r="GI723" s="614"/>
      <c r="GJ723" s="614"/>
    </row>
    <row r="724" spans="101:192" ht="17.399999999999999">
      <c r="CW724" s="614"/>
      <c r="CX724" s="614"/>
      <c r="CY724" s="1857">
        <v>2025</v>
      </c>
      <c r="CZ724" s="1861"/>
      <c r="DA724" s="1058"/>
      <c r="DE724" s="614"/>
      <c r="DF724" s="614"/>
      <c r="DG724" s="614"/>
      <c r="DH724" s="614"/>
      <c r="DI724" s="614"/>
      <c r="DJ724" s="614"/>
      <c r="DK724" s="614"/>
      <c r="DL724" s="614"/>
      <c r="DM724" s="614"/>
      <c r="DN724" s="614"/>
      <c r="DO724" s="614"/>
      <c r="DP724" s="614"/>
      <c r="DQ724" s="614"/>
      <c r="DR724" s="614"/>
      <c r="DU724" s="1857">
        <v>2025</v>
      </c>
      <c r="DV724" s="1861"/>
      <c r="DW724" s="1058"/>
      <c r="ED724" s="614"/>
      <c r="EE724" s="614"/>
      <c r="EF724" s="614"/>
      <c r="EG724" s="614"/>
      <c r="EH724" s="614"/>
      <c r="EJ724" s="1857">
        <v>2025</v>
      </c>
      <c r="EK724" s="1595"/>
      <c r="EL724" s="1595"/>
      <c r="EM724" s="1035">
        <f t="shared" si="294"/>
        <v>30.949800210639893</v>
      </c>
      <c r="EZ724" s="1975">
        <f t="shared" si="284"/>
        <v>30.949800210639893</v>
      </c>
      <c r="FB724" s="1857">
        <v>2025</v>
      </c>
      <c r="FC724" s="1861"/>
      <c r="FD724" s="1058"/>
      <c r="FE724" s="1058"/>
      <c r="FF724" s="2015"/>
      <c r="FG724" s="2017"/>
      <c r="FK724" s="614"/>
      <c r="FL724" s="614"/>
      <c r="FM724" s="614"/>
      <c r="FN724" s="614"/>
      <c r="FO724" s="614"/>
      <c r="FW724" s="1857">
        <v>2025</v>
      </c>
      <c r="FX724" s="1861"/>
      <c r="FY724" s="1058"/>
      <c r="FZ724" s="2015"/>
      <c r="GA724" s="2017"/>
      <c r="GF724" s="614"/>
      <c r="GG724" s="614"/>
      <c r="GH724" s="614"/>
      <c r="GI724" s="614"/>
      <c r="GJ724" s="614"/>
    </row>
    <row r="725" spans="101:192" ht="17.399999999999999">
      <c r="CW725" s="614"/>
      <c r="CX725" s="614"/>
      <c r="CY725" s="1857">
        <v>2026</v>
      </c>
      <c r="CZ725" s="1861"/>
      <c r="DA725" s="1058"/>
      <c r="DE725" s="614"/>
      <c r="DF725" s="614"/>
      <c r="DG725" s="614"/>
      <c r="DH725" s="614"/>
      <c r="DI725" s="614"/>
      <c r="DJ725" s="614"/>
      <c r="DK725" s="614"/>
      <c r="DL725" s="614"/>
      <c r="DM725" s="614"/>
      <c r="DN725" s="614"/>
      <c r="DO725" s="614"/>
      <c r="DP725" s="614"/>
      <c r="DQ725" s="614"/>
      <c r="DR725" s="614"/>
      <c r="DU725" s="1857">
        <v>2026</v>
      </c>
      <c r="DV725" s="1861"/>
      <c r="DW725" s="1058"/>
      <c r="ED725" s="614"/>
      <c r="EE725" s="614"/>
      <c r="EF725" s="614"/>
      <c r="EG725" s="614"/>
      <c r="EH725" s="614"/>
      <c r="EJ725" s="1857">
        <v>2026</v>
      </c>
      <c r="EK725" s="1595"/>
      <c r="EL725" s="1595"/>
      <c r="EM725" s="1035">
        <f t="shared" si="294"/>
        <v>31.052245880135199</v>
      </c>
      <c r="EZ725" s="1975">
        <f t="shared" si="284"/>
        <v>31.052245880135199</v>
      </c>
      <c r="FB725" s="1857">
        <v>2026</v>
      </c>
      <c r="FC725" s="1861"/>
      <c r="FD725" s="1058"/>
      <c r="FE725" s="1058"/>
      <c r="FF725" s="2015"/>
      <c r="FG725" s="2017"/>
      <c r="FK725" s="614"/>
      <c r="FL725" s="614"/>
      <c r="FM725" s="614"/>
      <c r="FN725" s="614"/>
      <c r="FO725" s="614"/>
      <c r="FW725" s="1857">
        <v>2026</v>
      </c>
      <c r="FX725" s="1861"/>
      <c r="FY725" s="1058"/>
      <c r="FZ725" s="2015"/>
      <c r="GA725" s="2017"/>
      <c r="GF725" s="614"/>
      <c r="GG725" s="614"/>
      <c r="GH725" s="614"/>
      <c r="GI725" s="614"/>
      <c r="GJ725" s="614"/>
    </row>
    <row r="726" spans="101:192" ht="17.399999999999999">
      <c r="CW726" s="614"/>
      <c r="CX726" s="614"/>
      <c r="CY726" s="1857">
        <v>2027</v>
      </c>
      <c r="CZ726" s="1861"/>
      <c r="DA726" s="1058"/>
      <c r="DE726" s="614"/>
      <c r="DF726" s="614"/>
      <c r="DG726" s="614"/>
      <c r="DH726" s="614"/>
      <c r="DI726" s="614"/>
      <c r="DJ726" s="614"/>
      <c r="DK726" s="614"/>
      <c r="DL726" s="614"/>
      <c r="DM726" s="614"/>
      <c r="DN726" s="614"/>
      <c r="DO726" s="614"/>
      <c r="DP726" s="614"/>
      <c r="DQ726" s="614"/>
      <c r="DR726" s="614"/>
      <c r="DU726" s="1857">
        <v>2027</v>
      </c>
      <c r="DV726" s="1861"/>
      <c r="DW726" s="1058"/>
      <c r="ED726" s="614"/>
      <c r="EE726" s="614"/>
      <c r="EF726" s="614"/>
      <c r="EG726" s="614"/>
      <c r="EH726" s="614"/>
      <c r="EJ726" s="1857">
        <v>2027</v>
      </c>
      <c r="EK726" s="1595"/>
      <c r="EL726" s="1595"/>
      <c r="EM726" s="1035">
        <f t="shared" si="294"/>
        <v>31.134202415731444</v>
      </c>
      <c r="EZ726" s="1975">
        <f t="shared" si="284"/>
        <v>31.134202415731444</v>
      </c>
      <c r="FB726" s="1857">
        <v>2027</v>
      </c>
      <c r="FC726" s="1861"/>
      <c r="FD726" s="1058"/>
      <c r="FE726" s="1058"/>
      <c r="FF726" s="2015"/>
      <c r="FG726" s="2017"/>
      <c r="FK726" s="614"/>
      <c r="FL726" s="614"/>
      <c r="FM726" s="614"/>
      <c r="FN726" s="614"/>
      <c r="FO726" s="614"/>
      <c r="FW726" s="1857">
        <v>2027</v>
      </c>
      <c r="FX726" s="1861"/>
      <c r="FY726" s="1058"/>
      <c r="FZ726" s="2015"/>
      <c r="GA726" s="2017"/>
      <c r="GF726" s="614"/>
      <c r="GG726" s="614"/>
      <c r="GH726" s="614"/>
      <c r="GI726" s="614"/>
      <c r="GJ726" s="614"/>
    </row>
    <row r="727" spans="101:192" ht="17.399999999999999">
      <c r="CW727" s="614"/>
      <c r="CX727" s="614"/>
      <c r="CY727" s="1857">
        <v>2028</v>
      </c>
      <c r="CZ727" s="1861"/>
      <c r="DA727" s="1058"/>
      <c r="DE727" s="614"/>
      <c r="DF727" s="614"/>
      <c r="DG727" s="614"/>
      <c r="DH727" s="614"/>
      <c r="DI727" s="614"/>
      <c r="DJ727" s="614"/>
      <c r="DK727" s="614"/>
      <c r="DL727" s="614"/>
      <c r="DM727" s="614"/>
      <c r="DN727" s="614"/>
      <c r="DO727" s="614"/>
      <c r="DP727" s="614"/>
      <c r="DQ727" s="614"/>
      <c r="DR727" s="614"/>
      <c r="DU727" s="1857">
        <v>2028</v>
      </c>
      <c r="DV727" s="1861"/>
      <c r="DW727" s="1058"/>
      <c r="ED727" s="614"/>
      <c r="EE727" s="614"/>
      <c r="EF727" s="614"/>
      <c r="EG727" s="614"/>
      <c r="EH727" s="614"/>
      <c r="EJ727" s="1857">
        <v>2028</v>
      </c>
      <c r="EK727" s="1595"/>
      <c r="EL727" s="1595"/>
      <c r="EM727" s="1035">
        <f t="shared" si="294"/>
        <v>31.199767644208439</v>
      </c>
      <c r="EZ727" s="1975">
        <f t="shared" si="284"/>
        <v>31.199767644208439</v>
      </c>
      <c r="FB727" s="1857">
        <v>2028</v>
      </c>
      <c r="FC727" s="1861"/>
      <c r="FD727" s="1058"/>
      <c r="FE727" s="1058"/>
      <c r="FF727" s="2015"/>
      <c r="FG727" s="2017"/>
      <c r="FK727" s="614"/>
      <c r="FL727" s="614"/>
      <c r="FM727" s="614"/>
      <c r="FN727" s="614"/>
      <c r="FO727" s="614"/>
      <c r="FW727" s="1857">
        <v>2028</v>
      </c>
      <c r="FX727" s="1861"/>
      <c r="FY727" s="1058"/>
      <c r="FZ727" s="2015"/>
      <c r="GA727" s="2017"/>
      <c r="GF727" s="614"/>
      <c r="GG727" s="614"/>
      <c r="GH727" s="614"/>
      <c r="GI727" s="614"/>
      <c r="GJ727" s="614"/>
    </row>
    <row r="728" spans="101:192" ht="17.399999999999999">
      <c r="CW728" s="614"/>
      <c r="CX728" s="614"/>
      <c r="CY728" s="1857">
        <v>2029</v>
      </c>
      <c r="CZ728" s="1861"/>
      <c r="DA728" s="1058"/>
      <c r="DE728" s="614"/>
      <c r="DF728" s="614"/>
      <c r="DG728" s="614"/>
      <c r="DH728" s="614"/>
      <c r="DI728" s="614"/>
      <c r="DJ728" s="614"/>
      <c r="DK728" s="614"/>
      <c r="DL728" s="614"/>
      <c r="DM728" s="614"/>
      <c r="DN728" s="614"/>
      <c r="DO728" s="614"/>
      <c r="DP728" s="614"/>
      <c r="DQ728" s="614"/>
      <c r="DR728" s="614"/>
      <c r="DU728" s="1857">
        <v>2029</v>
      </c>
      <c r="DV728" s="1861"/>
      <c r="DW728" s="1058"/>
      <c r="ED728" s="614"/>
      <c r="EE728" s="614"/>
      <c r="EF728" s="614"/>
      <c r="EG728" s="614"/>
      <c r="EH728" s="614"/>
      <c r="EJ728" s="1857">
        <v>2029</v>
      </c>
      <c r="EK728" s="1595"/>
      <c r="EL728" s="1595"/>
      <c r="EM728" s="1035">
        <f t="shared" si="294"/>
        <v>31.252219826990036</v>
      </c>
      <c r="EZ728" s="1975">
        <f t="shared" si="284"/>
        <v>31.252219826990036</v>
      </c>
      <c r="FB728" s="1857">
        <v>2029</v>
      </c>
      <c r="FC728" s="1861"/>
      <c r="FD728" s="1058"/>
      <c r="FE728" s="1058"/>
      <c r="FF728" s="2015"/>
      <c r="FG728" s="2017"/>
      <c r="FK728" s="614"/>
      <c r="FL728" s="614"/>
      <c r="FM728" s="614"/>
      <c r="FN728" s="614"/>
      <c r="FO728" s="614"/>
      <c r="FW728" s="1857">
        <v>2029</v>
      </c>
      <c r="FX728" s="1861"/>
      <c r="FY728" s="1058"/>
      <c r="FZ728" s="2015"/>
      <c r="GA728" s="2017"/>
      <c r="GF728" s="614"/>
      <c r="GG728" s="614"/>
      <c r="GH728" s="614"/>
      <c r="GI728" s="614"/>
      <c r="GJ728" s="614"/>
    </row>
    <row r="729" spans="101:192" ht="17.399999999999999">
      <c r="CW729" s="614"/>
      <c r="CX729" s="614"/>
      <c r="CY729" s="1862">
        <v>2030</v>
      </c>
      <c r="CZ729" s="1863"/>
      <c r="DA729" s="1303"/>
      <c r="DE729" s="614"/>
      <c r="DF729" s="614"/>
      <c r="DG729" s="614"/>
      <c r="DH729" s="614"/>
      <c r="DI729" s="614"/>
      <c r="DJ729" s="614"/>
      <c r="DK729" s="614"/>
      <c r="DL729" s="614"/>
      <c r="DM729" s="614"/>
      <c r="DN729" s="614"/>
      <c r="DO729" s="614"/>
      <c r="DP729" s="614"/>
      <c r="DQ729" s="614"/>
      <c r="DR729" s="614"/>
      <c r="DU729" s="1862">
        <v>2030</v>
      </c>
      <c r="DV729" s="1863"/>
      <c r="DW729" s="1303"/>
      <c r="ED729" s="614"/>
      <c r="EE729" s="614"/>
      <c r="EF729" s="614"/>
      <c r="EG729" s="614"/>
      <c r="EH729" s="614"/>
      <c r="EJ729" s="1862">
        <v>2030</v>
      </c>
      <c r="EK729" s="843"/>
      <c r="EL729" s="843"/>
      <c r="EM729" s="1035">
        <f t="shared" si="294"/>
        <v>31.294181573215312</v>
      </c>
      <c r="EZ729" s="1976">
        <f t="shared" si="284"/>
        <v>31.294181573215312</v>
      </c>
      <c r="FB729" s="1862">
        <v>2030</v>
      </c>
      <c r="FC729" s="1863"/>
      <c r="FD729" s="1303"/>
      <c r="FE729" s="1303"/>
      <c r="FF729" s="2018"/>
      <c r="FG729" s="2019"/>
      <c r="FK729" s="614"/>
      <c r="FL729" s="614"/>
      <c r="FM729" s="614"/>
      <c r="FN729" s="614"/>
      <c r="FO729" s="614"/>
      <c r="FW729" s="1862">
        <v>2030</v>
      </c>
      <c r="FX729" s="1863"/>
      <c r="FY729" s="1303"/>
      <c r="FZ729" s="2018"/>
      <c r="GA729" s="2019"/>
      <c r="GF729" s="614"/>
      <c r="GG729" s="614"/>
      <c r="GH729" s="614"/>
      <c r="GI729" s="614"/>
      <c r="GJ729" s="614"/>
    </row>
    <row r="730" spans="101:192" ht="17.399999999999999">
      <c r="DK730" s="614"/>
    </row>
    <row r="734" spans="101:192" ht="18" thickBot="1">
      <c r="CW734" s="614"/>
      <c r="CX734" s="614"/>
      <c r="CY734" s="614"/>
      <c r="CZ734" s="614"/>
      <c r="DA734" s="614"/>
      <c r="DB734" s="614"/>
      <c r="DC734" s="1873"/>
      <c r="DD734" s="614"/>
      <c r="DF734" s="614"/>
      <c r="DG734" s="614"/>
      <c r="DH734" s="614"/>
      <c r="DI734" s="614"/>
      <c r="DJ734" s="614"/>
      <c r="DL734" s="614"/>
      <c r="DM734" s="614"/>
      <c r="DN734" s="614"/>
      <c r="DO734" s="614"/>
      <c r="DP734" s="614"/>
      <c r="DQ734" s="614"/>
      <c r="DR734" s="614"/>
      <c r="DS734" s="614"/>
    </row>
    <row r="735" spans="101:192" ht="21">
      <c r="CW735" s="614"/>
      <c r="CX735" s="614"/>
      <c r="CY735" s="1852" t="s">
        <v>351</v>
      </c>
      <c r="CZ735" s="1864" t="s">
        <v>1684</v>
      </c>
      <c r="DA735" s="1865" t="s">
        <v>1685</v>
      </c>
      <c r="DB735" s="1796" t="s">
        <v>1686</v>
      </c>
      <c r="DC735" s="1866" t="s">
        <v>1679</v>
      </c>
      <c r="DD735" s="1867" t="s">
        <v>648</v>
      </c>
      <c r="DE735" s="1796" t="s">
        <v>1686</v>
      </c>
      <c r="DF735" s="1796" t="s">
        <v>1686</v>
      </c>
      <c r="DG735" s="614"/>
      <c r="DH735" s="614"/>
      <c r="DI735" s="614"/>
      <c r="DJ735" s="614"/>
      <c r="DK735" s="614"/>
      <c r="DL735" s="614"/>
      <c r="DM735" s="614"/>
      <c r="DN735" s="614"/>
      <c r="DO735" s="614"/>
      <c r="DP735" s="614"/>
      <c r="DQ735" s="614"/>
      <c r="DR735" s="614"/>
      <c r="DS735" s="614"/>
      <c r="DT735" s="1796" t="s">
        <v>1686</v>
      </c>
      <c r="DV735" s="1852" t="s">
        <v>351</v>
      </c>
      <c r="DW735" s="1853" t="s">
        <v>1684</v>
      </c>
      <c r="DX735" s="1853" t="s">
        <v>450</v>
      </c>
      <c r="DY735" s="1869" t="s">
        <v>1679</v>
      </c>
      <c r="DZ735" s="1853" t="s">
        <v>1684</v>
      </c>
      <c r="EA735" s="1853" t="s">
        <v>1684</v>
      </c>
      <c r="ED735" s="614"/>
      <c r="EE735" s="614"/>
      <c r="EF735" s="614"/>
      <c r="EG735" s="614"/>
      <c r="EH735" s="614"/>
      <c r="EI735" s="614"/>
      <c r="EJ735" s="614"/>
      <c r="EK735" s="614"/>
      <c r="EL735" s="614"/>
      <c r="EM735" s="614"/>
      <c r="EN735" s="614"/>
      <c r="EP735" s="1852" t="s">
        <v>351</v>
      </c>
      <c r="EQ735" s="1864" t="s">
        <v>1687</v>
      </c>
      <c r="ER735" s="1865" t="s">
        <v>1245</v>
      </c>
      <c r="ES735" s="1853" t="s">
        <v>1688</v>
      </c>
    </row>
    <row r="736" spans="101:192" ht="18" thickBot="1">
      <c r="CW736" s="614"/>
      <c r="CX736" s="614"/>
      <c r="CY736" s="1561">
        <v>43666</v>
      </c>
      <c r="CZ736" s="1872" t="s">
        <v>1618</v>
      </c>
      <c r="DA736" s="1856" t="s">
        <v>1454</v>
      </c>
      <c r="DB736" s="1856" t="s">
        <v>1454</v>
      </c>
      <c r="DC736" s="1856" t="s">
        <v>1454</v>
      </c>
      <c r="DD736" s="1856" t="s">
        <v>1454</v>
      </c>
      <c r="DE736" s="1629" t="s">
        <v>1621</v>
      </c>
      <c r="DF736" s="1593" t="s">
        <v>1622</v>
      </c>
      <c r="DG736" s="614"/>
      <c r="DH736" s="614"/>
      <c r="DI736" s="614"/>
      <c r="DJ736" s="614"/>
      <c r="DK736" s="614"/>
      <c r="DL736" s="614"/>
      <c r="DM736" s="614"/>
      <c r="DN736" s="614"/>
      <c r="DO736" s="614"/>
      <c r="DP736" s="614"/>
      <c r="DQ736" s="614"/>
      <c r="DR736" s="614"/>
      <c r="DS736" s="614"/>
      <c r="DT736" s="1856" t="s">
        <v>1454</v>
      </c>
      <c r="DV736" s="720">
        <v>43675</v>
      </c>
      <c r="DW736" s="1629" t="s">
        <v>46</v>
      </c>
      <c r="DX736" s="1629" t="s">
        <v>46</v>
      </c>
      <c r="DY736" s="1629" t="s">
        <v>46</v>
      </c>
      <c r="DZ736" s="1629" t="s">
        <v>1621</v>
      </c>
      <c r="EA736" s="1593" t="s">
        <v>1622</v>
      </c>
      <c r="ED736" s="614"/>
      <c r="EE736" s="614"/>
      <c r="EF736" s="614"/>
      <c r="EG736" s="614"/>
      <c r="EH736" s="614"/>
      <c r="EI736" s="614"/>
      <c r="EJ736" s="614"/>
      <c r="EK736" s="614"/>
      <c r="EL736" s="614"/>
      <c r="EM736" s="614"/>
      <c r="EN736" s="614"/>
      <c r="EP736" s="1876">
        <v>43666</v>
      </c>
      <c r="EQ736" s="1629" t="s">
        <v>46</v>
      </c>
      <c r="ER736" s="1855" t="s">
        <v>1454</v>
      </c>
      <c r="ES736" s="1855" t="s">
        <v>46</v>
      </c>
    </row>
    <row r="737" spans="101:149" ht="17.399999999999999">
      <c r="CW737" s="667">
        <f t="array" ref="CW737:CW758">TRANSPOSE(U80:AP80)</f>
        <v>301.11700000000002</v>
      </c>
      <c r="CX737" s="614"/>
      <c r="CY737" s="1857">
        <v>1995</v>
      </c>
      <c r="CZ737" s="1858">
        <f>CW737/1000</f>
        <v>0.30111700000000002</v>
      </c>
      <c r="DA737" s="1802">
        <f t="array" ref="DA737:DA758">TRANSPOSE(U156:AP156)</f>
        <v>1</v>
      </c>
      <c r="DB737" s="1802">
        <v>1</v>
      </c>
      <c r="DC737" s="1803">
        <v>1</v>
      </c>
      <c r="DD737" s="1803">
        <v>1</v>
      </c>
      <c r="DE737" s="1034">
        <f>DB737</f>
        <v>1</v>
      </c>
      <c r="DF737" s="1056"/>
      <c r="DG737" s="614"/>
      <c r="DH737" s="614"/>
      <c r="DI737" s="614"/>
      <c r="DJ737" s="614"/>
      <c r="DK737" s="614"/>
      <c r="DL737" s="614"/>
      <c r="DM737" s="614"/>
      <c r="DN737" s="614"/>
      <c r="DO737" s="614"/>
      <c r="DP737" s="614"/>
      <c r="DQ737" s="614"/>
      <c r="DR737" s="614"/>
      <c r="DS737" s="614"/>
      <c r="DT737" s="1369">
        <v>1</v>
      </c>
      <c r="DV737" s="1857">
        <v>1995</v>
      </c>
      <c r="DW737" s="1874">
        <f t="array" ref="DW737:DW758">TRANSPOSE(U80:AP80)</f>
        <v>301.11700000000002</v>
      </c>
      <c r="DX737" s="1200">
        <f t="array" ref="DX737:DX758">TRANSPOSE(U83:AP83)</f>
        <v>230.40700000000001</v>
      </c>
      <c r="DY737" s="1200">
        <f>DX737</f>
        <v>230.40700000000001</v>
      </c>
      <c r="DZ737" s="1200">
        <f>DW737</f>
        <v>301.11700000000002</v>
      </c>
      <c r="EA737" s="1494"/>
      <c r="ED737" s="614"/>
      <c r="EE737" s="614"/>
      <c r="EF737" s="614"/>
      <c r="EG737" s="614"/>
      <c r="EH737" s="614"/>
      <c r="EI737" s="614"/>
      <c r="EJ737" s="614"/>
      <c r="EK737" s="614"/>
      <c r="EL737" s="614"/>
      <c r="EM737" s="614"/>
      <c r="EN737" s="614"/>
      <c r="EP737" s="1857">
        <v>1995</v>
      </c>
      <c r="EQ737" s="1858">
        <f t="shared" ref="EQ737:EQ758" si="295">DW737</f>
        <v>301.11700000000002</v>
      </c>
      <c r="ER737" s="1802">
        <v>1</v>
      </c>
      <c r="ES737" s="1494">
        <f>EQ737</f>
        <v>301.11700000000002</v>
      </c>
    </row>
    <row r="738" spans="101:149" ht="17.399999999999999">
      <c r="CW738" s="667">
        <v>401.61399999999998</v>
      </c>
      <c r="CX738" s="614"/>
      <c r="CY738" s="1857">
        <v>1996</v>
      </c>
      <c r="CZ738" s="1859">
        <f>CW738/1000</f>
        <v>0.40161399999999997</v>
      </c>
      <c r="DA738" s="1382">
        <v>0.78800000000000003</v>
      </c>
      <c r="DB738" s="1382">
        <f t="shared" ref="DB738:DB758" si="296">CZ738/(DA738*CZ$737)</f>
        <v>1.6925727758586306</v>
      </c>
      <c r="DC738" s="1382">
        <f>DD738</f>
        <v>0</v>
      </c>
      <c r="DD738" s="1034">
        <f t="shared" ref="DD738:DD772" si="297">DT185</f>
        <v>0</v>
      </c>
      <c r="DE738" s="1034">
        <f>DB738</f>
        <v>1.6925727758586306</v>
      </c>
      <c r="DF738" s="1058"/>
      <c r="DG738" s="614"/>
      <c r="DH738" s="614"/>
      <c r="DI738" s="614"/>
      <c r="DJ738" s="614"/>
      <c r="DK738" s="614"/>
      <c r="DL738" s="614"/>
      <c r="DM738" s="614"/>
      <c r="DN738" s="614"/>
      <c r="DO738" s="614"/>
      <c r="DP738" s="614"/>
      <c r="DQ738" s="614"/>
      <c r="DR738" s="614"/>
      <c r="DS738" s="614"/>
      <c r="DT738" s="1975">
        <f>DB738</f>
        <v>1.6925727758586306</v>
      </c>
      <c r="DV738" s="1857">
        <v>1996</v>
      </c>
      <c r="DW738" s="1875">
        <v>401.61399999999998</v>
      </c>
      <c r="DX738" s="1786">
        <v>334.30200000000002</v>
      </c>
      <c r="DY738" s="1786">
        <f>DX738</f>
        <v>334.30200000000002</v>
      </c>
      <c r="DZ738" s="1201">
        <f>DW738</f>
        <v>401.61399999999998</v>
      </c>
      <c r="EA738" s="1495"/>
      <c r="ED738" s="614"/>
      <c r="EE738" s="614"/>
      <c r="EF738" s="614"/>
      <c r="EG738" s="614"/>
      <c r="EH738" s="614"/>
      <c r="EI738" s="614"/>
      <c r="EJ738" s="614"/>
      <c r="EK738" s="614"/>
      <c r="EL738" s="614"/>
      <c r="EM738" s="614"/>
      <c r="EN738" s="614"/>
      <c r="EP738" s="1857">
        <v>1996</v>
      </c>
      <c r="EQ738" s="1859">
        <f t="shared" si="295"/>
        <v>401.61399999999998</v>
      </c>
      <c r="ER738" s="1382">
        <f>DA738</f>
        <v>0.78800000000000003</v>
      </c>
      <c r="ES738" s="1495">
        <f t="shared" ref="ES738:ES758" si="298">ES$737*ER738</f>
        <v>237.28019600000002</v>
      </c>
    </row>
    <row r="739" spans="101:149" ht="17.399999999999999">
      <c r="CW739" s="667">
        <v>428.52199999999999</v>
      </c>
      <c r="CX739" s="614"/>
      <c r="CY739" s="1857">
        <v>1997</v>
      </c>
      <c r="CZ739" s="1859">
        <f t="shared" ref="CZ739:CZ758" si="299">CW739/1000</f>
        <v>0.42852200000000001</v>
      </c>
      <c r="DA739" s="1382">
        <v>0.72574800000000006</v>
      </c>
      <c r="DB739" s="1382">
        <f t="shared" si="296"/>
        <v>1.9608844410969279</v>
      </c>
      <c r="DC739" s="1382">
        <f t="shared" ref="DC739:DC772" si="300">DD739</f>
        <v>0</v>
      </c>
      <c r="DD739" s="1034">
        <f t="shared" si="297"/>
        <v>0</v>
      </c>
      <c r="DE739" s="1034">
        <f t="shared" ref="DE739:DE751" si="301">DB739</f>
        <v>1.9608844410969279</v>
      </c>
      <c r="DF739" s="1058"/>
      <c r="DG739" s="614"/>
      <c r="DH739" s="614"/>
      <c r="DI739" s="614"/>
      <c r="DJ739" s="614"/>
      <c r="DK739" s="614"/>
      <c r="DL739" s="614"/>
      <c r="DM739" s="614"/>
      <c r="DN739" s="614"/>
      <c r="DO739" s="614"/>
      <c r="DP739" s="614"/>
      <c r="DQ739" s="614"/>
      <c r="DR739" s="614"/>
      <c r="DS739" s="614"/>
      <c r="DT739" s="1975">
        <f t="shared" ref="DT739:DT758" si="302">DB739</f>
        <v>1.9608844410969279</v>
      </c>
      <c r="DV739" s="1857">
        <v>1997</v>
      </c>
      <c r="DW739" s="1875">
        <v>428.52199999999999</v>
      </c>
      <c r="DX739" s="1786">
        <v>406.47199999999998</v>
      </c>
      <c r="DY739" s="1786">
        <f>DX739</f>
        <v>406.47199999999998</v>
      </c>
      <c r="DZ739" s="1201">
        <f t="shared" ref="DZ739:DZ753" si="303">DW739</f>
        <v>428.52199999999999</v>
      </c>
      <c r="EA739" s="1495"/>
      <c r="ED739" s="614"/>
      <c r="EE739" s="614"/>
      <c r="EF739" s="614"/>
      <c r="EG739" s="614"/>
      <c r="EH739" s="614"/>
      <c r="EI739" s="614"/>
      <c r="EJ739" s="614"/>
      <c r="EK739" s="614"/>
      <c r="EL739" s="614"/>
      <c r="EM739" s="614"/>
      <c r="EN739" s="614"/>
      <c r="EP739" s="1857">
        <v>1997</v>
      </c>
      <c r="EQ739" s="1859">
        <f t="shared" si="295"/>
        <v>428.52199999999999</v>
      </c>
      <c r="ER739" s="1382">
        <f t="shared" ref="ER739:ER758" si="304">DA739</f>
        <v>0.72574800000000006</v>
      </c>
      <c r="ES739" s="1495">
        <f t="shared" si="298"/>
        <v>218.53506051600004</v>
      </c>
    </row>
    <row r="740" spans="101:149" ht="17.399999999999999">
      <c r="CW740" s="667">
        <v>424.6</v>
      </c>
      <c r="CX740" s="614"/>
      <c r="CY740" s="1857">
        <v>1998</v>
      </c>
      <c r="CZ740" s="1859">
        <f t="shared" si="299"/>
        <v>0.42460000000000003</v>
      </c>
      <c r="DA740" s="1382">
        <v>0.63575524800000005</v>
      </c>
      <c r="DB740" s="1382">
        <f t="shared" si="296"/>
        <v>2.2179653699619721</v>
      </c>
      <c r="DC740" s="1382">
        <f t="shared" si="300"/>
        <v>0</v>
      </c>
      <c r="DD740" s="1034">
        <f t="shared" si="297"/>
        <v>0</v>
      </c>
      <c r="DE740" s="1034">
        <f t="shared" si="301"/>
        <v>2.2179653699619721</v>
      </c>
      <c r="DF740" s="1058"/>
      <c r="DG740" s="614"/>
      <c r="DH740" s="614"/>
      <c r="DI740" s="614"/>
      <c r="DJ740" s="614"/>
      <c r="DK740" s="614"/>
      <c r="DL740" s="614"/>
      <c r="DM740" s="614"/>
      <c r="DN740" s="614"/>
      <c r="DO740" s="614"/>
      <c r="DP740" s="614"/>
      <c r="DQ740" s="614"/>
      <c r="DR740" s="614"/>
      <c r="DS740" s="614"/>
      <c r="DT740" s="1975">
        <f t="shared" si="302"/>
        <v>2.2179653699619721</v>
      </c>
      <c r="DV740" s="1857">
        <v>1998</v>
      </c>
      <c r="DW740" s="1875">
        <v>424.6</v>
      </c>
      <c r="DX740" s="1786">
        <v>428.56400000000002</v>
      </c>
      <c r="DY740" s="1786">
        <f t="shared" ref="DY740:DY758" si="305">DX740</f>
        <v>428.56400000000002</v>
      </c>
      <c r="DZ740" s="1201">
        <f t="shared" si="303"/>
        <v>424.6</v>
      </c>
      <c r="EA740" s="1495"/>
      <c r="ED740" s="614"/>
      <c r="EE740" s="614"/>
      <c r="EF740" s="614"/>
      <c r="EG740" s="614"/>
      <c r="EH740" s="614"/>
      <c r="EI740" s="614"/>
      <c r="EJ740" s="614"/>
      <c r="EK740" s="614"/>
      <c r="EL740" s="614"/>
      <c r="EM740" s="614"/>
      <c r="EN740" s="614"/>
      <c r="EP740" s="1857">
        <v>1998</v>
      </c>
      <c r="EQ740" s="1859">
        <f t="shared" si="295"/>
        <v>424.6</v>
      </c>
      <c r="ER740" s="1382">
        <f t="shared" si="304"/>
        <v>0.63575524800000005</v>
      </c>
      <c r="ES740" s="1495">
        <f t="shared" si="298"/>
        <v>191.43671301201601</v>
      </c>
    </row>
    <row r="741" spans="101:149" ht="17.399999999999999">
      <c r="CW741" s="667">
        <v>694</v>
      </c>
      <c r="CX741" s="614"/>
      <c r="CY741" s="1857">
        <v>1999</v>
      </c>
      <c r="CZ741" s="1859">
        <f t="shared" si="299"/>
        <v>0.69399999999999995</v>
      </c>
      <c r="DA741" s="1382">
        <v>0.6764435838720001</v>
      </c>
      <c r="DB741" s="1382">
        <f t="shared" si="296"/>
        <v>3.4071606685850466</v>
      </c>
      <c r="DC741" s="1382">
        <f t="shared" si="300"/>
        <v>0</v>
      </c>
      <c r="DD741" s="1034">
        <f t="shared" si="297"/>
        <v>0</v>
      </c>
      <c r="DE741" s="1034">
        <f t="shared" si="301"/>
        <v>3.4071606685850466</v>
      </c>
      <c r="DF741" s="1058"/>
      <c r="DG741" s="614"/>
      <c r="DH741" s="614"/>
      <c r="DI741" s="614"/>
      <c r="DJ741" s="614"/>
      <c r="DK741" s="614"/>
      <c r="DL741" s="614"/>
      <c r="DM741" s="614"/>
      <c r="DN741" s="614"/>
      <c r="DO741" s="614"/>
      <c r="DP741" s="614"/>
      <c r="DQ741" s="614"/>
      <c r="DR741" s="614"/>
      <c r="DS741" s="614"/>
      <c r="DT741" s="1975">
        <f t="shared" si="302"/>
        <v>3.4071606685850466</v>
      </c>
      <c r="DV741" s="1857">
        <v>1999</v>
      </c>
      <c r="DW741" s="1875">
        <v>694</v>
      </c>
      <c r="DX741" s="1786">
        <v>597.30600000000004</v>
      </c>
      <c r="DY741" s="1786">
        <f t="shared" si="305"/>
        <v>597.30600000000004</v>
      </c>
      <c r="DZ741" s="1201">
        <f t="shared" si="303"/>
        <v>694</v>
      </c>
      <c r="EA741" s="1495"/>
      <c r="ED741" s="614"/>
      <c r="EE741" s="614"/>
      <c r="EF741" s="614"/>
      <c r="EG741" s="614"/>
      <c r="EH741" s="614"/>
      <c r="EI741" s="614"/>
      <c r="EJ741" s="614"/>
      <c r="EK741" s="614"/>
      <c r="EL741" s="614"/>
      <c r="EM741" s="614"/>
      <c r="EN741" s="614"/>
      <c r="EP741" s="1857">
        <v>1999</v>
      </c>
      <c r="EQ741" s="1859">
        <f t="shared" si="295"/>
        <v>694</v>
      </c>
      <c r="ER741" s="1382">
        <f t="shared" si="304"/>
        <v>0.6764435838720001</v>
      </c>
      <c r="ES741" s="1495">
        <f t="shared" si="298"/>
        <v>203.68866264478507</v>
      </c>
    </row>
    <row r="742" spans="101:149" ht="17.399999999999999">
      <c r="CW742" s="667">
        <v>1232</v>
      </c>
      <c r="CX742" s="614"/>
      <c r="CY742" s="1857">
        <v>2000</v>
      </c>
      <c r="CZ742" s="1859">
        <f t="shared" si="299"/>
        <v>1.232</v>
      </c>
      <c r="DA742" s="1382">
        <v>0.7988798725528321</v>
      </c>
      <c r="DB742" s="1382">
        <f t="shared" si="296"/>
        <v>5.121461985394073</v>
      </c>
      <c r="DC742" s="1382">
        <f t="shared" si="300"/>
        <v>0</v>
      </c>
      <c r="DD742" s="1034">
        <f t="shared" si="297"/>
        <v>0</v>
      </c>
      <c r="DE742" s="1034">
        <f t="shared" si="301"/>
        <v>5.121461985394073</v>
      </c>
      <c r="DF742" s="1058"/>
      <c r="DG742" s="614"/>
      <c r="DH742" s="614"/>
      <c r="DI742" s="614"/>
      <c r="DJ742" s="614"/>
      <c r="DK742" s="614"/>
      <c r="DL742" s="614"/>
      <c r="DM742" s="614"/>
      <c r="DN742" s="614"/>
      <c r="DO742" s="614"/>
      <c r="DP742" s="614"/>
      <c r="DQ742" s="614"/>
      <c r="DR742" s="614"/>
      <c r="DS742" s="614"/>
      <c r="DT742" s="1975">
        <f t="shared" si="302"/>
        <v>5.121461985394073</v>
      </c>
      <c r="DV742" s="1857">
        <v>2000</v>
      </c>
      <c r="DW742" s="1875">
        <v>1232</v>
      </c>
      <c r="DX742" s="1786">
        <v>843.37800000000004</v>
      </c>
      <c r="DY742" s="1786">
        <f t="shared" si="305"/>
        <v>843.37800000000004</v>
      </c>
      <c r="DZ742" s="1201">
        <f t="shared" si="303"/>
        <v>1232</v>
      </c>
      <c r="EA742" s="1495"/>
      <c r="ED742" s="614"/>
      <c r="EE742" s="614"/>
      <c r="EF742" s="614"/>
      <c r="EG742" s="614"/>
      <c r="EH742" s="614"/>
      <c r="EI742" s="614"/>
      <c r="EJ742" s="614"/>
      <c r="EK742" s="614"/>
      <c r="EL742" s="614"/>
      <c r="EM742" s="614"/>
      <c r="EN742" s="614"/>
      <c r="EP742" s="1857">
        <v>2000</v>
      </c>
      <c r="EQ742" s="1859">
        <f t="shared" si="295"/>
        <v>1232</v>
      </c>
      <c r="ER742" s="1382">
        <f t="shared" si="304"/>
        <v>0.7988798725528321</v>
      </c>
      <c r="ES742" s="1495">
        <f t="shared" si="298"/>
        <v>240.55631058349115</v>
      </c>
    </row>
    <row r="743" spans="101:149" ht="17.399999999999999">
      <c r="CW743" s="667">
        <v>1689.3</v>
      </c>
      <c r="CX743" s="614"/>
      <c r="CY743" s="1857">
        <v>2001</v>
      </c>
      <c r="CZ743" s="1859">
        <f t="shared" si="299"/>
        <v>1.6893</v>
      </c>
      <c r="DA743" s="1382">
        <v>0.88036561955322101</v>
      </c>
      <c r="DB743" s="1382">
        <f t="shared" si="296"/>
        <v>6.3724792967377848</v>
      </c>
      <c r="DC743" s="1382">
        <f t="shared" si="300"/>
        <v>0</v>
      </c>
      <c r="DD743" s="1034">
        <f t="shared" si="297"/>
        <v>0</v>
      </c>
      <c r="DE743" s="1034">
        <f t="shared" si="301"/>
        <v>6.3724792967377848</v>
      </c>
      <c r="DF743" s="1058"/>
      <c r="DG743" s="614"/>
      <c r="DH743" s="614"/>
      <c r="DI743" s="614"/>
      <c r="DJ743" s="614"/>
      <c r="DK743" s="614"/>
      <c r="DL743" s="614"/>
      <c r="DM743" s="614"/>
      <c r="DN743" s="614"/>
      <c r="DO743" s="614"/>
      <c r="DP743" s="614"/>
      <c r="DQ743" s="614"/>
      <c r="DR743" s="614"/>
      <c r="DS743" s="614"/>
      <c r="DT743" s="1975">
        <f t="shared" si="302"/>
        <v>6.3724792967377848</v>
      </c>
      <c r="DV743" s="1857">
        <v>2001</v>
      </c>
      <c r="DW743" s="1875">
        <v>1689.3</v>
      </c>
      <c r="DX743" s="1786">
        <v>1117.655</v>
      </c>
      <c r="DY743" s="1786">
        <f t="shared" si="305"/>
        <v>1117.655</v>
      </c>
      <c r="DZ743" s="1201">
        <f t="shared" si="303"/>
        <v>1689.3</v>
      </c>
      <c r="EA743" s="1495"/>
      <c r="ED743" s="614"/>
      <c r="EE743" s="614"/>
      <c r="EF743" s="614"/>
      <c r="EG743" s="614"/>
      <c r="EH743" s="614"/>
      <c r="EI743" s="614"/>
      <c r="EJ743" s="614"/>
      <c r="EK743" s="614"/>
      <c r="EL743" s="614"/>
      <c r="EM743" s="614"/>
      <c r="EN743" s="614"/>
      <c r="EP743" s="1857">
        <v>2001</v>
      </c>
      <c r="EQ743" s="1859">
        <f t="shared" si="295"/>
        <v>1689.3</v>
      </c>
      <c r="ER743" s="1382">
        <f t="shared" si="304"/>
        <v>0.88036561955322101</v>
      </c>
      <c r="ES743" s="1495">
        <f t="shared" si="298"/>
        <v>265.09305426300728</v>
      </c>
    </row>
    <row r="744" spans="101:149" ht="17.399999999999999">
      <c r="CW744" s="667">
        <v>1939.3</v>
      </c>
      <c r="CX744" s="614"/>
      <c r="CY744" s="1857">
        <v>2002</v>
      </c>
      <c r="CZ744" s="1859">
        <f t="shared" si="299"/>
        <v>1.9393</v>
      </c>
      <c r="DA744" s="1382">
        <v>0.90501585690071118</v>
      </c>
      <c r="DB744" s="1382">
        <f t="shared" si="296"/>
        <v>7.1162882953174416</v>
      </c>
      <c r="DC744" s="1382">
        <f t="shared" si="300"/>
        <v>0</v>
      </c>
      <c r="DD744" s="1034">
        <f t="shared" si="297"/>
        <v>0</v>
      </c>
      <c r="DE744" s="1034">
        <f t="shared" si="301"/>
        <v>7.1162882953174416</v>
      </c>
      <c r="DF744" s="1058"/>
      <c r="DG744" s="614"/>
      <c r="DH744" s="614"/>
      <c r="DI744" s="614"/>
      <c r="DJ744" s="614"/>
      <c r="DK744" s="614"/>
      <c r="DL744" s="614"/>
      <c r="DM744" s="614"/>
      <c r="DN744" s="614"/>
      <c r="DO744" s="614"/>
      <c r="DP744" s="614"/>
      <c r="DQ744" s="614"/>
      <c r="DR744" s="614"/>
      <c r="DS744" s="614"/>
      <c r="DT744" s="1975">
        <f t="shared" si="302"/>
        <v>7.1162882953174416</v>
      </c>
      <c r="DV744" s="1857">
        <v>2002</v>
      </c>
      <c r="DW744" s="1875">
        <v>1939.3</v>
      </c>
      <c r="DX744" s="1786">
        <v>1615.0630000000001</v>
      </c>
      <c r="DY744" s="1786">
        <f t="shared" si="305"/>
        <v>1615.0630000000001</v>
      </c>
      <c r="DZ744" s="1201">
        <f t="shared" si="303"/>
        <v>1939.3</v>
      </c>
      <c r="EA744" s="1495"/>
      <c r="ED744" s="614"/>
      <c r="EE744" s="614"/>
      <c r="EF744" s="614"/>
      <c r="EG744" s="614"/>
      <c r="EH744" s="614"/>
      <c r="EI744" s="614"/>
      <c r="EJ744" s="614"/>
      <c r="EK744" s="614"/>
      <c r="EL744" s="614"/>
      <c r="EM744" s="614"/>
      <c r="EN744" s="614"/>
      <c r="EP744" s="1857">
        <v>2002</v>
      </c>
      <c r="EQ744" s="1859">
        <f t="shared" si="295"/>
        <v>1939.3</v>
      </c>
      <c r="ER744" s="1382">
        <f t="shared" si="304"/>
        <v>0.90501585690071118</v>
      </c>
      <c r="ES744" s="1495">
        <f t="shared" si="298"/>
        <v>272.51565978237147</v>
      </c>
    </row>
    <row r="745" spans="101:149" ht="17.399999999999999">
      <c r="CW745" s="667">
        <v>2432.1999999999998</v>
      </c>
      <c r="CX745" s="614"/>
      <c r="CY745" s="1857">
        <v>2003</v>
      </c>
      <c r="CZ745" s="1859">
        <f t="shared" si="299"/>
        <v>2.4321999999999999</v>
      </c>
      <c r="DA745" s="1382">
        <v>1.03081306100991</v>
      </c>
      <c r="DB745" s="1382">
        <f t="shared" si="296"/>
        <v>7.8358136030234382</v>
      </c>
      <c r="DC745" s="1382">
        <f t="shared" si="300"/>
        <v>0</v>
      </c>
      <c r="DD745" s="1034">
        <f t="shared" si="297"/>
        <v>0</v>
      </c>
      <c r="DE745" s="1034">
        <f t="shared" si="301"/>
        <v>7.8358136030234382</v>
      </c>
      <c r="DF745" s="1058"/>
      <c r="DG745" s="614"/>
      <c r="DH745" s="614"/>
      <c r="DI745" s="614"/>
      <c r="DJ745" s="614"/>
      <c r="DK745" s="614"/>
      <c r="DL745" s="614"/>
      <c r="DM745" s="614"/>
      <c r="DN745" s="614"/>
      <c r="DO745" s="614"/>
      <c r="DP745" s="614"/>
      <c r="DQ745" s="614"/>
      <c r="DR745" s="614"/>
      <c r="DS745" s="614"/>
      <c r="DT745" s="1975">
        <f t="shared" si="302"/>
        <v>7.8358136030234382</v>
      </c>
      <c r="DV745" s="1857">
        <v>2003</v>
      </c>
      <c r="DW745" s="1875">
        <v>2432.1999999999998</v>
      </c>
      <c r="DX745" s="1786">
        <v>1815.6579999999999</v>
      </c>
      <c r="DY745" s="1786">
        <f t="shared" si="305"/>
        <v>1815.6579999999999</v>
      </c>
      <c r="DZ745" s="1201">
        <f t="shared" si="303"/>
        <v>2432.1999999999998</v>
      </c>
      <c r="EA745" s="1495"/>
      <c r="ED745" s="614"/>
      <c r="EE745" s="614"/>
      <c r="EF745" s="614"/>
      <c r="EG745" s="614"/>
      <c r="EH745" s="614"/>
      <c r="EI745" s="614"/>
      <c r="EJ745" s="614"/>
      <c r="EK745" s="614"/>
      <c r="EL745" s="614"/>
      <c r="EM745" s="614"/>
      <c r="EN745" s="614"/>
      <c r="EP745" s="1857">
        <v>2003</v>
      </c>
      <c r="EQ745" s="1859">
        <f t="shared" si="295"/>
        <v>2432.1999999999998</v>
      </c>
      <c r="ER745" s="1382">
        <f t="shared" si="304"/>
        <v>1.03081306100991</v>
      </c>
      <c r="ES745" s="1495">
        <f t="shared" si="298"/>
        <v>310.39533649212109</v>
      </c>
    </row>
    <row r="746" spans="101:149" ht="17.399999999999999">
      <c r="CW746" s="667">
        <v>3130.5239999999999</v>
      </c>
      <c r="CX746" s="614"/>
      <c r="CY746" s="1857">
        <v>2004</v>
      </c>
      <c r="CZ746" s="1859">
        <f t="shared" si="299"/>
        <v>3.1305239999999999</v>
      </c>
      <c r="DA746" s="1382">
        <v>1.1606955066971585</v>
      </c>
      <c r="DB746" s="1382">
        <f t="shared" si="296"/>
        <v>8.9570182583608311</v>
      </c>
      <c r="DC746" s="1382">
        <f t="shared" si="300"/>
        <v>0</v>
      </c>
      <c r="DD746" s="1034">
        <f t="shared" si="297"/>
        <v>0</v>
      </c>
      <c r="DE746" s="1034">
        <f t="shared" si="301"/>
        <v>8.9570182583608311</v>
      </c>
      <c r="DF746" s="1058"/>
      <c r="DG746" s="614"/>
      <c r="DH746" s="614"/>
      <c r="DI746" s="614"/>
      <c r="DJ746" s="614"/>
      <c r="DK746" s="614"/>
      <c r="DL746" s="614"/>
      <c r="DM746" s="614"/>
      <c r="DN746" s="614"/>
      <c r="DO746" s="614"/>
      <c r="DP746" s="614"/>
      <c r="DQ746" s="614"/>
      <c r="DR746" s="614"/>
      <c r="DS746" s="614"/>
      <c r="DT746" s="1975">
        <f t="shared" si="302"/>
        <v>8.9570182583608311</v>
      </c>
      <c r="DV746" s="1857">
        <v>2004</v>
      </c>
      <c r="DW746" s="1875">
        <v>3130.5239999999999</v>
      </c>
      <c r="DX746" s="1786">
        <v>1972.1120000000001</v>
      </c>
      <c r="DY746" s="1786">
        <f t="shared" si="305"/>
        <v>1972.1120000000001</v>
      </c>
      <c r="DZ746" s="1201">
        <f t="shared" si="303"/>
        <v>3130.5239999999999</v>
      </c>
      <c r="EA746" s="1495"/>
      <c r="ED746" s="614"/>
      <c r="EE746" s="614"/>
      <c r="EF746" s="614"/>
      <c r="EG746" s="614"/>
      <c r="EH746" s="614"/>
      <c r="EI746" s="614"/>
      <c r="EJ746" s="614"/>
      <c r="EK746" s="614"/>
      <c r="EL746" s="614"/>
      <c r="EM746" s="614"/>
      <c r="EN746" s="614"/>
      <c r="EP746" s="1857">
        <v>2004</v>
      </c>
      <c r="EQ746" s="1859">
        <f t="shared" si="295"/>
        <v>3130.5239999999999</v>
      </c>
      <c r="ER746" s="1382">
        <f t="shared" si="304"/>
        <v>1.1606955066971585</v>
      </c>
      <c r="ES746" s="1495">
        <f t="shared" si="298"/>
        <v>349.50514889012828</v>
      </c>
    </row>
    <row r="747" spans="101:149" ht="17.399999999999999">
      <c r="CW747" s="667">
        <v>3836.8960000000002</v>
      </c>
      <c r="CX747" s="614"/>
      <c r="CY747" s="1857">
        <v>2005</v>
      </c>
      <c r="CZ747" s="1859">
        <f t="shared" si="299"/>
        <v>3.8368960000000003</v>
      </c>
      <c r="DA747" s="1382">
        <v>1.2833622609573379</v>
      </c>
      <c r="DB747" s="1382">
        <f t="shared" si="296"/>
        <v>9.9287708750258741</v>
      </c>
      <c r="DC747" s="1382">
        <f t="shared" si="300"/>
        <v>0</v>
      </c>
      <c r="DD747" s="1034">
        <f t="shared" si="297"/>
        <v>0</v>
      </c>
      <c r="DE747" s="1034">
        <f t="shared" si="301"/>
        <v>9.9287708750258741</v>
      </c>
      <c r="DF747" s="1058"/>
      <c r="DG747" s="614"/>
      <c r="DH747" s="614"/>
      <c r="DI747" s="614"/>
      <c r="DJ747" s="614"/>
      <c r="DK747" s="614"/>
      <c r="DL747" s="614"/>
      <c r="DM747" s="614"/>
      <c r="DN747" s="614"/>
      <c r="DO747" s="614"/>
      <c r="DP747" s="614"/>
      <c r="DQ747" s="614"/>
      <c r="DR747" s="614"/>
      <c r="DS747" s="614"/>
      <c r="DT747" s="1975">
        <f t="shared" si="302"/>
        <v>9.9287708750258741</v>
      </c>
      <c r="DV747" s="1857">
        <v>2005</v>
      </c>
      <c r="DW747" s="1875">
        <v>3836.8960000000002</v>
      </c>
      <c r="DX747" s="1786">
        <v>2943.6860000000001</v>
      </c>
      <c r="DY747" s="1786">
        <f t="shared" si="305"/>
        <v>2943.6860000000001</v>
      </c>
      <c r="DZ747" s="1201">
        <f t="shared" si="303"/>
        <v>3836.8960000000002</v>
      </c>
      <c r="EA747" s="1495"/>
      <c r="ED747" s="614"/>
      <c r="EE747" s="614"/>
      <c r="EF747" s="614"/>
      <c r="EG747" s="614"/>
      <c r="EH747" s="614"/>
      <c r="EI747" s="614"/>
      <c r="EJ747" s="614"/>
      <c r="EK747" s="614"/>
      <c r="EL747" s="614"/>
      <c r="EM747" s="614"/>
      <c r="EN747" s="614"/>
      <c r="EP747" s="1857">
        <v>2005</v>
      </c>
      <c r="EQ747" s="1859">
        <f t="shared" si="295"/>
        <v>3836.8960000000002</v>
      </c>
      <c r="ER747" s="1382">
        <f t="shared" si="304"/>
        <v>1.2833622609573379</v>
      </c>
      <c r="ES747" s="1495">
        <f t="shared" si="298"/>
        <v>386.44219393269071</v>
      </c>
    </row>
    <row r="748" spans="101:149" ht="17.399999999999999">
      <c r="CW748" s="667">
        <v>4980.5730000000003</v>
      </c>
      <c r="CX748" s="614"/>
      <c r="CY748" s="1857">
        <v>2006</v>
      </c>
      <c r="CZ748" s="1859">
        <f t="shared" si="299"/>
        <v>4.9805730000000006</v>
      </c>
      <c r="DA748" s="1382">
        <v>1.5143674679296586</v>
      </c>
      <c r="DB748" s="1382">
        <f t="shared" si="296"/>
        <v>10.922266363611312</v>
      </c>
      <c r="DC748" s="1382">
        <f t="shared" si="300"/>
        <v>0</v>
      </c>
      <c r="DD748" s="1034">
        <f t="shared" si="297"/>
        <v>0</v>
      </c>
      <c r="DE748" s="1034">
        <f t="shared" si="301"/>
        <v>10.922266363611312</v>
      </c>
      <c r="DF748" s="1058"/>
      <c r="DG748" s="614"/>
      <c r="DH748" s="614"/>
      <c r="DI748" s="614"/>
      <c r="DJ748" s="614"/>
      <c r="DK748" s="614"/>
      <c r="DL748" s="614"/>
      <c r="DM748" s="614"/>
      <c r="DN748" s="614"/>
      <c r="DO748" s="614"/>
      <c r="DP748" s="614"/>
      <c r="DQ748" s="614"/>
      <c r="DR748" s="614"/>
      <c r="DS748" s="614"/>
      <c r="DT748" s="1975">
        <f t="shared" si="302"/>
        <v>10.922266363611312</v>
      </c>
      <c r="DV748" s="1857">
        <v>2006</v>
      </c>
      <c r="DW748" s="1875">
        <v>4980.5730000000003</v>
      </c>
      <c r="DX748" s="1786">
        <v>3252.4360000000001</v>
      </c>
      <c r="DY748" s="1786">
        <f t="shared" si="305"/>
        <v>3252.4360000000001</v>
      </c>
      <c r="DZ748" s="1201">
        <f t="shared" si="303"/>
        <v>4980.5730000000003</v>
      </c>
      <c r="EA748" s="1495"/>
      <c r="ED748" s="614"/>
      <c r="EE748" s="614"/>
      <c r="EF748" s="614"/>
      <c r="EG748" s="614"/>
      <c r="EH748" s="614"/>
      <c r="EI748" s="614"/>
      <c r="EJ748" s="614"/>
      <c r="EK748" s="614"/>
      <c r="EL748" s="614"/>
      <c r="EM748" s="614"/>
      <c r="EN748" s="614"/>
      <c r="EP748" s="1857">
        <v>2006</v>
      </c>
      <c r="EQ748" s="1859">
        <f t="shared" si="295"/>
        <v>4980.5730000000003</v>
      </c>
      <c r="ER748" s="1382">
        <f t="shared" si="304"/>
        <v>1.5143674679296586</v>
      </c>
      <c r="ES748" s="1495">
        <f t="shared" si="298"/>
        <v>456.00178884057505</v>
      </c>
    </row>
    <row r="749" spans="101:149" ht="17.399999999999999">
      <c r="CW749" s="667">
        <v>6980.3590999999997</v>
      </c>
      <c r="CX749" s="614"/>
      <c r="CY749" s="1857">
        <v>2007</v>
      </c>
      <c r="CZ749" s="1859">
        <f t="shared" si="299"/>
        <v>6.9803590999999994</v>
      </c>
      <c r="DA749" s="1382">
        <v>1.8323846361948868</v>
      </c>
      <c r="DB749" s="1382">
        <f t="shared" si="296"/>
        <v>12.651028919973617</v>
      </c>
      <c r="DC749" s="1382">
        <f t="shared" si="300"/>
        <v>0</v>
      </c>
      <c r="DD749" s="1034">
        <f t="shared" si="297"/>
        <v>0</v>
      </c>
      <c r="DE749" s="1034">
        <f t="shared" si="301"/>
        <v>12.651028919973617</v>
      </c>
      <c r="DF749" s="1058"/>
      <c r="DG749" s="614"/>
      <c r="DH749" s="614"/>
      <c r="DI749" s="614"/>
      <c r="DJ749" s="614"/>
      <c r="DK749" s="614"/>
      <c r="DL749" s="614"/>
      <c r="DM749" s="614"/>
      <c r="DN749" s="614"/>
      <c r="DO749" s="614"/>
      <c r="DP749" s="614"/>
      <c r="DQ749" s="614"/>
      <c r="DR749" s="614"/>
      <c r="DS749" s="614"/>
      <c r="DT749" s="1975">
        <f t="shared" si="302"/>
        <v>12.651028919973617</v>
      </c>
      <c r="DV749" s="1857">
        <v>2007</v>
      </c>
      <c r="DW749" s="1875">
        <v>6980.3590999999997</v>
      </c>
      <c r="DX749" s="1786">
        <v>4296.4110000000001</v>
      </c>
      <c r="DY749" s="1786">
        <f t="shared" si="305"/>
        <v>4296.4110000000001</v>
      </c>
      <c r="DZ749" s="1201">
        <f t="shared" si="303"/>
        <v>6980.3590999999997</v>
      </c>
      <c r="EA749" s="1495"/>
      <c r="ED749" s="614"/>
      <c r="EE749" s="614"/>
      <c r="EF749" s="614"/>
      <c r="EG749" s="614"/>
      <c r="EH749" s="614"/>
      <c r="EI749" s="614"/>
      <c r="EJ749" s="614"/>
      <c r="EK749" s="614"/>
      <c r="EL749" s="614"/>
      <c r="EM749" s="614"/>
      <c r="EN749" s="614"/>
      <c r="EP749" s="1857">
        <v>2007</v>
      </c>
      <c r="EQ749" s="1859">
        <f t="shared" si="295"/>
        <v>6980.3590999999997</v>
      </c>
      <c r="ER749" s="1382">
        <f t="shared" si="304"/>
        <v>1.8323846361948868</v>
      </c>
      <c r="ES749" s="1495">
        <f t="shared" si="298"/>
        <v>551.7621644970958</v>
      </c>
    </row>
    <row r="750" spans="101:149" ht="17.399999999999999">
      <c r="CW750" s="667">
        <v>9200.7688999999991</v>
      </c>
      <c r="CX750" s="614"/>
      <c r="CY750" s="1857">
        <v>2008</v>
      </c>
      <c r="CZ750" s="1859">
        <f t="shared" si="299"/>
        <v>9.2007688999999999</v>
      </c>
      <c r="DA750" s="1382">
        <v>2.0266174076315449</v>
      </c>
      <c r="DB750" s="1382">
        <f t="shared" si="296"/>
        <v>15.077074431164505</v>
      </c>
      <c r="DC750" s="1382">
        <f t="shared" si="300"/>
        <v>0</v>
      </c>
      <c r="DD750" s="1034">
        <f t="shared" si="297"/>
        <v>0</v>
      </c>
      <c r="DE750" s="1034">
        <f t="shared" si="301"/>
        <v>15.077074431164505</v>
      </c>
      <c r="DF750" s="1058"/>
      <c r="DG750" s="614"/>
      <c r="DH750" s="614"/>
      <c r="DI750" s="614"/>
      <c r="DJ750" s="614"/>
      <c r="DK750" s="614"/>
      <c r="DL750" s="614"/>
      <c r="DM750" s="614"/>
      <c r="DN750" s="614"/>
      <c r="DO750" s="614"/>
      <c r="DP750" s="614"/>
      <c r="DQ750" s="614"/>
      <c r="DR750" s="614"/>
      <c r="DS750" s="614"/>
      <c r="DT750" s="1975">
        <f t="shared" si="302"/>
        <v>15.077074431164505</v>
      </c>
      <c r="DV750" s="1857">
        <v>2008</v>
      </c>
      <c r="DW750" s="1875">
        <v>9200.7688999999991</v>
      </c>
      <c r="DX750" s="1786">
        <v>5744.8469999999998</v>
      </c>
      <c r="DY750" s="1786">
        <f t="shared" si="305"/>
        <v>5744.8469999999998</v>
      </c>
      <c r="DZ750" s="1201">
        <f t="shared" si="303"/>
        <v>9200.7688999999991</v>
      </c>
      <c r="EA750" s="1495"/>
      <c r="ED750" s="614"/>
      <c r="EE750" s="614"/>
      <c r="EF750" s="614"/>
      <c r="EG750" s="614"/>
      <c r="EH750" s="614"/>
      <c r="EI750" s="614"/>
      <c r="EJ750" s="614"/>
      <c r="EK750" s="614"/>
      <c r="EL750" s="614"/>
      <c r="EM750" s="614"/>
      <c r="EN750" s="614"/>
      <c r="EP750" s="1857">
        <v>2008</v>
      </c>
      <c r="EQ750" s="1859">
        <f t="shared" si="295"/>
        <v>9200.7688999999991</v>
      </c>
      <c r="ER750" s="1382">
        <f t="shared" si="304"/>
        <v>2.0266174076315449</v>
      </c>
      <c r="ES750" s="1495">
        <f t="shared" si="298"/>
        <v>610.2489539337879</v>
      </c>
    </row>
    <row r="751" spans="101:149" ht="17.399999999999999">
      <c r="CW751" s="667">
        <v>8535.6710000000003</v>
      </c>
      <c r="CX751" s="614"/>
      <c r="CY751" s="1857">
        <v>2009</v>
      </c>
      <c r="CZ751" s="1859">
        <f t="shared" si="299"/>
        <v>8.5356710000000007</v>
      </c>
      <c r="DA751" s="1382">
        <v>1.7347845009326024</v>
      </c>
      <c r="DB751" s="1382">
        <f t="shared" si="296"/>
        <v>16.340180850371365</v>
      </c>
      <c r="DC751" s="1382">
        <f t="shared" si="300"/>
        <v>0</v>
      </c>
      <c r="DD751" s="1034">
        <f t="shared" si="297"/>
        <v>0</v>
      </c>
      <c r="DE751" s="1034">
        <f t="shared" si="301"/>
        <v>16.340180850371365</v>
      </c>
      <c r="DF751" s="1058"/>
      <c r="DG751" s="614"/>
      <c r="DH751" s="614"/>
      <c r="DI751" s="614"/>
      <c r="DJ751" s="614"/>
      <c r="DK751" s="614"/>
      <c r="DL751" s="614"/>
      <c r="DM751" s="614"/>
      <c r="DN751" s="614"/>
      <c r="DO751" s="614"/>
      <c r="DP751" s="614"/>
      <c r="DQ751" s="614"/>
      <c r="DR751" s="614"/>
      <c r="DS751" s="614"/>
      <c r="DT751" s="1975">
        <f t="shared" si="302"/>
        <v>16.340180850371365</v>
      </c>
      <c r="DV751" s="1857">
        <v>2009</v>
      </c>
      <c r="DW751" s="1875">
        <v>8535.6710000000003</v>
      </c>
      <c r="DX751" s="1786">
        <v>6356.223</v>
      </c>
      <c r="DY751" s="1786">
        <f t="shared" si="305"/>
        <v>6356.223</v>
      </c>
      <c r="DZ751" s="1201"/>
      <c r="EA751" s="1495"/>
      <c r="ED751" s="614"/>
      <c r="EE751" s="614"/>
      <c r="EF751" s="614"/>
      <c r="EG751" s="614"/>
      <c r="EH751" s="614"/>
      <c r="EI751" s="614"/>
      <c r="EJ751" s="614"/>
      <c r="EK751" s="614"/>
      <c r="EL751" s="614"/>
      <c r="EM751" s="614"/>
      <c r="EN751" s="614"/>
      <c r="EP751" s="1857">
        <v>2009</v>
      </c>
      <c r="EQ751" s="1859">
        <f t="shared" si="295"/>
        <v>8535.6710000000003</v>
      </c>
      <c r="ER751" s="1382">
        <f t="shared" si="304"/>
        <v>1.7347845009326024</v>
      </c>
      <c r="ES751" s="1495">
        <f t="shared" si="298"/>
        <v>522.37310456732246</v>
      </c>
    </row>
    <row r="752" spans="101:149" ht="17.399999999999999">
      <c r="CW752" s="667">
        <v>10014.340099999999</v>
      </c>
      <c r="CX752" s="614"/>
      <c r="CY752" s="1857">
        <v>2010</v>
      </c>
      <c r="CZ752" s="1859">
        <f t="shared" si="299"/>
        <v>10.0143401</v>
      </c>
      <c r="DA752" s="1382">
        <v>1.8371367864876262</v>
      </c>
      <c r="DB752" s="1382">
        <f t="shared" si="296"/>
        <v>18.102792277984832</v>
      </c>
      <c r="DC752" s="1382">
        <f t="shared" si="300"/>
        <v>0</v>
      </c>
      <c r="DD752" s="1034">
        <f t="shared" si="297"/>
        <v>0</v>
      </c>
      <c r="DE752" s="830"/>
      <c r="DF752" s="1035">
        <f>DB752</f>
        <v>18.102792277984832</v>
      </c>
      <c r="DG752" s="614"/>
      <c r="DH752" s="614"/>
      <c r="DI752" s="614"/>
      <c r="DJ752" s="614"/>
      <c r="DK752" s="614"/>
      <c r="DL752" s="614"/>
      <c r="DM752" s="614"/>
      <c r="DN752" s="614"/>
      <c r="DO752" s="614"/>
      <c r="DP752" s="614"/>
      <c r="DQ752" s="614"/>
      <c r="DR752" s="614"/>
      <c r="DS752" s="614"/>
      <c r="DT752" s="1975">
        <f t="shared" si="302"/>
        <v>18.102792277984832</v>
      </c>
      <c r="DV752" s="1857">
        <v>2010</v>
      </c>
      <c r="DW752" s="1875">
        <v>10014.340099999999</v>
      </c>
      <c r="DX752" s="1786">
        <v>6275.9309999999996</v>
      </c>
      <c r="DY752" s="1786">
        <f t="shared" si="305"/>
        <v>6275.9309999999996</v>
      </c>
      <c r="DZ752" s="1201">
        <f t="shared" si="303"/>
        <v>10014.340099999999</v>
      </c>
      <c r="EA752" s="1495"/>
      <c r="ED752" s="614"/>
      <c r="EE752" s="614"/>
      <c r="EF752" s="614"/>
      <c r="EG752" s="614"/>
      <c r="EH752" s="614"/>
      <c r="EI752" s="614"/>
      <c r="EJ752" s="614"/>
      <c r="EK752" s="614"/>
      <c r="EL752" s="614"/>
      <c r="EM752" s="614"/>
      <c r="EN752" s="614"/>
      <c r="EP752" s="1857">
        <v>2010</v>
      </c>
      <c r="EQ752" s="1859">
        <f t="shared" si="295"/>
        <v>10014.340099999999</v>
      </c>
      <c r="ER752" s="1382">
        <f t="shared" si="304"/>
        <v>1.8371367864876262</v>
      </c>
      <c r="ES752" s="1495">
        <f t="shared" si="298"/>
        <v>553.19311773679453</v>
      </c>
    </row>
    <row r="753" spans="101:149" ht="17.399999999999999">
      <c r="CW753" s="667">
        <v>12952.976500000001</v>
      </c>
      <c r="CX753" s="614"/>
      <c r="CY753" s="1857">
        <v>2011</v>
      </c>
      <c r="CZ753" s="1859">
        <f t="shared" si="299"/>
        <v>12.9529765</v>
      </c>
      <c r="DA753" s="1382">
        <v>2.0043162340580003</v>
      </c>
      <c r="DB753" s="1382">
        <f t="shared" si="296"/>
        <v>21.461894643962896</v>
      </c>
      <c r="DC753" s="1382">
        <f t="shared" si="300"/>
        <v>0</v>
      </c>
      <c r="DD753" s="1034">
        <f t="shared" si="297"/>
        <v>0</v>
      </c>
      <c r="DE753" s="830"/>
      <c r="DF753" s="1035">
        <f t="shared" ref="DF753:DF758" si="306">DB753</f>
        <v>21.461894643962896</v>
      </c>
      <c r="DG753" s="614"/>
      <c r="DH753" s="614"/>
      <c r="DI753" s="614"/>
      <c r="DJ753" s="614"/>
      <c r="DK753" s="614"/>
      <c r="DL753" s="614"/>
      <c r="DM753" s="614"/>
      <c r="DN753" s="614"/>
      <c r="DO753" s="614"/>
      <c r="DP753" s="614"/>
      <c r="DQ753" s="614"/>
      <c r="DR753" s="614"/>
      <c r="DS753" s="614"/>
      <c r="DT753" s="1975">
        <f t="shared" si="302"/>
        <v>21.461894643962896</v>
      </c>
      <c r="DV753" s="1857">
        <v>2011</v>
      </c>
      <c r="DW753" s="1875">
        <v>12952.976500000001</v>
      </c>
      <c r="DX753" s="1786">
        <v>8813.3140000000003</v>
      </c>
      <c r="DY753" s="1786">
        <f t="shared" si="305"/>
        <v>8813.3140000000003</v>
      </c>
      <c r="DZ753" s="1201">
        <f t="shared" si="303"/>
        <v>12952.976500000001</v>
      </c>
      <c r="EA753" s="1495"/>
      <c r="ED753" s="614"/>
      <c r="EE753" s="614"/>
      <c r="EF753" s="614"/>
      <c r="EG753" s="614"/>
      <c r="EH753" s="614"/>
      <c r="EI753" s="614"/>
      <c r="EJ753" s="614"/>
      <c r="EK753" s="614"/>
      <c r="EL753" s="614"/>
      <c r="EM753" s="614"/>
      <c r="EN753" s="614"/>
      <c r="EP753" s="1857">
        <v>2011</v>
      </c>
      <c r="EQ753" s="1859">
        <f t="shared" si="295"/>
        <v>12952.976500000001</v>
      </c>
      <c r="ER753" s="1382">
        <f t="shared" si="304"/>
        <v>2.0043162340580003</v>
      </c>
      <c r="ES753" s="1495">
        <f t="shared" si="298"/>
        <v>603.53369145084287</v>
      </c>
    </row>
    <row r="754" spans="101:149" ht="17.399999999999999">
      <c r="CW754" s="667">
        <v>14689.246999999999</v>
      </c>
      <c r="CX754" s="614"/>
      <c r="CY754" s="1857">
        <v>2012</v>
      </c>
      <c r="CZ754" s="1859">
        <f t="shared" si="299"/>
        <v>14.689247</v>
      </c>
      <c r="DA754" s="1382">
        <v>2.1045320457609002</v>
      </c>
      <c r="DB754" s="1382">
        <f t="shared" si="296"/>
        <v>23.179748282136284</v>
      </c>
      <c r="DC754" s="1382">
        <f t="shared" si="300"/>
        <v>0</v>
      </c>
      <c r="DD754" s="1034">
        <f t="shared" si="297"/>
        <v>0</v>
      </c>
      <c r="DE754" s="830"/>
      <c r="DF754" s="1035">
        <f t="shared" si="306"/>
        <v>23.179748282136284</v>
      </c>
      <c r="DG754" s="614"/>
      <c r="DH754" s="614"/>
      <c r="DI754" s="614"/>
      <c r="DJ754" s="614"/>
      <c r="DK754" s="614"/>
      <c r="DL754" s="614"/>
      <c r="DM754" s="614"/>
      <c r="DN754" s="614"/>
      <c r="DO754" s="614"/>
      <c r="DP754" s="614"/>
      <c r="DQ754" s="614"/>
      <c r="DR754" s="614"/>
      <c r="DS754" s="614"/>
      <c r="DT754" s="1975">
        <f t="shared" si="302"/>
        <v>23.179748282136284</v>
      </c>
      <c r="DV754" s="1857">
        <v>2012</v>
      </c>
      <c r="DW754" s="1875">
        <v>14689.246999999999</v>
      </c>
      <c r="DX754" s="1786">
        <v>10338.4</v>
      </c>
      <c r="DY754" s="1786">
        <f t="shared" si="305"/>
        <v>10338.4</v>
      </c>
      <c r="DZ754" s="1201">
        <f>DW754</f>
        <v>14689.246999999999</v>
      </c>
      <c r="EA754" s="1495"/>
      <c r="ED754" s="614"/>
      <c r="EE754" s="614"/>
      <c r="EF754" s="614"/>
      <c r="EG754" s="614"/>
      <c r="EH754" s="614"/>
      <c r="EI754" s="614"/>
      <c r="EJ754" s="614"/>
      <c r="EK754" s="614"/>
      <c r="EL754" s="614"/>
      <c r="EM754" s="614"/>
      <c r="EN754" s="614"/>
      <c r="EP754" s="1857">
        <v>2012</v>
      </c>
      <c r="EQ754" s="1859">
        <f t="shared" si="295"/>
        <v>14689.246999999999</v>
      </c>
      <c r="ER754" s="1382">
        <f t="shared" si="304"/>
        <v>2.1045320457609002</v>
      </c>
      <c r="ES754" s="1495">
        <f t="shared" si="298"/>
        <v>633.71037602338504</v>
      </c>
    </row>
    <row r="755" spans="101:149" ht="17.399999999999999">
      <c r="CW755" s="667">
        <v>15925.6152</v>
      </c>
      <c r="CX755" s="614"/>
      <c r="CY755" s="1857">
        <v>2013</v>
      </c>
      <c r="CZ755" s="1859">
        <f t="shared" si="299"/>
        <v>15.925615199999999</v>
      </c>
      <c r="DA755" s="1382">
        <v>2.1318909623557918</v>
      </c>
      <c r="DB755" s="1382">
        <f t="shared" si="296"/>
        <v>24.80823998884054</v>
      </c>
      <c r="DC755" s="1382">
        <f t="shared" si="300"/>
        <v>0</v>
      </c>
      <c r="DD755" s="1034">
        <f t="shared" si="297"/>
        <v>0</v>
      </c>
      <c r="DE755" s="830"/>
      <c r="DF755" s="1035">
        <f t="shared" si="306"/>
        <v>24.80823998884054</v>
      </c>
      <c r="DG755" s="614"/>
      <c r="DH755" s="614"/>
      <c r="DI755" s="614"/>
      <c r="DJ755" s="614"/>
      <c r="DK755" s="614"/>
      <c r="DL755" s="614"/>
      <c r="DM755" s="614"/>
      <c r="DN755" s="614"/>
      <c r="DO755" s="614"/>
      <c r="DP755" s="614"/>
      <c r="DQ755" s="614"/>
      <c r="DR755" s="614"/>
      <c r="DS755" s="614"/>
      <c r="DT755" s="1975">
        <f t="shared" si="302"/>
        <v>24.80823998884054</v>
      </c>
      <c r="DV755" s="1857">
        <v>2013</v>
      </c>
      <c r="DW755" s="1875">
        <v>15925.6152</v>
      </c>
      <c r="DX755" s="1786">
        <v>11160.485000000001</v>
      </c>
      <c r="DY755" s="1786">
        <f t="shared" si="305"/>
        <v>11160.485000000001</v>
      </c>
      <c r="DZ755" s="1201"/>
      <c r="EA755" s="1495">
        <f>DW755</f>
        <v>15925.6152</v>
      </c>
      <c r="ED755" s="614"/>
      <c r="EE755" s="614"/>
      <c r="EF755" s="614"/>
      <c r="EG755" s="614"/>
      <c r="EH755" s="614"/>
      <c r="EI755" s="614"/>
      <c r="EJ755" s="614"/>
      <c r="EK755" s="614"/>
      <c r="EL755" s="614"/>
      <c r="EM755" s="614"/>
      <c r="EN755" s="614"/>
      <c r="EP755" s="1857">
        <v>2013</v>
      </c>
      <c r="EQ755" s="1859">
        <f t="shared" si="295"/>
        <v>15925.6152</v>
      </c>
      <c r="ER755" s="1382">
        <f t="shared" si="304"/>
        <v>2.1318909623557918</v>
      </c>
      <c r="ES755" s="1495">
        <f t="shared" si="298"/>
        <v>641.948610911689</v>
      </c>
    </row>
    <row r="756" spans="101:149" ht="17.399999999999999">
      <c r="CW756" s="667">
        <v>17115.12</v>
      </c>
      <c r="CX756" s="614"/>
      <c r="CY756" s="1857">
        <v>2014</v>
      </c>
      <c r="CZ756" s="1859">
        <f t="shared" si="299"/>
        <v>17.115119999999997</v>
      </c>
      <c r="DA756" s="1382">
        <v>2.0935169250333874</v>
      </c>
      <c r="DB756" s="1382">
        <f t="shared" si="296"/>
        <v>27.14989768280266</v>
      </c>
      <c r="DC756" s="1382">
        <f t="shared" si="300"/>
        <v>0</v>
      </c>
      <c r="DD756" s="1034">
        <f t="shared" si="297"/>
        <v>0</v>
      </c>
      <c r="DE756" s="830"/>
      <c r="DF756" s="1035">
        <f t="shared" si="306"/>
        <v>27.14989768280266</v>
      </c>
      <c r="DG756" s="614"/>
      <c r="DH756" s="614"/>
      <c r="DI756" s="614"/>
      <c r="DJ756" s="614"/>
      <c r="DK756" s="614"/>
      <c r="DL756" s="614"/>
      <c r="DM756" s="614"/>
      <c r="DN756" s="614"/>
      <c r="DO756" s="614"/>
      <c r="DP756" s="614"/>
      <c r="DQ756" s="614"/>
      <c r="DR756" s="614"/>
      <c r="DS756" s="614"/>
      <c r="DT756" s="1975">
        <f t="shared" si="302"/>
        <v>27.14989768280266</v>
      </c>
      <c r="DV756" s="1857">
        <v>2014</v>
      </c>
      <c r="DW756" s="1875">
        <v>17115.12</v>
      </c>
      <c r="DX756" s="1786">
        <v>10888</v>
      </c>
      <c r="DY756" s="1786">
        <f t="shared" si="305"/>
        <v>10888</v>
      </c>
      <c r="DZ756" s="1201"/>
      <c r="EA756" s="1495">
        <f>DW756</f>
        <v>17115.12</v>
      </c>
      <c r="ED756" s="614"/>
      <c r="EE756" s="614"/>
      <c r="EF756" s="614"/>
      <c r="EG756" s="614"/>
      <c r="EH756" s="614"/>
      <c r="EI756" s="614"/>
      <c r="EJ756" s="614"/>
      <c r="EK756" s="614"/>
      <c r="EL756" s="614"/>
      <c r="EM756" s="614"/>
      <c r="EN756" s="614"/>
      <c r="EP756" s="1857">
        <v>2014</v>
      </c>
      <c r="EQ756" s="1859">
        <f t="shared" si="295"/>
        <v>17115.12</v>
      </c>
      <c r="ER756" s="1382">
        <f t="shared" si="304"/>
        <v>2.0935169250333874</v>
      </c>
      <c r="ES756" s="1495">
        <f t="shared" si="298"/>
        <v>630.39353591527856</v>
      </c>
    </row>
    <row r="757" spans="101:149" ht="17.399999999999999">
      <c r="CW757" s="667">
        <v>17325.84</v>
      </c>
      <c r="CX757" s="614"/>
      <c r="CY757" s="1857">
        <v>2015</v>
      </c>
      <c r="CZ757" s="1859">
        <f t="shared" si="299"/>
        <v>17.325839999999999</v>
      </c>
      <c r="DA757" s="1382">
        <v>1.869510614054815</v>
      </c>
      <c r="DB757" s="1382">
        <f t="shared" si="296"/>
        <v>30.777340503641387</v>
      </c>
      <c r="DC757" s="1382">
        <f t="shared" si="300"/>
        <v>25.408791247612854</v>
      </c>
      <c r="DD757" s="1034">
        <f t="shared" si="297"/>
        <v>25.408791247612854</v>
      </c>
      <c r="DE757" s="830"/>
      <c r="DF757" s="1035">
        <f t="shared" si="306"/>
        <v>30.777340503641387</v>
      </c>
      <c r="DG757" s="614"/>
      <c r="DH757" s="614"/>
      <c r="DI757" s="614"/>
      <c r="DJ757" s="614"/>
      <c r="DK757" s="614"/>
      <c r="DL757" s="614"/>
      <c r="DM757" s="614"/>
      <c r="DN757" s="614"/>
      <c r="DO757" s="614"/>
      <c r="DP757" s="614"/>
      <c r="DQ757" s="614"/>
      <c r="DR757" s="614"/>
      <c r="DS757" s="614"/>
      <c r="DT757" s="1975">
        <f t="shared" si="302"/>
        <v>30.777340503641387</v>
      </c>
      <c r="DV757" s="1857">
        <v>2015</v>
      </c>
      <c r="DW757" s="1875">
        <v>17325.84</v>
      </c>
      <c r="DX757" s="1786">
        <v>10721</v>
      </c>
      <c r="DY757" s="1786">
        <f t="shared" si="305"/>
        <v>10721</v>
      </c>
      <c r="DZ757" s="1201"/>
      <c r="EA757" s="1495">
        <f>DW757</f>
        <v>17325.84</v>
      </c>
      <c r="ED757" s="614"/>
      <c r="EE757" s="614"/>
      <c r="EF757" s="614"/>
      <c r="EG757" s="614"/>
      <c r="EH757" s="614"/>
      <c r="EI757" s="614"/>
      <c r="EJ757" s="614"/>
      <c r="EK757" s="614"/>
      <c r="EL757" s="614"/>
      <c r="EM757" s="614"/>
      <c r="EN757" s="614"/>
      <c r="EP757" s="1857">
        <v>2015</v>
      </c>
      <c r="EQ757" s="1859">
        <f t="shared" si="295"/>
        <v>17325.84</v>
      </c>
      <c r="ER757" s="1382">
        <f t="shared" si="304"/>
        <v>1.869510614054815</v>
      </c>
      <c r="ES757" s="1495">
        <f t="shared" si="298"/>
        <v>562.94142757234374</v>
      </c>
    </row>
    <row r="758" spans="101:149" ht="17.399999999999999">
      <c r="CW758" s="667">
        <v>18910.54</v>
      </c>
      <c r="CX758" s="614"/>
      <c r="CY758" s="1857">
        <v>2016</v>
      </c>
      <c r="CZ758" s="1859">
        <f t="shared" si="299"/>
        <v>18.910540000000001</v>
      </c>
      <c r="DA758" s="1382">
        <v>1.8882057201953633</v>
      </c>
      <c r="DB758" s="1382">
        <f t="shared" si="296"/>
        <v>33.259778040206378</v>
      </c>
      <c r="DC758" s="1382">
        <f t="shared" si="300"/>
        <v>27.019844336572895</v>
      </c>
      <c r="DD758" s="1034">
        <f t="shared" si="297"/>
        <v>27.019844336572895</v>
      </c>
      <c r="DE758" s="830"/>
      <c r="DF758" s="1035">
        <f t="shared" si="306"/>
        <v>33.259778040206378</v>
      </c>
      <c r="DG758" s="614"/>
      <c r="DH758" s="614"/>
      <c r="DI758" s="614"/>
      <c r="DJ758" s="614"/>
      <c r="DK758" s="614"/>
      <c r="DL758" s="614"/>
      <c r="DM758" s="614"/>
      <c r="DN758" s="614"/>
      <c r="DO758" s="614"/>
      <c r="DP758" s="614"/>
      <c r="DQ758" s="614"/>
      <c r="DR758" s="614"/>
      <c r="DS758" s="614"/>
      <c r="DT758" s="1975">
        <f t="shared" si="302"/>
        <v>33.259778040206378</v>
      </c>
      <c r="DV758" s="1857">
        <v>2016</v>
      </c>
      <c r="DW758" s="1875">
        <v>18910.54</v>
      </c>
      <c r="DX758" s="1786">
        <v>13256</v>
      </c>
      <c r="DY758" s="1786">
        <f t="shared" si="305"/>
        <v>13256</v>
      </c>
      <c r="DZ758" s="1201"/>
      <c r="EA758" s="1495">
        <f>DW758</f>
        <v>18910.54</v>
      </c>
      <c r="ED758" s="614"/>
      <c r="EE758" s="614"/>
      <c r="EF758" s="614"/>
      <c r="EG758" s="614"/>
      <c r="EH758" s="614"/>
      <c r="EI758" s="614"/>
      <c r="EJ758" s="614"/>
      <c r="EK758" s="614"/>
      <c r="EL758" s="614"/>
      <c r="EM758" s="614"/>
      <c r="EN758" s="614"/>
      <c r="EP758" s="1857">
        <v>2016</v>
      </c>
      <c r="EQ758" s="1859">
        <f t="shared" si="295"/>
        <v>18910.54</v>
      </c>
      <c r="ER758" s="1382">
        <f t="shared" si="304"/>
        <v>1.8882057201953633</v>
      </c>
      <c r="ES758" s="1495">
        <f t="shared" si="298"/>
        <v>568.57084184806729</v>
      </c>
    </row>
    <row r="759" spans="101:149" ht="17.399999999999999">
      <c r="CW759" s="614"/>
      <c r="CX759" s="614"/>
      <c r="CY759" s="1857">
        <v>2017</v>
      </c>
      <c r="CZ759" s="1860"/>
      <c r="DA759" s="1871"/>
      <c r="DB759" s="1034"/>
      <c r="DC759" s="1382">
        <f t="shared" si="300"/>
        <v>28.017232863734257</v>
      </c>
      <c r="DD759" s="1034">
        <f t="shared" si="297"/>
        <v>28.017232863734257</v>
      </c>
      <c r="DE759" s="830"/>
      <c r="DF759" s="1058">
        <f>1.5083*DC759-7.9857</f>
        <v>34.272692328370375</v>
      </c>
      <c r="DG759" s="614"/>
      <c r="DH759" s="614"/>
      <c r="DI759" s="614"/>
      <c r="DJ759" s="614"/>
      <c r="DK759" s="614"/>
      <c r="DL759" s="614"/>
      <c r="DM759" s="614"/>
      <c r="DN759" s="614"/>
      <c r="DO759" s="614"/>
      <c r="DP759" s="614"/>
      <c r="DQ759" s="614"/>
      <c r="DR759" s="614"/>
      <c r="DS759" s="614"/>
      <c r="DT759" s="1975">
        <f>DF759</f>
        <v>34.272692328370375</v>
      </c>
      <c r="DV759" s="1857">
        <v>2017</v>
      </c>
      <c r="DW759" s="1860"/>
      <c r="DX759" s="1787"/>
      <c r="DY759" s="1787"/>
      <c r="DZ759" s="838"/>
      <c r="EA759" s="1058"/>
      <c r="ED759" s="614"/>
      <c r="EE759" s="614"/>
      <c r="EF759" s="614"/>
      <c r="EG759" s="614"/>
      <c r="EH759" s="614"/>
      <c r="EI759" s="614"/>
      <c r="EJ759" s="614"/>
      <c r="EK759" s="614"/>
      <c r="EL759" s="614"/>
      <c r="EM759" s="614"/>
      <c r="EN759" s="614"/>
      <c r="EP759" s="1857">
        <v>2017</v>
      </c>
      <c r="EQ759" s="1860"/>
      <c r="ER759" s="1871"/>
      <c r="ES759" s="1036"/>
    </row>
    <row r="760" spans="101:149" ht="17.399999999999999">
      <c r="CW760" s="614"/>
      <c r="CX760" s="614"/>
      <c r="CY760" s="1857">
        <v>2018</v>
      </c>
      <c r="CZ760" s="1860"/>
      <c r="DA760" s="1871"/>
      <c r="DB760" s="1034"/>
      <c r="DC760" s="1382">
        <f t="shared" si="300"/>
        <v>29.489664817255768</v>
      </c>
      <c r="DD760" s="1034">
        <f t="shared" si="297"/>
        <v>29.489664817255768</v>
      </c>
      <c r="DE760" s="830"/>
      <c r="DF760" s="1058">
        <f t="shared" ref="DF760:DF772" si="307">1.5083*DC760-7.9857</f>
        <v>36.493561443866874</v>
      </c>
      <c r="DG760" s="614"/>
      <c r="DH760" s="614"/>
      <c r="DI760" s="614"/>
      <c r="DJ760" s="614"/>
      <c r="DK760" s="614"/>
      <c r="DL760" s="614"/>
      <c r="DM760" s="614"/>
      <c r="DN760" s="614"/>
      <c r="DO760" s="614"/>
      <c r="DP760" s="614"/>
      <c r="DQ760" s="614"/>
      <c r="DR760" s="614"/>
      <c r="DS760" s="614"/>
      <c r="DT760" s="1975">
        <f t="shared" ref="DT760:DT772" si="308">DF760</f>
        <v>36.493561443866874</v>
      </c>
      <c r="DV760" s="1857">
        <v>2018</v>
      </c>
      <c r="DW760" s="1860"/>
      <c r="DX760" s="1787"/>
      <c r="DY760" s="1787"/>
      <c r="DZ760" s="838"/>
      <c r="EA760" s="1058"/>
      <c r="ED760" s="614"/>
      <c r="EE760" s="614"/>
      <c r="EF760" s="614"/>
      <c r="EG760" s="614"/>
      <c r="EH760" s="614"/>
      <c r="EI760" s="614"/>
      <c r="EJ760" s="614"/>
      <c r="EK760" s="614"/>
      <c r="EL760" s="614"/>
      <c r="EM760" s="614"/>
      <c r="EN760" s="614"/>
      <c r="EP760" s="1857">
        <v>2018</v>
      </c>
      <c r="EQ760" s="1860"/>
      <c r="ER760" s="1871"/>
      <c r="ES760" s="1036"/>
    </row>
    <row r="761" spans="101:149" ht="17.399999999999999">
      <c r="CW761" s="614"/>
      <c r="CX761" s="614"/>
      <c r="CY761" s="1857">
        <v>2019</v>
      </c>
      <c r="CZ761" s="1861"/>
      <c r="DA761" s="838"/>
      <c r="DB761" s="838"/>
      <c r="DC761" s="1382">
        <f t="shared" si="300"/>
        <v>0</v>
      </c>
      <c r="DD761" s="1034">
        <f t="shared" si="297"/>
        <v>0</v>
      </c>
      <c r="DE761" s="830"/>
      <c r="DF761" s="1058">
        <f t="shared" si="307"/>
        <v>-7.9856999999999996</v>
      </c>
      <c r="DG761" s="614"/>
      <c r="DH761" s="614"/>
      <c r="DI761" s="614"/>
      <c r="DJ761" s="614"/>
      <c r="DK761" s="614"/>
      <c r="DL761" s="614"/>
      <c r="DM761" s="614"/>
      <c r="DN761" s="614"/>
      <c r="DO761" s="614"/>
      <c r="DP761" s="614"/>
      <c r="DQ761" s="614"/>
      <c r="DR761" s="614"/>
      <c r="DS761" s="614"/>
      <c r="DT761" s="1975">
        <f t="shared" si="308"/>
        <v>-7.9856999999999996</v>
      </c>
      <c r="DV761" s="1857">
        <v>2019</v>
      </c>
      <c r="DW761" s="1861"/>
      <c r="DX761" s="1595"/>
      <c r="DY761" s="1595"/>
      <c r="DZ761" s="838"/>
      <c r="EA761" s="1058"/>
      <c r="ED761" s="614"/>
      <c r="EE761" s="614"/>
      <c r="EF761" s="614"/>
      <c r="EG761" s="614"/>
      <c r="EH761" s="614"/>
      <c r="EI761" s="614"/>
      <c r="EJ761" s="614"/>
      <c r="EK761" s="614"/>
      <c r="EL761" s="614"/>
      <c r="EM761" s="614"/>
      <c r="EN761" s="614"/>
      <c r="EP761" s="1857">
        <v>2019</v>
      </c>
      <c r="EQ761" s="1861"/>
      <c r="ER761" s="838"/>
      <c r="ES761" s="1058"/>
    </row>
    <row r="762" spans="101:149" ht="17.399999999999999">
      <c r="CW762" s="614"/>
      <c r="CX762" s="614"/>
      <c r="CY762" s="1857">
        <v>2020</v>
      </c>
      <c r="CZ762" s="1861"/>
      <c r="DA762" s="838"/>
      <c r="DB762" s="838"/>
      <c r="DC762" s="1382">
        <f t="shared" si="300"/>
        <v>0</v>
      </c>
      <c r="DD762" s="1034">
        <f t="shared" si="297"/>
        <v>0</v>
      </c>
      <c r="DE762" s="830"/>
      <c r="DF762" s="1058">
        <f t="shared" si="307"/>
        <v>-7.9856999999999996</v>
      </c>
      <c r="DG762" s="614"/>
      <c r="DH762" s="614"/>
      <c r="DI762" s="614"/>
      <c r="DJ762" s="614"/>
      <c r="DK762" s="614"/>
      <c r="DL762" s="614"/>
      <c r="DM762" s="614"/>
      <c r="DN762" s="614"/>
      <c r="DO762" s="614"/>
      <c r="DP762" s="614"/>
      <c r="DQ762" s="614"/>
      <c r="DR762" s="614"/>
      <c r="DS762" s="614"/>
      <c r="DT762" s="1975">
        <f t="shared" si="308"/>
        <v>-7.9856999999999996</v>
      </c>
      <c r="DV762" s="1857">
        <v>2020</v>
      </c>
      <c r="DW762" s="1861"/>
      <c r="DX762" s="1595"/>
      <c r="DY762" s="1595"/>
      <c r="DZ762" s="838"/>
      <c r="EA762" s="1058"/>
      <c r="ED762" s="614"/>
      <c r="EE762" s="614"/>
      <c r="EF762" s="614"/>
      <c r="EG762" s="614"/>
      <c r="EH762" s="614"/>
      <c r="EI762" s="614"/>
      <c r="EJ762" s="614"/>
      <c r="EK762" s="614"/>
      <c r="EL762" s="614"/>
      <c r="EM762" s="614"/>
      <c r="EN762" s="614"/>
      <c r="EP762" s="1857">
        <v>2020</v>
      </c>
      <c r="EQ762" s="1861"/>
      <c r="ER762" s="838"/>
      <c r="ES762" s="1058"/>
    </row>
    <row r="763" spans="101:149" ht="17.399999999999999">
      <c r="CW763" s="614"/>
      <c r="CX763" s="614"/>
      <c r="CY763" s="1857">
        <v>2021</v>
      </c>
      <c r="CZ763" s="1861"/>
      <c r="DA763" s="838"/>
      <c r="DB763" s="838"/>
      <c r="DC763" s="1382">
        <f t="shared" si="300"/>
        <v>0</v>
      </c>
      <c r="DD763" s="1034">
        <f t="shared" si="297"/>
        <v>0</v>
      </c>
      <c r="DE763" s="830"/>
      <c r="DF763" s="1058">
        <f t="shared" si="307"/>
        <v>-7.9856999999999996</v>
      </c>
      <c r="DG763" s="614"/>
      <c r="DH763" s="614"/>
      <c r="DI763" s="614"/>
      <c r="DJ763" s="614"/>
      <c r="DK763" s="614"/>
      <c r="DL763" s="614"/>
      <c r="DM763" s="614"/>
      <c r="DN763" s="614"/>
      <c r="DO763" s="614"/>
      <c r="DP763" s="614"/>
      <c r="DQ763" s="614"/>
      <c r="DR763" s="614"/>
      <c r="DS763" s="614"/>
      <c r="DT763" s="1975">
        <f t="shared" si="308"/>
        <v>-7.9856999999999996</v>
      </c>
      <c r="DV763" s="1857">
        <v>2021</v>
      </c>
      <c r="DW763" s="1861"/>
      <c r="DX763" s="1595"/>
      <c r="DY763" s="1595"/>
      <c r="DZ763" s="838"/>
      <c r="EA763" s="1058"/>
      <c r="ED763" s="614"/>
      <c r="EE763" s="614"/>
      <c r="EF763" s="614"/>
      <c r="EG763" s="614"/>
      <c r="EH763" s="614"/>
      <c r="EI763" s="614"/>
      <c r="EJ763" s="614"/>
      <c r="EK763" s="614"/>
      <c r="EL763" s="614"/>
      <c r="EM763" s="614"/>
      <c r="EN763" s="614"/>
      <c r="EP763" s="1857">
        <v>2021</v>
      </c>
      <c r="EQ763" s="1861"/>
      <c r="ER763" s="838"/>
      <c r="ES763" s="1058"/>
    </row>
    <row r="764" spans="101:149" ht="17.399999999999999">
      <c r="CW764" s="614"/>
      <c r="CX764" s="614"/>
      <c r="CY764" s="1857">
        <v>2022</v>
      </c>
      <c r="CZ764" s="1861"/>
      <c r="DA764" s="838"/>
      <c r="DB764" s="838"/>
      <c r="DC764" s="1382">
        <f t="shared" si="300"/>
        <v>0</v>
      </c>
      <c r="DD764" s="1034">
        <f t="shared" si="297"/>
        <v>0</v>
      </c>
      <c r="DE764" s="830"/>
      <c r="DF764" s="1058">
        <f t="shared" si="307"/>
        <v>-7.9856999999999996</v>
      </c>
      <c r="DG764" s="614"/>
      <c r="DH764" s="614"/>
      <c r="DI764" s="614"/>
      <c r="DJ764" s="614"/>
      <c r="DK764" s="614"/>
      <c r="DL764" s="614"/>
      <c r="DM764" s="614"/>
      <c r="DN764" s="614"/>
      <c r="DO764" s="614"/>
      <c r="DP764" s="614"/>
      <c r="DQ764" s="614"/>
      <c r="DR764" s="614"/>
      <c r="DS764" s="614"/>
      <c r="DT764" s="1975">
        <f t="shared" si="308"/>
        <v>-7.9856999999999996</v>
      </c>
      <c r="DV764" s="1857">
        <v>2022</v>
      </c>
      <c r="DW764" s="1861"/>
      <c r="DX764" s="1595"/>
      <c r="DY764" s="1595"/>
      <c r="DZ764" s="838"/>
      <c r="EA764" s="1058"/>
      <c r="ED764" s="614"/>
      <c r="EE764" s="614"/>
      <c r="EF764" s="614"/>
      <c r="EG764" s="614"/>
      <c r="EH764" s="614"/>
      <c r="EI764" s="614"/>
      <c r="EJ764" s="614"/>
      <c r="EK764" s="614"/>
      <c r="EL764" s="614"/>
      <c r="EM764" s="614"/>
      <c r="EN764" s="614"/>
      <c r="EP764" s="1857">
        <v>2022</v>
      </c>
      <c r="EQ764" s="1861"/>
      <c r="ER764" s="838"/>
      <c r="ES764" s="1058"/>
    </row>
    <row r="765" spans="101:149" ht="17.399999999999999">
      <c r="CW765" s="614"/>
      <c r="CX765" s="614"/>
      <c r="CY765" s="1857">
        <v>2023</v>
      </c>
      <c r="CZ765" s="1861"/>
      <c r="DA765" s="838"/>
      <c r="DB765" s="838"/>
      <c r="DC765" s="1382">
        <f t="shared" si="300"/>
        <v>0</v>
      </c>
      <c r="DD765" s="1034">
        <f t="shared" si="297"/>
        <v>0</v>
      </c>
      <c r="DE765" s="830"/>
      <c r="DF765" s="1058">
        <f t="shared" si="307"/>
        <v>-7.9856999999999996</v>
      </c>
      <c r="DG765" s="614"/>
      <c r="DH765" s="614"/>
      <c r="DI765" s="614"/>
      <c r="DJ765" s="614"/>
      <c r="DK765" s="614"/>
      <c r="DL765" s="614"/>
      <c r="DM765" s="614"/>
      <c r="DN765" s="614"/>
      <c r="DO765" s="614"/>
      <c r="DP765" s="614"/>
      <c r="DQ765" s="614"/>
      <c r="DR765" s="614"/>
      <c r="DS765" s="614"/>
      <c r="DT765" s="1975">
        <f t="shared" si="308"/>
        <v>-7.9856999999999996</v>
      </c>
      <c r="DV765" s="1857">
        <v>2023</v>
      </c>
      <c r="DW765" s="1861"/>
      <c r="DX765" s="1595"/>
      <c r="DY765" s="1595"/>
      <c r="DZ765" s="838"/>
      <c r="EA765" s="1058"/>
      <c r="ED765" s="614"/>
      <c r="EE765" s="614"/>
      <c r="EF765" s="614"/>
      <c r="EG765" s="614"/>
      <c r="EH765" s="614"/>
      <c r="EI765" s="614"/>
      <c r="EJ765" s="614"/>
      <c r="EK765" s="614"/>
      <c r="EL765" s="614"/>
      <c r="EM765" s="614"/>
      <c r="EN765" s="614"/>
      <c r="EP765" s="1857">
        <v>2023</v>
      </c>
      <c r="EQ765" s="1861"/>
      <c r="ER765" s="838"/>
      <c r="ES765" s="1058"/>
    </row>
    <row r="766" spans="101:149" ht="17.399999999999999">
      <c r="CW766" s="614"/>
      <c r="CX766" s="614"/>
      <c r="CY766" s="1857">
        <v>2024</v>
      </c>
      <c r="CZ766" s="1861"/>
      <c r="DA766" s="838"/>
      <c r="DB766" s="838"/>
      <c r="DC766" s="1382">
        <f t="shared" si="300"/>
        <v>0</v>
      </c>
      <c r="DD766" s="1034">
        <f t="shared" si="297"/>
        <v>0</v>
      </c>
      <c r="DE766" s="830"/>
      <c r="DF766" s="1035">
        <f t="shared" si="307"/>
        <v>-7.9856999999999996</v>
      </c>
      <c r="DG766" s="614"/>
      <c r="DH766" s="614"/>
      <c r="DI766" s="614"/>
      <c r="DJ766" s="614"/>
      <c r="DK766" s="614"/>
      <c r="DL766" s="614"/>
      <c r="DM766" s="614"/>
      <c r="DN766" s="614"/>
      <c r="DO766" s="614"/>
      <c r="DP766" s="614"/>
      <c r="DQ766" s="614"/>
      <c r="DR766" s="614"/>
      <c r="DS766" s="614"/>
      <c r="DT766" s="1975">
        <f t="shared" si="308"/>
        <v>-7.9856999999999996</v>
      </c>
      <c r="DV766" s="1857">
        <v>2024</v>
      </c>
      <c r="DW766" s="1861"/>
      <c r="DX766" s="1595"/>
      <c r="DY766" s="1595"/>
      <c r="DZ766" s="838"/>
      <c r="EA766" s="1058"/>
      <c r="ED766" s="614"/>
      <c r="EE766" s="614"/>
      <c r="EF766" s="614"/>
      <c r="EG766" s="614"/>
      <c r="EH766" s="614"/>
      <c r="EI766" s="614"/>
      <c r="EJ766" s="614"/>
      <c r="EK766" s="614"/>
      <c r="EL766" s="614"/>
      <c r="EM766" s="614"/>
      <c r="EN766" s="614"/>
      <c r="EP766" s="1857">
        <v>2024</v>
      </c>
      <c r="EQ766" s="1861"/>
      <c r="ER766" s="838"/>
      <c r="ES766" s="1058"/>
    </row>
    <row r="767" spans="101:149" ht="17.399999999999999">
      <c r="CW767" s="614"/>
      <c r="CX767" s="614"/>
      <c r="CY767" s="1857">
        <v>2025</v>
      </c>
      <c r="CZ767" s="1861"/>
      <c r="DA767" s="838"/>
      <c r="DB767" s="838"/>
      <c r="DC767" s="1382">
        <f t="shared" si="300"/>
        <v>0</v>
      </c>
      <c r="DD767" s="1034">
        <f t="shared" si="297"/>
        <v>0</v>
      </c>
      <c r="DE767" s="830"/>
      <c r="DF767" s="1058">
        <f t="shared" si="307"/>
        <v>-7.9856999999999996</v>
      </c>
      <c r="DG767" s="614"/>
      <c r="DH767" s="614"/>
      <c r="DI767" s="614"/>
      <c r="DJ767" s="614"/>
      <c r="DK767" s="614"/>
      <c r="DL767" s="614"/>
      <c r="DM767" s="614"/>
      <c r="DN767" s="614"/>
      <c r="DO767" s="614"/>
      <c r="DP767" s="614"/>
      <c r="DQ767" s="614"/>
      <c r="DR767" s="614"/>
      <c r="DS767" s="614"/>
      <c r="DT767" s="1975">
        <f t="shared" si="308"/>
        <v>-7.9856999999999996</v>
      </c>
      <c r="DV767" s="1857">
        <v>2025</v>
      </c>
      <c r="DW767" s="1861"/>
      <c r="DX767" s="1595"/>
      <c r="DY767" s="1595"/>
      <c r="DZ767" s="838"/>
      <c r="EA767" s="1058"/>
      <c r="ED767" s="614"/>
      <c r="EE767" s="614"/>
      <c r="EF767" s="614"/>
      <c r="EG767" s="614"/>
      <c r="EH767" s="614"/>
      <c r="EI767" s="614"/>
      <c r="EJ767" s="614"/>
      <c r="EK767" s="614"/>
      <c r="EL767" s="614"/>
      <c r="EM767" s="614"/>
      <c r="EN767" s="614"/>
      <c r="EP767" s="1857">
        <v>2025</v>
      </c>
      <c r="EQ767" s="1861"/>
      <c r="ER767" s="838"/>
      <c r="ES767" s="1058"/>
    </row>
    <row r="768" spans="101:149" ht="17.399999999999999">
      <c r="CW768" s="614"/>
      <c r="CX768" s="614"/>
      <c r="CY768" s="1857">
        <v>2026</v>
      </c>
      <c r="CZ768" s="1861"/>
      <c r="DA768" s="838"/>
      <c r="DB768" s="838"/>
      <c r="DC768" s="1382">
        <f t="shared" si="300"/>
        <v>0</v>
      </c>
      <c r="DD768" s="1034">
        <f t="shared" si="297"/>
        <v>0</v>
      </c>
      <c r="DE768" s="830"/>
      <c r="DF768" s="1058">
        <f t="shared" si="307"/>
        <v>-7.9856999999999996</v>
      </c>
      <c r="DG768" s="614"/>
      <c r="DH768" s="614"/>
      <c r="DI768" s="614"/>
      <c r="DJ768" s="614"/>
      <c r="DK768" s="614"/>
      <c r="DL768" s="614"/>
      <c r="DM768" s="614"/>
      <c r="DN768" s="614"/>
      <c r="DO768" s="614"/>
      <c r="DP768" s="614"/>
      <c r="DQ768" s="614"/>
      <c r="DR768" s="614"/>
      <c r="DS768" s="614"/>
      <c r="DT768" s="1975">
        <f t="shared" si="308"/>
        <v>-7.9856999999999996</v>
      </c>
      <c r="DV768" s="1857">
        <v>2026</v>
      </c>
      <c r="DW768" s="1861"/>
      <c r="DX768" s="1595"/>
      <c r="DY768" s="1595"/>
      <c r="DZ768" s="838"/>
      <c r="EA768" s="1058"/>
      <c r="ED768" s="614"/>
      <c r="EE768" s="614"/>
      <c r="EF768" s="614"/>
      <c r="EG768" s="614"/>
      <c r="EH768" s="614"/>
      <c r="EI768" s="614"/>
      <c r="EJ768" s="614"/>
      <c r="EK768" s="614"/>
      <c r="EL768" s="614"/>
      <c r="EM768" s="614"/>
      <c r="EN768" s="614"/>
      <c r="EP768" s="1857">
        <v>2026</v>
      </c>
      <c r="EQ768" s="1861"/>
      <c r="ER768" s="838"/>
      <c r="ES768" s="1058"/>
    </row>
    <row r="769" spans="100:150" ht="17.399999999999999">
      <c r="CW769" s="614"/>
      <c r="CX769" s="614"/>
      <c r="CY769" s="1857">
        <v>2027</v>
      </c>
      <c r="CZ769" s="1861"/>
      <c r="DA769" s="838"/>
      <c r="DB769" s="838"/>
      <c r="DC769" s="1382">
        <f t="shared" si="300"/>
        <v>0</v>
      </c>
      <c r="DD769" s="1034">
        <f t="shared" si="297"/>
        <v>0</v>
      </c>
      <c r="DE769" s="830"/>
      <c r="DF769" s="1058">
        <f t="shared" si="307"/>
        <v>-7.9856999999999996</v>
      </c>
      <c r="DG769" s="614"/>
      <c r="DH769" s="614"/>
      <c r="DI769" s="614"/>
      <c r="DJ769" s="614"/>
      <c r="DK769" s="614"/>
      <c r="DL769" s="614"/>
      <c r="DM769" s="614"/>
      <c r="DN769" s="614"/>
      <c r="DO769" s="614"/>
      <c r="DP769" s="614"/>
      <c r="DQ769" s="614"/>
      <c r="DR769" s="614"/>
      <c r="DS769" s="614"/>
      <c r="DT769" s="1975">
        <f t="shared" si="308"/>
        <v>-7.9856999999999996</v>
      </c>
      <c r="DV769" s="1857">
        <v>2027</v>
      </c>
      <c r="DW769" s="1861"/>
      <c r="DX769" s="1595"/>
      <c r="DY769" s="1595"/>
      <c r="DZ769" s="838"/>
      <c r="EA769" s="1058"/>
      <c r="ED769" s="614"/>
      <c r="EE769" s="614"/>
      <c r="EF769" s="614"/>
      <c r="EG769" s="614"/>
      <c r="EH769" s="614"/>
      <c r="EI769" s="614"/>
      <c r="EJ769" s="614"/>
      <c r="EK769" s="614"/>
      <c r="EL769" s="614"/>
      <c r="EM769" s="614"/>
      <c r="EN769" s="614"/>
      <c r="EP769" s="1857">
        <v>2027</v>
      </c>
      <c r="EQ769" s="1861"/>
      <c r="ER769" s="838"/>
      <c r="ES769" s="1058"/>
    </row>
    <row r="770" spans="100:150" ht="17.399999999999999">
      <c r="CW770" s="614"/>
      <c r="CX770" s="614"/>
      <c r="CY770" s="1857">
        <v>2028</v>
      </c>
      <c r="CZ770" s="1861"/>
      <c r="DA770" s="838"/>
      <c r="DB770" s="838"/>
      <c r="DC770" s="1382">
        <f t="shared" si="300"/>
        <v>0</v>
      </c>
      <c r="DD770" s="1034">
        <f t="shared" si="297"/>
        <v>0</v>
      </c>
      <c r="DE770" s="830"/>
      <c r="DF770" s="1058">
        <f t="shared" si="307"/>
        <v>-7.9856999999999996</v>
      </c>
      <c r="DG770" s="614"/>
      <c r="DH770" s="614"/>
      <c r="DI770" s="614"/>
      <c r="DJ770" s="614"/>
      <c r="DK770" s="614"/>
      <c r="DL770" s="614"/>
      <c r="DM770" s="614"/>
      <c r="DN770" s="614"/>
      <c r="DO770" s="614"/>
      <c r="DP770" s="614"/>
      <c r="DQ770" s="614"/>
      <c r="DR770" s="614"/>
      <c r="DS770" s="614"/>
      <c r="DT770" s="1975">
        <f t="shared" si="308"/>
        <v>-7.9856999999999996</v>
      </c>
      <c r="DV770" s="1857">
        <v>2028</v>
      </c>
      <c r="DW770" s="1861"/>
      <c r="DX770" s="1595"/>
      <c r="DY770" s="1595"/>
      <c r="DZ770" s="838"/>
      <c r="EA770" s="1058"/>
      <c r="ED770" s="614"/>
      <c r="EE770" s="614"/>
      <c r="EF770" s="614"/>
      <c r="EG770" s="614"/>
      <c r="EH770" s="614"/>
      <c r="EI770" s="614"/>
      <c r="EJ770" s="614"/>
      <c r="EK770" s="614"/>
      <c r="EL770" s="614"/>
      <c r="EM770" s="614"/>
      <c r="EN770" s="614"/>
      <c r="EP770" s="1857">
        <v>2028</v>
      </c>
      <c r="EQ770" s="1861"/>
      <c r="ER770" s="838"/>
      <c r="ES770" s="1058"/>
    </row>
    <row r="771" spans="100:150" ht="17.399999999999999">
      <c r="CW771" s="614"/>
      <c r="CX771" s="614"/>
      <c r="CY771" s="1857">
        <v>2029</v>
      </c>
      <c r="CZ771" s="1861"/>
      <c r="DA771" s="838"/>
      <c r="DB771" s="838"/>
      <c r="DC771" s="1382">
        <f t="shared" si="300"/>
        <v>0</v>
      </c>
      <c r="DD771" s="1034">
        <f t="shared" si="297"/>
        <v>0</v>
      </c>
      <c r="DE771" s="830"/>
      <c r="DF771" s="1058">
        <f t="shared" si="307"/>
        <v>-7.9856999999999996</v>
      </c>
      <c r="DG771" s="614"/>
      <c r="DH771" s="614"/>
      <c r="DI771" s="614"/>
      <c r="DJ771" s="614"/>
      <c r="DK771" s="614"/>
      <c r="DL771" s="614"/>
      <c r="DM771" s="614"/>
      <c r="DN771" s="614"/>
      <c r="DO771" s="614"/>
      <c r="DP771" s="614"/>
      <c r="DQ771" s="614"/>
      <c r="DR771" s="614"/>
      <c r="DS771" s="614"/>
      <c r="DT771" s="1975">
        <f t="shared" si="308"/>
        <v>-7.9856999999999996</v>
      </c>
      <c r="DV771" s="1857">
        <v>2029</v>
      </c>
      <c r="DW771" s="1861"/>
      <c r="DX771" s="1595"/>
      <c r="DY771" s="1595"/>
      <c r="DZ771" s="838"/>
      <c r="EA771" s="1058"/>
      <c r="ED771" s="614"/>
      <c r="EE771" s="614"/>
      <c r="EF771" s="614"/>
      <c r="EG771" s="614"/>
      <c r="EH771" s="614"/>
      <c r="EI771" s="614"/>
      <c r="EJ771" s="614"/>
      <c r="EK771" s="614"/>
      <c r="EL771" s="614"/>
      <c r="EM771" s="614"/>
      <c r="EN771" s="614"/>
      <c r="EP771" s="1857">
        <v>2029</v>
      </c>
      <c r="EQ771" s="1861"/>
      <c r="ER771" s="838"/>
      <c r="ES771" s="1058"/>
    </row>
    <row r="772" spans="100:150" ht="17.399999999999999">
      <c r="CW772" s="614"/>
      <c r="CX772" s="614"/>
      <c r="CY772" s="1862">
        <v>2030</v>
      </c>
      <c r="CZ772" s="1863"/>
      <c r="DA772" s="843"/>
      <c r="DB772" s="843"/>
      <c r="DC772" s="1984">
        <f t="shared" si="300"/>
        <v>0</v>
      </c>
      <c r="DD772" s="1034">
        <f t="shared" si="297"/>
        <v>0</v>
      </c>
      <c r="DE772" s="1646"/>
      <c r="DF772" s="1303">
        <f t="shared" si="307"/>
        <v>-7.9856999999999996</v>
      </c>
      <c r="DG772" s="614"/>
      <c r="DH772" s="614"/>
      <c r="DI772" s="614"/>
      <c r="DJ772" s="614"/>
      <c r="DK772" s="614"/>
      <c r="DL772" s="614"/>
      <c r="DM772" s="614"/>
      <c r="DN772" s="614"/>
      <c r="DO772" s="614"/>
      <c r="DP772" s="614"/>
      <c r="DQ772" s="614"/>
      <c r="DR772" s="614"/>
      <c r="DS772" s="614"/>
      <c r="DT772" s="1976">
        <f t="shared" si="308"/>
        <v>-7.9856999999999996</v>
      </c>
      <c r="DV772" s="1862">
        <v>2030</v>
      </c>
      <c r="DW772" s="1863"/>
      <c r="DX772" s="843"/>
      <c r="DY772" s="843"/>
      <c r="DZ772" s="843"/>
      <c r="EA772" s="1303"/>
      <c r="ED772" s="614"/>
      <c r="EE772" s="614"/>
      <c r="EF772" s="614"/>
      <c r="EG772" s="614"/>
      <c r="EH772" s="614"/>
      <c r="EI772" s="614"/>
      <c r="EJ772" s="614"/>
      <c r="EK772" s="614"/>
      <c r="EL772" s="614"/>
      <c r="EM772" s="614"/>
      <c r="EN772" s="614"/>
      <c r="EP772" s="1862">
        <v>2030</v>
      </c>
      <c r="EQ772" s="1863"/>
      <c r="ER772" s="843"/>
      <c r="ES772" s="1303"/>
    </row>
    <row r="775" spans="100:150" ht="18" thickBot="1">
      <c r="CY775" s="614"/>
      <c r="CZ775" s="614"/>
      <c r="DA775" s="614"/>
      <c r="DB775" s="614"/>
      <c r="DC775" s="614"/>
      <c r="DD775" s="614"/>
      <c r="DE775" s="614"/>
      <c r="DF775" s="614"/>
      <c r="DH775" s="614"/>
      <c r="DI775" s="614"/>
      <c r="DJ775" s="614"/>
      <c r="DK775" s="614"/>
      <c r="DL775" s="614"/>
      <c r="DN775" s="614"/>
      <c r="DO775" s="614"/>
      <c r="DP775" s="614"/>
      <c r="DQ775" s="614"/>
      <c r="DR775" s="614"/>
      <c r="DS775" s="614"/>
      <c r="DT775" s="614"/>
      <c r="DU775" s="614"/>
      <c r="DV775" s="614"/>
      <c r="DW775" s="614"/>
      <c r="EC775" s="1879">
        <f>0.1</f>
        <v>0.1</v>
      </c>
    </row>
    <row r="776" spans="100:150" ht="21.6" thickTop="1">
      <c r="CV776" s="614"/>
      <c r="CW776" s="614"/>
      <c r="CZ776" s="1870" t="s">
        <v>351</v>
      </c>
      <c r="DA776" s="1864" t="s">
        <v>1681</v>
      </c>
      <c r="DB776" s="1865" t="s">
        <v>1111</v>
      </c>
      <c r="DC776" s="1865" t="s">
        <v>1682</v>
      </c>
      <c r="DD776" s="1865" t="s">
        <v>1682</v>
      </c>
      <c r="DE776" s="1865" t="s">
        <v>1682</v>
      </c>
      <c r="DF776" s="1865" t="s">
        <v>80</v>
      </c>
      <c r="DG776" s="614"/>
      <c r="DH776" s="614"/>
      <c r="DI776" s="614"/>
      <c r="DJ776" s="614"/>
      <c r="DK776" s="614"/>
      <c r="DL776" s="614"/>
      <c r="DM776" s="614"/>
      <c r="DN776" s="614"/>
      <c r="DO776" s="614"/>
      <c r="DP776" s="614"/>
      <c r="DQ776" s="614"/>
      <c r="DR776" s="614"/>
      <c r="DS776" s="614"/>
      <c r="DT776" s="1591" t="s">
        <v>1682</v>
      </c>
      <c r="DV776" s="1852" t="s">
        <v>351</v>
      </c>
      <c r="DW776" s="1877" t="s">
        <v>447</v>
      </c>
      <c r="DX776" s="1877" t="s">
        <v>398</v>
      </c>
      <c r="DY776" s="1878" t="s">
        <v>1538</v>
      </c>
      <c r="DZ776" s="1866" t="s">
        <v>1690</v>
      </c>
      <c r="EA776" s="1877" t="s">
        <v>447</v>
      </c>
      <c r="EB776" s="1877" t="s">
        <v>447</v>
      </c>
      <c r="EE776" s="614"/>
      <c r="EF776" s="614"/>
      <c r="EG776" s="614"/>
      <c r="EH776" s="614"/>
      <c r="EI776" s="614"/>
      <c r="EJ776" s="614"/>
      <c r="EK776" s="614"/>
      <c r="EL776" s="614"/>
      <c r="EM776" s="614"/>
      <c r="EN776" s="614"/>
      <c r="EO776" s="614"/>
      <c r="ER776" s="1852" t="s">
        <v>351</v>
      </c>
      <c r="ES776" s="1881" t="s">
        <v>664</v>
      </c>
      <c r="ET776" s="1881" t="s">
        <v>1355</v>
      </c>
    </row>
    <row r="777" spans="100:150" ht="18" thickBot="1">
      <c r="CV777" s="614"/>
      <c r="CW777" s="614"/>
      <c r="CZ777" s="720">
        <v>43694</v>
      </c>
      <c r="DA777" s="1854" t="s">
        <v>1618</v>
      </c>
      <c r="DB777" s="1855" t="s">
        <v>1454</v>
      </c>
      <c r="DC777" s="1856" t="s">
        <v>1454</v>
      </c>
      <c r="DD777" s="1501" t="s">
        <v>190</v>
      </c>
      <c r="DE777" s="1501" t="s">
        <v>196</v>
      </c>
      <c r="DF777" s="1855" t="s">
        <v>1454</v>
      </c>
      <c r="DG777" s="614"/>
      <c r="DH777" s="614"/>
      <c r="DI777" s="614"/>
      <c r="DJ777" s="614"/>
      <c r="DK777" s="614"/>
      <c r="DL777" s="614"/>
      <c r="DM777" s="614"/>
      <c r="DN777" s="614"/>
      <c r="DO777" s="614"/>
      <c r="DP777" s="614"/>
      <c r="DQ777" s="614"/>
      <c r="DR777" s="614"/>
      <c r="DS777" s="614"/>
      <c r="DT777" s="1856" t="s">
        <v>1454</v>
      </c>
      <c r="DV777" s="720">
        <v>43666</v>
      </c>
      <c r="DW777" s="1629" t="s">
        <v>46</v>
      </c>
      <c r="DX777" s="1629" t="s">
        <v>46</v>
      </c>
      <c r="DY777" s="1605" t="s">
        <v>46</v>
      </c>
      <c r="DZ777" s="1629" t="s">
        <v>46</v>
      </c>
      <c r="EA777" s="1629" t="s">
        <v>1621</v>
      </c>
      <c r="EB777" s="1593" t="s">
        <v>1622</v>
      </c>
      <c r="EE777" s="614"/>
      <c r="EF777" s="614"/>
      <c r="EG777" s="614"/>
      <c r="EH777" s="614"/>
      <c r="EI777" s="614"/>
      <c r="EJ777" s="614"/>
      <c r="EK777" s="614"/>
      <c r="EL777" s="614"/>
      <c r="EM777" s="614"/>
      <c r="EN777" s="614"/>
      <c r="EO777" s="614"/>
      <c r="ER777" s="1561">
        <v>43666</v>
      </c>
      <c r="ES777" s="1880" t="s">
        <v>46</v>
      </c>
      <c r="ET777" s="1880" t="s">
        <v>1693</v>
      </c>
    </row>
    <row r="778" spans="100:150" ht="17.399999999999999">
      <c r="CW778" s="614">
        <f t="array" ref="CW778:CW799">TRANSPOSE(U82:AP82)</f>
        <v>5306</v>
      </c>
      <c r="CZ778" s="1857">
        <v>1995</v>
      </c>
      <c r="DA778" s="1858">
        <v>5.306</v>
      </c>
      <c r="DB778" s="1802">
        <f t="array" ref="DB778:DB799">TRANSPOSE(U165:AP165)</f>
        <v>1</v>
      </c>
      <c r="DC778" s="1803">
        <v>1</v>
      </c>
      <c r="DD778" s="1803"/>
      <c r="DE778" s="1803"/>
      <c r="DF778" s="1803">
        <v>0.96422400000000008</v>
      </c>
      <c r="DG778" s="614"/>
      <c r="DH778" s="614"/>
      <c r="DI778" s="614"/>
      <c r="DJ778" s="614"/>
      <c r="DK778" s="614"/>
      <c r="DL778" s="614"/>
      <c r="DM778" s="614"/>
      <c r="DN778" s="614"/>
      <c r="DO778" s="614"/>
      <c r="DP778" s="614"/>
      <c r="DQ778" s="614"/>
      <c r="DR778" s="614"/>
      <c r="DS778" s="614"/>
      <c r="DT778" s="1985">
        <v>1</v>
      </c>
      <c r="DV778" s="1857">
        <v>1995</v>
      </c>
      <c r="DW778" s="1874">
        <f t="array" ref="DW778:DW799">TRANSPOSE(U82:AP82)</f>
        <v>5306</v>
      </c>
      <c r="DX778" s="1200">
        <f t="array" ref="DX778:DX799">TRANSPOSE(U51:AP51)</f>
        <v>2767.6205</v>
      </c>
      <c r="DY778" s="1200">
        <f t="array" ref="DY778:DY799">TRANSPOSE(U79:AP79)</f>
        <v>266.97399999999999</v>
      </c>
      <c r="DZ778" s="1200">
        <f>EC775*DY778+(1-EC775)*DX778</f>
        <v>2517.5558500000002</v>
      </c>
      <c r="EA778" s="1200">
        <f>DW778</f>
        <v>5306</v>
      </c>
      <c r="EB778" s="1494"/>
      <c r="EE778" s="614"/>
      <c r="EF778" s="614"/>
      <c r="EG778" s="614"/>
      <c r="EH778" s="614"/>
      <c r="EI778" s="614"/>
      <c r="EJ778" s="614"/>
      <c r="EK778" s="614"/>
      <c r="EL778" s="614"/>
      <c r="EM778" s="614"/>
      <c r="EN778" s="614"/>
      <c r="EO778" s="614"/>
      <c r="ER778" s="1857">
        <v>1995</v>
      </c>
      <c r="ES778" s="1383">
        <f t="shared" ref="ES778:ES799" si="309">EA818</f>
        <v>5306</v>
      </c>
      <c r="ET778" s="1886">
        <f t="array" ref="ET778:ET799">TRANSPOSE(U165:AP165)</f>
        <v>1</v>
      </c>
    </row>
    <row r="779" spans="100:150" ht="17.399999999999999">
      <c r="CW779" s="614">
        <v>13072.378000000001</v>
      </c>
      <c r="CZ779" s="1857">
        <v>1996</v>
      </c>
      <c r="DA779" s="1859">
        <f t="shared" ref="DA779:DA799" si="310">CW779/1000</f>
        <v>13.072378</v>
      </c>
      <c r="DB779" s="1597">
        <v>0.99900000000000011</v>
      </c>
      <c r="DC779" s="1597">
        <f t="shared" ref="DC779:DC799" si="311">DA779/(DA$778*DB779)</f>
        <v>2.4661634872716665</v>
      </c>
      <c r="DD779" s="1787"/>
      <c r="DE779" s="1787"/>
      <c r="DF779" s="1787">
        <f>НАСТРОЙКА!DR137</f>
        <v>1.218</v>
      </c>
      <c r="DG779" s="614"/>
      <c r="DH779" s="614"/>
      <c r="DI779" s="614"/>
      <c r="DJ779" s="614"/>
      <c r="DK779" s="614"/>
      <c r="DL779" s="614"/>
      <c r="DM779" s="614"/>
      <c r="DN779" s="614"/>
      <c r="DO779" s="614"/>
      <c r="DP779" s="614"/>
      <c r="DQ779" s="614"/>
      <c r="DR779" s="614"/>
      <c r="DS779" s="614"/>
      <c r="DT779" s="1975">
        <f t="shared" ref="DT779:DT799" si="312">DC779</f>
        <v>2.4661634872716665</v>
      </c>
      <c r="DV779" s="1857">
        <v>1996</v>
      </c>
      <c r="DW779" s="1875">
        <v>13072.378000000001</v>
      </c>
      <c r="DX779" s="1786">
        <v>3799.1260000000002</v>
      </c>
      <c r="DY779" s="1786">
        <v>375.95800000000003</v>
      </c>
      <c r="DZ779" s="1786">
        <f t="shared" ref="DZ779:DZ799" si="313">EC$775*DY779+(1-EC$775)*DX779</f>
        <v>3456.8092000000001</v>
      </c>
      <c r="EA779" s="1201">
        <f>DW779</f>
        <v>13072.378000000001</v>
      </c>
      <c r="EB779" s="1495"/>
      <c r="EE779" s="614"/>
      <c r="EF779" s="614"/>
      <c r="EG779" s="614"/>
      <c r="EH779" s="614"/>
      <c r="EI779" s="614"/>
      <c r="EJ779" s="614"/>
      <c r="EK779" s="614"/>
      <c r="EL779" s="614"/>
      <c r="EM779" s="614"/>
      <c r="EN779" s="614"/>
      <c r="EO779" s="614"/>
      <c r="ER779" s="1857">
        <v>1996</v>
      </c>
      <c r="ES779" s="1885">
        <f t="shared" si="309"/>
        <v>5300.6940000000004</v>
      </c>
      <c r="ET779" s="1882">
        <v>0.99900000000000011</v>
      </c>
    </row>
    <row r="780" spans="100:150" ht="17.399999999999999">
      <c r="CW780" s="614">
        <v>13286.272000000001</v>
      </c>
      <c r="CZ780" s="1857">
        <v>1997</v>
      </c>
      <c r="DA780" s="1859">
        <f t="shared" si="310"/>
        <v>13.286272</v>
      </c>
      <c r="DB780" s="1597">
        <v>0.99500400000000011</v>
      </c>
      <c r="DC780" s="1597">
        <f t="shared" si="311"/>
        <v>2.5165818894824623</v>
      </c>
      <c r="DD780" s="1787"/>
      <c r="DE780" s="1787"/>
      <c r="DF780" s="1787">
        <f>НАСТРОЙКА!DR138</f>
        <v>1.3519800000000002</v>
      </c>
      <c r="DG780" s="614"/>
      <c r="DH780" s="614"/>
      <c r="DI780" s="614"/>
      <c r="DJ780" s="614"/>
      <c r="DK780" s="614"/>
      <c r="DL780" s="614"/>
      <c r="DM780" s="614"/>
      <c r="DN780" s="614"/>
      <c r="DO780" s="614"/>
      <c r="DP780" s="614"/>
      <c r="DQ780" s="614"/>
      <c r="DR780" s="614"/>
      <c r="DS780" s="614"/>
      <c r="DT780" s="1975">
        <f t="shared" si="312"/>
        <v>2.5165818894824623</v>
      </c>
      <c r="DV780" s="1857">
        <v>1997</v>
      </c>
      <c r="DW780" s="1875">
        <v>13286.272000000001</v>
      </c>
      <c r="DX780" s="1786">
        <v>4327.5309999999999</v>
      </c>
      <c r="DY780" s="1786">
        <v>408.79700000000003</v>
      </c>
      <c r="DZ780" s="1786">
        <f t="shared" si="313"/>
        <v>3935.6576</v>
      </c>
      <c r="EA780" s="1201">
        <f t="shared" ref="EA780:EA791" si="314">DW780</f>
        <v>13286.272000000001</v>
      </c>
      <c r="EB780" s="1495"/>
      <c r="EE780" s="614"/>
      <c r="EF780" s="614"/>
      <c r="EG780" s="614"/>
      <c r="EH780" s="614"/>
      <c r="EI780" s="614"/>
      <c r="EJ780" s="614"/>
      <c r="EK780" s="614"/>
      <c r="EL780" s="614"/>
      <c r="EM780" s="614"/>
      <c r="EN780" s="614"/>
      <c r="EO780" s="614"/>
      <c r="ER780" s="1857">
        <v>1997</v>
      </c>
      <c r="ES780" s="1885">
        <f t="shared" si="309"/>
        <v>5279.4912240000003</v>
      </c>
      <c r="ET780" s="1882">
        <v>0.99500400000000011</v>
      </c>
    </row>
    <row r="781" spans="100:150" ht="17.399999999999999">
      <c r="CW781" s="614">
        <v>14125.67</v>
      </c>
      <c r="CZ781" s="1857">
        <v>1998</v>
      </c>
      <c r="DA781" s="1859">
        <f t="shared" si="310"/>
        <v>14.12567</v>
      </c>
      <c r="DB781" s="1597">
        <v>0.9920189880000001</v>
      </c>
      <c r="DC781" s="1597">
        <f t="shared" si="311"/>
        <v>2.6836249787031963</v>
      </c>
      <c r="DD781" s="1787"/>
      <c r="DE781" s="1787"/>
      <c r="DF781" s="1787">
        <f>НАСТРОЙКА!DR139</f>
        <v>2.4930511200000005</v>
      </c>
      <c r="DG781" s="614"/>
      <c r="DH781" s="614"/>
      <c r="DI781" s="614"/>
      <c r="DJ781" s="614"/>
      <c r="DK781" s="614"/>
      <c r="DL781" s="614"/>
      <c r="DM781" s="614"/>
      <c r="DN781" s="614"/>
      <c r="DO781" s="614"/>
      <c r="DP781" s="614"/>
      <c r="DQ781" s="614"/>
      <c r="DR781" s="614"/>
      <c r="DS781" s="614"/>
      <c r="DT781" s="1975">
        <f t="shared" si="312"/>
        <v>2.6836249787031963</v>
      </c>
      <c r="DV781" s="1857">
        <v>1998</v>
      </c>
      <c r="DW781" s="1875">
        <v>14125.67</v>
      </c>
      <c r="DX781" s="1786">
        <v>4573.9769999999999</v>
      </c>
      <c r="DY781" s="1786">
        <v>407.08600000000001</v>
      </c>
      <c r="DZ781" s="1786">
        <f t="shared" si="313"/>
        <v>4157.2879000000003</v>
      </c>
      <c r="EA781" s="1201">
        <f t="shared" si="314"/>
        <v>14125.67</v>
      </c>
      <c r="EB781" s="1495"/>
      <c r="EE781" s="614"/>
      <c r="EF781" s="614"/>
      <c r="EG781" s="614"/>
      <c r="EH781" s="614"/>
      <c r="EI781" s="614"/>
      <c r="EJ781" s="614"/>
      <c r="EK781" s="614"/>
      <c r="EL781" s="614"/>
      <c r="EM781" s="614"/>
      <c r="EN781" s="614"/>
      <c r="EO781" s="614"/>
      <c r="ER781" s="1857">
        <v>1998</v>
      </c>
      <c r="ES781" s="1885">
        <f t="shared" si="309"/>
        <v>5263.6527503280004</v>
      </c>
      <c r="ET781" s="1882">
        <v>0.9920189880000001</v>
      </c>
    </row>
    <row r="782" spans="100:150" ht="17.399999999999999">
      <c r="CW782" s="614">
        <v>14246.427</v>
      </c>
      <c r="CZ782" s="1857">
        <v>1999</v>
      </c>
      <c r="DA782" s="1859">
        <f t="shared" si="310"/>
        <v>14.246426999999999</v>
      </c>
      <c r="DB782" s="1597">
        <v>0.9940030259760001</v>
      </c>
      <c r="DC782" s="1597">
        <f t="shared" si="311"/>
        <v>2.701164323022275</v>
      </c>
      <c r="DD782" s="1787"/>
      <c r="DE782" s="1787"/>
      <c r="DF782" s="1787">
        <f>НАСТРОЙКА!DR140</f>
        <v>3.4030147788000007</v>
      </c>
      <c r="DG782" s="614"/>
      <c r="DH782" s="614"/>
      <c r="DI782" s="614"/>
      <c r="DJ782" s="614"/>
      <c r="DK782" s="614"/>
      <c r="DL782" s="614"/>
      <c r="DM782" s="614"/>
      <c r="DN782" s="614"/>
      <c r="DO782" s="614"/>
      <c r="DP782" s="614"/>
      <c r="DQ782" s="614"/>
      <c r="DR782" s="614"/>
      <c r="DS782" s="614"/>
      <c r="DT782" s="1975">
        <f t="shared" si="312"/>
        <v>2.701164323022275</v>
      </c>
      <c r="DV782" s="1857">
        <v>1999</v>
      </c>
      <c r="DW782" s="1875">
        <v>14246.427</v>
      </c>
      <c r="DX782" s="1786">
        <v>8303.2019999999993</v>
      </c>
      <c r="DY782" s="1786">
        <v>670.43899999999996</v>
      </c>
      <c r="DZ782" s="1786">
        <f t="shared" si="313"/>
        <v>7539.9256999999989</v>
      </c>
      <c r="EA782" s="1201">
        <f t="shared" si="314"/>
        <v>14246.427</v>
      </c>
      <c r="EB782" s="1495"/>
      <c r="EE782" s="614"/>
      <c r="EF782" s="614"/>
      <c r="EG782" s="614"/>
      <c r="EH782" s="614"/>
      <c r="EI782" s="614"/>
      <c r="EJ782" s="614"/>
      <c r="EK782" s="614"/>
      <c r="EL782" s="614"/>
      <c r="EM782" s="614"/>
      <c r="EN782" s="614"/>
      <c r="EO782" s="614"/>
      <c r="ER782" s="1857">
        <v>1999</v>
      </c>
      <c r="ES782" s="1885">
        <f t="shared" si="309"/>
        <v>5274.1800558286568</v>
      </c>
      <c r="ET782" s="1882">
        <v>0.9940030259760001</v>
      </c>
    </row>
    <row r="783" spans="100:150" ht="17.399999999999999">
      <c r="CW783" s="614">
        <v>17464</v>
      </c>
      <c r="CZ783" s="1857">
        <v>2000</v>
      </c>
      <c r="DA783" s="1859">
        <f t="shared" si="310"/>
        <v>17.463999999999999</v>
      </c>
      <c r="DB783" s="1597">
        <v>0.99897304110588003</v>
      </c>
      <c r="DC783" s="1597">
        <f t="shared" si="311"/>
        <v>3.2947518370474893</v>
      </c>
      <c r="DD783" s="1787"/>
      <c r="DE783" s="1787"/>
      <c r="DF783" s="1787">
        <f>НАСТРОЙКА!DR141</f>
        <v>4.0904237641176007</v>
      </c>
      <c r="DG783" s="614"/>
      <c r="DH783" s="614"/>
      <c r="DI783" s="614"/>
      <c r="DJ783" s="614"/>
      <c r="DK783" s="614"/>
      <c r="DL783" s="614"/>
      <c r="DM783" s="614"/>
      <c r="DN783" s="614"/>
      <c r="DO783" s="614"/>
      <c r="DP783" s="614"/>
      <c r="DQ783" s="614"/>
      <c r="DR783" s="614"/>
      <c r="DS783" s="614"/>
      <c r="DT783" s="1975">
        <f t="shared" si="312"/>
        <v>3.2947518370474893</v>
      </c>
      <c r="DV783" s="1857">
        <v>2000</v>
      </c>
      <c r="DW783" s="1875">
        <v>17464</v>
      </c>
      <c r="DX783" s="1786">
        <v>12552.212</v>
      </c>
      <c r="DY783" s="1786">
        <v>1165.2339999999999</v>
      </c>
      <c r="DZ783" s="1786">
        <f t="shared" si="313"/>
        <v>11413.5142</v>
      </c>
      <c r="EA783" s="1201">
        <f t="shared" si="314"/>
        <v>17464</v>
      </c>
      <c r="EB783" s="1495"/>
      <c r="EE783" s="614"/>
      <c r="EF783" s="614"/>
      <c r="EG783" s="614"/>
      <c r="EH783" s="614"/>
      <c r="EI783" s="614"/>
      <c r="EJ783" s="614"/>
      <c r="EK783" s="614"/>
      <c r="EL783" s="614"/>
      <c r="EM783" s="614"/>
      <c r="EN783" s="614"/>
      <c r="EO783" s="614"/>
      <c r="ER783" s="1857">
        <v>2000</v>
      </c>
      <c r="ES783" s="1885">
        <f t="shared" si="309"/>
        <v>5300.5509561077997</v>
      </c>
      <c r="ET783" s="1882">
        <v>0.99897304110588003</v>
      </c>
    </row>
    <row r="784" spans="100:150" ht="17.399999999999999">
      <c r="CW784" s="614">
        <v>20241.428</v>
      </c>
      <c r="CZ784" s="1857">
        <v>2001</v>
      </c>
      <c r="DA784" s="1859">
        <f t="shared" si="310"/>
        <v>20.241427999999999</v>
      </c>
      <c r="DB784" s="1597">
        <v>1.0079637984758332</v>
      </c>
      <c r="DC784" s="1597">
        <f t="shared" si="311"/>
        <v>3.784678280692757</v>
      </c>
      <c r="DD784" s="1787"/>
      <c r="DE784" s="1787"/>
      <c r="DF784" s="1787">
        <f>НАСТРОЙКА!DR142</f>
        <v>4.8512425842434741</v>
      </c>
      <c r="DG784" s="614"/>
      <c r="DH784" s="614"/>
      <c r="DI784" s="614"/>
      <c r="DJ784" s="614"/>
      <c r="DK784" s="614"/>
      <c r="DL784" s="614"/>
      <c r="DM784" s="614"/>
      <c r="DN784" s="614"/>
      <c r="DO784" s="614"/>
      <c r="DP784" s="614"/>
      <c r="DQ784" s="614"/>
      <c r="DR784" s="614"/>
      <c r="DS784" s="614"/>
      <c r="DT784" s="1975">
        <f t="shared" si="312"/>
        <v>3.784678280692757</v>
      </c>
      <c r="DV784" s="1857">
        <v>2001</v>
      </c>
      <c r="DW784" s="1875">
        <v>20241.428</v>
      </c>
      <c r="DX784" s="1786">
        <v>15922.788</v>
      </c>
      <c r="DY784" s="1786">
        <v>1504.7</v>
      </c>
      <c r="DZ784" s="1786">
        <f t="shared" si="313"/>
        <v>14480.9792</v>
      </c>
      <c r="EA784" s="1201">
        <f t="shared" si="314"/>
        <v>20241.428</v>
      </c>
      <c r="EB784" s="1495"/>
      <c r="EE784" s="614"/>
      <c r="EF784" s="614"/>
      <c r="EG784" s="614"/>
      <c r="EH784" s="614"/>
      <c r="EI784" s="614"/>
      <c r="EJ784" s="614"/>
      <c r="EK784" s="614"/>
      <c r="EL784" s="614"/>
      <c r="EM784" s="614"/>
      <c r="EN784" s="614"/>
      <c r="EO784" s="614"/>
      <c r="ER784" s="1857">
        <v>2001</v>
      </c>
      <c r="ES784" s="1885">
        <f t="shared" si="309"/>
        <v>5348.2559147127704</v>
      </c>
      <c r="ET784" s="1882">
        <v>1.0079637984758332</v>
      </c>
    </row>
    <row r="785" spans="100:150" ht="17.399999999999999">
      <c r="CW785" s="614">
        <v>24431</v>
      </c>
      <c r="CZ785" s="1857">
        <v>2002</v>
      </c>
      <c r="DA785" s="1859">
        <f t="shared" si="310"/>
        <v>24.431000000000001</v>
      </c>
      <c r="DB785" s="1597">
        <v>1.0180434364605915</v>
      </c>
      <c r="DC785" s="1597">
        <f t="shared" si="311"/>
        <v>4.5228031897927927</v>
      </c>
      <c r="DD785" s="1787">
        <v>4.5228031897927927</v>
      </c>
      <c r="DE785" s="1787"/>
      <c r="DF785" s="1787">
        <f>НАСТРОЙКА!DR143</f>
        <v>5.5837802144642392</v>
      </c>
      <c r="DG785" s="614"/>
      <c r="DH785" s="614"/>
      <c r="DI785" s="614"/>
      <c r="DJ785" s="614"/>
      <c r="DK785" s="614"/>
      <c r="DL785" s="614"/>
      <c r="DM785" s="614"/>
      <c r="DN785" s="614"/>
      <c r="DO785" s="614"/>
      <c r="DP785" s="614"/>
      <c r="DQ785" s="614"/>
      <c r="DR785" s="614"/>
      <c r="DS785" s="614"/>
      <c r="DT785" s="1975">
        <f t="shared" si="312"/>
        <v>4.5228031897927927</v>
      </c>
      <c r="DV785" s="1857">
        <v>2002</v>
      </c>
      <c r="DW785" s="1875">
        <v>24431</v>
      </c>
      <c r="DX785" s="1786">
        <v>18973.673599999998</v>
      </c>
      <c r="DY785" s="1786">
        <v>1762.4</v>
      </c>
      <c r="DZ785" s="1786">
        <f t="shared" si="313"/>
        <v>17252.54624</v>
      </c>
      <c r="EA785" s="1201">
        <f t="shared" si="314"/>
        <v>24431</v>
      </c>
      <c r="EB785" s="1495"/>
      <c r="EE785" s="614"/>
      <c r="EF785" s="614"/>
      <c r="EG785" s="614"/>
      <c r="EH785" s="614"/>
      <c r="EI785" s="614"/>
      <c r="EJ785" s="614"/>
      <c r="EK785" s="614"/>
      <c r="EL785" s="614"/>
      <c r="EM785" s="614"/>
      <c r="EN785" s="614"/>
      <c r="EO785" s="614"/>
      <c r="ER785" s="1857">
        <v>2002</v>
      </c>
      <c r="ES785" s="1885">
        <f t="shared" si="309"/>
        <v>5401.7384738598985</v>
      </c>
      <c r="ET785" s="1882">
        <v>1.0180434364605915</v>
      </c>
    </row>
    <row r="786" spans="100:150" ht="17.399999999999999">
      <c r="CW786" s="614">
        <v>30329.1</v>
      </c>
      <c r="CZ786" s="1857">
        <v>2003</v>
      </c>
      <c r="DA786" s="1859">
        <f t="shared" si="310"/>
        <v>30.329099999999997</v>
      </c>
      <c r="DB786" s="1597">
        <v>1.031278001134579</v>
      </c>
      <c r="DC786" s="1597">
        <f t="shared" si="311"/>
        <v>5.542638112686384</v>
      </c>
      <c r="DD786" s="1787">
        <v>5.542638112686384</v>
      </c>
      <c r="DE786" s="1787"/>
      <c r="DF786" s="1787">
        <f>НАСТРОЙКА!DR144</f>
        <v>6.2538338401999489</v>
      </c>
      <c r="DG786" s="614"/>
      <c r="DH786" s="614"/>
      <c r="DI786" s="614"/>
      <c r="DJ786" s="614"/>
      <c r="DK786" s="614"/>
      <c r="DL786" s="614"/>
      <c r="DM786" s="614"/>
      <c r="DN786" s="614"/>
      <c r="DO786" s="614"/>
      <c r="DP786" s="614"/>
      <c r="DQ786" s="614"/>
      <c r="DR786" s="614"/>
      <c r="DS786" s="614"/>
      <c r="DT786" s="1975">
        <f t="shared" si="312"/>
        <v>5.542638112686384</v>
      </c>
      <c r="DV786" s="1857">
        <v>2003</v>
      </c>
      <c r="DW786" s="1875">
        <v>30329.1</v>
      </c>
      <c r="DX786" s="1786">
        <v>23273.089499999998</v>
      </c>
      <c r="DY786" s="1786">
        <v>2186.4</v>
      </c>
      <c r="DZ786" s="1786">
        <f t="shared" si="313"/>
        <v>21164.420549999999</v>
      </c>
      <c r="EA786" s="1201">
        <f t="shared" si="314"/>
        <v>30329.1</v>
      </c>
      <c r="EB786" s="1495"/>
      <c r="EE786" s="614"/>
      <c r="EF786" s="614"/>
      <c r="EG786" s="614"/>
      <c r="EH786" s="614"/>
      <c r="EI786" s="614"/>
      <c r="EJ786" s="614"/>
      <c r="EK786" s="614"/>
      <c r="EL786" s="614"/>
      <c r="EM786" s="614"/>
      <c r="EN786" s="614"/>
      <c r="EO786" s="614"/>
      <c r="ER786" s="1857">
        <v>2003</v>
      </c>
      <c r="ES786" s="1885">
        <f t="shared" si="309"/>
        <v>5471.961074020076</v>
      </c>
      <c r="ET786" s="1882">
        <v>1.031278001134579</v>
      </c>
    </row>
    <row r="787" spans="100:150" ht="17.399999999999999">
      <c r="CW787" s="614">
        <v>34874</v>
      </c>
      <c r="CZ787" s="1857">
        <v>2004</v>
      </c>
      <c r="DA787" s="1859">
        <f t="shared" si="310"/>
        <v>34.874000000000002</v>
      </c>
      <c r="DB787" s="1597">
        <v>1.0477784491527322</v>
      </c>
      <c r="DC787" s="1597">
        <f t="shared" si="311"/>
        <v>6.272852216104849</v>
      </c>
      <c r="DD787" s="1787">
        <v>6.272852216104849</v>
      </c>
      <c r="DE787" s="1787"/>
      <c r="DF787" s="1787">
        <f>НАСТРОЙКА!DR145</f>
        <v>6.9855323995033425</v>
      </c>
      <c r="DG787" s="614"/>
      <c r="DH787" s="614"/>
      <c r="DI787" s="614"/>
      <c r="DJ787" s="614"/>
      <c r="DK787" s="614"/>
      <c r="DL787" s="614"/>
      <c r="DM787" s="614"/>
      <c r="DN787" s="614"/>
      <c r="DO787" s="614"/>
      <c r="DP787" s="614"/>
      <c r="DQ787" s="614"/>
      <c r="DR787" s="614"/>
      <c r="DS787" s="614"/>
      <c r="DT787" s="1975">
        <f t="shared" si="312"/>
        <v>6.272852216104849</v>
      </c>
      <c r="DV787" s="1857">
        <v>2004</v>
      </c>
      <c r="DW787" s="1875">
        <v>34874</v>
      </c>
      <c r="DX787" s="1786">
        <v>29490.622599999999</v>
      </c>
      <c r="DY787" s="1786">
        <v>2865</v>
      </c>
      <c r="DZ787" s="1786">
        <f t="shared" si="313"/>
        <v>26828.06034</v>
      </c>
      <c r="EA787" s="1201">
        <f t="shared" si="314"/>
        <v>34874</v>
      </c>
      <c r="EB787" s="1495"/>
      <c r="EE787" s="614"/>
      <c r="EF787" s="614"/>
      <c r="EG787" s="614"/>
      <c r="EH787" s="614"/>
      <c r="EI787" s="614"/>
      <c r="EJ787" s="614"/>
      <c r="EK787" s="614"/>
      <c r="EL787" s="614"/>
      <c r="EM787" s="614"/>
      <c r="EN787" s="614"/>
      <c r="EO787" s="614"/>
      <c r="ER787" s="1857">
        <v>2004</v>
      </c>
      <c r="ES787" s="1885">
        <f t="shared" si="309"/>
        <v>5559.5124512043967</v>
      </c>
      <c r="ET787" s="1882">
        <v>1.0477784491527322</v>
      </c>
    </row>
    <row r="788" spans="100:150" ht="22.8">
      <c r="CW788" s="614">
        <v>41494</v>
      </c>
      <c r="CZ788" s="1857">
        <v>2005</v>
      </c>
      <c r="DA788" s="1859">
        <f t="shared" si="310"/>
        <v>41.494</v>
      </c>
      <c r="DB788" s="1597">
        <v>1.0676862396866342</v>
      </c>
      <c r="DC788" s="1597">
        <f t="shared" si="311"/>
        <v>7.3244397581202474</v>
      </c>
      <c r="DD788" s="1787">
        <v>7.3244397581202474</v>
      </c>
      <c r="DE788" s="1787"/>
      <c r="DF788" s="1787">
        <f>НАСТРОЙКА!DR146</f>
        <v>7.7469554310492068</v>
      </c>
      <c r="DG788" s="614"/>
      <c r="DH788" s="614"/>
      <c r="DI788" s="614"/>
      <c r="DJ788" s="614"/>
      <c r="DK788" s="614"/>
      <c r="DL788" s="614"/>
      <c r="DM788" s="614"/>
      <c r="DN788" s="614"/>
      <c r="DO788" s="614"/>
      <c r="DP788" s="614"/>
      <c r="DQ788" s="614"/>
      <c r="DR788" s="614"/>
      <c r="DS788" s="614"/>
      <c r="DT788" s="1975">
        <f t="shared" si="312"/>
        <v>7.3244397581202474</v>
      </c>
      <c r="DV788" s="1857">
        <v>2005</v>
      </c>
      <c r="DW788" s="1875">
        <v>41494</v>
      </c>
      <c r="DX788" s="1786">
        <v>37020.601999999999</v>
      </c>
      <c r="DY788" s="1786">
        <v>3611.1</v>
      </c>
      <c r="DZ788" s="1786">
        <f t="shared" si="313"/>
        <v>33679.6518</v>
      </c>
      <c r="EA788" s="1201">
        <f t="shared" si="314"/>
        <v>41494</v>
      </c>
      <c r="EB788" s="1495"/>
      <c r="EE788" s="614"/>
      <c r="EF788" s="614"/>
      <c r="EG788" s="614"/>
      <c r="EH788" s="614"/>
      <c r="EI788" s="614"/>
      <c r="EJ788" s="614"/>
      <c r="EK788" s="614"/>
      <c r="EL788" s="614"/>
      <c r="EM788" s="1038" t="s">
        <v>190</v>
      </c>
      <c r="EN788" s="614"/>
      <c r="EO788" s="614"/>
      <c r="ER788" s="1857">
        <v>2005</v>
      </c>
      <c r="ES788" s="1885">
        <f t="shared" si="309"/>
        <v>5665.1431877772811</v>
      </c>
      <c r="ET788" s="1882">
        <v>1.0676862396866342</v>
      </c>
    </row>
    <row r="789" spans="100:150" ht="17.399999999999999">
      <c r="CW789" s="614">
        <v>47489</v>
      </c>
      <c r="CZ789" s="1857">
        <v>2006</v>
      </c>
      <c r="DA789" s="1859">
        <f t="shared" si="310"/>
        <v>47.488999999999997</v>
      </c>
      <c r="DB789" s="1597">
        <v>1.0933107094391135</v>
      </c>
      <c r="DC789" s="1597">
        <f t="shared" si="311"/>
        <v>8.1861967165379994</v>
      </c>
      <c r="DD789" s="1787">
        <v>8.1861967165379994</v>
      </c>
      <c r="DE789" s="1787"/>
      <c r="DF789" s="1787">
        <f>НАСТРОЙКА!DR147</f>
        <v>8.4441814198436358</v>
      </c>
      <c r="DG789" s="614"/>
      <c r="DH789" s="614"/>
      <c r="DI789" s="614"/>
      <c r="DJ789" s="614"/>
      <c r="DK789" s="614"/>
      <c r="DL789" s="614"/>
      <c r="DM789" s="614"/>
      <c r="DN789" s="614"/>
      <c r="DO789" s="614"/>
      <c r="DP789" s="614"/>
      <c r="DQ789" s="614"/>
      <c r="DR789" s="614"/>
      <c r="DS789" s="614"/>
      <c r="DT789" s="1975">
        <f t="shared" si="312"/>
        <v>8.1861967165379994</v>
      </c>
      <c r="DV789" s="1857">
        <v>2006</v>
      </c>
      <c r="DW789" s="1875">
        <v>47489</v>
      </c>
      <c r="DX789" s="1786">
        <v>46223.866499999996</v>
      </c>
      <c r="DY789" s="1786">
        <v>4730</v>
      </c>
      <c r="DZ789" s="1786">
        <f t="shared" si="313"/>
        <v>42074.479849999996</v>
      </c>
      <c r="EA789" s="1201">
        <f t="shared" si="314"/>
        <v>47489</v>
      </c>
      <c r="EB789" s="1495"/>
      <c r="EE789" s="614"/>
      <c r="EF789" s="614"/>
      <c r="EG789" s="614"/>
      <c r="EH789" s="614"/>
      <c r="EI789" s="614"/>
      <c r="EJ789" s="614"/>
      <c r="EK789" s="614"/>
      <c r="EL789" s="614"/>
      <c r="EM789" s="614"/>
      <c r="EN789" s="614"/>
      <c r="EO789" s="614"/>
      <c r="ER789" s="1857">
        <v>2006</v>
      </c>
      <c r="ES789" s="1885">
        <f t="shared" si="309"/>
        <v>5801.1066242839361</v>
      </c>
      <c r="ET789" s="1882">
        <v>1.0933107094391135</v>
      </c>
    </row>
    <row r="790" spans="100:150" ht="17.399999999999999">
      <c r="CW790" s="614">
        <v>60391</v>
      </c>
      <c r="CZ790" s="1857">
        <v>2007</v>
      </c>
      <c r="DA790" s="1859">
        <f t="shared" si="310"/>
        <v>60.390999999999998</v>
      </c>
      <c r="DB790" s="1597">
        <v>1.127203341431726</v>
      </c>
      <c r="DC790" s="1597">
        <f t="shared" si="311"/>
        <v>10.097240670067603</v>
      </c>
      <c r="DD790" s="1787">
        <v>10.097240670067603</v>
      </c>
      <c r="DE790" s="1787"/>
      <c r="DF790" s="1787">
        <f>НАСТРОЙКА!DR148</f>
        <v>9.4465057543790749</v>
      </c>
      <c r="DG790" s="614"/>
      <c r="DH790" s="614"/>
      <c r="DI790" s="614"/>
      <c r="DJ790" s="614"/>
      <c r="DK790" s="614"/>
      <c r="DL790" s="614"/>
      <c r="DM790" s="614"/>
      <c r="DN790" s="614"/>
      <c r="DO790" s="614"/>
      <c r="DP790" s="614"/>
      <c r="DQ790" s="614"/>
      <c r="DR790" s="614"/>
      <c r="DS790" s="614"/>
      <c r="DT790" s="1975">
        <f t="shared" si="312"/>
        <v>10.097240670067603</v>
      </c>
      <c r="DV790" s="1857">
        <v>2007</v>
      </c>
      <c r="DW790" s="1875">
        <v>60391</v>
      </c>
      <c r="DX790" s="1786">
        <v>57752.1325</v>
      </c>
      <c r="DY790" s="1786">
        <v>6716.2219999999998</v>
      </c>
      <c r="DZ790" s="1786">
        <f t="shared" si="313"/>
        <v>52648.541449999997</v>
      </c>
      <c r="EA790" s="1201">
        <f t="shared" si="314"/>
        <v>60391</v>
      </c>
      <c r="EB790" s="1495"/>
      <c r="EE790" s="614"/>
      <c r="EF790" s="614"/>
      <c r="EG790" s="614"/>
      <c r="EH790" s="614"/>
      <c r="EI790" s="614"/>
      <c r="EJ790" s="614"/>
      <c r="EK790" s="614"/>
      <c r="EL790" s="614"/>
      <c r="EM790" s="614"/>
      <c r="EN790" s="614"/>
      <c r="EO790" s="614"/>
      <c r="ER790" s="1857">
        <v>2007</v>
      </c>
      <c r="ES790" s="1885">
        <f t="shared" si="309"/>
        <v>5980.9409296367376</v>
      </c>
      <c r="ET790" s="1882">
        <v>1.127203341431726</v>
      </c>
    </row>
    <row r="791" spans="100:150" ht="17.399999999999999">
      <c r="CW791" s="614">
        <v>74447</v>
      </c>
      <c r="CZ791" s="1857">
        <v>2008</v>
      </c>
      <c r="DA791" s="1859">
        <f t="shared" si="310"/>
        <v>74.447000000000003</v>
      </c>
      <c r="DB791" s="1597">
        <v>1.1677826617232681</v>
      </c>
      <c r="DC791" s="1597">
        <f t="shared" si="311"/>
        <v>12.014838376677154</v>
      </c>
      <c r="DD791" s="1787">
        <v>12.014838376677154</v>
      </c>
      <c r="DE791" s="1787"/>
      <c r="DF791" s="1787">
        <f>НАСТРОЙКА!DR149</f>
        <v>10.701001718560617</v>
      </c>
      <c r="DG791" s="614"/>
      <c r="DH791" s="614"/>
      <c r="DI791" s="614"/>
      <c r="DJ791" s="614"/>
      <c r="DK791" s="614"/>
      <c r="DL791" s="614"/>
      <c r="DM791" s="614"/>
      <c r="DN791" s="614"/>
      <c r="DO791" s="614"/>
      <c r="DP791" s="614"/>
      <c r="DQ791" s="614"/>
      <c r="DR791" s="614"/>
      <c r="DS791" s="614"/>
      <c r="DT791" s="1975">
        <f t="shared" si="312"/>
        <v>12.014838376677154</v>
      </c>
      <c r="DV791" s="1857">
        <v>2008</v>
      </c>
      <c r="DW791" s="1875">
        <v>74447</v>
      </c>
      <c r="DX791" s="1786">
        <v>71601.657999999996</v>
      </c>
      <c r="DY791" s="1786">
        <v>8781.616</v>
      </c>
      <c r="DZ791" s="1786">
        <f t="shared" si="313"/>
        <v>65319.6538</v>
      </c>
      <c r="EA791" s="1201">
        <f t="shared" si="314"/>
        <v>74447</v>
      </c>
      <c r="EB791" s="1495"/>
      <c r="EE791" s="614"/>
      <c r="EF791" s="614"/>
      <c r="EG791" s="614"/>
      <c r="EH791" s="614"/>
      <c r="EI791" s="614"/>
      <c r="EJ791" s="614"/>
      <c r="EK791" s="614"/>
      <c r="EL791" s="614"/>
      <c r="EM791" s="614"/>
      <c r="EN791" s="614"/>
      <c r="EO791" s="614"/>
      <c r="ER791" s="1857">
        <v>2008</v>
      </c>
      <c r="ES791" s="1885">
        <f t="shared" si="309"/>
        <v>6196.2548031036604</v>
      </c>
      <c r="ET791" s="1882">
        <v>1.1677826617232681</v>
      </c>
    </row>
    <row r="792" spans="100:150" ht="17.399999999999999">
      <c r="CW792" s="614">
        <v>82302.968999999997</v>
      </c>
      <c r="CZ792" s="1857">
        <v>2009</v>
      </c>
      <c r="DA792" s="1859">
        <f t="shared" si="310"/>
        <v>82.30296899999999</v>
      </c>
      <c r="DB792" s="1597">
        <v>1.2051517068984128</v>
      </c>
      <c r="DC792" s="1597">
        <f t="shared" si="311"/>
        <v>12.87082947485337</v>
      </c>
      <c r="DD792" s="1787">
        <v>12.87082947485337</v>
      </c>
      <c r="DE792" s="1787"/>
      <c r="DF792" s="1787">
        <f>НАСТРОЙКА!DR150</f>
        <v>11.642689869793951</v>
      </c>
      <c r="DG792" s="614"/>
      <c r="DH792" s="614"/>
      <c r="DI792" s="614"/>
      <c r="DJ792" s="614"/>
      <c r="DK792" s="614"/>
      <c r="DL792" s="614"/>
      <c r="DM792" s="614"/>
      <c r="DN792" s="614"/>
      <c r="DO792" s="614"/>
      <c r="DP792" s="614"/>
      <c r="DQ792" s="614"/>
      <c r="DR792" s="614"/>
      <c r="DS792" s="614"/>
      <c r="DT792" s="1975">
        <f t="shared" si="312"/>
        <v>12.87082947485337</v>
      </c>
      <c r="DV792" s="1857">
        <v>2009</v>
      </c>
      <c r="DW792" s="1875">
        <v>82302.968999999997</v>
      </c>
      <c r="DX792" s="1786">
        <v>68116.5</v>
      </c>
      <c r="DY792" s="1786">
        <v>7976.0129999999999</v>
      </c>
      <c r="DZ792" s="1786">
        <f t="shared" si="313"/>
        <v>62102.451300000001</v>
      </c>
      <c r="EA792" s="1201"/>
      <c r="EB792" s="1495">
        <f>DW792</f>
        <v>82302.968999999997</v>
      </c>
      <c r="EE792" s="614"/>
      <c r="EF792" s="614"/>
      <c r="EG792" s="614"/>
      <c r="EH792" s="614"/>
      <c r="EI792" s="614"/>
      <c r="EJ792" s="614"/>
      <c r="EK792" s="614"/>
      <c r="EL792" s="614"/>
      <c r="EM792" s="614"/>
      <c r="EN792" s="614"/>
      <c r="EO792" s="614"/>
      <c r="ER792" s="1857">
        <v>2009</v>
      </c>
      <c r="ES792" s="1885">
        <f t="shared" si="309"/>
        <v>6394.5349568029778</v>
      </c>
      <c r="ET792" s="1882">
        <v>1.2051517068984128</v>
      </c>
    </row>
    <row r="793" spans="100:150" ht="17.399999999999999">
      <c r="CW793" s="614">
        <v>93186</v>
      </c>
      <c r="CZ793" s="1857">
        <v>2010</v>
      </c>
      <c r="DA793" s="1859">
        <f t="shared" si="310"/>
        <v>93.186000000000007</v>
      </c>
      <c r="DB793" s="1597">
        <v>1.2413062581053651</v>
      </c>
      <c r="DC793" s="1597">
        <f t="shared" si="311"/>
        <v>14.148307151553462</v>
      </c>
      <c r="DD793" s="1787">
        <v>14.148307151553462</v>
      </c>
      <c r="DE793" s="1787"/>
      <c r="DF793" s="1787">
        <f>НАСТРОЙКА!DR151</f>
        <v>12.664918040361862</v>
      </c>
      <c r="DG793" s="614"/>
      <c r="DH793" s="614"/>
      <c r="DI793" s="614"/>
      <c r="DJ793" s="614"/>
      <c r="DK793" s="614"/>
      <c r="DL793" s="614"/>
      <c r="DM793" s="614"/>
      <c r="DN793" s="614"/>
      <c r="DO793" s="614"/>
      <c r="DP793" s="614"/>
      <c r="DQ793" s="614"/>
      <c r="DR793" s="614"/>
      <c r="DS793" s="614"/>
      <c r="DT793" s="1975">
        <f t="shared" si="312"/>
        <v>14.148307151553462</v>
      </c>
      <c r="DV793" s="1857">
        <v>2010</v>
      </c>
      <c r="DW793" s="1875">
        <v>93186</v>
      </c>
      <c r="DX793" s="1786">
        <v>82054.600000000006</v>
      </c>
      <c r="DY793" s="1786">
        <v>9152.1</v>
      </c>
      <c r="DZ793" s="1786">
        <f t="shared" si="313"/>
        <v>74764.35000000002</v>
      </c>
      <c r="EA793" s="1201"/>
      <c r="EB793" s="1495">
        <f>DW793</f>
        <v>93186</v>
      </c>
      <c r="EE793" s="614"/>
      <c r="EF793" s="614"/>
      <c r="EG793" s="614"/>
      <c r="EH793" s="614"/>
      <c r="EI793" s="614"/>
      <c r="EJ793" s="614"/>
      <c r="EK793" s="614"/>
      <c r="EL793" s="614"/>
      <c r="EM793" s="614"/>
      <c r="EN793" s="614"/>
      <c r="EO793" s="614"/>
      <c r="ER793" s="1857">
        <v>2010</v>
      </c>
      <c r="ES793" s="1885">
        <f t="shared" si="309"/>
        <v>6586.3710055070669</v>
      </c>
      <c r="ET793" s="1882">
        <v>1.2413062581053651</v>
      </c>
    </row>
    <row r="794" spans="100:150" ht="17.399999999999999">
      <c r="CW794" s="614">
        <v>108001</v>
      </c>
      <c r="CZ794" s="1857">
        <v>2011</v>
      </c>
      <c r="DA794" s="1859">
        <f t="shared" si="310"/>
        <v>108.001</v>
      </c>
      <c r="DB794" s="1597">
        <v>1.2909585084295798</v>
      </c>
      <c r="DC794" s="1597">
        <f t="shared" si="311"/>
        <v>15.766970202222987</v>
      </c>
      <c r="DD794" s="1787">
        <v>15.766970202222987</v>
      </c>
      <c r="DE794" s="1787"/>
      <c r="DF794" s="1787">
        <f>НАСТРОЙКА!DR152</f>
        <v>13.437478040823935</v>
      </c>
      <c r="DG794" s="614"/>
      <c r="DH794" s="614"/>
      <c r="DI794" s="614"/>
      <c r="DJ794" s="614"/>
      <c r="DK794" s="614"/>
      <c r="DL794" s="614"/>
      <c r="DM794" s="614"/>
      <c r="DN794" s="614"/>
      <c r="DO794" s="614"/>
      <c r="DP794" s="614"/>
      <c r="DQ794" s="614"/>
      <c r="DR794" s="614"/>
      <c r="DS794" s="614"/>
      <c r="DT794" s="1975">
        <f t="shared" si="312"/>
        <v>15.766970202222987</v>
      </c>
      <c r="DV794" s="1857">
        <v>2011</v>
      </c>
      <c r="DW794" s="1875">
        <v>108001</v>
      </c>
      <c r="DX794" s="1786">
        <v>100960.3907</v>
      </c>
      <c r="DY794" s="1786">
        <v>11035.652</v>
      </c>
      <c r="DZ794" s="1786">
        <f t="shared" si="313"/>
        <v>91967.916830000002</v>
      </c>
      <c r="EA794" s="1201"/>
      <c r="EB794" s="1495">
        <f t="shared" ref="EB794:EB799" si="315">DW794</f>
        <v>108001</v>
      </c>
      <c r="EE794" s="614"/>
      <c r="EF794" s="614"/>
      <c r="EG794" s="614"/>
      <c r="EH794" s="614"/>
      <c r="EI794" s="614"/>
      <c r="EJ794" s="614"/>
      <c r="EK794" s="614"/>
      <c r="EL794" s="614"/>
      <c r="EM794" s="614"/>
      <c r="EN794" s="614"/>
      <c r="EO794" s="614"/>
      <c r="ER794" s="1857">
        <v>2011</v>
      </c>
      <c r="ES794" s="1885">
        <f t="shared" si="309"/>
        <v>6849.8258457273505</v>
      </c>
      <c r="ET794" s="1882">
        <v>1.2909585084295798</v>
      </c>
    </row>
    <row r="795" spans="100:150" ht="17.399999999999999">
      <c r="CW795" s="614">
        <v>121269</v>
      </c>
      <c r="CZ795" s="1857">
        <v>2012</v>
      </c>
      <c r="DA795" s="1859">
        <f t="shared" si="310"/>
        <v>121.26900000000001</v>
      </c>
      <c r="DB795" s="1597">
        <v>1.3464697242920516</v>
      </c>
      <c r="DC795" s="1597">
        <f t="shared" si="311"/>
        <v>16.974068796381744</v>
      </c>
      <c r="DD795" s="1787">
        <v>16.974068796381744</v>
      </c>
      <c r="DE795" s="1787">
        <f>DC795</f>
        <v>16.974068796381744</v>
      </c>
      <c r="DF795" s="1787">
        <f>НАСТРОЙКА!DR153</f>
        <v>14.321664095910151</v>
      </c>
      <c r="DG795" s="614"/>
      <c r="DH795" s="614"/>
      <c r="DI795" s="614"/>
      <c r="DJ795" s="614"/>
      <c r="DK795" s="614"/>
      <c r="DL795" s="614"/>
      <c r="DM795" s="614"/>
      <c r="DN795" s="614"/>
      <c r="DO795" s="614"/>
      <c r="DP795" s="614"/>
      <c r="DQ795" s="614"/>
      <c r="DR795" s="614"/>
      <c r="DS795" s="614"/>
      <c r="DT795" s="1975">
        <f t="shared" si="312"/>
        <v>16.974068796381744</v>
      </c>
      <c r="DV795" s="1857">
        <v>2012</v>
      </c>
      <c r="DW795" s="1875">
        <v>121269</v>
      </c>
      <c r="DX795" s="1786">
        <v>113092.1725</v>
      </c>
      <c r="DY795" s="1786">
        <v>12586.090400000001</v>
      </c>
      <c r="DZ795" s="1786">
        <f t="shared" si="313"/>
        <v>103041.56428999999</v>
      </c>
      <c r="EA795" s="1201"/>
      <c r="EB795" s="1495">
        <f t="shared" si="315"/>
        <v>121269</v>
      </c>
      <c r="EE795" s="614"/>
      <c r="EF795" s="614"/>
      <c r="EG795" s="614"/>
      <c r="EH795" s="614"/>
      <c r="EI795" s="614"/>
      <c r="EJ795" s="614"/>
      <c r="EK795" s="614"/>
      <c r="EL795" s="614"/>
      <c r="EM795" s="614"/>
      <c r="EN795" s="614"/>
      <c r="EO795" s="614"/>
      <c r="ER795" s="1857">
        <v>2012</v>
      </c>
      <c r="ES795" s="1885">
        <f t="shared" si="309"/>
        <v>7144.3683570936255</v>
      </c>
      <c r="ET795" s="1882">
        <v>1.3464697242920516</v>
      </c>
    </row>
    <row r="796" spans="100:150" ht="17.399999999999999">
      <c r="CW796" s="614">
        <v>133522.79999999999</v>
      </c>
      <c r="CZ796" s="1857">
        <v>2013</v>
      </c>
      <c r="DA796" s="1859">
        <f t="shared" si="310"/>
        <v>133.52279999999999</v>
      </c>
      <c r="DB796" s="1597">
        <v>1.4016749829880255</v>
      </c>
      <c r="DC796" s="1597">
        <f t="shared" si="311"/>
        <v>17.953158422730539</v>
      </c>
      <c r="DD796" s="1787"/>
      <c r="DE796" s="1787">
        <f>DC796</f>
        <v>17.953158422730539</v>
      </c>
      <c r="DF796" s="1787">
        <f>НАСТРОЙКА!DR154</f>
        <v>15.245411430096356</v>
      </c>
      <c r="DG796" s="614"/>
      <c r="DH796" s="614"/>
      <c r="DI796" s="614"/>
      <c r="DJ796" s="614"/>
      <c r="DK796" s="614"/>
      <c r="DL796" s="614"/>
      <c r="DM796" s="614"/>
      <c r="DN796" s="614"/>
      <c r="DO796" s="614"/>
      <c r="DP796" s="614"/>
      <c r="DQ796" s="614"/>
      <c r="DR796" s="614"/>
      <c r="DS796" s="614"/>
      <c r="DT796" s="1975">
        <f t="shared" si="312"/>
        <v>17.953158422730539</v>
      </c>
      <c r="DV796" s="1857">
        <v>2013</v>
      </c>
      <c r="DW796" s="1875">
        <v>133522.79999999999</v>
      </c>
      <c r="DX796" s="1786">
        <v>123165.48509999999</v>
      </c>
      <c r="DY796" s="1786">
        <v>13450.2382</v>
      </c>
      <c r="DZ796" s="1786">
        <f t="shared" si="313"/>
        <v>112193.96041</v>
      </c>
      <c r="EA796" s="1201"/>
      <c r="EB796" s="1495">
        <f t="shared" si="315"/>
        <v>133522.79999999999</v>
      </c>
      <c r="EE796" s="614"/>
      <c r="EF796" s="614"/>
      <c r="EG796" s="614"/>
      <c r="EH796" s="614"/>
      <c r="EI796" s="614"/>
      <c r="EJ796" s="614"/>
      <c r="EK796" s="614"/>
      <c r="EL796" s="614"/>
      <c r="EM796" s="614"/>
      <c r="EN796" s="614"/>
      <c r="EO796" s="614"/>
      <c r="ER796" s="1857">
        <v>2013</v>
      </c>
      <c r="ES796" s="1885">
        <f t="shared" si="309"/>
        <v>7437.2874597344635</v>
      </c>
      <c r="ET796" s="1882">
        <v>1.4016749829880255</v>
      </c>
    </row>
    <row r="797" spans="100:150" ht="17.399999999999999">
      <c r="CW797" s="614">
        <v>147430</v>
      </c>
      <c r="CZ797" s="1857">
        <v>2014</v>
      </c>
      <c r="DA797" s="1859">
        <f t="shared" si="310"/>
        <v>147.43</v>
      </c>
      <c r="DB797" s="1597">
        <v>1.4535369573585823</v>
      </c>
      <c r="DC797" s="1597">
        <f t="shared" si="311"/>
        <v>19.115802786548635</v>
      </c>
      <c r="DD797" s="1787"/>
      <c r="DE797" s="1787">
        <f>DC797</f>
        <v>19.115802786548635</v>
      </c>
      <c r="DF797" s="1787">
        <f>НАСТРОЙКА!DR155</f>
        <v>17.318787384589459</v>
      </c>
      <c r="DG797" s="614"/>
      <c r="DH797" s="614"/>
      <c r="DI797" s="614"/>
      <c r="DJ797" s="614"/>
      <c r="DK797" s="614"/>
      <c r="DL797" s="614"/>
      <c r="DM797" s="614"/>
      <c r="DN797" s="614"/>
      <c r="DO797" s="614"/>
      <c r="DP797" s="614"/>
      <c r="DQ797" s="614"/>
      <c r="DR797" s="614"/>
      <c r="DS797" s="614"/>
      <c r="DT797" s="1975">
        <f t="shared" si="312"/>
        <v>19.115802786548635</v>
      </c>
      <c r="DV797" s="1857">
        <v>2014</v>
      </c>
      <c r="DW797" s="1875">
        <v>147430</v>
      </c>
      <c r="DX797" s="1786">
        <v>132844.9</v>
      </c>
      <c r="DY797" s="1786">
        <v>13902.6453</v>
      </c>
      <c r="DZ797" s="1786">
        <f t="shared" si="313"/>
        <v>120950.67453</v>
      </c>
      <c r="EA797" s="1201"/>
      <c r="EB797" s="1495">
        <f t="shared" si="315"/>
        <v>147430</v>
      </c>
      <c r="EE797" s="614"/>
      <c r="EF797" s="614"/>
      <c r="EG797" s="614"/>
      <c r="EH797" s="614"/>
      <c r="EI797" s="614"/>
      <c r="EJ797" s="614"/>
      <c r="EK797" s="614"/>
      <c r="EL797" s="614"/>
      <c r="EM797" s="614"/>
      <c r="EN797" s="614"/>
      <c r="EO797" s="614"/>
      <c r="ER797" s="1857">
        <v>2014</v>
      </c>
      <c r="ES797" s="1885">
        <f t="shared" si="309"/>
        <v>7712.4670957446378</v>
      </c>
      <c r="ET797" s="1882">
        <v>1.4535369573585823</v>
      </c>
    </row>
    <row r="798" spans="100:150" ht="17.399999999999999">
      <c r="CW798" s="614">
        <v>160725</v>
      </c>
      <c r="CZ798" s="1857">
        <v>2015</v>
      </c>
      <c r="DA798" s="1859">
        <f t="shared" si="310"/>
        <v>160.72499999999999</v>
      </c>
      <c r="DB798" s="1597">
        <v>1.5000501399940571</v>
      </c>
      <c r="DC798" s="1597">
        <f t="shared" si="311"/>
        <v>20.193444864834216</v>
      </c>
      <c r="DD798" s="1787"/>
      <c r="DE798" s="1787">
        <f>DC798</f>
        <v>20.193444864834216</v>
      </c>
      <c r="DF798" s="1787">
        <f>НАСТРОЙКА!DR156</f>
        <v>19.552910957201501</v>
      </c>
      <c r="DG798" s="614"/>
      <c r="DH798" s="614"/>
      <c r="DI798" s="614"/>
      <c r="DJ798" s="614"/>
      <c r="DK798" s="614"/>
      <c r="DL798" s="614"/>
      <c r="DM798" s="614"/>
      <c r="DN798" s="614"/>
      <c r="DO798" s="614"/>
      <c r="DP798" s="614"/>
      <c r="DQ798" s="614"/>
      <c r="DR798" s="614"/>
      <c r="DS798" s="614"/>
      <c r="DT798" s="1975">
        <f t="shared" si="312"/>
        <v>20.193444864834216</v>
      </c>
      <c r="DV798" s="1857">
        <v>2015</v>
      </c>
      <c r="DW798" s="1875">
        <v>160725</v>
      </c>
      <c r="DX798" s="1786">
        <v>145956.1</v>
      </c>
      <c r="DY798" s="1786">
        <v>13897.2</v>
      </c>
      <c r="DZ798" s="1786">
        <f t="shared" si="313"/>
        <v>132750.21000000002</v>
      </c>
      <c r="EA798" s="1201"/>
      <c r="EB798" s="1495">
        <f t="shared" si="315"/>
        <v>160725</v>
      </c>
      <c r="EE798" s="614"/>
      <c r="EF798" s="614"/>
      <c r="EG798" s="614"/>
      <c r="EH798" s="614"/>
      <c r="EI798" s="614"/>
      <c r="EJ798" s="614"/>
      <c r="EK798" s="614"/>
      <c r="EL798" s="614"/>
      <c r="EM798" s="614"/>
      <c r="EN798" s="614"/>
      <c r="EO798" s="614"/>
      <c r="ER798" s="1857">
        <v>2015</v>
      </c>
      <c r="ES798" s="1885">
        <f t="shared" si="309"/>
        <v>7959.2660428084673</v>
      </c>
      <c r="ET798" s="1882">
        <v>1.5000501399940571</v>
      </c>
    </row>
    <row r="799" spans="100:150" ht="17.399999999999999">
      <c r="CW799" s="614">
        <v>183404</v>
      </c>
      <c r="CZ799" s="1857">
        <v>2016</v>
      </c>
      <c r="DA799" s="1859">
        <f t="shared" si="310"/>
        <v>183.404</v>
      </c>
      <c r="DB799" s="1597">
        <v>1.5585520954538252</v>
      </c>
      <c r="DC799" s="1597">
        <f t="shared" si="311"/>
        <v>22.177890468882982</v>
      </c>
      <c r="DD799" s="1787"/>
      <c r="DE799" s="1787">
        <f>DC799</f>
        <v>22.177890468882982</v>
      </c>
      <c r="DF799" s="1787">
        <f>НАСТРОЙКА!DR157</f>
        <v>20.606812857794662</v>
      </c>
      <c r="DG799" s="614"/>
      <c r="DH799" s="614"/>
      <c r="DI799" s="614"/>
      <c r="DJ799" s="614"/>
      <c r="DK799" s="614"/>
      <c r="DL799" s="614"/>
      <c r="DM799" s="614"/>
      <c r="DN799" s="614"/>
      <c r="DO799" s="614"/>
      <c r="DP799" s="614"/>
      <c r="DQ799" s="614"/>
      <c r="DR799" s="614"/>
      <c r="DS799" s="614"/>
      <c r="DT799" s="1975">
        <f t="shared" si="312"/>
        <v>22.177890468882982</v>
      </c>
      <c r="DV799" s="1857">
        <v>2016</v>
      </c>
      <c r="DW799" s="1875">
        <v>183404</v>
      </c>
      <c r="DX799" s="1786">
        <v>153856.5</v>
      </c>
      <c r="DY799" s="1786">
        <v>14748.8</v>
      </c>
      <c r="DZ799" s="1786">
        <f t="shared" si="313"/>
        <v>139945.73000000001</v>
      </c>
      <c r="EA799" s="1201"/>
      <c r="EB799" s="1495">
        <f t="shared" si="315"/>
        <v>183404</v>
      </c>
      <c r="EE799" s="614"/>
      <c r="EF799" s="614"/>
      <c r="EG799" s="614"/>
      <c r="EH799" s="614"/>
      <c r="EI799" s="614"/>
      <c r="EJ799" s="614"/>
      <c r="EK799" s="614"/>
      <c r="EL799" s="614"/>
      <c r="EM799" s="614"/>
      <c r="EN799" s="614"/>
      <c r="EO799" s="614"/>
      <c r="ER799" s="1857">
        <v>2016</v>
      </c>
      <c r="ES799" s="1885">
        <f t="shared" si="309"/>
        <v>8269.677418477997</v>
      </c>
      <c r="ET799" s="1882">
        <v>1.5585520954538252</v>
      </c>
    </row>
    <row r="800" spans="100:150" ht="17.399999999999999">
      <c r="CV800" s="614"/>
      <c r="CW800" s="614"/>
      <c r="CZ800" s="1857">
        <v>2017</v>
      </c>
      <c r="DA800" s="1860"/>
      <c r="DB800" s="1785"/>
      <c r="DC800" s="1787"/>
      <c r="DD800" s="1787"/>
      <c r="DE800" s="1787"/>
      <c r="DF800" s="1787">
        <f>НАСТРОЙКА!DR158</f>
        <v>21.124043860525305</v>
      </c>
      <c r="DG800" s="614"/>
      <c r="DH800" s="614"/>
      <c r="DI800" s="614"/>
      <c r="DJ800" s="614"/>
      <c r="DK800" s="614"/>
      <c r="DL800" s="614"/>
      <c r="DM800" s="614"/>
      <c r="DN800" s="614"/>
      <c r="DO800" s="614"/>
      <c r="DP800" s="614"/>
      <c r="DQ800" s="614"/>
      <c r="DR800" s="614"/>
      <c r="DS800" s="614"/>
      <c r="DT800" s="1975">
        <f>DE800</f>
        <v>0</v>
      </c>
      <c r="DV800" s="1857">
        <v>2017</v>
      </c>
      <c r="DW800" s="1860"/>
      <c r="DX800" s="1787"/>
      <c r="DY800" s="1787"/>
      <c r="DZ800" s="1787"/>
      <c r="EA800" s="838"/>
      <c r="EB800" s="1058"/>
      <c r="EE800" s="614"/>
      <c r="EF800" s="614"/>
      <c r="EG800" s="614"/>
      <c r="EH800" s="614"/>
      <c r="EI800" s="614"/>
      <c r="EJ800" s="614"/>
      <c r="EK800" s="614"/>
      <c r="EL800" s="614"/>
      <c r="EM800" s="614"/>
      <c r="EN800" s="614"/>
      <c r="EO800" s="614"/>
      <c r="ER800" s="1857">
        <v>2017</v>
      </c>
      <c r="ES800" s="1882"/>
      <c r="ET800" s="1882"/>
    </row>
    <row r="801" spans="100:150" ht="17.399999999999999">
      <c r="CV801" s="614"/>
      <c r="CW801" s="614"/>
      <c r="CZ801" s="1857">
        <v>2018</v>
      </c>
      <c r="DA801" s="1860"/>
      <c r="DB801" s="1785"/>
      <c r="DC801" s="1787"/>
      <c r="DD801" s="1787"/>
      <c r="DE801" s="1787"/>
      <c r="DF801" s="1787">
        <f>НАСТРОЙКА!DR159</f>
        <v>22.02392812898368</v>
      </c>
      <c r="DG801" s="614"/>
      <c r="DH801" s="614"/>
      <c r="DI801" s="614"/>
      <c r="DJ801" s="614"/>
      <c r="DK801" s="614"/>
      <c r="DL801" s="614"/>
      <c r="DM801" s="614"/>
      <c r="DN801" s="614"/>
      <c r="DO801" s="614"/>
      <c r="DP801" s="614"/>
      <c r="DQ801" s="614"/>
      <c r="DR801" s="614"/>
      <c r="DS801" s="614"/>
      <c r="DT801" s="1975">
        <f t="shared" ref="DT801:DT813" si="316">DE801</f>
        <v>0</v>
      </c>
      <c r="DV801" s="1857">
        <v>2018</v>
      </c>
      <c r="DW801" s="1860"/>
      <c r="DX801" s="1787"/>
      <c r="DY801" s="1787"/>
      <c r="DZ801" s="1787"/>
      <c r="EA801" s="838"/>
      <c r="EB801" s="1058"/>
      <c r="EE801" s="614"/>
      <c r="EF801" s="614"/>
      <c r="EG801" s="614"/>
      <c r="EH801" s="614"/>
      <c r="EI801" s="614"/>
      <c r="EJ801" s="614"/>
      <c r="EK801" s="614"/>
      <c r="EL801" s="614"/>
      <c r="EM801" s="614"/>
      <c r="EN801" s="614"/>
      <c r="EO801" s="614"/>
      <c r="ER801" s="1857">
        <v>2018</v>
      </c>
      <c r="ES801" s="1882"/>
      <c r="ET801" s="1882"/>
    </row>
    <row r="802" spans="100:150" ht="17.399999999999999">
      <c r="CV802" s="614"/>
      <c r="CW802" s="614"/>
      <c r="CZ802" s="1857">
        <v>2019</v>
      </c>
      <c r="DA802" s="1861"/>
      <c r="DB802" s="1595"/>
      <c r="DC802" s="1595"/>
      <c r="DD802" s="1595"/>
      <c r="DE802" s="1787"/>
      <c r="DF802" s="1787">
        <f>НАСТРОЙКА!DR160</f>
        <v>22.693455544104783</v>
      </c>
      <c r="DG802" s="614"/>
      <c r="DH802" s="614"/>
      <c r="DI802" s="614"/>
      <c r="DJ802" s="614"/>
      <c r="DK802" s="614"/>
      <c r="DL802" s="614"/>
      <c r="DM802" s="614"/>
      <c r="DN802" s="614"/>
      <c r="DO802" s="614"/>
      <c r="DP802" s="614"/>
      <c r="DQ802" s="614"/>
      <c r="DR802" s="614"/>
      <c r="DS802" s="614"/>
      <c r="DT802" s="1975">
        <f t="shared" si="316"/>
        <v>0</v>
      </c>
      <c r="DV802" s="1857">
        <v>2019</v>
      </c>
      <c r="DW802" s="1861"/>
      <c r="DX802" s="1595"/>
      <c r="DY802" s="1595"/>
      <c r="DZ802" s="1595"/>
      <c r="EA802" s="838"/>
      <c r="EB802" s="1058"/>
      <c r="EE802" s="614"/>
      <c r="EF802" s="614"/>
      <c r="EG802" s="614"/>
      <c r="EH802" s="614"/>
      <c r="EI802" s="614"/>
      <c r="EJ802" s="614"/>
      <c r="EK802" s="614"/>
      <c r="EL802" s="614"/>
      <c r="EM802" s="614"/>
      <c r="EN802" s="614"/>
      <c r="EO802" s="614"/>
      <c r="ER802" s="1857">
        <v>2019</v>
      </c>
      <c r="ES802" s="1883"/>
      <c r="ET802" s="1883"/>
    </row>
    <row r="803" spans="100:150" ht="17.399999999999999">
      <c r="CV803" s="614"/>
      <c r="CW803" s="614"/>
      <c r="CZ803" s="1857">
        <v>2020</v>
      </c>
      <c r="DA803" s="1861"/>
      <c r="DB803" s="1595"/>
      <c r="DC803" s="1595"/>
      <c r="DD803" s="1595"/>
      <c r="DE803" s="1787"/>
      <c r="DF803" s="1787">
        <f>НАСТРОЙКА!DR161</f>
        <v>23.807704211320324</v>
      </c>
      <c r="DG803" s="614"/>
      <c r="DH803" s="614"/>
      <c r="DI803" s="614"/>
      <c r="DJ803" s="614"/>
      <c r="DK803" s="614"/>
      <c r="DL803" s="614"/>
      <c r="DM803" s="614"/>
      <c r="DN803" s="614"/>
      <c r="DO803" s="614"/>
      <c r="DP803" s="614"/>
      <c r="DQ803" s="614"/>
      <c r="DR803" s="614"/>
      <c r="DS803" s="614"/>
      <c r="DT803" s="1975">
        <f t="shared" si="316"/>
        <v>0</v>
      </c>
      <c r="DV803" s="1857">
        <v>2020</v>
      </c>
      <c r="DW803" s="1861"/>
      <c r="DX803" s="1595"/>
      <c r="DY803" s="1595"/>
      <c r="DZ803" s="1595"/>
      <c r="EA803" s="838"/>
      <c r="EB803" s="1058"/>
      <c r="EE803" s="614"/>
      <c r="EF803" s="614"/>
      <c r="EG803" s="614"/>
      <c r="EH803" s="614"/>
      <c r="EI803" s="614"/>
      <c r="EJ803" s="614"/>
      <c r="EK803" s="614"/>
      <c r="EL803" s="614"/>
      <c r="EM803" s="614"/>
      <c r="EN803" s="614"/>
      <c r="EO803" s="614"/>
      <c r="ER803" s="1857">
        <v>2020</v>
      </c>
      <c r="ES803" s="1883"/>
      <c r="ET803" s="1883"/>
    </row>
    <row r="804" spans="100:150" ht="17.399999999999999">
      <c r="CV804" s="614"/>
      <c r="CW804" s="614"/>
      <c r="CZ804" s="1857">
        <v>2021</v>
      </c>
      <c r="DA804" s="1861"/>
      <c r="DB804" s="1595"/>
      <c r="DC804" s="1595"/>
      <c r="DD804" s="1595"/>
      <c r="DE804" s="1787"/>
      <c r="DF804" s="1787">
        <f>НАСТРОЙКА!DR162</f>
        <v>24.998089421886341</v>
      </c>
      <c r="DG804" s="614"/>
      <c r="DH804" s="614"/>
      <c r="DI804" s="614"/>
      <c r="DJ804" s="614"/>
      <c r="DK804" s="614"/>
      <c r="DL804" s="614"/>
      <c r="DM804" s="614"/>
      <c r="DN804" s="614"/>
      <c r="DO804" s="614"/>
      <c r="DP804" s="614"/>
      <c r="DQ804" s="614"/>
      <c r="DR804" s="614"/>
      <c r="DS804" s="614"/>
      <c r="DT804" s="1975">
        <f t="shared" si="316"/>
        <v>0</v>
      </c>
      <c r="DV804" s="1857">
        <v>2021</v>
      </c>
      <c r="DW804" s="1861"/>
      <c r="DX804" s="1595"/>
      <c r="DY804" s="1595"/>
      <c r="DZ804" s="1595"/>
      <c r="EA804" s="838"/>
      <c r="EB804" s="1058"/>
      <c r="EE804" s="614"/>
      <c r="EF804" s="614"/>
      <c r="EG804" s="614"/>
      <c r="EH804" s="614"/>
      <c r="EI804" s="614"/>
      <c r="EJ804" s="614"/>
      <c r="EK804" s="614"/>
      <c r="EL804" s="614"/>
      <c r="EM804" s="614"/>
      <c r="EN804" s="614"/>
      <c r="EO804" s="614"/>
      <c r="ER804" s="1857">
        <v>2021</v>
      </c>
      <c r="ES804" s="1883"/>
      <c r="ET804" s="1883"/>
    </row>
    <row r="805" spans="100:150" ht="17.399999999999999">
      <c r="CV805" s="614"/>
      <c r="CW805" s="614"/>
      <c r="CZ805" s="1857">
        <v>2022</v>
      </c>
      <c r="DA805" s="1861"/>
      <c r="DB805" s="1595"/>
      <c r="DC805" s="1595"/>
      <c r="DD805" s="1595"/>
      <c r="DE805" s="1787"/>
      <c r="DF805" s="1787">
        <f>НАСТРОЙКА!DR163</f>
        <v>26.247993892980659</v>
      </c>
      <c r="DG805" s="614"/>
      <c r="DH805" s="614"/>
      <c r="DI805" s="614"/>
      <c r="DJ805" s="614"/>
      <c r="DK805" s="614"/>
      <c r="DL805" s="614"/>
      <c r="DM805" s="614"/>
      <c r="DN805" s="614"/>
      <c r="DO805" s="614"/>
      <c r="DP805" s="614"/>
      <c r="DQ805" s="614"/>
      <c r="DR805" s="614"/>
      <c r="DS805" s="614"/>
      <c r="DT805" s="1975">
        <f t="shared" si="316"/>
        <v>0</v>
      </c>
      <c r="DV805" s="1857">
        <v>2022</v>
      </c>
      <c r="DW805" s="1861"/>
      <c r="DX805" s="1595"/>
      <c r="DY805" s="1595"/>
      <c r="DZ805" s="1595"/>
      <c r="EA805" s="838"/>
      <c r="EB805" s="1058"/>
      <c r="EE805" s="614"/>
      <c r="EF805" s="614"/>
      <c r="EG805" s="614"/>
      <c r="EH805" s="614"/>
      <c r="EI805" s="614"/>
      <c r="EJ805" s="614"/>
      <c r="EK805" s="614"/>
      <c r="EL805" s="614"/>
      <c r="EM805" s="614"/>
      <c r="EN805" s="614"/>
      <c r="EO805" s="614"/>
      <c r="ER805" s="1857">
        <v>2022</v>
      </c>
      <c r="ES805" s="1883"/>
      <c r="ET805" s="1883"/>
    </row>
    <row r="806" spans="100:150" ht="17.399999999999999">
      <c r="CV806" s="614"/>
      <c r="CW806" s="614"/>
      <c r="CZ806" s="1857">
        <v>2023</v>
      </c>
      <c r="DA806" s="1861"/>
      <c r="DB806" s="1595"/>
      <c r="DC806" s="1595"/>
      <c r="DD806" s="1595"/>
      <c r="DE806" s="1787"/>
      <c r="DF806" s="1787">
        <f>НАСТРОЙКА!DR164</f>
        <v>27.560393587629694</v>
      </c>
      <c r="DG806" s="614"/>
      <c r="DH806" s="614"/>
      <c r="DI806" s="614"/>
      <c r="DJ806" s="614"/>
      <c r="DK806" s="614"/>
      <c r="DL806" s="614"/>
      <c r="DM806" s="614"/>
      <c r="DN806" s="614"/>
      <c r="DO806" s="614"/>
      <c r="DP806" s="614"/>
      <c r="DQ806" s="614"/>
      <c r="DR806" s="614"/>
      <c r="DS806" s="614"/>
      <c r="DT806" s="1975">
        <f t="shared" si="316"/>
        <v>0</v>
      </c>
      <c r="DV806" s="1857">
        <v>2023</v>
      </c>
      <c r="DW806" s="1861"/>
      <c r="DX806" s="1595"/>
      <c r="DY806" s="1595"/>
      <c r="DZ806" s="1595"/>
      <c r="EA806" s="838"/>
      <c r="EB806" s="1058"/>
      <c r="EE806" s="614"/>
      <c r="EF806" s="614"/>
      <c r="EG806" s="614"/>
      <c r="EH806" s="614"/>
      <c r="EI806" s="614"/>
      <c r="EJ806" s="614"/>
      <c r="EK806" s="614"/>
      <c r="EL806" s="614"/>
      <c r="EM806" s="614"/>
      <c r="EN806" s="614"/>
      <c r="EO806" s="614"/>
      <c r="ER806" s="1857">
        <v>2023</v>
      </c>
      <c r="ES806" s="1883"/>
      <c r="ET806" s="1883"/>
    </row>
    <row r="807" spans="100:150" ht="17.399999999999999">
      <c r="CV807" s="614"/>
      <c r="CW807" s="614"/>
      <c r="CZ807" s="1857">
        <v>2024</v>
      </c>
      <c r="DA807" s="1861"/>
      <c r="DB807" s="1595"/>
      <c r="DC807" s="1595"/>
      <c r="DD807" s="1595"/>
      <c r="DE807" s="1787"/>
      <c r="DF807" s="1787">
        <f>НАСТРОЙКА!DR165</f>
        <v>28.938413267011178</v>
      </c>
      <c r="DG807" s="614"/>
      <c r="DH807" s="614"/>
      <c r="DI807" s="614"/>
      <c r="DJ807" s="614"/>
      <c r="DK807" s="614"/>
      <c r="DL807" s="614"/>
      <c r="DM807" s="614"/>
      <c r="DN807" s="614"/>
      <c r="DO807" s="614"/>
      <c r="DP807" s="614"/>
      <c r="DQ807" s="614"/>
      <c r="DR807" s="614"/>
      <c r="DS807" s="614"/>
      <c r="DT807" s="1975">
        <f t="shared" si="316"/>
        <v>0</v>
      </c>
      <c r="DV807" s="1857">
        <v>2024</v>
      </c>
      <c r="DW807" s="1861"/>
      <c r="DX807" s="1595"/>
      <c r="DY807" s="1595"/>
      <c r="DZ807" s="1595"/>
      <c r="EA807" s="838"/>
      <c r="EB807" s="1058"/>
      <c r="EE807" s="614"/>
      <c r="EF807" s="614"/>
      <c r="EG807" s="614"/>
      <c r="EH807" s="614"/>
      <c r="EI807" s="614"/>
      <c r="EJ807" s="614"/>
      <c r="EK807" s="614"/>
      <c r="EL807" s="614"/>
      <c r="EM807" s="614"/>
      <c r="EN807" s="614"/>
      <c r="EO807" s="614"/>
      <c r="ER807" s="1857">
        <v>2024</v>
      </c>
      <c r="ES807" s="1883"/>
      <c r="ET807" s="1883"/>
    </row>
    <row r="808" spans="100:150" ht="17.399999999999999">
      <c r="CV808" s="614"/>
      <c r="CW808" s="614"/>
      <c r="CZ808" s="1857">
        <v>2025</v>
      </c>
      <c r="DA808" s="1861"/>
      <c r="DB808" s="1595"/>
      <c r="DC808" s="1595"/>
      <c r="DD808" s="1595"/>
      <c r="DE808" s="1787"/>
      <c r="DF808" s="1787">
        <f>НАСТРОЙКА!DR166</f>
        <v>30.385333930361739</v>
      </c>
      <c r="DG808" s="614"/>
      <c r="DH808" s="614"/>
      <c r="DI808" s="614"/>
      <c r="DJ808" s="614"/>
      <c r="DK808" s="614"/>
      <c r="DL808" s="614"/>
      <c r="DM808" s="614"/>
      <c r="DN808" s="614"/>
      <c r="DO808" s="614"/>
      <c r="DP808" s="614"/>
      <c r="DQ808" s="614"/>
      <c r="DR808" s="614"/>
      <c r="DS808" s="614"/>
      <c r="DT808" s="1975">
        <f t="shared" si="316"/>
        <v>0</v>
      </c>
      <c r="DV808" s="1857">
        <v>2025</v>
      </c>
      <c r="DW808" s="1861"/>
      <c r="DX808" s="1595"/>
      <c r="DY808" s="1595"/>
      <c r="DZ808" s="1595"/>
      <c r="EA808" s="838"/>
      <c r="EB808" s="1058"/>
      <c r="EE808" s="614"/>
      <c r="EF808" s="614"/>
      <c r="EG808" s="614"/>
      <c r="EH808" s="614"/>
      <c r="EI808" s="614"/>
      <c r="EJ808" s="614"/>
      <c r="EK808" s="614"/>
      <c r="EL808" s="614"/>
      <c r="EM808" s="614"/>
      <c r="EN808" s="614"/>
      <c r="EO808" s="614"/>
      <c r="ER808" s="1857">
        <v>2025</v>
      </c>
      <c r="ES808" s="1883"/>
      <c r="ET808" s="1883"/>
    </row>
    <row r="809" spans="100:150" ht="17.399999999999999">
      <c r="CV809" s="614"/>
      <c r="CW809" s="614"/>
      <c r="CZ809" s="1857">
        <v>2026</v>
      </c>
      <c r="DA809" s="1861"/>
      <c r="DB809" s="1595"/>
      <c r="DC809" s="1595"/>
      <c r="DD809" s="1595"/>
      <c r="DE809" s="1787"/>
      <c r="DF809" s="1787">
        <f>НАСТРОЙКА!DR167</f>
        <v>31.904600626879827</v>
      </c>
      <c r="DG809" s="614"/>
      <c r="DH809" s="614"/>
      <c r="DI809" s="614"/>
      <c r="DJ809" s="614"/>
      <c r="DK809" s="614"/>
      <c r="DL809" s="614"/>
      <c r="DM809" s="614"/>
      <c r="DN809" s="614"/>
      <c r="DO809" s="614"/>
      <c r="DP809" s="614"/>
      <c r="DQ809" s="614"/>
      <c r="DR809" s="614"/>
      <c r="DS809" s="614"/>
      <c r="DT809" s="1975">
        <f t="shared" si="316"/>
        <v>0</v>
      </c>
      <c r="DV809" s="1857">
        <v>2026</v>
      </c>
      <c r="DW809" s="1861"/>
      <c r="DX809" s="1595"/>
      <c r="DY809" s="1595"/>
      <c r="DZ809" s="1595"/>
      <c r="EA809" s="838"/>
      <c r="EB809" s="1058"/>
      <c r="EE809" s="614"/>
      <c r="EF809" s="614"/>
      <c r="EG809" s="614"/>
      <c r="EH809" s="614"/>
      <c r="EI809" s="614"/>
      <c r="EJ809" s="614"/>
      <c r="EK809" s="614"/>
      <c r="EL809" s="614"/>
      <c r="EM809" s="614"/>
      <c r="EN809" s="614"/>
      <c r="EO809" s="614"/>
      <c r="ER809" s="1857">
        <v>2026</v>
      </c>
      <c r="ES809" s="1883"/>
      <c r="ET809" s="1883"/>
    </row>
    <row r="810" spans="100:150" ht="17.399999999999999">
      <c r="CV810" s="614"/>
      <c r="CW810" s="614"/>
      <c r="CZ810" s="1857">
        <v>2027</v>
      </c>
      <c r="DA810" s="1861"/>
      <c r="DB810" s="1595"/>
      <c r="DC810" s="1595"/>
      <c r="DD810" s="1595"/>
      <c r="DE810" s="1787"/>
      <c r="DF810" s="1787">
        <f>НАСТРОЙКА!DR168</f>
        <v>33.499830658223821</v>
      </c>
      <c r="DG810" s="614"/>
      <c r="DH810" s="614"/>
      <c r="DI810" s="614"/>
      <c r="DJ810" s="614"/>
      <c r="DK810" s="614"/>
      <c r="DL810" s="614"/>
      <c r="DM810" s="614"/>
      <c r="DN810" s="614"/>
      <c r="DO810" s="614"/>
      <c r="DP810" s="614"/>
      <c r="DQ810" s="614"/>
      <c r="DR810" s="614"/>
      <c r="DS810" s="614"/>
      <c r="DT810" s="1975">
        <f t="shared" si="316"/>
        <v>0</v>
      </c>
      <c r="DV810" s="1857">
        <v>2027</v>
      </c>
      <c r="DW810" s="1861"/>
      <c r="DX810" s="1595"/>
      <c r="DY810" s="1595"/>
      <c r="DZ810" s="1595"/>
      <c r="EA810" s="838"/>
      <c r="EB810" s="1058"/>
      <c r="EE810" s="614"/>
      <c r="EF810" s="614"/>
      <c r="EG810" s="614"/>
      <c r="EH810" s="614"/>
      <c r="EI810" s="614"/>
      <c r="EJ810" s="614"/>
      <c r="EK810" s="614"/>
      <c r="EL810" s="614"/>
      <c r="EM810" s="614"/>
      <c r="EN810" s="614"/>
      <c r="EO810" s="614"/>
      <c r="ER810" s="1857">
        <v>2027</v>
      </c>
      <c r="ES810" s="1883"/>
      <c r="ET810" s="1883"/>
    </row>
    <row r="811" spans="100:150" ht="17.399999999999999">
      <c r="CV811" s="614"/>
      <c r="CW811" s="614"/>
      <c r="CZ811" s="1857">
        <v>2028</v>
      </c>
      <c r="DA811" s="1861"/>
      <c r="DB811" s="1595"/>
      <c r="DC811" s="1595"/>
      <c r="DD811" s="1595"/>
      <c r="DE811" s="1787"/>
      <c r="DF811" s="1787">
        <f>НАСТРОЙКА!DR169</f>
        <v>35.174822191135014</v>
      </c>
      <c r="DG811" s="614"/>
      <c r="DH811" s="614"/>
      <c r="DI811" s="614"/>
      <c r="DJ811" s="614"/>
      <c r="DK811" s="614"/>
      <c r="DL811" s="614"/>
      <c r="DM811" s="614"/>
      <c r="DN811" s="614"/>
      <c r="DO811" s="614"/>
      <c r="DP811" s="614"/>
      <c r="DQ811" s="614"/>
      <c r="DR811" s="614"/>
      <c r="DS811" s="614"/>
      <c r="DT811" s="1975">
        <f t="shared" si="316"/>
        <v>0</v>
      </c>
      <c r="DV811" s="1857">
        <v>2028</v>
      </c>
      <c r="DW811" s="1861"/>
      <c r="DX811" s="1595"/>
      <c r="DY811" s="1595"/>
      <c r="DZ811" s="1595"/>
      <c r="EA811" s="838"/>
      <c r="EB811" s="1058"/>
      <c r="EE811" s="614"/>
      <c r="EF811" s="614"/>
      <c r="EG811" s="614"/>
      <c r="EH811" s="614"/>
      <c r="EI811" s="614"/>
      <c r="EJ811" s="614"/>
      <c r="EK811" s="614"/>
      <c r="EL811" s="614"/>
      <c r="EM811" s="614"/>
      <c r="EN811" s="614"/>
      <c r="EO811" s="614"/>
      <c r="ER811" s="1857">
        <v>2028</v>
      </c>
      <c r="ES811" s="1883"/>
      <c r="ET811" s="1883"/>
    </row>
    <row r="812" spans="100:150" ht="17.399999999999999">
      <c r="CV812" s="614"/>
      <c r="CW812" s="614"/>
      <c r="CZ812" s="1857">
        <v>2029</v>
      </c>
      <c r="DA812" s="1861"/>
      <c r="DB812" s="1595"/>
      <c r="DC812" s="1595"/>
      <c r="DD812" s="1595"/>
      <c r="DE812" s="1787"/>
      <c r="DF812" s="1787">
        <f>НАСТРОЙКА!DR170</f>
        <v>36.933563300691766</v>
      </c>
      <c r="DG812" s="614"/>
      <c r="DH812" s="614"/>
      <c r="DI812" s="614"/>
      <c r="DJ812" s="614"/>
      <c r="DK812" s="614"/>
      <c r="DL812" s="614"/>
      <c r="DM812" s="614"/>
      <c r="DN812" s="614"/>
      <c r="DO812" s="614"/>
      <c r="DP812" s="614"/>
      <c r="DQ812" s="614"/>
      <c r="DR812" s="614"/>
      <c r="DS812" s="614"/>
      <c r="DT812" s="1975">
        <f t="shared" si="316"/>
        <v>0</v>
      </c>
      <c r="DV812" s="1857">
        <v>2029</v>
      </c>
      <c r="DW812" s="1861"/>
      <c r="DX812" s="1595"/>
      <c r="DY812" s="1595"/>
      <c r="DZ812" s="1595"/>
      <c r="EA812" s="838"/>
      <c r="EB812" s="1058"/>
      <c r="EE812" s="614"/>
      <c r="EF812" s="614"/>
      <c r="EG812" s="614"/>
      <c r="EH812" s="614"/>
      <c r="EI812" s="614"/>
      <c r="EJ812" s="614"/>
      <c r="EK812" s="614"/>
      <c r="EL812" s="614"/>
      <c r="EM812" s="614"/>
      <c r="EN812" s="614"/>
      <c r="EO812" s="614"/>
      <c r="ER812" s="1857">
        <v>2029</v>
      </c>
      <c r="ES812" s="1883"/>
      <c r="ET812" s="1883"/>
    </row>
    <row r="813" spans="100:150" ht="17.399999999999999">
      <c r="CV813" s="614"/>
      <c r="CW813" s="614"/>
      <c r="CZ813" s="1862">
        <v>2030</v>
      </c>
      <c r="DA813" s="1863"/>
      <c r="DB813" s="843"/>
      <c r="DC813" s="843"/>
      <c r="DD813" s="843"/>
      <c r="DE813" s="1060"/>
      <c r="DF813" s="1787">
        <f>НАСТРОЙКА!DR171</f>
        <v>38.780241465726355</v>
      </c>
      <c r="DG813" s="614"/>
      <c r="DH813" s="614"/>
      <c r="DI813" s="614"/>
      <c r="DJ813" s="614"/>
      <c r="DK813" s="614"/>
      <c r="DL813" s="614"/>
      <c r="DM813" s="614"/>
      <c r="DN813" s="614"/>
      <c r="DO813" s="614"/>
      <c r="DP813" s="614"/>
      <c r="DQ813" s="614"/>
      <c r="DR813" s="614"/>
      <c r="DS813" s="614"/>
      <c r="DT813" s="1976">
        <f t="shared" si="316"/>
        <v>0</v>
      </c>
      <c r="DV813" s="1862">
        <v>2030</v>
      </c>
      <c r="DW813" s="1863"/>
      <c r="DX813" s="843"/>
      <c r="DY813" s="843"/>
      <c r="DZ813" s="843"/>
      <c r="EA813" s="843"/>
      <c r="EB813" s="1303"/>
      <c r="EE813" s="614"/>
      <c r="EF813" s="614"/>
      <c r="EG813" s="614"/>
      <c r="EH813" s="614"/>
      <c r="EI813" s="614"/>
      <c r="EJ813" s="614"/>
      <c r="EK813" s="614"/>
      <c r="EL813" s="614"/>
      <c r="EM813" s="614"/>
      <c r="EN813" s="614"/>
      <c r="EO813" s="614"/>
      <c r="ER813" s="1862">
        <v>2030</v>
      </c>
      <c r="ES813" s="1884"/>
      <c r="ET813" s="1884"/>
    </row>
    <row r="814" spans="100:150" ht="17.399999999999999">
      <c r="DJ814" s="614"/>
    </row>
    <row r="815" spans="100:150" ht="16.2" thickBot="1"/>
    <row r="816" spans="100:150" ht="21">
      <c r="DC816" s="1870" t="s">
        <v>351</v>
      </c>
      <c r="DD816" s="1591" t="s">
        <v>1790</v>
      </c>
      <c r="DE816" s="1778" t="s">
        <v>2011</v>
      </c>
      <c r="DF816" s="1604" t="s">
        <v>1790</v>
      </c>
      <c r="DZ816" s="1852" t="s">
        <v>351</v>
      </c>
      <c r="EA816" s="1877" t="s">
        <v>664</v>
      </c>
      <c r="EB816" s="1877" t="s">
        <v>701</v>
      </c>
      <c r="EC816" s="1877" t="s">
        <v>619</v>
      </c>
      <c r="ED816" s="1878" t="s">
        <v>1692</v>
      </c>
      <c r="EE816" s="1878" t="s">
        <v>1691</v>
      </c>
      <c r="EH816" s="614"/>
      <c r="EI816" s="614"/>
      <c r="EJ816" s="614"/>
      <c r="EK816" s="614"/>
      <c r="EL816" s="614"/>
      <c r="EM816" s="614"/>
      <c r="EN816" s="614"/>
      <c r="EO816" s="614"/>
      <c r="EP816" s="614"/>
      <c r="EQ816" s="614"/>
      <c r="ER816" s="614"/>
    </row>
    <row r="817" spans="107:148" ht="18" thickBot="1">
      <c r="DC817" s="1561">
        <v>43687</v>
      </c>
      <c r="DD817" s="1856" t="s">
        <v>1454</v>
      </c>
      <c r="DE817" s="1501" t="s">
        <v>1454</v>
      </c>
      <c r="DF817" s="1824" t="s">
        <v>196</v>
      </c>
      <c r="DZ817" s="720">
        <v>43666</v>
      </c>
      <c r="EA817" s="1880" t="s">
        <v>46</v>
      </c>
      <c r="EB817" s="1629" t="s">
        <v>1454</v>
      </c>
      <c r="EC817" s="1629" t="s">
        <v>46</v>
      </c>
      <c r="ED817" s="1629" t="s">
        <v>1454</v>
      </c>
      <c r="EE817" s="1629" t="s">
        <v>1622</v>
      </c>
      <c r="EH817" s="614"/>
      <c r="EI817" s="614"/>
      <c r="EJ817" s="614"/>
      <c r="EK817" s="614"/>
      <c r="EL817" s="614"/>
      <c r="EM817" s="614"/>
      <c r="EN817" s="614"/>
      <c r="EO817" s="614"/>
      <c r="EP817" s="614"/>
      <c r="EQ817" s="614"/>
      <c r="ER817" s="614"/>
    </row>
    <row r="818" spans="107:148" ht="20.399999999999999">
      <c r="DC818" s="2010">
        <v>1995</v>
      </c>
      <c r="DD818" s="2438">
        <v>1</v>
      </c>
      <c r="DE818" s="2509">
        <v>1</v>
      </c>
      <c r="DF818" s="2042"/>
      <c r="DZ818" s="1857">
        <v>1995</v>
      </c>
      <c r="EA818" s="1875">
        <f>DW778</f>
        <v>5306</v>
      </c>
      <c r="EB818" s="837">
        <f t="array" ref="EB818:EB839">TRANSPOSE(U154:AP154)</f>
        <v>1</v>
      </c>
      <c r="EC818" s="1201">
        <f>DX778</f>
        <v>2767.6205</v>
      </c>
      <c r="ED818" s="1382">
        <f t="shared" ref="ED818:ED839" si="317">EC818/EA818</f>
        <v>0.52160205427817563</v>
      </c>
      <c r="EE818" s="1035">
        <f t="shared" ref="EE818:EE839" si="318">DX778/DW778</f>
        <v>0.52160205427817563</v>
      </c>
      <c r="EH818" s="614"/>
      <c r="EI818" s="614"/>
      <c r="EJ818" s="614"/>
      <c r="EK818" s="614"/>
      <c r="EL818" s="614"/>
      <c r="EM818" s="614"/>
      <c r="EN818" s="614"/>
      <c r="EO818" s="614"/>
      <c r="EP818" s="614"/>
      <c r="EQ818" s="614"/>
      <c r="ER818" s="614"/>
    </row>
    <row r="819" spans="107:148" ht="20.399999999999999">
      <c r="DC819" s="2010">
        <v>1996</v>
      </c>
      <c r="DD819" s="1247">
        <v>1.3890656660960248</v>
      </c>
      <c r="DE819" s="2509">
        <v>1.4580159268698065</v>
      </c>
      <c r="DF819" s="2043"/>
      <c r="DZ819" s="1857">
        <v>1996</v>
      </c>
      <c r="EA819" s="1875">
        <f t="shared" ref="EA819:EA839" si="319">EA$818*DB779</f>
        <v>5300.6940000000004</v>
      </c>
      <c r="EB819" s="1382">
        <v>0.97199999999999998</v>
      </c>
      <c r="EC819" s="1786">
        <f t="shared" ref="EC819:EC839" si="320">EC$818*EB819</f>
        <v>2690.1271259999999</v>
      </c>
      <c r="ED819" s="1597">
        <f t="shared" si="317"/>
        <v>0.5075047014598465</v>
      </c>
      <c r="EE819" s="1035">
        <f t="shared" si="318"/>
        <v>0.29062241009248663</v>
      </c>
      <c r="EH819" s="614"/>
      <c r="EI819" s="614"/>
      <c r="EJ819" s="614"/>
      <c r="EK819" s="614"/>
      <c r="EL819" s="614"/>
      <c r="EM819" s="614"/>
      <c r="EN819" s="614"/>
      <c r="EO819" s="614"/>
      <c r="EP819" s="614"/>
      <c r="EQ819" s="614"/>
      <c r="ER819" s="614"/>
    </row>
    <row r="820" spans="107:148" ht="20.399999999999999">
      <c r="DC820" s="2010">
        <v>1997</v>
      </c>
      <c r="DD820" s="1247">
        <v>1.5288420201321875</v>
      </c>
      <c r="DE820" s="2509">
        <v>1.6775696170093488</v>
      </c>
      <c r="DF820" s="2043"/>
      <c r="DZ820" s="1857">
        <v>1997</v>
      </c>
      <c r="EA820" s="1875">
        <f t="shared" si="319"/>
        <v>5279.4912240000003</v>
      </c>
      <c r="EB820" s="1382">
        <v>0.98560800000000004</v>
      </c>
      <c r="EC820" s="1786">
        <f t="shared" si="320"/>
        <v>2727.788905764</v>
      </c>
      <c r="ED820" s="1597">
        <f t="shared" si="317"/>
        <v>0.51667647317297627</v>
      </c>
      <c r="EE820" s="1035">
        <f t="shared" si="318"/>
        <v>0.32571446678195354</v>
      </c>
      <c r="EH820" s="614"/>
      <c r="EI820" s="614"/>
      <c r="EJ820" s="614"/>
      <c r="EK820" s="614"/>
      <c r="EL820" s="614"/>
      <c r="EM820" s="614"/>
      <c r="EN820" s="614"/>
      <c r="EO820" s="614"/>
      <c r="EP820" s="614"/>
      <c r="EQ820" s="614"/>
      <c r="ER820" s="614"/>
    </row>
    <row r="821" spans="107:148" ht="20.399999999999999">
      <c r="DC821" s="2010">
        <v>1998</v>
      </c>
      <c r="DD821" s="1247">
        <v>1.6012135978440234</v>
      </c>
      <c r="DE821" s="2509">
        <v>1.988574685283935</v>
      </c>
      <c r="DF821" s="2043"/>
      <c r="DZ821" s="1857">
        <v>1998</v>
      </c>
      <c r="EA821" s="1875">
        <f t="shared" si="319"/>
        <v>5263.6527503280004</v>
      </c>
      <c r="EB821" s="1382">
        <v>0.93534199200000001</v>
      </c>
      <c r="EC821" s="1786">
        <f t="shared" si="320"/>
        <v>2588.6716715700359</v>
      </c>
      <c r="ED821" s="1597">
        <f t="shared" si="317"/>
        <v>0.49180137717267253</v>
      </c>
      <c r="EE821" s="1035">
        <f t="shared" si="318"/>
        <v>0.32380602123651481</v>
      </c>
      <c r="EH821" s="614"/>
      <c r="EI821" s="614"/>
      <c r="EJ821" s="614"/>
      <c r="EK821" s="614"/>
      <c r="EL821" s="614"/>
      <c r="EM821" s="614"/>
      <c r="EN821" s="614"/>
      <c r="EO821" s="614"/>
      <c r="EP821" s="614"/>
      <c r="EQ821" s="614"/>
      <c r="ER821" s="614"/>
    </row>
    <row r="822" spans="107:148" ht="20.399999999999999">
      <c r="DC822" s="2010">
        <v>1999</v>
      </c>
      <c r="DD822" s="1247">
        <v>2.7614512511832352</v>
      </c>
      <c r="DE822" s="2509">
        <v>3.4280333525379536</v>
      </c>
      <c r="DF822" s="2043"/>
      <c r="DZ822" s="1857">
        <v>1999</v>
      </c>
      <c r="EA822" s="1875">
        <f t="shared" si="319"/>
        <v>5274.1800558286568</v>
      </c>
      <c r="EB822" s="1382">
        <v>0.98959182753600006</v>
      </c>
      <c r="EC822" s="1786">
        <f t="shared" si="320"/>
        <v>2738.8146285210983</v>
      </c>
      <c r="ED822" s="1597">
        <f t="shared" si="317"/>
        <v>0.51928728248372014</v>
      </c>
      <c r="EE822" s="1035">
        <f t="shared" si="318"/>
        <v>0.58282697830129615</v>
      </c>
      <c r="EH822" s="614"/>
      <c r="EI822" s="614"/>
      <c r="EJ822" s="614"/>
      <c r="EK822" s="614"/>
      <c r="EL822" s="614"/>
      <c r="EM822" s="614"/>
      <c r="EN822" s="614"/>
      <c r="EO822" s="614"/>
      <c r="EP822" s="614"/>
      <c r="EQ822" s="614"/>
      <c r="ER822" s="614"/>
    </row>
    <row r="823" spans="107:148" ht="20.399999999999999">
      <c r="DC823" s="2010">
        <v>2000</v>
      </c>
      <c r="DD823" s="1247">
        <v>3.8813756116757316</v>
      </c>
      <c r="DE823" s="2509">
        <v>4.7203345530217629</v>
      </c>
      <c r="DF823" s="2043"/>
      <c r="DZ823" s="1857">
        <v>2000</v>
      </c>
      <c r="EA823" s="1875">
        <f t="shared" si="319"/>
        <v>5300.5509561077997</v>
      </c>
      <c r="EB823" s="1382">
        <v>1.0826134593243841</v>
      </c>
      <c r="EC823" s="1786">
        <f t="shared" si="320"/>
        <v>2996.2632036020818</v>
      </c>
      <c r="ED823" s="1597">
        <f t="shared" si="317"/>
        <v>0.56527391744994016</v>
      </c>
      <c r="EE823" s="1035">
        <f t="shared" si="318"/>
        <v>0.71874782409528171</v>
      </c>
      <c r="EH823" s="614"/>
      <c r="EI823" s="614"/>
      <c r="EJ823" s="614"/>
      <c r="EK823" s="614"/>
      <c r="EL823" s="614"/>
      <c r="EM823" s="614"/>
      <c r="EN823" s="614"/>
      <c r="EO823" s="614"/>
      <c r="EP823" s="614"/>
      <c r="EQ823" s="614"/>
      <c r="ER823" s="614"/>
    </row>
    <row r="824" spans="107:148" ht="20.399999999999999">
      <c r="DC824" s="2010">
        <v>2001</v>
      </c>
      <c r="DD824" s="1247">
        <v>4.9244555432757879</v>
      </c>
      <c r="DE824" s="2509">
        <v>5.4982302967459225</v>
      </c>
      <c r="DF824" s="2043"/>
      <c r="DZ824" s="1857">
        <v>2001</v>
      </c>
      <c r="EA824" s="1875">
        <f t="shared" si="319"/>
        <v>5348.2559147127704</v>
      </c>
      <c r="EB824" s="1382">
        <v>1.1356615188312789</v>
      </c>
      <c r="EC824" s="1786">
        <f t="shared" si="320"/>
        <v>3143.0801005785834</v>
      </c>
      <c r="ED824" s="1597">
        <f t="shared" si="317"/>
        <v>0.58768319068878805</v>
      </c>
      <c r="EE824" s="1035">
        <f t="shared" si="318"/>
        <v>0.78664351151509671</v>
      </c>
      <c r="EH824" s="614"/>
      <c r="EI824" s="614"/>
      <c r="EJ824" s="614"/>
      <c r="EK824" s="614"/>
      <c r="EL824" s="614"/>
      <c r="EM824" s="614"/>
      <c r="EN824" s="614"/>
      <c r="EO824" s="614"/>
      <c r="EP824" s="614"/>
      <c r="EQ824" s="614"/>
      <c r="ER824" s="614"/>
    </row>
    <row r="825" spans="107:148" ht="20.399999999999999">
      <c r="DC825" s="2010">
        <v>2002</v>
      </c>
      <c r="DD825" s="1247">
        <v>5.5076003782834864</v>
      </c>
      <c r="DE825" s="2509">
        <v>6.3527639368723143</v>
      </c>
      <c r="DF825" s="2043"/>
      <c r="DZ825" s="1857">
        <v>2002</v>
      </c>
      <c r="EA825" s="1875">
        <f t="shared" si="319"/>
        <v>5401.7384738598985</v>
      </c>
      <c r="EB825" s="1382">
        <v>1.1856306256598552</v>
      </c>
      <c r="EC825" s="1786">
        <f t="shared" si="320"/>
        <v>3281.3756250040415</v>
      </c>
      <c r="ED825" s="1597">
        <f t="shared" si="317"/>
        <v>0.60746658522682651</v>
      </c>
      <c r="EE825" s="1035">
        <f t="shared" si="318"/>
        <v>0.77662288076623953</v>
      </c>
      <c r="EH825" s="614"/>
      <c r="EI825" s="614"/>
      <c r="EJ825" s="614"/>
      <c r="EK825" s="614"/>
      <c r="EL825" s="614"/>
      <c r="EM825" s="614"/>
      <c r="EN825" s="614"/>
      <c r="EO825" s="614"/>
      <c r="EP825" s="614"/>
      <c r="EQ825" s="614"/>
      <c r="ER825" s="614"/>
    </row>
    <row r="826" spans="107:148" ht="20.399999999999999">
      <c r="DC826" s="2010">
        <v>2003</v>
      </c>
      <c r="DD826" s="1247">
        <v>6.3255097831872691</v>
      </c>
      <c r="DE826" s="2509">
        <v>7.2278693035761279</v>
      </c>
      <c r="DF826" s="2043"/>
      <c r="DZ826" s="1857">
        <v>2003</v>
      </c>
      <c r="EA826" s="1875">
        <f t="shared" si="319"/>
        <v>5471.961074020076</v>
      </c>
      <c r="EB826" s="1382">
        <v>1.2757385532100043</v>
      </c>
      <c r="EC826" s="1786">
        <f t="shared" si="320"/>
        <v>3530.7601725043487</v>
      </c>
      <c r="ED826" s="1597">
        <f t="shared" si="317"/>
        <v>0.64524584965850484</v>
      </c>
      <c r="EE826" s="1035">
        <f t="shared" si="318"/>
        <v>0.76735180074581832</v>
      </c>
      <c r="EH826" s="614"/>
      <c r="EI826" s="614"/>
      <c r="EJ826" s="614"/>
      <c r="EK826" s="614"/>
      <c r="EL826" s="614"/>
      <c r="EM826" s="614"/>
      <c r="EN826" s="614"/>
      <c r="EO826" s="614"/>
      <c r="EP826" s="614"/>
      <c r="EQ826" s="614"/>
      <c r="ER826" s="614"/>
    </row>
    <row r="827" spans="107:148" ht="20.399999999999999">
      <c r="DC827" s="2010">
        <v>2004</v>
      </c>
      <c r="DD827" s="1247">
        <v>7.3003121869901326</v>
      </c>
      <c r="DE827" s="2509">
        <v>8.6918577637946601</v>
      </c>
      <c r="DF827" s="2043"/>
      <c r="DZ827" s="1857">
        <v>2004</v>
      </c>
      <c r="EA827" s="1875">
        <f t="shared" si="319"/>
        <v>5559.5124512043967</v>
      </c>
      <c r="EB827" s="1382">
        <v>1.3777976374668046</v>
      </c>
      <c r="EC827" s="1786">
        <f t="shared" si="320"/>
        <v>3813.2209863046965</v>
      </c>
      <c r="ED827" s="1597">
        <f t="shared" si="317"/>
        <v>0.6858912575110091</v>
      </c>
      <c r="EE827" s="1035">
        <f t="shared" si="318"/>
        <v>0.84563349773470209</v>
      </c>
      <c r="EH827" s="614"/>
      <c r="EI827" s="614"/>
      <c r="EJ827" s="614"/>
      <c r="EK827" s="614"/>
      <c r="EL827" s="614"/>
      <c r="EM827" s="614"/>
      <c r="EN827" s="614"/>
      <c r="EO827" s="614"/>
      <c r="EP827" s="614"/>
      <c r="EQ827" s="614"/>
      <c r="ER827" s="614"/>
    </row>
    <row r="828" spans="107:148" ht="22.8">
      <c r="DC828" s="2010">
        <v>2005</v>
      </c>
      <c r="DD828" s="1247">
        <v>8.7907908216125801</v>
      </c>
      <c r="DE828" s="2509">
        <v>10.367609893058376</v>
      </c>
      <c r="DF828" s="2043"/>
      <c r="DZ828" s="1857">
        <v>2005</v>
      </c>
      <c r="EA828" s="1875">
        <f t="shared" si="319"/>
        <v>5665.1431877772811</v>
      </c>
      <c r="EB828" s="1382">
        <v>1.4563321028024123</v>
      </c>
      <c r="EC828" s="1786">
        <f t="shared" si="320"/>
        <v>4030.5745825240638</v>
      </c>
      <c r="ED828" s="1597">
        <f t="shared" si="317"/>
        <v>0.71146914542604167</v>
      </c>
      <c r="EE828" s="1035">
        <f t="shared" si="318"/>
        <v>0.892191690364872</v>
      </c>
      <c r="EH828" s="614"/>
      <c r="EI828" s="614"/>
      <c r="EJ828" s="614"/>
      <c r="EK828" s="614"/>
      <c r="EL828" s="614"/>
      <c r="EM828" s="614"/>
      <c r="EN828" s="614"/>
      <c r="EO828" s="614"/>
      <c r="EP828" s="1038" t="s">
        <v>190</v>
      </c>
      <c r="EQ828" s="614"/>
      <c r="ER828" s="614"/>
    </row>
    <row r="829" spans="107:148" ht="20.399999999999999">
      <c r="DC829" s="2010">
        <v>2006</v>
      </c>
      <c r="DD829" s="1247">
        <v>10.077706332186347</v>
      </c>
      <c r="DE829" s="2509">
        <v>11.93524305499237</v>
      </c>
      <c r="DF829" s="2043"/>
      <c r="DZ829" s="1857">
        <v>2006</v>
      </c>
      <c r="EA829" s="1875">
        <f t="shared" si="319"/>
        <v>5801.1066242839361</v>
      </c>
      <c r="EB829" s="1382">
        <v>1.5859456599518269</v>
      </c>
      <c r="EC829" s="1786">
        <f t="shared" si="320"/>
        <v>4389.2957203687056</v>
      </c>
      <c r="ED829" s="1597">
        <f t="shared" si="317"/>
        <v>0.75663076110249938</v>
      </c>
      <c r="EE829" s="1035">
        <f t="shared" si="318"/>
        <v>0.97335944113373618</v>
      </c>
      <c r="EH829" s="614"/>
      <c r="EI829" s="614"/>
      <c r="EJ829" s="614"/>
      <c r="EK829" s="614"/>
      <c r="EL829" s="614"/>
      <c r="EM829" s="614"/>
      <c r="EN829" s="614"/>
      <c r="EO829" s="614"/>
      <c r="EP829" s="614"/>
      <c r="EQ829" s="614"/>
      <c r="ER829" s="614"/>
    </row>
    <row r="830" spans="107:148" ht="20.399999999999999">
      <c r="DC830" s="2010">
        <v>2007</v>
      </c>
      <c r="DD830" s="1247">
        <v>11.630372067549995</v>
      </c>
      <c r="DE830" s="2509">
        <v>13.58722463070583</v>
      </c>
      <c r="DF830" s="2043"/>
      <c r="DZ830" s="1857">
        <v>2007</v>
      </c>
      <c r="EA830" s="1875">
        <f t="shared" si="319"/>
        <v>5980.9409296367376</v>
      </c>
      <c r="EB830" s="1382">
        <v>1.7255088780275878</v>
      </c>
      <c r="EC830" s="1786">
        <f t="shared" si="320"/>
        <v>4775.553743761152</v>
      </c>
      <c r="ED830" s="1597">
        <f t="shared" si="317"/>
        <v>0.79846194770079482</v>
      </c>
      <c r="EE830" s="1035">
        <f t="shared" si="318"/>
        <v>0.95630362967991922</v>
      </c>
      <c r="EH830" s="614"/>
      <c r="EI830" s="614"/>
      <c r="EJ830" s="614"/>
      <c r="EK830" s="614"/>
      <c r="EL830" s="614"/>
      <c r="EM830" s="614"/>
      <c r="EN830" s="614"/>
      <c r="EO830" s="614"/>
      <c r="EP830" s="614"/>
      <c r="EQ830" s="614"/>
      <c r="ER830" s="614"/>
    </row>
    <row r="831" spans="107:148" ht="20.399999999999999">
      <c r="DC831" s="2010">
        <v>2008</v>
      </c>
      <c r="DD831" s="1247">
        <v>13.808577618030881</v>
      </c>
      <c r="DE831" s="2509">
        <v>16.034757164997917</v>
      </c>
      <c r="DF831" s="2043"/>
      <c r="DZ831" s="1857">
        <v>2008</v>
      </c>
      <c r="EA831" s="1875">
        <f t="shared" si="319"/>
        <v>6196.2548031036604</v>
      </c>
      <c r="EB831" s="1382">
        <v>1.8117843219289673</v>
      </c>
      <c r="EC831" s="1786">
        <f t="shared" si="320"/>
        <v>5014.3314309492098</v>
      </c>
      <c r="ED831" s="1597">
        <f t="shared" si="317"/>
        <v>0.80925197402107585</v>
      </c>
      <c r="EE831" s="1035">
        <f t="shared" si="318"/>
        <v>0.96178030007925097</v>
      </c>
      <c r="EH831" s="614"/>
      <c r="EI831" s="614"/>
      <c r="EJ831" s="614"/>
      <c r="EK831" s="614"/>
      <c r="EL831" s="614"/>
      <c r="EM831" s="614"/>
      <c r="EN831" s="614"/>
      <c r="EO831" s="614"/>
      <c r="EP831" s="614"/>
      <c r="EQ831" s="614"/>
      <c r="ER831" s="614"/>
    </row>
    <row r="832" spans="107:148" ht="20.399999999999999">
      <c r="DC832" s="2010">
        <v>2009</v>
      </c>
      <c r="DD832" s="1247">
        <v>13.964756035279709</v>
      </c>
      <c r="DE832" s="2509">
        <v>16.36851650284715</v>
      </c>
      <c r="DF832" s="2043"/>
      <c r="DZ832" s="1857">
        <v>2009</v>
      </c>
      <c r="EA832" s="1875">
        <f t="shared" si="319"/>
        <v>6394.5349568029778</v>
      </c>
      <c r="EB832" s="1382">
        <v>1.6777122821062238</v>
      </c>
      <c r="EC832" s="1786">
        <f t="shared" si="320"/>
        <v>4643.2709050589683</v>
      </c>
      <c r="ED832" s="1597">
        <f t="shared" si="317"/>
        <v>0.72613113172821342</v>
      </c>
      <c r="EE832" s="1035">
        <f t="shared" si="318"/>
        <v>0.8276311392849024</v>
      </c>
      <c r="EH832" s="614"/>
      <c r="EI832" s="614"/>
      <c r="EJ832" s="614"/>
      <c r="EK832" s="614"/>
      <c r="EL832" s="614"/>
      <c r="EM832" s="614"/>
      <c r="EN832" s="614"/>
      <c r="EO832" s="614"/>
      <c r="EP832" s="614"/>
      <c r="EQ832" s="614"/>
      <c r="ER832" s="614"/>
    </row>
    <row r="833" spans="107:148" ht="20.399999999999999">
      <c r="DC833" s="2010">
        <v>2010</v>
      </c>
      <c r="DD833" s="1247">
        <v>16.223531809175668</v>
      </c>
      <c r="DE833" s="2509">
        <v>18.691361299299281</v>
      </c>
      <c r="DF833" s="2043"/>
      <c r="DZ833" s="1857">
        <v>2010</v>
      </c>
      <c r="EA833" s="1875">
        <f t="shared" si="319"/>
        <v>6586.3710055070669</v>
      </c>
      <c r="EB833" s="1382">
        <v>1.7615978962115351</v>
      </c>
      <c r="EC833" s="1786">
        <f t="shared" si="320"/>
        <v>4875.4344503119164</v>
      </c>
      <c r="ED833" s="1597">
        <f t="shared" si="317"/>
        <v>0.74023076535400389</v>
      </c>
      <c r="EE833" s="1035">
        <f t="shared" si="318"/>
        <v>0.88054643401369315</v>
      </c>
      <c r="EH833" s="614"/>
      <c r="EI833" s="614"/>
      <c r="EJ833" s="614"/>
      <c r="EK833" s="614"/>
      <c r="EL833" s="614"/>
      <c r="EM833" s="614"/>
      <c r="EN833" s="614"/>
      <c r="EO833" s="614"/>
      <c r="EP833" s="614"/>
      <c r="EQ833" s="614"/>
      <c r="ER833" s="614"/>
    </row>
    <row r="834" spans="107:148" ht="20.399999999999999">
      <c r="DC834" s="2010">
        <v>2011</v>
      </c>
      <c r="DD834" s="1247">
        <v>18.09503717757504</v>
      </c>
      <c r="DE834" s="2509">
        <v>23.328518818067689</v>
      </c>
      <c r="DF834" s="2043"/>
      <c r="DZ834" s="1857">
        <v>2011</v>
      </c>
      <c r="EA834" s="1875">
        <f t="shared" si="319"/>
        <v>6849.8258457273505</v>
      </c>
      <c r="EB834" s="1382">
        <v>1.837346605748631</v>
      </c>
      <c r="EC834" s="1786">
        <f t="shared" si="320"/>
        <v>5085.0781316753291</v>
      </c>
      <c r="ED834" s="1597">
        <f t="shared" si="317"/>
        <v>0.7423660464079096</v>
      </c>
      <c r="EE834" s="1035">
        <f t="shared" si="318"/>
        <v>0.93480977676132637</v>
      </c>
      <c r="EH834" s="614"/>
      <c r="EI834" s="614"/>
      <c r="EJ834" s="614"/>
      <c r="EK834" s="614"/>
      <c r="EL834" s="614"/>
      <c r="EM834" s="614"/>
      <c r="EN834" s="614"/>
      <c r="EO834" s="614"/>
      <c r="EP834" s="614"/>
      <c r="EQ834" s="614"/>
      <c r="ER834" s="614"/>
    </row>
    <row r="835" spans="107:148" ht="20.399999999999999">
      <c r="DC835" s="2010">
        <v>2012</v>
      </c>
      <c r="DD835" s="1247">
        <v>19.232494464635629</v>
      </c>
      <c r="DE835" s="2509">
        <v>25.448132013167307</v>
      </c>
      <c r="DF835" s="2043"/>
      <c r="DZ835" s="1857">
        <v>2012</v>
      </c>
      <c r="EA835" s="1875">
        <f t="shared" si="319"/>
        <v>7144.3683570936255</v>
      </c>
      <c r="EB835" s="1382">
        <v>1.9090031233728277</v>
      </c>
      <c r="EC835" s="1786">
        <f t="shared" si="320"/>
        <v>5283.3961788106672</v>
      </c>
      <c r="ED835" s="1597">
        <f t="shared" si="317"/>
        <v>0.73951900500270207</v>
      </c>
      <c r="EE835" s="1035">
        <f t="shared" si="318"/>
        <v>0.93257281333234376</v>
      </c>
      <c r="EH835" s="614"/>
      <c r="EI835" s="614"/>
      <c r="EJ835" s="614"/>
      <c r="EK835" s="614"/>
      <c r="EL835" s="614"/>
      <c r="EM835" s="614"/>
      <c r="EN835" s="614"/>
      <c r="EO835" s="614"/>
      <c r="EP835" s="614"/>
      <c r="EQ835" s="614"/>
      <c r="ER835" s="614"/>
    </row>
    <row r="836" spans="107:148" ht="20.399999999999999">
      <c r="DC836" s="2010">
        <v>2013</v>
      </c>
      <c r="DD836" s="1247">
        <v>20.587243519803909</v>
      </c>
      <c r="DE836" s="2509">
        <v>26.824707619879</v>
      </c>
      <c r="DF836" s="2043"/>
      <c r="DZ836" s="1857">
        <v>2013</v>
      </c>
      <c r="EA836" s="1875">
        <f t="shared" si="319"/>
        <v>7437.2874597344635</v>
      </c>
      <c r="EB836" s="1382">
        <v>1.949092188963657</v>
      </c>
      <c r="EC836" s="1786">
        <f t="shared" si="320"/>
        <v>5394.3474985656912</v>
      </c>
      <c r="ED836" s="1597">
        <f t="shared" si="317"/>
        <v>0.72531114707757816</v>
      </c>
      <c r="EE836" s="1035">
        <f t="shared" si="318"/>
        <v>0.92243036470175876</v>
      </c>
      <c r="EH836" s="614"/>
      <c r="EI836" s="614"/>
      <c r="EJ836" s="614"/>
      <c r="EK836" s="614"/>
      <c r="EL836" s="614"/>
      <c r="EM836" s="614"/>
      <c r="EN836" s="614"/>
      <c r="EO836" s="614"/>
      <c r="EP836" s="614"/>
      <c r="EQ836" s="614"/>
      <c r="ER836" s="614"/>
    </row>
    <row r="837" spans="107:148" ht="20.399999999999999">
      <c r="DC837" s="2010">
        <v>2014</v>
      </c>
      <c r="DD837" s="1247">
        <v>22.05840052773225</v>
      </c>
      <c r="DE837" s="2509">
        <v>28.784997864196892</v>
      </c>
      <c r="DF837" s="2043"/>
      <c r="DZ837" s="1857">
        <v>2014</v>
      </c>
      <c r="EA837" s="1875">
        <f t="shared" si="319"/>
        <v>7712.4670957446378</v>
      </c>
      <c r="EB837" s="1382">
        <v>1.9646849264753663</v>
      </c>
      <c r="EC837" s="1786">
        <f t="shared" si="320"/>
        <v>5437.5022785542169</v>
      </c>
      <c r="ED837" s="1597">
        <f t="shared" si="317"/>
        <v>0.70502761451706741</v>
      </c>
      <c r="EE837" s="1035">
        <f t="shared" si="318"/>
        <v>0.90107101675371359</v>
      </c>
      <c r="EH837" s="614"/>
      <c r="EI837" s="614"/>
      <c r="EJ837" s="614"/>
      <c r="EK837" s="614"/>
      <c r="EL837" s="614"/>
      <c r="EM837" s="614"/>
      <c r="EN837" s="614"/>
      <c r="EO837" s="614"/>
      <c r="EP837" s="614"/>
      <c r="EQ837" s="614"/>
      <c r="ER837" s="614"/>
    </row>
    <row r="838" spans="107:148" ht="20.399999999999999">
      <c r="DC838" s="2010">
        <v>2015</v>
      </c>
      <c r="DD838" s="1247">
        <v>24.641576618684894</v>
      </c>
      <c r="DE838" s="2509">
        <v>30.966739453891172</v>
      </c>
      <c r="DF838" s="2043"/>
      <c r="DZ838" s="1857">
        <v>2015</v>
      </c>
      <c r="EA838" s="1875">
        <f t="shared" si="319"/>
        <v>7959.2660428084673</v>
      </c>
      <c r="EB838" s="1382">
        <v>1.9391440224311864</v>
      </c>
      <c r="EC838" s="1786">
        <f t="shared" si="320"/>
        <v>5366.8147489330113</v>
      </c>
      <c r="ED838" s="1597">
        <f t="shared" si="317"/>
        <v>0.67428513132591605</v>
      </c>
      <c r="EE838" s="1035">
        <f t="shared" si="318"/>
        <v>0.90811074817234405</v>
      </c>
      <c r="EH838" s="614"/>
      <c r="EI838" s="614"/>
      <c r="EJ838" s="614"/>
      <c r="EK838" s="614"/>
      <c r="EL838" s="614"/>
      <c r="EM838" s="614"/>
      <c r="EN838" s="614"/>
      <c r="EO838" s="614"/>
      <c r="EP838" s="614"/>
      <c r="EQ838" s="614"/>
      <c r="ER838" s="614"/>
    </row>
    <row r="839" spans="107:148" ht="20.399999999999999">
      <c r="DC839" s="2010">
        <v>2016</v>
      </c>
      <c r="DD839" s="1247">
        <v>25.860963953898047</v>
      </c>
      <c r="DE839" s="2509">
        <v>31.95906212797086</v>
      </c>
      <c r="DF839" s="2043"/>
      <c r="DZ839" s="1857">
        <v>2016</v>
      </c>
      <c r="EA839" s="1875">
        <f t="shared" si="319"/>
        <v>8269.677418477997</v>
      </c>
      <c r="EB839" s="1382">
        <v>1.9624137507003607</v>
      </c>
      <c r="EC839" s="1786">
        <f t="shared" si="320"/>
        <v>5431.2165259202075</v>
      </c>
      <c r="ED839" s="1597">
        <f t="shared" si="317"/>
        <v>0.65676280356287497</v>
      </c>
      <c r="EE839" s="1035">
        <f t="shared" si="318"/>
        <v>0.8388939172537131</v>
      </c>
      <c r="EH839" s="614"/>
      <c r="EI839" s="614"/>
      <c r="EJ839" s="614"/>
      <c r="EK839" s="614"/>
      <c r="EL839" s="614"/>
      <c r="EM839" s="614"/>
      <c r="EN839" s="614"/>
      <c r="EO839" s="614"/>
      <c r="EP839" s="614"/>
      <c r="EQ839" s="614"/>
      <c r="ER839" s="614"/>
    </row>
    <row r="840" spans="107:148" ht="20.399999999999999">
      <c r="DC840" s="2010">
        <v>2017</v>
      </c>
      <c r="DD840" s="1247">
        <v>27.255812823973141</v>
      </c>
      <c r="DE840" s="2509">
        <v>33.681817557170291</v>
      </c>
      <c r="DF840" s="2043"/>
      <c r="DZ840" s="1857">
        <v>2017</v>
      </c>
      <c r="EA840" s="1860"/>
      <c r="EB840" s="830"/>
      <c r="EC840" s="1787"/>
      <c r="ED840" s="1787"/>
      <c r="EE840" s="1058"/>
      <c r="EH840" s="614"/>
      <c r="EI840" s="614"/>
      <c r="EJ840" s="614"/>
      <c r="EK840" s="614"/>
      <c r="EL840" s="614"/>
      <c r="EM840" s="614"/>
      <c r="EN840" s="614"/>
      <c r="EO840" s="614"/>
      <c r="EP840" s="614"/>
      <c r="EQ840" s="614"/>
      <c r="ER840" s="614"/>
    </row>
    <row r="841" spans="107:148" ht="20.399999999999999">
      <c r="DC841" s="2010">
        <v>2018</v>
      </c>
      <c r="DD841" s="1247">
        <v>29.595988664938762</v>
      </c>
      <c r="DE841" s="2509">
        <v>37.133916580663836</v>
      </c>
      <c r="DF841" s="2043"/>
      <c r="DZ841" s="1857">
        <v>2018</v>
      </c>
      <c r="EA841" s="1860"/>
      <c r="EB841" s="830"/>
      <c r="EC841" s="1787"/>
      <c r="ED841" s="1787"/>
      <c r="EE841" s="1058"/>
      <c r="EH841" s="614"/>
      <c r="EI841" s="614"/>
      <c r="EJ841" s="614"/>
      <c r="EK841" s="614"/>
      <c r="EL841" s="614"/>
      <c r="EM841" s="614"/>
      <c r="EN841" s="614"/>
      <c r="EO841" s="614"/>
      <c r="EP841" s="614"/>
      <c r="EQ841" s="614"/>
      <c r="ER841" s="614"/>
    </row>
    <row r="842" spans="107:148" ht="17.399999999999999">
      <c r="DC842" s="2010">
        <v>2019</v>
      </c>
      <c r="DD842" s="838"/>
      <c r="DE842" s="838"/>
      <c r="DF842" s="2043"/>
      <c r="DZ842" s="1857">
        <v>2019</v>
      </c>
      <c r="EA842" s="1861"/>
      <c r="EB842" s="830"/>
      <c r="EC842" s="1595"/>
      <c r="ED842" s="1595"/>
      <c r="EE842" s="1058"/>
      <c r="EH842" s="614"/>
      <c r="EI842" s="614"/>
      <c r="EJ842" s="614"/>
      <c r="EK842" s="614"/>
      <c r="EL842" s="614"/>
      <c r="EM842" s="614"/>
      <c r="EN842" s="614"/>
      <c r="EO842" s="614"/>
      <c r="EP842" s="614"/>
      <c r="EQ842" s="614"/>
      <c r="ER842" s="614"/>
    </row>
    <row r="843" spans="107:148" ht="17.399999999999999">
      <c r="DC843" s="2010">
        <v>2020</v>
      </c>
      <c r="DD843" s="838"/>
      <c r="DE843" s="838"/>
      <c r="DF843" s="2043"/>
      <c r="DZ843" s="1857">
        <v>2020</v>
      </c>
      <c r="EA843" s="1861"/>
      <c r="EB843" s="830"/>
      <c r="EC843" s="1595"/>
      <c r="ED843" s="1595"/>
      <c r="EE843" s="1058"/>
      <c r="EH843" s="614"/>
      <c r="EI843" s="614"/>
      <c r="EJ843" s="614"/>
      <c r="EK843" s="614"/>
      <c r="EL843" s="614"/>
      <c r="EM843" s="614"/>
      <c r="EN843" s="614"/>
      <c r="EO843" s="614"/>
      <c r="EP843" s="614"/>
      <c r="EQ843" s="614"/>
      <c r="ER843" s="614"/>
    </row>
    <row r="844" spans="107:148" ht="17.399999999999999">
      <c r="DC844" s="2010">
        <v>2021</v>
      </c>
      <c r="DD844" s="838"/>
      <c r="DE844" s="838"/>
      <c r="DF844" s="2043"/>
      <c r="DZ844" s="1857">
        <v>2021</v>
      </c>
      <c r="EA844" s="1861"/>
      <c r="EB844" s="830"/>
      <c r="EC844" s="1595"/>
      <c r="ED844" s="1595"/>
      <c r="EE844" s="1058"/>
      <c r="EH844" s="614"/>
      <c r="EI844" s="614"/>
      <c r="EJ844" s="614"/>
      <c r="EK844" s="614"/>
      <c r="EL844" s="614"/>
      <c r="EM844" s="614"/>
      <c r="EN844" s="614"/>
      <c r="EO844" s="614"/>
      <c r="EP844" s="614"/>
      <c r="EQ844" s="614"/>
      <c r="ER844" s="614"/>
    </row>
    <row r="845" spans="107:148" ht="17.399999999999999">
      <c r="DC845" s="2010">
        <v>2022</v>
      </c>
      <c r="DD845" s="838"/>
      <c r="DE845" s="838"/>
      <c r="DF845" s="2043"/>
      <c r="DZ845" s="1857">
        <v>2022</v>
      </c>
      <c r="EA845" s="1861"/>
      <c r="EB845" s="830"/>
      <c r="EC845" s="1595"/>
      <c r="ED845" s="1595"/>
      <c r="EE845" s="1058"/>
      <c r="EH845" s="614"/>
      <c r="EI845" s="614"/>
      <c r="EJ845" s="614"/>
      <c r="EK845" s="614"/>
      <c r="EL845" s="614"/>
      <c r="EM845" s="614"/>
      <c r="EN845" s="614"/>
      <c r="EO845" s="614"/>
      <c r="EP845" s="614"/>
      <c r="EQ845" s="614"/>
      <c r="ER845" s="614"/>
    </row>
    <row r="846" spans="107:148" ht="17.399999999999999">
      <c r="DC846" s="2010">
        <v>2023</v>
      </c>
      <c r="DD846" s="838"/>
      <c r="DE846" s="838"/>
      <c r="DF846" s="2043"/>
      <c r="DZ846" s="1857">
        <v>2023</v>
      </c>
      <c r="EA846" s="1861"/>
      <c r="EB846" s="830"/>
      <c r="EC846" s="1595"/>
      <c r="ED846" s="1595"/>
      <c r="EE846" s="1058"/>
      <c r="EH846" s="614"/>
      <c r="EI846" s="614"/>
      <c r="EJ846" s="614"/>
      <c r="EK846" s="614"/>
      <c r="EL846" s="614"/>
      <c r="EM846" s="614"/>
      <c r="EN846" s="614"/>
      <c r="EO846" s="614"/>
      <c r="EP846" s="614"/>
      <c r="EQ846" s="614"/>
      <c r="ER846" s="614"/>
    </row>
    <row r="847" spans="107:148" ht="17.399999999999999">
      <c r="DC847" s="2010">
        <v>2024</v>
      </c>
      <c r="DD847" s="838"/>
      <c r="DE847" s="838"/>
      <c r="DF847" s="2043"/>
      <c r="DZ847" s="1857">
        <v>2024</v>
      </c>
      <c r="EA847" s="1861"/>
      <c r="EB847" s="830"/>
      <c r="EC847" s="1595"/>
      <c r="ED847" s="1595"/>
      <c r="EE847" s="1058"/>
      <c r="EH847" s="614"/>
      <c r="EI847" s="614"/>
      <c r="EJ847" s="614"/>
      <c r="EK847" s="614"/>
      <c r="EL847" s="614"/>
      <c r="EM847" s="614"/>
      <c r="EN847" s="614"/>
      <c r="EO847" s="614"/>
      <c r="EP847" s="614"/>
      <c r="EQ847" s="614"/>
      <c r="ER847" s="614"/>
    </row>
    <row r="848" spans="107:148" ht="17.399999999999999">
      <c r="DC848" s="2010">
        <v>2025</v>
      </c>
      <c r="DD848" s="838"/>
      <c r="DE848" s="838"/>
      <c r="DF848" s="2043"/>
      <c r="DZ848" s="1857">
        <v>2025</v>
      </c>
      <c r="EA848" s="1861"/>
      <c r="EB848" s="830"/>
      <c r="EC848" s="1595"/>
      <c r="ED848" s="1595"/>
      <c r="EE848" s="1058"/>
      <c r="EH848" s="614"/>
      <c r="EI848" s="614"/>
      <c r="EJ848" s="614"/>
      <c r="EK848" s="614"/>
      <c r="EL848" s="614"/>
      <c r="EM848" s="614"/>
      <c r="EN848" s="614"/>
      <c r="EO848" s="614"/>
      <c r="EP848" s="614"/>
      <c r="EQ848" s="614"/>
      <c r="ER848" s="614"/>
    </row>
    <row r="849" spans="105:148" ht="17.399999999999999">
      <c r="DC849" s="2010">
        <v>2026</v>
      </c>
      <c r="DD849" s="838"/>
      <c r="DE849" s="838"/>
      <c r="DF849" s="2043"/>
      <c r="DZ849" s="1857">
        <v>2026</v>
      </c>
      <c r="EA849" s="1861"/>
      <c r="EB849" s="830"/>
      <c r="EC849" s="1595"/>
      <c r="ED849" s="1595"/>
      <c r="EE849" s="1058"/>
      <c r="EH849" s="614"/>
      <c r="EI849" s="614"/>
      <c r="EJ849" s="614"/>
      <c r="EK849" s="614"/>
      <c r="EL849" s="614"/>
      <c r="EM849" s="614"/>
      <c r="EN849" s="614"/>
      <c r="EO849" s="614"/>
      <c r="EP849" s="614"/>
      <c r="EQ849" s="614"/>
      <c r="ER849" s="614"/>
    </row>
    <row r="850" spans="105:148" ht="17.399999999999999">
      <c r="DC850" s="2010">
        <v>2027</v>
      </c>
      <c r="DD850" s="838"/>
      <c r="DE850" s="838"/>
      <c r="DF850" s="2043"/>
      <c r="DZ850" s="1857">
        <v>2027</v>
      </c>
      <c r="EA850" s="1861"/>
      <c r="EB850" s="830"/>
      <c r="EC850" s="1595"/>
      <c r="ED850" s="1595"/>
      <c r="EE850" s="1058"/>
      <c r="EH850" s="614"/>
      <c r="EI850" s="614"/>
      <c r="EJ850" s="614"/>
      <c r="EK850" s="614"/>
      <c r="EL850" s="614"/>
      <c r="EM850" s="614"/>
      <c r="EN850" s="614"/>
      <c r="EO850" s="614"/>
      <c r="EP850" s="614"/>
      <c r="EQ850" s="614"/>
      <c r="ER850" s="614"/>
    </row>
    <row r="851" spans="105:148" ht="17.399999999999999">
      <c r="DC851" s="2010">
        <v>2028</v>
      </c>
      <c r="DD851" s="838"/>
      <c r="DE851" s="838"/>
      <c r="DF851" s="2043"/>
      <c r="DZ851" s="1857">
        <v>2028</v>
      </c>
      <c r="EA851" s="1861"/>
      <c r="EB851" s="830"/>
      <c r="EC851" s="1595"/>
      <c r="ED851" s="1595"/>
      <c r="EE851" s="1058"/>
      <c r="EH851" s="614"/>
      <c r="EI851" s="614"/>
      <c r="EJ851" s="614"/>
      <c r="EK851" s="614"/>
      <c r="EL851" s="614"/>
      <c r="EM851" s="614"/>
      <c r="EN851" s="614"/>
      <c r="EO851" s="614"/>
      <c r="EP851" s="614"/>
      <c r="EQ851" s="614"/>
      <c r="ER851" s="614"/>
    </row>
    <row r="852" spans="105:148" ht="17.399999999999999">
      <c r="DC852" s="2010">
        <v>2029</v>
      </c>
      <c r="DD852" s="838"/>
      <c r="DE852" s="838"/>
      <c r="DF852" s="2043"/>
      <c r="DZ852" s="1857">
        <v>2029</v>
      </c>
      <c r="EA852" s="1861"/>
      <c r="EB852" s="830"/>
      <c r="EC852" s="1595"/>
      <c r="ED852" s="1595"/>
      <c r="EE852" s="1058"/>
      <c r="EH852" s="614"/>
      <c r="EI852" s="614"/>
      <c r="EJ852" s="614"/>
      <c r="EK852" s="614"/>
      <c r="EL852" s="614"/>
      <c r="EM852" s="614"/>
      <c r="EN852" s="614"/>
      <c r="EO852" s="614"/>
      <c r="EP852" s="614"/>
      <c r="EQ852" s="614"/>
      <c r="ER852" s="614"/>
    </row>
    <row r="853" spans="105:148" ht="18" thickBot="1">
      <c r="DC853" s="2012">
        <v>2030</v>
      </c>
      <c r="DD853" s="1783"/>
      <c r="DE853" s="1783"/>
      <c r="DF853" s="2044"/>
      <c r="DZ853" s="1862">
        <v>2030</v>
      </c>
      <c r="EA853" s="1863"/>
      <c r="EB853" s="1646"/>
      <c r="EC853" s="843"/>
      <c r="ED853" s="843"/>
      <c r="EE853" s="1303"/>
      <c r="EH853" s="614"/>
      <c r="EI853" s="614"/>
      <c r="EJ853" s="614"/>
      <c r="EK853" s="614"/>
      <c r="EL853" s="614"/>
      <c r="EM853" s="614"/>
      <c r="EN853" s="614"/>
      <c r="EO853" s="614"/>
      <c r="EP853" s="614"/>
      <c r="EQ853" s="614"/>
      <c r="ER853" s="614"/>
    </row>
    <row r="855" spans="105:148" ht="16.2" thickBot="1"/>
    <row r="856" spans="105:148" ht="17.399999999999999">
      <c r="DA856" s="1870" t="s">
        <v>351</v>
      </c>
      <c r="DB856" s="1591" t="s">
        <v>1709</v>
      </c>
      <c r="DC856" s="1591" t="s">
        <v>819</v>
      </c>
      <c r="DD856" s="1591" t="s">
        <v>1710</v>
      </c>
      <c r="DE856" s="1591" t="s">
        <v>1710</v>
      </c>
      <c r="DF856" s="1591" t="s">
        <v>1679</v>
      </c>
      <c r="DW856" s="1870" t="s">
        <v>351</v>
      </c>
      <c r="DX856" s="1591" t="s">
        <v>1787</v>
      </c>
      <c r="DY856" s="1591" t="s">
        <v>785</v>
      </c>
      <c r="DZ856" s="1591" t="s">
        <v>1788</v>
      </c>
      <c r="EA856" s="1591" t="s">
        <v>1788</v>
      </c>
      <c r="EB856" s="1591" t="s">
        <v>1679</v>
      </c>
    </row>
    <row r="857" spans="105:148" ht="18" thickBot="1">
      <c r="DA857" s="1561">
        <v>43673</v>
      </c>
      <c r="DB857" s="1855" t="s">
        <v>1454</v>
      </c>
      <c r="DC857" s="1856" t="s">
        <v>1454</v>
      </c>
      <c r="DD857" s="1501" t="s">
        <v>190</v>
      </c>
      <c r="DE857" s="1501" t="s">
        <v>196</v>
      </c>
      <c r="DF857" s="1855" t="s">
        <v>1454</v>
      </c>
      <c r="DW857" s="720">
        <v>43682</v>
      </c>
      <c r="DX857" s="1855" t="s">
        <v>1454</v>
      </c>
      <c r="DY857" s="1856" t="s">
        <v>1454</v>
      </c>
      <c r="DZ857" s="1501" t="s">
        <v>190</v>
      </c>
      <c r="EA857" s="1501" t="s">
        <v>196</v>
      </c>
      <c r="EB857" s="1855" t="s">
        <v>1454</v>
      </c>
    </row>
    <row r="858" spans="105:148" ht="17.399999999999999">
      <c r="DA858" s="1857">
        <v>1995</v>
      </c>
      <c r="DB858" s="1802">
        <f t="array" ref="DB858:DB879">TRANSPOSE(U181:AP181)</f>
        <v>1</v>
      </c>
      <c r="DC858" s="1803">
        <v>1</v>
      </c>
      <c r="DD858" s="1803">
        <f>DB858</f>
        <v>1</v>
      </c>
      <c r="DE858" s="1803"/>
      <c r="DF858" s="1803"/>
      <c r="DW858" s="1857">
        <v>1995</v>
      </c>
      <c r="DX858" s="1802">
        <f t="array" ref="DX858:DX879">TRANSPOSE(U154:AP154)</f>
        <v>1</v>
      </c>
      <c r="DY858" s="1803">
        <f t="array" ref="DY858:DY879">TRANSPOSE(U152:AP152)</f>
        <v>1</v>
      </c>
      <c r="DZ858" s="1803">
        <v>1</v>
      </c>
      <c r="EA858" s="1803"/>
      <c r="EB858" s="1803">
        <f>DY858</f>
        <v>1</v>
      </c>
    </row>
    <row r="859" spans="105:148" ht="17.399999999999999">
      <c r="DA859" s="1857">
        <v>1996</v>
      </c>
      <c r="DB859" s="1597">
        <v>1.4122477570972609</v>
      </c>
      <c r="DC859" s="1597">
        <v>1.458015926869807</v>
      </c>
      <c r="DD859" s="1787">
        <f>DB859</f>
        <v>1.4122477570972609</v>
      </c>
      <c r="DE859" s="1787"/>
      <c r="DF859" s="1787"/>
      <c r="DW859" s="1857">
        <v>1996</v>
      </c>
      <c r="DX859" s="1597">
        <v>0.97199999999999998</v>
      </c>
      <c r="DY859" s="1597">
        <v>0.96399999999999997</v>
      </c>
      <c r="DZ859" s="1597">
        <f>DX859</f>
        <v>0.97199999999999998</v>
      </c>
      <c r="EA859" s="1787"/>
      <c r="EB859" s="1597">
        <f>DY859</f>
        <v>0.96399999999999997</v>
      </c>
    </row>
    <row r="860" spans="105:148" ht="17.399999999999999">
      <c r="DA860" s="1857">
        <v>1997</v>
      </c>
      <c r="DB860" s="1597">
        <v>1.5864611043969121</v>
      </c>
      <c r="DC860" s="1597">
        <v>1.6775696170093486</v>
      </c>
      <c r="DD860" s="1787">
        <f t="shared" ref="DD860:DD873" si="321">DB860</f>
        <v>1.5864611043969121</v>
      </c>
      <c r="DE860" s="1787"/>
      <c r="DF860" s="1787"/>
      <c r="DW860" s="1857">
        <v>1997</v>
      </c>
      <c r="DX860" s="1597">
        <v>0.98560800000000004</v>
      </c>
      <c r="DY860" s="1597">
        <v>0.97749600000000003</v>
      </c>
      <c r="DZ860" s="1597">
        <f t="shared" ref="DZ860:DZ873" si="322">DX860</f>
        <v>0.98560800000000004</v>
      </c>
      <c r="EA860" s="1787"/>
      <c r="EB860" s="1597">
        <f t="shared" ref="EB860:EB879" si="323">DY860</f>
        <v>0.97749600000000003</v>
      </c>
    </row>
    <row r="861" spans="105:148" ht="17.399999999999999">
      <c r="DA861" s="1857">
        <v>1998</v>
      </c>
      <c r="DB861" s="1597">
        <v>1.7669204828999698</v>
      </c>
      <c r="DC861" s="1597">
        <v>1.988574685283935</v>
      </c>
      <c r="DD861" s="1787">
        <f t="shared" si="321"/>
        <v>1.7669204828999698</v>
      </c>
      <c r="DE861" s="1787"/>
      <c r="DF861" s="1787"/>
      <c r="DW861" s="1857">
        <v>1998</v>
      </c>
      <c r="DX861" s="1597">
        <v>0.93534199200000001</v>
      </c>
      <c r="DY861" s="1597">
        <v>0.92568871200000002</v>
      </c>
      <c r="DZ861" s="1597">
        <f t="shared" si="322"/>
        <v>0.93534199200000001</v>
      </c>
      <c r="EA861" s="1787"/>
      <c r="EB861" s="1597">
        <f t="shared" si="323"/>
        <v>0.92568871200000002</v>
      </c>
    </row>
    <row r="862" spans="105:148" ht="17.399999999999999">
      <c r="DA862" s="1857">
        <v>1999</v>
      </c>
      <c r="DB862" s="1597">
        <v>3.0316772495419131</v>
      </c>
      <c r="DC862" s="1597">
        <v>3.4280333525379545</v>
      </c>
      <c r="DD862" s="1787">
        <f t="shared" si="321"/>
        <v>3.0316772495419131</v>
      </c>
      <c r="DE862" s="1787"/>
      <c r="DF862" s="1787"/>
      <c r="DW862" s="1857">
        <v>1999</v>
      </c>
      <c r="DX862" s="1597">
        <v>0.98959182753600006</v>
      </c>
      <c r="DY862" s="1597">
        <v>0.98493278956800012</v>
      </c>
      <c r="DZ862" s="1597">
        <f t="shared" si="322"/>
        <v>0.98959182753600006</v>
      </c>
      <c r="EA862" s="1787"/>
      <c r="EB862" s="1597">
        <f t="shared" si="323"/>
        <v>0.98493278956800012</v>
      </c>
    </row>
    <row r="863" spans="105:148" ht="17.399999999999999">
      <c r="DA863" s="1857">
        <v>2000</v>
      </c>
      <c r="DB863" s="1597">
        <v>4.1892888398154868</v>
      </c>
      <c r="DC863" s="1597">
        <v>4.7203345530217637</v>
      </c>
      <c r="DD863" s="1787">
        <f t="shared" si="321"/>
        <v>4.1892888398154868</v>
      </c>
      <c r="DE863" s="1787"/>
      <c r="DF863" s="1787"/>
      <c r="DW863" s="1857">
        <v>2000</v>
      </c>
      <c r="DX863" s="1597">
        <v>1.0826134593243841</v>
      </c>
      <c r="DY863" s="1597">
        <v>1.0834260685248003</v>
      </c>
      <c r="DZ863" s="1597">
        <f t="shared" si="322"/>
        <v>1.0826134593243841</v>
      </c>
      <c r="EA863" s="1787"/>
      <c r="EB863" s="1597">
        <f t="shared" si="323"/>
        <v>1.0834260685248003</v>
      </c>
    </row>
    <row r="864" spans="105:148" ht="17.399999999999999">
      <c r="DA864" s="1857">
        <v>2001</v>
      </c>
      <c r="DB864" s="1597">
        <v>5.0659822500447591</v>
      </c>
      <c r="DC864" s="1597">
        <v>5.4982302967459242</v>
      </c>
      <c r="DD864" s="1787">
        <f t="shared" si="321"/>
        <v>5.0659822500447591</v>
      </c>
      <c r="DE864" s="1787"/>
      <c r="DF864" s="1787"/>
      <c r="DW864" s="1857">
        <v>2001</v>
      </c>
      <c r="DX864" s="1597">
        <v>1.1356615188312789</v>
      </c>
      <c r="DY864" s="1597">
        <v>1.138680798019565</v>
      </c>
      <c r="DZ864" s="1597">
        <f t="shared" si="322"/>
        <v>1.1356615188312789</v>
      </c>
      <c r="EA864" s="1787"/>
      <c r="EB864" s="1597">
        <f t="shared" si="323"/>
        <v>1.138680798019565</v>
      </c>
    </row>
    <row r="865" spans="105:132" ht="17.399999999999999">
      <c r="DA865" s="1857">
        <v>2002</v>
      </c>
      <c r="DB865" s="1597">
        <v>5.7822315297952604</v>
      </c>
      <c r="DC865" s="1597">
        <v>6.3527295286418424</v>
      </c>
      <c r="DD865" s="1787">
        <f t="shared" si="321"/>
        <v>5.7822315297952604</v>
      </c>
      <c r="DE865" s="1787"/>
      <c r="DF865" s="1787"/>
      <c r="DW865" s="1857">
        <v>2002</v>
      </c>
      <c r="DX865" s="1597">
        <v>1.1856306256598552</v>
      </c>
      <c r="DY865" s="1597">
        <v>1.1921987955264846</v>
      </c>
      <c r="DZ865" s="1597">
        <f t="shared" si="322"/>
        <v>1.1856306256598552</v>
      </c>
      <c r="EA865" s="1787"/>
      <c r="EB865" s="1597">
        <f t="shared" si="323"/>
        <v>1.1921987955264846</v>
      </c>
    </row>
    <row r="866" spans="105:132" ht="17.399999999999999">
      <c r="DA866" s="1857">
        <v>2003</v>
      </c>
      <c r="DB866" s="1597">
        <v>6.5915237407621836</v>
      </c>
      <c r="DC866" s="1597">
        <v>7.2278602743829534</v>
      </c>
      <c r="DD866" s="1787">
        <f t="shared" si="321"/>
        <v>6.5915237407621836</v>
      </c>
      <c r="DE866" s="1787"/>
      <c r="DF866" s="1787"/>
      <c r="DW866" s="1857">
        <v>2003</v>
      </c>
      <c r="DX866" s="1597">
        <v>1.2757385532100043</v>
      </c>
      <c r="DY866" s="1597">
        <v>1.2792293075999179</v>
      </c>
      <c r="DZ866" s="1597">
        <f t="shared" si="322"/>
        <v>1.2757385532100043</v>
      </c>
      <c r="EA866" s="1787"/>
      <c r="EB866" s="1597">
        <f t="shared" si="323"/>
        <v>1.2792293075999179</v>
      </c>
    </row>
    <row r="867" spans="105:132" ht="17.399999999999999">
      <c r="DA867" s="1857">
        <v>2004</v>
      </c>
      <c r="DB867" s="1597">
        <v>7.7337827274937645</v>
      </c>
      <c r="DC867" s="1597">
        <v>8.6918699640274202</v>
      </c>
      <c r="DD867" s="1787">
        <f t="shared" si="321"/>
        <v>7.7337827274937645</v>
      </c>
      <c r="DE867" s="1787"/>
      <c r="DF867" s="1787"/>
      <c r="DW867" s="1857">
        <v>2004</v>
      </c>
      <c r="DX867" s="1597">
        <v>1.3777976374668046</v>
      </c>
      <c r="DY867" s="1597">
        <v>1.3713338177471122</v>
      </c>
      <c r="DZ867" s="1597">
        <f t="shared" si="322"/>
        <v>1.3777976374668046</v>
      </c>
      <c r="EA867" s="1787"/>
      <c r="EB867" s="1597">
        <f t="shared" si="323"/>
        <v>1.3713338177471122</v>
      </c>
    </row>
    <row r="868" spans="105:132" ht="17.399999999999999">
      <c r="DA868" s="1857">
        <v>2005</v>
      </c>
      <c r="DB868" s="1597">
        <v>9.1849440425976727</v>
      </c>
      <c r="DC868" s="1597">
        <v>10.367609749128871</v>
      </c>
      <c r="DD868" s="1787">
        <f t="shared" si="321"/>
        <v>9.1849440425976727</v>
      </c>
      <c r="DE868" s="1787"/>
      <c r="DF868" s="1787"/>
      <c r="DW868" s="1857">
        <v>2005</v>
      </c>
      <c r="DX868" s="1597">
        <v>1.4563321028024123</v>
      </c>
      <c r="DY868" s="1597">
        <v>1.4590991820829273</v>
      </c>
      <c r="DZ868" s="1597">
        <f t="shared" si="322"/>
        <v>1.4563321028024123</v>
      </c>
      <c r="EA868" s="1787"/>
      <c r="EB868" s="1597">
        <f t="shared" si="323"/>
        <v>1.4590991820829273</v>
      </c>
    </row>
    <row r="869" spans="105:132" ht="17.399999999999999">
      <c r="DA869" s="1857">
        <v>2006</v>
      </c>
      <c r="DB869" s="1597">
        <v>10.5310440318469</v>
      </c>
      <c r="DC869" s="1597">
        <v>11.935242035159135</v>
      </c>
      <c r="DD869" s="1787">
        <f t="shared" si="321"/>
        <v>10.5310440318469</v>
      </c>
      <c r="DE869" s="1787"/>
      <c r="DF869" s="1787"/>
      <c r="DW869" s="1857">
        <v>2006</v>
      </c>
      <c r="DX869" s="1597">
        <v>1.5859456599518269</v>
      </c>
      <c r="DY869" s="1597">
        <v>1.5787453150137274</v>
      </c>
      <c r="DZ869" s="1597">
        <f t="shared" si="322"/>
        <v>1.5859456599518269</v>
      </c>
      <c r="EA869" s="1787"/>
      <c r="EB869" s="1597">
        <f t="shared" si="323"/>
        <v>1.5787453150137274</v>
      </c>
    </row>
    <row r="870" spans="105:132" ht="17.399999999999999">
      <c r="DA870" s="1857">
        <v>2007</v>
      </c>
      <c r="DB870" s="1597">
        <v>12.093285009188341</v>
      </c>
      <c r="DC870" s="1597">
        <v>13.587224630705832</v>
      </c>
      <c r="DD870" s="1787">
        <f t="shared" si="321"/>
        <v>12.093285009188341</v>
      </c>
      <c r="DE870" s="1787"/>
      <c r="DF870" s="1787"/>
      <c r="DW870" s="1857">
        <v>2007</v>
      </c>
      <c r="DX870" s="1597">
        <v>1.7255088780275878</v>
      </c>
      <c r="DY870" s="1597">
        <v>1.7129386667898943</v>
      </c>
      <c r="DZ870" s="1597">
        <f t="shared" si="322"/>
        <v>1.7255088780275878</v>
      </c>
      <c r="EA870" s="1787"/>
      <c r="EB870" s="1597">
        <f t="shared" si="323"/>
        <v>1.7129386667898943</v>
      </c>
    </row>
    <row r="871" spans="105:132" ht="17.399999999999999">
      <c r="DA871" s="1857">
        <v>2008</v>
      </c>
      <c r="DB871" s="1597">
        <v>14.279402745112492</v>
      </c>
      <c r="DC871" s="1597">
        <v>16.03475716499792</v>
      </c>
      <c r="DD871" s="1787">
        <f t="shared" si="321"/>
        <v>14.279402745112492</v>
      </c>
      <c r="DE871" s="1787"/>
      <c r="DF871" s="1787"/>
      <c r="DW871" s="1857">
        <v>2008</v>
      </c>
      <c r="DX871" s="1597">
        <v>1.8117843219289673</v>
      </c>
      <c r="DY871" s="1597">
        <v>1.8020114774629687</v>
      </c>
      <c r="DZ871" s="1597">
        <f t="shared" si="322"/>
        <v>1.8117843219289673</v>
      </c>
      <c r="EA871" s="1787"/>
      <c r="EB871" s="1597">
        <f t="shared" si="323"/>
        <v>1.8020114774629687</v>
      </c>
    </row>
    <row r="872" spans="105:132" ht="17.399999999999999">
      <c r="DA872" s="1857">
        <v>2009</v>
      </c>
      <c r="DB872" s="1597">
        <v>14.669938798054028</v>
      </c>
      <c r="DC872" s="1597">
        <v>16.368494611949213</v>
      </c>
      <c r="DD872" s="1787">
        <f t="shared" si="321"/>
        <v>14.669938798054028</v>
      </c>
      <c r="DE872" s="1787"/>
      <c r="DF872" s="1787"/>
      <c r="DW872" s="1857">
        <v>2009</v>
      </c>
      <c r="DX872" s="1597">
        <v>1.6777122821062238</v>
      </c>
      <c r="DY872" s="1597">
        <v>1.6596525707433942</v>
      </c>
      <c r="DZ872" s="1597">
        <f t="shared" si="322"/>
        <v>1.6777122821062238</v>
      </c>
      <c r="EA872" s="1787"/>
      <c r="EB872" s="1597">
        <f t="shared" si="323"/>
        <v>1.6596525707433942</v>
      </c>
    </row>
    <row r="873" spans="105:132" ht="17.399999999999999">
      <c r="DA873" s="1857">
        <v>2010</v>
      </c>
      <c r="DB873" s="1597">
        <v>16.830212945381799</v>
      </c>
      <c r="DC873" s="1597">
        <v>18.691365335566658</v>
      </c>
      <c r="DD873" s="1787">
        <f t="shared" si="321"/>
        <v>16.830212945381799</v>
      </c>
      <c r="DE873" s="1787">
        <f>DD873</f>
        <v>16.830212945381799</v>
      </c>
      <c r="DF873" s="1787"/>
      <c r="DW873" s="1857">
        <v>2010</v>
      </c>
      <c r="DX873" s="1597">
        <v>1.7615978962115351</v>
      </c>
      <c r="DY873" s="1597">
        <v>1.7343369364268468</v>
      </c>
      <c r="DZ873" s="1597">
        <f t="shared" si="322"/>
        <v>1.7615978962115351</v>
      </c>
      <c r="EA873" s="1597">
        <f>DX873</f>
        <v>1.7615978962115351</v>
      </c>
      <c r="EB873" s="1597">
        <f t="shared" si="323"/>
        <v>1.7343369364268468</v>
      </c>
    </row>
    <row r="874" spans="105:132" ht="17.399999999999999">
      <c r="DA874" s="1857">
        <v>2011</v>
      </c>
      <c r="DB874" s="1597">
        <v>19.85424571376991</v>
      </c>
      <c r="DC874" s="1597">
        <v>23.328518818067689</v>
      </c>
      <c r="DD874" s="1787"/>
      <c r="DE874" s="1787">
        <f t="shared" ref="DE874:DE879" si="324">DB874</f>
        <v>19.85424571376991</v>
      </c>
      <c r="DF874" s="1787"/>
      <c r="DW874" s="1857">
        <v>2011</v>
      </c>
      <c r="DX874" s="1597">
        <v>1.837346605748631</v>
      </c>
      <c r="DY874" s="1597">
        <v>1.808913424693201</v>
      </c>
      <c r="DZ874" s="1787"/>
      <c r="EA874" s="1597">
        <f t="shared" ref="EA874:EA879" si="325">DX874</f>
        <v>1.837346605748631</v>
      </c>
      <c r="EB874" s="1597">
        <f t="shared" si="323"/>
        <v>1.808913424693201</v>
      </c>
    </row>
    <row r="875" spans="105:132" ht="17.399999999999999">
      <c r="DA875" s="1857">
        <v>2012</v>
      </c>
      <c r="DB875" s="1597">
        <v>21.405203901528715</v>
      </c>
      <c r="DC875" s="1597">
        <v>25.448132013167307</v>
      </c>
      <c r="DD875" s="1787"/>
      <c r="DE875" s="1787">
        <f t="shared" si="324"/>
        <v>21.405203901528715</v>
      </c>
      <c r="DF875" s="1787"/>
      <c r="DW875" s="1857">
        <v>2012</v>
      </c>
      <c r="DX875" s="1597">
        <v>1.9090031233728277</v>
      </c>
      <c r="DY875" s="1597">
        <v>1.8750455190419226</v>
      </c>
      <c r="DZ875" s="1787"/>
      <c r="EA875" s="1597">
        <f t="shared" si="325"/>
        <v>1.9090031233728277</v>
      </c>
      <c r="EB875" s="1597">
        <f t="shared" si="323"/>
        <v>1.8750455190419226</v>
      </c>
    </row>
    <row r="876" spans="105:132" ht="17.399999999999999">
      <c r="DA876" s="1857">
        <v>2013</v>
      </c>
      <c r="DB876" s="1597">
        <v>22.832323118365768</v>
      </c>
      <c r="DC876" s="1597">
        <v>26.82470761987901</v>
      </c>
      <c r="DD876" s="1787"/>
      <c r="DE876" s="1787">
        <f t="shared" si="324"/>
        <v>22.832323118365768</v>
      </c>
      <c r="DF876" s="1787"/>
      <c r="DW876" s="1857">
        <v>2013</v>
      </c>
      <c r="DX876" s="1597">
        <v>1.949092188963657</v>
      </c>
      <c r="DY876" s="1597">
        <v>1.9085217286102596</v>
      </c>
      <c r="DZ876" s="1787"/>
      <c r="EA876" s="1597">
        <f t="shared" si="325"/>
        <v>1.949092188963657</v>
      </c>
      <c r="EB876" s="1597">
        <f t="shared" si="323"/>
        <v>1.9085217286102596</v>
      </c>
    </row>
    <row r="877" spans="105:132" ht="17.399999999999999">
      <c r="DA877" s="1857">
        <v>2014</v>
      </c>
      <c r="DB877" s="1597">
        <v>24.43123573923766</v>
      </c>
      <c r="DC877" s="1597">
        <v>28.836575688325322</v>
      </c>
      <c r="DD877" s="1787"/>
      <c r="DE877" s="1787">
        <f t="shared" si="324"/>
        <v>24.43123573923766</v>
      </c>
      <c r="DF877" s="1787"/>
      <c r="DW877" s="1857">
        <v>2014</v>
      </c>
      <c r="DX877" s="1597">
        <v>1.9646849264753663</v>
      </c>
      <c r="DY877" s="1597">
        <v>1.9226180848563927</v>
      </c>
      <c r="DZ877" s="1787"/>
      <c r="EA877" s="1597">
        <f t="shared" si="325"/>
        <v>1.9646849264753663</v>
      </c>
      <c r="EB877" s="1597">
        <f t="shared" si="323"/>
        <v>1.9226180848563927</v>
      </c>
    </row>
    <row r="878" spans="105:132" ht="17.399999999999999">
      <c r="DA878" s="1857">
        <v>2015</v>
      </c>
      <c r="DB878" s="1597">
        <v>27.196038400434425</v>
      </c>
      <c r="DC878" s="1597">
        <v>31.082026021473556</v>
      </c>
      <c r="DD878" s="1787"/>
      <c r="DE878" s="1787">
        <f t="shared" si="324"/>
        <v>27.196038400434425</v>
      </c>
      <c r="DF878" s="1787"/>
      <c r="DW878" s="1857">
        <v>2015</v>
      </c>
      <c r="DX878" s="1597">
        <v>1.9391440224311864</v>
      </c>
      <c r="DY878" s="1597">
        <v>1.8783978689046956</v>
      </c>
      <c r="DZ878" s="1787"/>
      <c r="EA878" s="1597">
        <f t="shared" si="325"/>
        <v>1.9391440224311864</v>
      </c>
      <c r="EB878" s="1597">
        <f t="shared" si="323"/>
        <v>1.8783978689046956</v>
      </c>
    </row>
    <row r="879" spans="105:132" ht="17.399999999999999">
      <c r="DA879" s="1857">
        <v>2016</v>
      </c>
      <c r="DB879" s="1597">
        <v>28.328183799288354</v>
      </c>
      <c r="DC879" s="1597">
        <v>32.204195765601682</v>
      </c>
      <c r="DD879" s="1787"/>
      <c r="DE879" s="1787">
        <f t="shared" si="324"/>
        <v>28.328183799288354</v>
      </c>
      <c r="DF879" s="1787"/>
      <c r="DW879" s="1857">
        <v>2016</v>
      </c>
      <c r="DX879" s="1597">
        <v>1.9624137507003607</v>
      </c>
      <c r="DY879" s="1597">
        <v>1.8821546646425049</v>
      </c>
      <c r="DZ879" s="1787"/>
      <c r="EA879" s="1597">
        <f t="shared" si="325"/>
        <v>1.9624137507003607</v>
      </c>
      <c r="EB879" s="1597">
        <f t="shared" si="323"/>
        <v>1.8821546646425049</v>
      </c>
    </row>
    <row r="880" spans="105:132" ht="17.399999999999999">
      <c r="DA880" s="1857">
        <v>2017</v>
      </c>
      <c r="DB880" s="1785"/>
      <c r="DC880" s="1787"/>
      <c r="DD880" s="1787"/>
      <c r="DE880" s="1787"/>
      <c r="DF880" s="1787"/>
      <c r="DW880" s="1857">
        <v>2017</v>
      </c>
      <c r="DX880" s="1785"/>
      <c r="DY880" s="1787"/>
      <c r="DZ880" s="1787"/>
      <c r="EA880" s="1785">
        <f>1.0318*EB880-0.0328</f>
        <v>2.0308000000000002</v>
      </c>
      <c r="EB880" s="1597">
        <v>2</v>
      </c>
    </row>
    <row r="881" spans="105:132" ht="17.399999999999999">
      <c r="DA881" s="1857">
        <v>2018</v>
      </c>
      <c r="DB881" s="1785"/>
      <c r="DC881" s="1787"/>
      <c r="DD881" s="1787"/>
      <c r="DE881" s="1787"/>
      <c r="DF881" s="1787"/>
      <c r="DW881" s="1857">
        <v>2018</v>
      </c>
      <c r="DX881" s="1785"/>
      <c r="DY881" s="1787"/>
      <c r="DZ881" s="1787"/>
      <c r="EA881" s="1785">
        <f>1.0318*EB881-0.0328</f>
        <v>2.1339800000000002</v>
      </c>
      <c r="EB881" s="1597">
        <v>2.1</v>
      </c>
    </row>
    <row r="882" spans="105:132" ht="17.399999999999999">
      <c r="DA882" s="1857">
        <v>2019</v>
      </c>
      <c r="DB882" s="1595"/>
      <c r="DC882" s="1595"/>
      <c r="DD882" s="1595"/>
      <c r="DE882" s="1787"/>
      <c r="DF882" s="1787"/>
      <c r="DW882" s="1857">
        <v>2019</v>
      </c>
      <c r="DX882" s="1595"/>
      <c r="DY882" s="1595"/>
      <c r="DZ882" s="1595"/>
      <c r="EA882" s="1785">
        <f>1.0318*EB882-0.0328</f>
        <v>2.2371600000000003</v>
      </c>
      <c r="EB882" s="1597">
        <v>2.2000000000000002</v>
      </c>
    </row>
    <row r="883" spans="105:132" ht="17.399999999999999">
      <c r="DA883" s="1857">
        <v>2020</v>
      </c>
      <c r="DB883" s="1595"/>
      <c r="DC883" s="1595"/>
      <c r="DD883" s="1595"/>
      <c r="DE883" s="1787"/>
      <c r="DF883" s="1787"/>
      <c r="DW883" s="1857">
        <v>2020</v>
      </c>
      <c r="DX883" s="1595"/>
      <c r="DY883" s="1595"/>
      <c r="DZ883" s="1595"/>
      <c r="EA883" s="1785">
        <f>1.0318*EB883-0.0328</f>
        <v>2.3403399999999999</v>
      </c>
      <c r="EB883" s="1597">
        <v>2.2999999999999998</v>
      </c>
    </row>
    <row r="884" spans="105:132" ht="17.399999999999999">
      <c r="DA884" s="1857">
        <v>2021</v>
      </c>
      <c r="DB884" s="1595"/>
      <c r="DC884" s="1595"/>
      <c r="DD884" s="1595"/>
      <c r="DE884" s="1787"/>
      <c r="DF884" s="1787"/>
      <c r="DW884" s="1857">
        <v>2021</v>
      </c>
      <c r="DX884" s="1595"/>
      <c r="DY884" s="1595"/>
      <c r="DZ884" s="1595"/>
      <c r="EA884" s="1785">
        <f>1.0318*EB884-0.0328</f>
        <v>2.4435199999999999</v>
      </c>
      <c r="EB884" s="1597">
        <v>2.4</v>
      </c>
    </row>
    <row r="885" spans="105:132" ht="17.399999999999999">
      <c r="DA885" s="1857">
        <v>2022</v>
      </c>
      <c r="DB885" s="1595"/>
      <c r="DC885" s="1595"/>
      <c r="DD885" s="1595"/>
      <c r="DE885" s="1787"/>
      <c r="DF885" s="1787"/>
      <c r="DW885" s="1857">
        <v>2022</v>
      </c>
      <c r="DX885" s="1595"/>
      <c r="DY885" s="1595"/>
      <c r="DZ885" s="1595"/>
      <c r="EA885" s="1787"/>
      <c r="EB885" s="1787"/>
    </row>
    <row r="886" spans="105:132" ht="17.399999999999999">
      <c r="DA886" s="1857">
        <v>2023</v>
      </c>
      <c r="DB886" s="1595"/>
      <c r="DC886" s="1595"/>
      <c r="DD886" s="1595"/>
      <c r="DE886" s="1787"/>
      <c r="DF886" s="1787"/>
      <c r="DW886" s="1857">
        <v>2023</v>
      </c>
      <c r="DX886" s="1595"/>
      <c r="DY886" s="1595"/>
      <c r="DZ886" s="1595"/>
      <c r="EA886" s="1787"/>
      <c r="EB886" s="1787"/>
    </row>
    <row r="887" spans="105:132" ht="17.399999999999999">
      <c r="DA887" s="1857">
        <v>2024</v>
      </c>
      <c r="DB887" s="1595"/>
      <c r="DC887" s="1595"/>
      <c r="DD887" s="1595"/>
      <c r="DE887" s="1787"/>
      <c r="DF887" s="1787"/>
      <c r="DW887" s="1857">
        <v>2024</v>
      </c>
      <c r="DX887" s="1595"/>
      <c r="DY887" s="1595"/>
      <c r="DZ887" s="1595"/>
      <c r="EA887" s="1787"/>
      <c r="EB887" s="1787"/>
    </row>
    <row r="888" spans="105:132" ht="17.399999999999999">
      <c r="DA888" s="1857">
        <v>2025</v>
      </c>
      <c r="DB888" s="1595"/>
      <c r="DC888" s="1595"/>
      <c r="DD888" s="1595"/>
      <c r="DE888" s="1787"/>
      <c r="DF888" s="1787"/>
      <c r="DW888" s="1857">
        <v>2025</v>
      </c>
      <c r="DX888" s="1595"/>
      <c r="DY888" s="1595"/>
      <c r="DZ888" s="1595"/>
      <c r="EA888" s="1787"/>
      <c r="EB888" s="1787"/>
    </row>
    <row r="889" spans="105:132" ht="17.399999999999999">
      <c r="DA889" s="1857">
        <v>2026</v>
      </c>
      <c r="DB889" s="1595"/>
      <c r="DC889" s="1595"/>
      <c r="DD889" s="1595"/>
      <c r="DE889" s="1787"/>
      <c r="DF889" s="1787"/>
      <c r="DW889" s="1857">
        <v>2026</v>
      </c>
      <c r="DX889" s="1595"/>
      <c r="DY889" s="1595"/>
      <c r="DZ889" s="1595"/>
      <c r="EA889" s="1787"/>
      <c r="EB889" s="1787"/>
    </row>
    <row r="890" spans="105:132" ht="17.399999999999999">
      <c r="DA890" s="1857">
        <v>2027</v>
      </c>
      <c r="DB890" s="1595"/>
      <c r="DC890" s="1595"/>
      <c r="DD890" s="1595"/>
      <c r="DE890" s="1787"/>
      <c r="DF890" s="1787"/>
      <c r="DW890" s="1857">
        <v>2027</v>
      </c>
      <c r="DX890" s="1595"/>
      <c r="DY890" s="1595"/>
      <c r="DZ890" s="1595"/>
      <c r="EA890" s="1787"/>
      <c r="EB890" s="1787"/>
    </row>
    <row r="891" spans="105:132" ht="17.399999999999999">
      <c r="DA891" s="1857">
        <v>2028</v>
      </c>
      <c r="DB891" s="1595"/>
      <c r="DC891" s="1595"/>
      <c r="DD891" s="1595"/>
      <c r="DE891" s="1787"/>
      <c r="DF891" s="1787"/>
      <c r="DW891" s="1857">
        <v>2028</v>
      </c>
      <c r="DX891" s="1595"/>
      <c r="DY891" s="1595"/>
      <c r="DZ891" s="1595"/>
      <c r="EA891" s="1787"/>
      <c r="EB891" s="1787"/>
    </row>
    <row r="892" spans="105:132" ht="17.399999999999999">
      <c r="DA892" s="1857">
        <v>2029</v>
      </c>
      <c r="DB892" s="1595"/>
      <c r="DC892" s="1595"/>
      <c r="DD892" s="1595"/>
      <c r="DE892" s="1787"/>
      <c r="DF892" s="1787"/>
      <c r="DW892" s="1857">
        <v>2029</v>
      </c>
      <c r="DX892" s="1595"/>
      <c r="DY892" s="1595"/>
      <c r="DZ892" s="1595"/>
      <c r="EA892" s="1787"/>
      <c r="EB892" s="1787"/>
    </row>
    <row r="893" spans="105:132" ht="17.399999999999999">
      <c r="DA893" s="1862">
        <v>2030</v>
      </c>
      <c r="DB893" s="843"/>
      <c r="DC893" s="843"/>
      <c r="DD893" s="843"/>
      <c r="DE893" s="1060"/>
      <c r="DF893" s="1060"/>
      <c r="DW893" s="1862">
        <v>2030</v>
      </c>
      <c r="DX893" s="843"/>
      <c r="DY893" s="843"/>
      <c r="DZ893" s="843"/>
      <c r="EA893" s="1060"/>
      <c r="EB893" s="1060"/>
    </row>
    <row r="896" spans="105:132" ht="16.2" thickBot="1"/>
    <row r="897" spans="105:131" ht="17.399999999999999">
      <c r="DA897" s="1046" t="s">
        <v>695</v>
      </c>
      <c r="DB897" s="2078" t="s">
        <v>1814</v>
      </c>
      <c r="DC897" s="2077" t="s">
        <v>1815</v>
      </c>
      <c r="DD897" s="2077" t="s">
        <v>468</v>
      </c>
      <c r="DE897" s="1557" t="s">
        <v>1816</v>
      </c>
      <c r="DF897" s="1550" t="s">
        <v>1817</v>
      </c>
      <c r="DH897"/>
      <c r="DI897"/>
      <c r="DJ897"/>
      <c r="DK897"/>
      <c r="DL897"/>
      <c r="DM897"/>
      <c r="DN897"/>
      <c r="DO897"/>
      <c r="DP897"/>
      <c r="DQ897"/>
      <c r="DR897"/>
      <c r="DS897"/>
      <c r="DX897" s="1870" t="s">
        <v>351</v>
      </c>
      <c r="DY897" s="1591" t="s">
        <v>1709</v>
      </c>
      <c r="DZ897" s="1591" t="s">
        <v>80</v>
      </c>
      <c r="EA897" s="1591" t="s">
        <v>1274</v>
      </c>
    </row>
    <row r="898" spans="105:131" ht="18" thickBot="1">
      <c r="DA898" s="1045">
        <v>43694</v>
      </c>
      <c r="DB898" s="2076" t="s">
        <v>46</v>
      </c>
      <c r="DC898" s="2076" t="s">
        <v>46</v>
      </c>
      <c r="DD898" s="1545" t="s">
        <v>1369</v>
      </c>
      <c r="DE898" s="1558" t="s">
        <v>82</v>
      </c>
      <c r="DF898" s="1545" t="s">
        <v>82</v>
      </c>
      <c r="DH898"/>
      <c r="DI898"/>
      <c r="DJ898"/>
      <c r="DK898"/>
      <c r="DL898"/>
      <c r="DM898"/>
      <c r="DN898"/>
      <c r="DO898"/>
      <c r="DP898"/>
      <c r="DQ898"/>
      <c r="DR898"/>
      <c r="DS898"/>
      <c r="DX898" s="1561">
        <v>43698</v>
      </c>
      <c r="DY898" s="1855" t="s">
        <v>1454</v>
      </c>
      <c r="DZ898" s="1856" t="s">
        <v>1454</v>
      </c>
      <c r="EA898" s="1855" t="s">
        <v>1454</v>
      </c>
    </row>
    <row r="899" spans="105:131" ht="17.399999999999999">
      <c r="DA899" s="2079">
        <v>1995</v>
      </c>
      <c r="DB899" s="1874">
        <f t="array" ref="DB899:DB920">TRANSPOSE(U199:AP199)</f>
        <v>1428.5209</v>
      </c>
      <c r="DC899" s="1200">
        <f t="array" ref="DC899:DC920">TRANSPOSE(U197:AP197)</f>
        <v>5306</v>
      </c>
      <c r="DD899" s="1803">
        <f t="array" ref="DD899:DD920">TRANSPOSE(U91:AP91)</f>
        <v>64.055000000000007</v>
      </c>
      <c r="DE899" s="666">
        <f>DB899/DD899</f>
        <v>22.301473733510264</v>
      </c>
      <c r="DF899" s="2086">
        <f>DC899/DD899</f>
        <v>82.835063617203957</v>
      </c>
      <c r="DH899"/>
      <c r="DI899"/>
      <c r="DJ899"/>
      <c r="DK899"/>
      <c r="DL899"/>
      <c r="DM899"/>
      <c r="DN899"/>
      <c r="DO899"/>
      <c r="DP899"/>
      <c r="DQ899"/>
      <c r="DR899"/>
      <c r="DS899"/>
      <c r="DX899" s="1857">
        <v>1995</v>
      </c>
      <c r="DY899" s="1799">
        <v>1</v>
      </c>
      <c r="DZ899" s="1803">
        <v>1</v>
      </c>
      <c r="EA899" s="1804">
        <v>1</v>
      </c>
    </row>
    <row r="900" spans="105:131" ht="17.399999999999999">
      <c r="DA900" s="2080">
        <v>1996</v>
      </c>
      <c r="DB900" s="1875">
        <v>1377.0941476</v>
      </c>
      <c r="DC900" s="1201">
        <v>5300.6940000000004</v>
      </c>
      <c r="DD900" s="1034">
        <v>62.927999999999997</v>
      </c>
      <c r="DE900" s="1787">
        <f>DB900/DD900</f>
        <v>21.883647145944572</v>
      </c>
      <c r="DF900" s="2087">
        <f>DC900/DD900</f>
        <v>84.234267734553782</v>
      </c>
      <c r="DH900"/>
      <c r="DI900"/>
      <c r="DJ900"/>
      <c r="DK900"/>
      <c r="DL900"/>
      <c r="DM900"/>
      <c r="DN900"/>
      <c r="DO900"/>
      <c r="DP900"/>
      <c r="DQ900"/>
      <c r="DR900"/>
      <c r="DS900"/>
      <c r="DX900" s="1857">
        <v>1996</v>
      </c>
      <c r="DY900" s="1616">
        <f>СЧЁТ!BJ7</f>
        <v>1.4122477570972609</v>
      </c>
      <c r="DZ900" s="1382">
        <f>СЧЁТ!BO7</f>
        <v>1.218</v>
      </c>
      <c r="EA900" s="1035">
        <f>СЧЁТ!BN7</f>
        <v>1.170751567490661</v>
      </c>
    </row>
    <row r="901" spans="105:131" ht="17.399999999999999">
      <c r="DA901" s="2080">
        <v>1997</v>
      </c>
      <c r="DB901" s="1875">
        <v>1396.3734656664001</v>
      </c>
      <c r="DC901" s="1201">
        <v>5279.4912240000003</v>
      </c>
      <c r="DD901" s="1034">
        <v>60.021000000000001</v>
      </c>
      <c r="DE901" s="1787">
        <f t="shared" ref="DE901:DE920" si="326">DB901/DD901</f>
        <v>23.264748432488631</v>
      </c>
      <c r="DF901" s="2087">
        <f t="shared" ref="DF901:DF920" si="327">DC901/DD901</f>
        <v>87.960734143049933</v>
      </c>
      <c r="DH901"/>
      <c r="DI901"/>
      <c r="DJ901"/>
      <c r="DK901"/>
      <c r="DL901"/>
      <c r="DM901"/>
      <c r="DN901"/>
      <c r="DO901"/>
      <c r="DP901"/>
      <c r="DQ901"/>
      <c r="DR901"/>
      <c r="DS901"/>
      <c r="DX901" s="1857">
        <v>1997</v>
      </c>
      <c r="DY901" s="1616">
        <f>СЧЁТ!BJ8</f>
        <v>1.5864611043969121</v>
      </c>
      <c r="DZ901" s="1382">
        <f>СЧЁТ!BO8</f>
        <v>1.3519800000000002</v>
      </c>
      <c r="EA901" s="1035">
        <f>СЧЁТ!BN8</f>
        <v>1.4027022303089887</v>
      </c>
    </row>
    <row r="902" spans="105:131" ht="17.399999999999999">
      <c r="DA902" s="2080">
        <v>1998</v>
      </c>
      <c r="DB902" s="1875">
        <v>1322.3656719860808</v>
      </c>
      <c r="DC902" s="1201">
        <v>5263.6527503280004</v>
      </c>
      <c r="DD902" s="1034">
        <v>58.436999999999998</v>
      </c>
      <c r="DE902" s="1787">
        <f t="shared" si="326"/>
        <v>22.628910997930777</v>
      </c>
      <c r="DF902" s="2087">
        <f t="shared" si="327"/>
        <v>90.073972831048835</v>
      </c>
      <c r="DH902"/>
      <c r="DI902"/>
      <c r="DJ902"/>
      <c r="DK902"/>
      <c r="DL902"/>
      <c r="DM902"/>
      <c r="DN902"/>
      <c r="DO902"/>
      <c r="DP902"/>
      <c r="DQ902"/>
      <c r="DR902"/>
      <c r="DS902"/>
      <c r="DX902" s="1857">
        <v>1998</v>
      </c>
      <c r="DY902" s="1616">
        <f>СЧЁТ!BJ9</f>
        <v>1.7669204828999698</v>
      </c>
      <c r="DZ902" s="1382">
        <f>СЧЁТ!BO9</f>
        <v>2.4930511200000005</v>
      </c>
      <c r="EA902" s="1035">
        <f>СЧЁТ!BN9</f>
        <v>2.0776657762662092</v>
      </c>
    </row>
    <row r="903" spans="105:131" ht="17.399999999999999">
      <c r="DA903" s="2080">
        <v>1999</v>
      </c>
      <c r="DB903" s="1875">
        <v>1406.9970749931899</v>
      </c>
      <c r="DC903" s="1201">
        <v>5274.1800558286568</v>
      </c>
      <c r="DD903" s="1034">
        <v>63.082000000000001</v>
      </c>
      <c r="DE903" s="1787">
        <f t="shared" si="326"/>
        <v>22.304255968314099</v>
      </c>
      <c r="DF903" s="2087">
        <f t="shared" si="327"/>
        <v>83.60832021541259</v>
      </c>
      <c r="DH903"/>
      <c r="DI903"/>
      <c r="DJ903"/>
      <c r="DK903"/>
      <c r="DL903"/>
      <c r="DM903"/>
      <c r="DN903"/>
      <c r="DO903"/>
      <c r="DP903"/>
      <c r="DQ903"/>
      <c r="DR903"/>
      <c r="DS903"/>
      <c r="DX903" s="1857">
        <v>1999</v>
      </c>
      <c r="DY903" s="1616">
        <f>СЧЁТ!BJ10</f>
        <v>3.0316772495419131</v>
      </c>
      <c r="DZ903" s="1382">
        <f>СЧЁТ!BO10</f>
        <v>3.4030147788000007</v>
      </c>
      <c r="EA903" s="1035">
        <f>СЧЁТ!BN10</f>
        <v>4.8943006185343938</v>
      </c>
    </row>
    <row r="904" spans="105:131" ht="17.399999999999999">
      <c r="DA904" s="2080">
        <v>2000</v>
      </c>
      <c r="DB904" s="1875">
        <v>1547.6967824925091</v>
      </c>
      <c r="DC904" s="1201">
        <v>5300.5509561077997</v>
      </c>
      <c r="DD904" s="1034">
        <v>65.069999999999993</v>
      </c>
      <c r="DE904" s="1787">
        <f t="shared" si="326"/>
        <v>23.785105002190093</v>
      </c>
      <c r="DF904" s="2087">
        <f t="shared" si="327"/>
        <v>81.459212480525593</v>
      </c>
      <c r="DH904"/>
      <c r="DI904"/>
      <c r="DJ904"/>
      <c r="DK904"/>
      <c r="DL904"/>
      <c r="DM904"/>
      <c r="DN904"/>
      <c r="DO904"/>
      <c r="DP904"/>
      <c r="DQ904"/>
      <c r="DR904"/>
      <c r="DS904"/>
      <c r="DX904" s="1857">
        <v>2000</v>
      </c>
      <c r="DY904" s="1616">
        <f>СЧЁТ!BJ11</f>
        <v>4.1892888398154868</v>
      </c>
      <c r="DZ904" s="1382">
        <f>СЧЁТ!BO11</f>
        <v>4.0904237641176007</v>
      </c>
      <c r="EA904" s="1035">
        <f>СЧЁТ!BN11</f>
        <v>5.1416113994451775</v>
      </c>
    </row>
    <row r="905" spans="105:131" ht="17.399999999999999">
      <c r="DA905" s="2080">
        <v>2001</v>
      </c>
      <c r="DB905" s="1875">
        <v>1626.629318399627</v>
      </c>
      <c r="DC905" s="1201">
        <v>5348.2559147127704</v>
      </c>
      <c r="DD905" s="1034">
        <v>65.123000000000005</v>
      </c>
      <c r="DE905" s="1787">
        <f t="shared" si="326"/>
        <v>24.977800752416609</v>
      </c>
      <c r="DF905" s="2087">
        <f t="shared" si="327"/>
        <v>82.125453598771088</v>
      </c>
      <c r="DH905"/>
      <c r="DI905"/>
      <c r="DJ905"/>
      <c r="DK905"/>
      <c r="DL905"/>
      <c r="DM905"/>
      <c r="DN905"/>
      <c r="DO905"/>
      <c r="DP905"/>
      <c r="DQ905"/>
      <c r="DR905"/>
      <c r="DS905"/>
      <c r="DX905" s="1857">
        <v>2001</v>
      </c>
      <c r="DY905" s="1616">
        <f>СЧЁТ!BJ12</f>
        <v>5.0659822500447591</v>
      </c>
      <c r="DZ905" s="1382">
        <f>СЧЁТ!BO12</f>
        <v>4.8512425842434741</v>
      </c>
      <c r="EA905" s="1035">
        <f>СЧЁТ!BN12</f>
        <v>5.3433855590626722</v>
      </c>
    </row>
    <row r="906" spans="105:131" ht="17.399999999999999">
      <c r="DA906" s="2080">
        <v>2002</v>
      </c>
      <c r="DB906" s="1875">
        <v>1703.0808963644092</v>
      </c>
      <c r="DC906" s="1201">
        <v>5401.7384738598985</v>
      </c>
      <c r="DD906" s="1034">
        <v>66.659000000000006</v>
      </c>
      <c r="DE906" s="1787">
        <f t="shared" si="326"/>
        <v>25.549151597899893</v>
      </c>
      <c r="DF906" s="2087">
        <f t="shared" si="327"/>
        <v>81.035396178458996</v>
      </c>
      <c r="DH906"/>
      <c r="DI906"/>
      <c r="DJ906"/>
      <c r="DK906"/>
      <c r="DL906"/>
      <c r="DM906"/>
      <c r="DN906"/>
      <c r="DO906"/>
      <c r="DP906"/>
      <c r="DQ906"/>
      <c r="DR906"/>
      <c r="DS906"/>
      <c r="DX906" s="1857">
        <v>2002</v>
      </c>
      <c r="DY906" s="1616">
        <f>СЧЁТ!BJ13</f>
        <v>5.7822315297952604</v>
      </c>
      <c r="DZ906" s="1382">
        <f>СЧЁТ!BO13</f>
        <v>5.5837802144642392</v>
      </c>
      <c r="EA906" s="1035">
        <f>СЧЁТ!BN13</f>
        <v>5.6965406483895409</v>
      </c>
    </row>
    <row r="907" spans="105:131" ht="17.399999999999999">
      <c r="DA907" s="2080">
        <v>2003</v>
      </c>
      <c r="DB907" s="1875">
        <v>1827.405801799011</v>
      </c>
      <c r="DC907" s="1201">
        <v>5471.9610740200769</v>
      </c>
      <c r="DD907" s="1034">
        <v>66.338999999999999</v>
      </c>
      <c r="DE907" s="1787">
        <f t="shared" si="326"/>
        <v>27.546477966188984</v>
      </c>
      <c r="DF907" s="2087">
        <f t="shared" si="327"/>
        <v>82.484829045057609</v>
      </c>
      <c r="DH907"/>
      <c r="DI907"/>
      <c r="DJ907"/>
      <c r="DK907"/>
      <c r="DL907"/>
      <c r="DM907"/>
      <c r="DN907"/>
      <c r="DO907"/>
      <c r="DP907"/>
      <c r="DQ907"/>
      <c r="DR907"/>
      <c r="DS907"/>
      <c r="DX907" s="1857">
        <v>2003</v>
      </c>
      <c r="DY907" s="1616">
        <f>СЧЁТ!BJ14</f>
        <v>6.5915237407621836</v>
      </c>
      <c r="DZ907" s="1382">
        <f>СЧЁТ!BO14</f>
        <v>6.2538338401999489</v>
      </c>
      <c r="EA907" s="1035">
        <f>СЧЁТ!BN14</f>
        <v>5.788123461724906</v>
      </c>
    </row>
    <row r="908" spans="105:131" ht="17.399999999999999">
      <c r="DA908" s="2080">
        <v>2004</v>
      </c>
      <c r="DB908" s="1875">
        <v>1958.97901952854</v>
      </c>
      <c r="DC908" s="1201">
        <v>5559.5124512043985</v>
      </c>
      <c r="DD908" s="1034">
        <v>67.319000000000003</v>
      </c>
      <c r="DE908" s="1787">
        <f t="shared" si="326"/>
        <v>29.099942356965194</v>
      </c>
      <c r="DF908" s="2087">
        <f t="shared" si="327"/>
        <v>82.584596491397647</v>
      </c>
      <c r="DH908"/>
      <c r="DI908"/>
      <c r="DJ908"/>
      <c r="DK908"/>
      <c r="DL908"/>
      <c r="DM908"/>
      <c r="DN908"/>
      <c r="DO908"/>
      <c r="DP908"/>
      <c r="DQ908"/>
      <c r="DR908"/>
      <c r="DS908"/>
      <c r="DX908" s="1857">
        <v>2004</v>
      </c>
      <c r="DY908" s="1616">
        <f>СЧЁТ!BJ15</f>
        <v>7.7337827274937645</v>
      </c>
      <c r="DZ908" s="1382">
        <f>СЧЁТ!BO15</f>
        <v>6.9855323995033425</v>
      </c>
      <c r="EA908" s="1035">
        <f>СЧЁТ!BN15</f>
        <v>5.6171649663435321</v>
      </c>
    </row>
    <row r="909" spans="105:131" ht="17.399999999999999">
      <c r="DA909" s="2080">
        <v>2005</v>
      </c>
      <c r="DB909" s="1875">
        <v>2084.3536767783667</v>
      </c>
      <c r="DC909" s="1201">
        <v>5665.1431877772829</v>
      </c>
      <c r="DD909" s="1034">
        <v>68.338999999999999</v>
      </c>
      <c r="DE909" s="1787">
        <f t="shared" si="326"/>
        <v>30.500207447846275</v>
      </c>
      <c r="DF909" s="2087">
        <f t="shared" si="327"/>
        <v>82.897660015178488</v>
      </c>
      <c r="DH909"/>
      <c r="DI909"/>
      <c r="DJ909"/>
      <c r="DK909"/>
      <c r="DL909"/>
      <c r="DM909"/>
      <c r="DN909"/>
      <c r="DO909"/>
      <c r="DP909"/>
      <c r="DQ909"/>
      <c r="DR909"/>
      <c r="DS909"/>
      <c r="DX909" s="1857">
        <v>2005</v>
      </c>
      <c r="DY909" s="1616">
        <f>СЧЁТ!BJ16</f>
        <v>9.1849440425976727</v>
      </c>
      <c r="DZ909" s="1382">
        <f>СЧЁТ!BO16</f>
        <v>7.7469554310492068</v>
      </c>
      <c r="EA909" s="1035">
        <f>СЧЁТ!BN16</f>
        <v>5.9336563381172764</v>
      </c>
    </row>
    <row r="910" spans="105:131" ht="17.399999999999999">
      <c r="DA910" s="2080">
        <v>2006</v>
      </c>
      <c r="DB910" s="1875">
        <v>2255.270678274193</v>
      </c>
      <c r="DC910" s="1201">
        <v>5801.1066242839379</v>
      </c>
      <c r="DD910" s="1034">
        <v>69.168999999999997</v>
      </c>
      <c r="DE910" s="1787">
        <f t="shared" si="326"/>
        <v>32.605223124147997</v>
      </c>
      <c r="DF910" s="2087">
        <f t="shared" si="327"/>
        <v>83.868591772093538</v>
      </c>
      <c r="DH910"/>
      <c r="DI910"/>
      <c r="DJ910"/>
      <c r="DK910"/>
      <c r="DL910"/>
      <c r="DM910"/>
      <c r="DN910"/>
      <c r="DO910"/>
      <c r="DP910"/>
      <c r="DQ910"/>
      <c r="DR910"/>
      <c r="DS910"/>
      <c r="DX910" s="1857">
        <v>2006</v>
      </c>
      <c r="DY910" s="1616">
        <f>СЧЁТ!BJ17</f>
        <v>10.5310440318469</v>
      </c>
      <c r="DZ910" s="1382">
        <f>СЧЁТ!BO17</f>
        <v>8.4441814198436358</v>
      </c>
      <c r="EA910" s="1035">
        <f>СЧЁТ!BN17</f>
        <v>5.9494755268032087</v>
      </c>
    </row>
    <row r="911" spans="105:131" ht="17.399999999999999">
      <c r="DA911" s="2080">
        <v>2007</v>
      </c>
      <c r="DB911" s="1875">
        <v>2446.9686859274993</v>
      </c>
      <c r="DC911" s="1201">
        <v>5980.9409296367394</v>
      </c>
      <c r="DD911" s="1034">
        <v>70.77</v>
      </c>
      <c r="DE911" s="1787">
        <f t="shared" si="326"/>
        <v>34.576355601632038</v>
      </c>
      <c r="DF911" s="2087">
        <f t="shared" si="327"/>
        <v>84.512377132072061</v>
      </c>
      <c r="DH911"/>
      <c r="DI911"/>
      <c r="DJ911"/>
      <c r="DK911"/>
      <c r="DL911"/>
      <c r="DM911"/>
      <c r="DN911"/>
      <c r="DO911"/>
      <c r="DP911"/>
      <c r="DQ911"/>
      <c r="DR911"/>
      <c r="DS911"/>
      <c r="DX911" s="1857">
        <v>2007</v>
      </c>
      <c r="DY911" s="1616">
        <f>СЧЁТ!BJ18</f>
        <v>12.093285009188341</v>
      </c>
      <c r="DZ911" s="1382">
        <f>СЧЁТ!BO18</f>
        <v>9.4465057543790749</v>
      </c>
      <c r="EA911" s="1035">
        <f>СЧЁТ!BN18</f>
        <v>5.9724865903412292</v>
      </c>
    </row>
    <row r="912" spans="105:131" ht="17.399999999999999">
      <c r="DA912" s="2080">
        <v>2008</v>
      </c>
      <c r="DB912" s="1875">
        <v>2574.2110575957295</v>
      </c>
      <c r="DC912" s="1201">
        <v>6196.2548031036622</v>
      </c>
      <c r="DD912" s="1034">
        <v>71.003</v>
      </c>
      <c r="DE912" s="1787">
        <f t="shared" si="326"/>
        <v>36.254961869156645</v>
      </c>
      <c r="DF912" s="2087">
        <f t="shared" si="327"/>
        <v>87.267507050457894</v>
      </c>
      <c r="DH912"/>
      <c r="DI912"/>
      <c r="DJ912"/>
      <c r="DK912"/>
      <c r="DL912"/>
      <c r="DM912"/>
      <c r="DN912"/>
      <c r="DO912"/>
      <c r="DP912"/>
      <c r="DQ912"/>
      <c r="DR912"/>
      <c r="DS912"/>
      <c r="DX912" s="1857">
        <v>2008</v>
      </c>
      <c r="DY912" s="1616">
        <f>СЧЁТ!BJ19</f>
        <v>14.279402745112492</v>
      </c>
      <c r="DZ912" s="1382">
        <f>СЧЁТ!BO19</f>
        <v>10.701001718560617</v>
      </c>
      <c r="EA912" s="1035">
        <f>СЧЁТ!BN19</f>
        <v>6.6180737006266304</v>
      </c>
    </row>
    <row r="913" spans="105:131" ht="17.399999999999999">
      <c r="DA913" s="2080">
        <v>2009</v>
      </c>
      <c r="DB913" s="1875">
        <v>2370.848384045667</v>
      </c>
      <c r="DC913" s="1201">
        <v>6394.5349568029797</v>
      </c>
      <c r="DD913" s="1034">
        <v>69.41</v>
      </c>
      <c r="DE913" s="1787">
        <f t="shared" si="326"/>
        <v>34.157158680963363</v>
      </c>
      <c r="DF913" s="2087">
        <f t="shared" si="327"/>
        <v>92.126998369154009</v>
      </c>
      <c r="DH913"/>
      <c r="DI913"/>
      <c r="DJ913"/>
      <c r="DK913"/>
      <c r="DL913"/>
      <c r="DM913"/>
      <c r="DN913"/>
      <c r="DO913"/>
      <c r="DP913"/>
      <c r="DQ913"/>
      <c r="DR913"/>
      <c r="DS913"/>
      <c r="DX913" s="1857">
        <v>2009</v>
      </c>
      <c r="DY913" s="1616">
        <f>СЧЁТ!BJ20</f>
        <v>14.669938798054028</v>
      </c>
      <c r="DZ913" s="1382">
        <f>СЧЁТ!BO20</f>
        <v>11.642689869793951</v>
      </c>
      <c r="EA913" s="1035">
        <f>СЧЁТ!BN20</f>
        <v>8.3015732196072296</v>
      </c>
    </row>
    <row r="914" spans="105:131" ht="17.399999999999999">
      <c r="DA914" s="2080">
        <v>2010</v>
      </c>
      <c r="DB914" s="1875">
        <v>2477.5365613277218</v>
      </c>
      <c r="DC914" s="1201">
        <v>6586.3710055070696</v>
      </c>
      <c r="DD914" s="1034">
        <v>69.933708461473046</v>
      </c>
      <c r="DE914" s="1787">
        <f t="shared" si="326"/>
        <v>35.426929528449264</v>
      </c>
      <c r="DF914" s="2087">
        <f t="shared" si="327"/>
        <v>94.180205088588238</v>
      </c>
      <c r="DH914"/>
      <c r="DI914"/>
      <c r="DJ914"/>
      <c r="DK914"/>
      <c r="DL914"/>
      <c r="DM914"/>
      <c r="DN914"/>
      <c r="DO914"/>
      <c r="DP914"/>
      <c r="DQ914"/>
      <c r="DR914"/>
      <c r="DS914"/>
      <c r="DX914" s="1857">
        <v>2010</v>
      </c>
      <c r="DY914" s="1616">
        <f>СЧЁТ!BJ21</f>
        <v>16.830212945381799</v>
      </c>
      <c r="DZ914" s="1382">
        <f>СЧЁТ!BO21</f>
        <v>12.664918040361862</v>
      </c>
      <c r="EA914" s="1035">
        <f>СЧЁТ!BN21</f>
        <v>8.121605375451491</v>
      </c>
    </row>
    <row r="915" spans="105:131" ht="17.399999999999999">
      <c r="DA915" s="2080">
        <v>2011</v>
      </c>
      <c r="DB915" s="1875">
        <v>2584.0706334648135</v>
      </c>
      <c r="DC915" s="1201">
        <v>6849.8258457273523</v>
      </c>
      <c r="DD915" s="1034">
        <v>70.85661311334043</v>
      </c>
      <c r="DE915" s="1787">
        <f t="shared" si="326"/>
        <v>36.469011429199981</v>
      </c>
      <c r="DF915" s="2087">
        <f t="shared" si="327"/>
        <v>96.671652013207932</v>
      </c>
      <c r="DH915"/>
      <c r="DI915"/>
      <c r="DJ915"/>
      <c r="DK915"/>
      <c r="DL915"/>
      <c r="DM915"/>
      <c r="DN915"/>
      <c r="DO915"/>
      <c r="DP915"/>
      <c r="DQ915"/>
      <c r="DR915"/>
      <c r="DS915"/>
      <c r="DX915" s="1857">
        <v>2011</v>
      </c>
      <c r="DY915" s="1616">
        <f>СЧЁТ!BJ22</f>
        <v>19.85424571376991</v>
      </c>
      <c r="DZ915" s="1382">
        <f>СЧЁТ!BO22</f>
        <v>13.437478040823935</v>
      </c>
      <c r="EA915" s="1035">
        <f>СЧЁТ!BN22</f>
        <v>8.2828741918760365</v>
      </c>
    </row>
    <row r="916" spans="105:131" ht="17.399999999999999">
      <c r="DA916" s="2080">
        <v>2012</v>
      </c>
      <c r="DB916" s="1875">
        <v>2678.541712402734</v>
      </c>
      <c r="DC916" s="1201">
        <v>7144.3683570936282</v>
      </c>
      <c r="DD916" s="1034">
        <v>71.545415863579535</v>
      </c>
      <c r="DE916" s="1787">
        <f t="shared" si="326"/>
        <v>37.438341507582962</v>
      </c>
      <c r="DF916" s="2087">
        <f t="shared" si="327"/>
        <v>99.857807392108484</v>
      </c>
      <c r="DH916"/>
      <c r="DI916"/>
      <c r="DJ916"/>
      <c r="DK916"/>
      <c r="DL916"/>
      <c r="DM916"/>
      <c r="DN916"/>
      <c r="DO916"/>
      <c r="DP916"/>
      <c r="DQ916"/>
      <c r="DR916"/>
      <c r="DS916"/>
      <c r="DX916" s="1857">
        <v>2012</v>
      </c>
      <c r="DY916" s="1616">
        <f>СЧЁТ!BJ23</f>
        <v>21.405203901528715</v>
      </c>
      <c r="DZ916" s="1382">
        <f>СЧЁТ!BO23</f>
        <v>14.321664095910151</v>
      </c>
      <c r="EA916" s="1035">
        <f>СЧЁТ!BN23</f>
        <v>8.6670199170643638</v>
      </c>
    </row>
    <row r="917" spans="105:131" ht="17.399999999999999">
      <c r="DA917" s="2080">
        <v>2013</v>
      </c>
      <c r="DB917" s="1875">
        <v>2726.3631774238834</v>
      </c>
      <c r="DC917" s="1201">
        <v>7437.2874597344662</v>
      </c>
      <c r="DD917" s="1034">
        <v>71.391459581339006</v>
      </c>
      <c r="DE917" s="1787">
        <f t="shared" si="326"/>
        <v>38.188926146237897</v>
      </c>
      <c r="DF917" s="2087">
        <f t="shared" si="327"/>
        <v>104.1761508077991</v>
      </c>
      <c r="DH917"/>
      <c r="DI917"/>
      <c r="DJ917"/>
      <c r="DK917"/>
      <c r="DL917"/>
      <c r="DM917"/>
      <c r="DN917"/>
      <c r="DO917"/>
      <c r="DP917"/>
      <c r="DQ917"/>
      <c r="DR917"/>
      <c r="DS917"/>
      <c r="DX917" s="1857">
        <v>2013</v>
      </c>
      <c r="DY917" s="1616">
        <f>СЧЁТ!BJ24</f>
        <v>22.832323118365768</v>
      </c>
      <c r="DZ917" s="1382">
        <f>СЧЁТ!BO24</f>
        <v>15.245411430096356</v>
      </c>
      <c r="EA917" s="1035">
        <f>СЧЁТ!BN24</f>
        <v>9.0619465420277994</v>
      </c>
    </row>
    <row r="918" spans="105:131" ht="17.399999999999999">
      <c r="DA918" s="2080">
        <v>2014</v>
      </c>
      <c r="DB918" s="1875">
        <v>2746.5001169353304</v>
      </c>
      <c r="DC918" s="1201">
        <v>7712.4670957446406</v>
      </c>
      <c r="DD918" s="1034">
        <v>71.539043569577998</v>
      </c>
      <c r="DE918" s="1787">
        <f t="shared" si="326"/>
        <v>38.39162476730791</v>
      </c>
      <c r="DF918" s="2087">
        <f t="shared" si="327"/>
        <v>107.80780271745721</v>
      </c>
      <c r="DH918"/>
      <c r="DI918"/>
      <c r="DJ918"/>
      <c r="DK918"/>
      <c r="DL918"/>
      <c r="DM918"/>
      <c r="DN918"/>
      <c r="DO918"/>
      <c r="DP918"/>
      <c r="DQ918"/>
      <c r="DR918"/>
      <c r="DS918"/>
      <c r="DX918" s="1857">
        <v>2014</v>
      </c>
      <c r="DY918" s="1616">
        <f>СЧЁТ!BJ25</f>
        <v>24.43123573923766</v>
      </c>
      <c r="DZ918" s="1382">
        <f>СЧЁТ!BO25</f>
        <v>17.318787384589459</v>
      </c>
      <c r="EA918" s="1035">
        <f>СЧЁТ!BN25</f>
        <v>10.713774916786434</v>
      </c>
    </row>
    <row r="919" spans="105:131" ht="17.399999999999999">
      <c r="DA919" s="2080">
        <v>2015</v>
      </c>
      <c r="DB919" s="1875">
        <v>2683.3306142458177</v>
      </c>
      <c r="DC919" s="1201">
        <v>7959.2660428084691</v>
      </c>
      <c r="DD919" s="1034">
        <v>72.323622532452006</v>
      </c>
      <c r="DE919" s="1787">
        <f t="shared" si="326"/>
        <v>37.101717534154105</v>
      </c>
      <c r="DF919" s="2087">
        <f t="shared" si="327"/>
        <v>110.05071046098531</v>
      </c>
      <c r="DH919"/>
      <c r="DI919"/>
      <c r="DJ919"/>
      <c r="DK919"/>
      <c r="DL919"/>
      <c r="DM919"/>
      <c r="DN919"/>
      <c r="DO919"/>
      <c r="DP919"/>
      <c r="DQ919"/>
      <c r="DR919"/>
      <c r="DS919"/>
      <c r="DX919" s="1857">
        <v>2015</v>
      </c>
      <c r="DY919" s="1616">
        <f>СЧЁТ!BJ26</f>
        <v>27.196038400434425</v>
      </c>
      <c r="DZ919" s="1382">
        <f>СЧЁТ!BO26</f>
        <v>19.552910957201501</v>
      </c>
      <c r="EA919" s="1035">
        <f>СЧЁТ!BN26</f>
        <v>15.005583237946571</v>
      </c>
    </row>
    <row r="920" spans="105:131" ht="17.399999999999999">
      <c r="DA920" s="2080">
        <v>2016</v>
      </c>
      <c r="DB920" s="1875">
        <v>2688.6972754743092</v>
      </c>
      <c r="DC920" s="1201">
        <v>8269.6774184779988</v>
      </c>
      <c r="DD920" s="1034">
        <v>72.393000000000001</v>
      </c>
      <c r="DE920" s="1787">
        <f t="shared" si="326"/>
        <v>37.140293612287223</v>
      </c>
      <c r="DF920" s="2087">
        <f t="shared" si="327"/>
        <v>114.23310842868784</v>
      </c>
      <c r="DH920"/>
      <c r="DI920"/>
      <c r="DJ920"/>
      <c r="DK920"/>
      <c r="DL920"/>
      <c r="DM920"/>
      <c r="DN920"/>
      <c r="DO920"/>
      <c r="DP920"/>
      <c r="DQ920"/>
      <c r="DR920"/>
      <c r="DS920"/>
      <c r="DX920" s="1857">
        <v>2016</v>
      </c>
      <c r="DY920" s="1616">
        <f>СЧЁТ!BJ27</f>
        <v>28.328183799288354</v>
      </c>
      <c r="DZ920" s="1382">
        <f>СЧЁТ!BO27</f>
        <v>20.606812857794662</v>
      </c>
      <c r="EA920" s="1035">
        <f>СЧЁТ!BN27</f>
        <v>16.052012422908835</v>
      </c>
    </row>
    <row r="921" spans="105:131" ht="17.399999999999999">
      <c r="DA921" s="2080">
        <v>2017</v>
      </c>
      <c r="DB921" s="2089">
        <f t="array" ref="DB921:DB934">TRANSPOSE(СЧЁТ!AK120:AX120)</f>
        <v>31.008032895393978</v>
      </c>
      <c r="DC921" s="2069">
        <f t="array" ref="DC921:DC934">TRANSPOSE(СЧЁТ!AK147:AX147)</f>
        <v>3.9670000000000001</v>
      </c>
      <c r="DD921" s="2082">
        <f t="array" ref="DD921:DD934">TRANSPOSE(СЧЁТ!AK106:AX106)</f>
        <v>48135.66</v>
      </c>
      <c r="DE921" s="2082">
        <f>DB921/DD921</f>
        <v>6.4418007139393075E-4</v>
      </c>
      <c r="DF921" s="1097">
        <f>DC921/DD921</f>
        <v>8.241291383560545E-5</v>
      </c>
      <c r="DH921"/>
      <c r="DI921"/>
      <c r="DJ921"/>
      <c r="DK921"/>
      <c r="DL921"/>
      <c r="DM921"/>
      <c r="DN921"/>
      <c r="DO921"/>
      <c r="DP921"/>
      <c r="DQ921"/>
      <c r="DR921"/>
      <c r="DS921"/>
      <c r="DX921" s="1857">
        <v>2017</v>
      </c>
      <c r="DY921" s="1616">
        <f>СЧЁТ!BJ28</f>
        <v>29.877742312507845</v>
      </c>
      <c r="DZ921" s="1382">
        <f>СЧЁТ!BO28</f>
        <v>21.124043860525305</v>
      </c>
      <c r="EA921" s="1035">
        <f>СЧЁТ!BN28</f>
        <v>14.742627700481552</v>
      </c>
    </row>
    <row r="922" spans="105:131" ht="17.399999999999999">
      <c r="DA922" s="2080">
        <v>2018</v>
      </c>
      <c r="DB922" s="2089">
        <v>30.917946096737758</v>
      </c>
      <c r="DC922" s="2069">
        <v>3.657</v>
      </c>
      <c r="DD922" s="2082">
        <v>50851.05</v>
      </c>
      <c r="DE922" s="2082">
        <f t="shared" ref="DE922:DE934" si="328">DB922/DD922</f>
        <v>6.080099839971398E-4</v>
      </c>
      <c r="DF922" s="1097">
        <f t="shared" ref="DF922:DF934" si="329">DC922/DD922</f>
        <v>7.1915919140312735E-5</v>
      </c>
      <c r="DH922"/>
      <c r="DI922"/>
      <c r="DJ922"/>
      <c r="DK922"/>
      <c r="DL922"/>
      <c r="DM922"/>
      <c r="DN922"/>
      <c r="DO922"/>
      <c r="DP922"/>
      <c r="DQ922"/>
      <c r="DR922"/>
      <c r="DS922"/>
      <c r="DX922" s="1857">
        <v>2018</v>
      </c>
      <c r="DY922" s="1616">
        <f>СЧЁТ!BJ29</f>
        <v>32.514653338403463</v>
      </c>
      <c r="DZ922" s="1382">
        <f>СЧЁТ!BO29</f>
        <v>22.02392812898368</v>
      </c>
      <c r="EA922" s="1035">
        <f>СЧЁТ!BN29</f>
        <v>16.237654558609503</v>
      </c>
    </row>
    <row r="923" spans="105:131" ht="17.399999999999999">
      <c r="DA923" s="2080">
        <v>2019</v>
      </c>
      <c r="DB923" s="2089">
        <v>34.387591658078591</v>
      </c>
      <c r="DC923" s="2069">
        <f ca="1"/>
        <v>2.710165438947044</v>
      </c>
      <c r="DD923" s="2082">
        <f ca="1"/>
        <v>55095.866167753229</v>
      </c>
      <c r="DE923" s="2082">
        <f t="shared" ca="1" si="328"/>
        <v>6.2414104813920002E-4</v>
      </c>
      <c r="DF923" s="1097">
        <f t="shared" ca="1" si="329"/>
        <v>4.9189996046078366E-5</v>
      </c>
      <c r="DH923"/>
      <c r="DI923"/>
      <c r="DJ923"/>
      <c r="DK923"/>
      <c r="DL923"/>
      <c r="DM923"/>
      <c r="DN923"/>
      <c r="DO923"/>
      <c r="DP923"/>
      <c r="DQ923"/>
      <c r="DR923"/>
      <c r="DS923"/>
      <c r="DX923" s="1857">
        <v>2019</v>
      </c>
      <c r="DY923" s="1616">
        <f ca="1">СЧЁТ!BJ30</f>
        <v>31.980297493595838</v>
      </c>
      <c r="DZ923" s="1382">
        <f>СЧЁТ!BO30</f>
        <v>22.693455544104783</v>
      </c>
      <c r="EA923" s="1035">
        <f>СЧЁТ!BN30</f>
        <v>18.438060398142703</v>
      </c>
    </row>
    <row r="924" spans="105:131" ht="17.399999999999999">
      <c r="DA924" s="2080">
        <v>2020</v>
      </c>
      <c r="DB924" s="2089">
        <v>33.33077815849024</v>
      </c>
      <c r="DC924" s="2069">
        <f ca="1"/>
        <v>4.0422690765656739</v>
      </c>
      <c r="DD924" s="2082">
        <f ca="1"/>
        <v>58865.110187198043</v>
      </c>
      <c r="DE924" s="2082">
        <f t="shared" ca="1" si="328"/>
        <v>5.6622298085392869E-4</v>
      </c>
      <c r="DF924" s="1097">
        <f t="shared" ca="1" si="329"/>
        <v>6.867003329664683E-5</v>
      </c>
      <c r="DH924"/>
      <c r="DI924"/>
      <c r="DJ924"/>
      <c r="DK924"/>
      <c r="DL924"/>
      <c r="DM924"/>
      <c r="DN924"/>
      <c r="DO924"/>
      <c r="DP924"/>
      <c r="DQ924"/>
      <c r="DR924"/>
      <c r="DS924"/>
      <c r="DX924" s="1857">
        <v>2020</v>
      </c>
      <c r="DY924" s="1616">
        <f ca="1">СЧЁТ!BJ31</f>
        <v>33.328438855630772</v>
      </c>
      <c r="DZ924" s="1382">
        <f>СЧЁТ!BO31</f>
        <v>23.807704211320324</v>
      </c>
      <c r="EA924" s="1035">
        <f>СЧЁТ!BN31</f>
        <v>19.799322318991504</v>
      </c>
    </row>
    <row r="925" spans="105:131" ht="17.399999999999999">
      <c r="DA925" s="2080">
        <v>2021</v>
      </c>
      <c r="DB925" s="2089">
        <v>37.216067066414759</v>
      </c>
      <c r="DC925" s="2069">
        <f ca="1"/>
        <v>3.0929087858897049</v>
      </c>
      <c r="DD925" s="2082">
        <f ca="1"/>
        <v>66727.551004361841</v>
      </c>
      <c r="DE925" s="2082">
        <f t="shared" ca="1" si="328"/>
        <v>5.5773164916515555E-4</v>
      </c>
      <c r="DF925" s="1097">
        <f t="shared" ca="1" si="329"/>
        <v>4.6351300764620116E-5</v>
      </c>
      <c r="DH925"/>
      <c r="DI925"/>
      <c r="DJ925"/>
      <c r="DK925"/>
      <c r="DL925"/>
      <c r="DM925"/>
      <c r="DN925"/>
      <c r="DO925"/>
      <c r="DP925"/>
      <c r="DQ925"/>
      <c r="DR925"/>
      <c r="DS925"/>
      <c r="DX925" s="1857">
        <v>2021</v>
      </c>
      <c r="DY925" s="1616">
        <f ca="1">СЧЁТ!BJ32</f>
        <v>36.285706472529633</v>
      </c>
      <c r="DZ925" s="1382">
        <f>СЧЁТ!BO32</f>
        <v>24.998089421886341</v>
      </c>
      <c r="EA925" s="1035">
        <f>СЧЁТ!BN32</f>
        <v>20.147590934941082</v>
      </c>
    </row>
    <row r="926" spans="105:131" ht="17.399999999999999">
      <c r="DA926" s="2080">
        <v>2022</v>
      </c>
      <c r="DB926" s="2089">
        <v>38.478495419735495</v>
      </c>
      <c r="DC926" s="2069">
        <f ca="1"/>
        <v>2.3211689748205657</v>
      </c>
      <c r="DD926" s="2082">
        <f ca="1"/>
        <v>73500.40619141607</v>
      </c>
      <c r="DE926" s="2082">
        <f t="shared" ca="1" si="328"/>
        <v>5.2351405133090685E-4</v>
      </c>
      <c r="DF926" s="1097">
        <f t="shared" ca="1" si="329"/>
        <v>3.1580355743553009E-5</v>
      </c>
      <c r="DH926"/>
      <c r="DI926"/>
      <c r="DJ926"/>
      <c r="DK926"/>
      <c r="DL926"/>
      <c r="DM926"/>
      <c r="DN926"/>
      <c r="DO926"/>
      <c r="DP926"/>
      <c r="DQ926"/>
      <c r="DR926"/>
      <c r="DS926"/>
      <c r="DX926" s="1857">
        <v>2022</v>
      </c>
      <c r="DY926" s="1616">
        <f ca="1">СЧЁТ!BJ33</f>
        <v>38.753581796906595</v>
      </c>
      <c r="DZ926" s="1382">
        <f>СЧЁТ!BO33</f>
        <v>26.247993892980659</v>
      </c>
      <c r="EA926" s="1035">
        <f>СЧЁТ!BN33</f>
        <v>20.910602631688135</v>
      </c>
    </row>
    <row r="927" spans="105:131" ht="17.399999999999999">
      <c r="DA927" s="2080">
        <v>2023</v>
      </c>
      <c r="DB927" s="2089">
        <v>39.787795190722271</v>
      </c>
      <c r="DC927" s="2069">
        <f ca="1"/>
        <v>1.5415610800227313</v>
      </c>
      <c r="DD927" s="2082">
        <f ca="1"/>
        <v>80804.77243598699</v>
      </c>
      <c r="DE927" s="2082">
        <f t="shared" ca="1" si="328"/>
        <v>4.9239412464457965E-4</v>
      </c>
      <c r="DF927" s="1097">
        <f t="shared" ca="1" si="329"/>
        <v>1.9077599423275969E-5</v>
      </c>
      <c r="DH927"/>
      <c r="DI927"/>
      <c r="DJ927"/>
      <c r="DK927"/>
      <c r="DL927"/>
      <c r="DM927"/>
      <c r="DN927"/>
      <c r="DO927"/>
      <c r="DP927"/>
      <c r="DQ927"/>
      <c r="DR927"/>
      <c r="DS927"/>
      <c r="DX927" s="1857">
        <v>2023</v>
      </c>
      <c r="DY927" s="1616">
        <f ca="1">СЧЁТ!BJ34</f>
        <v>41.377657914532122</v>
      </c>
      <c r="DZ927" s="1382">
        <f>СЧЁТ!BO34</f>
        <v>27.560393587629694</v>
      </c>
      <c r="EA927" s="1035">
        <f>СЧЁТ!BN34</f>
        <v>21.701943413272542</v>
      </c>
    </row>
    <row r="928" spans="105:131" ht="17.399999999999999">
      <c r="DA928" s="2080">
        <v>2024</v>
      </c>
      <c r="DB928" s="2089">
        <v>41.146309950258384</v>
      </c>
      <c r="DC928" s="2069">
        <f ca="1"/>
        <v>0.757039971475578</v>
      </c>
      <c r="DD928" s="2082">
        <f ca="1"/>
        <v>88741.757510683863</v>
      </c>
      <c r="DE928" s="2082">
        <f t="shared" ca="1" si="328"/>
        <v>4.6366345567704884E-4</v>
      </c>
      <c r="DF928" s="1097">
        <f t="shared" ca="1" si="329"/>
        <v>8.5308201314858555E-6</v>
      </c>
      <c r="DH928"/>
      <c r="DI928"/>
      <c r="DJ928"/>
      <c r="DK928"/>
      <c r="DL928"/>
      <c r="DM928"/>
      <c r="DN928"/>
      <c r="DO928"/>
      <c r="DP928"/>
      <c r="DQ928"/>
      <c r="DR928"/>
      <c r="DS928"/>
      <c r="DX928" s="1857">
        <v>2024</v>
      </c>
      <c r="DY928" s="1616">
        <f ca="1">СЧЁТ!BJ35</f>
        <v>44.163783161370247</v>
      </c>
      <c r="DZ928" s="1382">
        <f>СЧЁТ!BO35</f>
        <v>28.938413267011178</v>
      </c>
      <c r="EA928" s="1035">
        <f>СЧЁТ!BN35</f>
        <v>22.52302973393617</v>
      </c>
    </row>
    <row r="929" spans="105:131" ht="17.399999999999999">
      <c r="DA929" s="2080">
        <v>2025</v>
      </c>
      <c r="DB929" s="2089">
        <v>42.556500447771299</v>
      </c>
      <c r="DC929" s="2069">
        <f ca="1"/>
        <v>-6.5391119224770478E-2</v>
      </c>
      <c r="DD929" s="2082">
        <f ca="1"/>
        <v>97406.102494231876</v>
      </c>
      <c r="DE929" s="2082">
        <f t="shared" ca="1" si="328"/>
        <v>4.3689768256861914E-4</v>
      </c>
      <c r="DF929" s="1097">
        <f t="shared" ca="1" si="329"/>
        <v>-6.7132466601507607E-7</v>
      </c>
      <c r="DH929"/>
      <c r="DI929"/>
      <c r="DJ929"/>
      <c r="DK929"/>
      <c r="DL929"/>
      <c r="DM929"/>
      <c r="DN929"/>
      <c r="DO929"/>
      <c r="DP929"/>
      <c r="DQ929"/>
      <c r="DR929"/>
      <c r="DS929"/>
      <c r="DX929" s="1857">
        <v>2025</v>
      </c>
      <c r="DY929" s="1616">
        <f ca="1">СЧЁТ!BJ36</f>
        <v>47.119274779377989</v>
      </c>
      <c r="DZ929" s="1382">
        <f>СЧЁТ!BO36</f>
        <v>30.385333930361739</v>
      </c>
      <c r="EA929" s="1035">
        <f>СЧЁТ!BN36</f>
        <v>23.375348870632976</v>
      </c>
    </row>
    <row r="930" spans="105:131" ht="17.399999999999999">
      <c r="DA930" s="2080">
        <v>2026</v>
      </c>
      <c r="DB930" s="2089">
        <v>44.020950470159868</v>
      </c>
      <c r="DC930" s="2069">
        <f ca="1"/>
        <v>-0.91240769804689137</v>
      </c>
      <c r="DD930" s="2082">
        <f ca="1"/>
        <v>106891.29627504833</v>
      </c>
      <c r="DE930" s="2082">
        <f t="shared" ca="1" si="328"/>
        <v>4.1182913861281047E-4</v>
      </c>
      <c r="DF930" s="1097">
        <f t="shared" ca="1" si="329"/>
        <v>-8.5358465080180251E-6</v>
      </c>
      <c r="DH930"/>
      <c r="DI930"/>
      <c r="DJ930"/>
      <c r="DK930"/>
      <c r="DL930"/>
      <c r="DM930"/>
      <c r="DN930"/>
      <c r="DO930"/>
      <c r="DP930"/>
      <c r="DQ930"/>
      <c r="DR930"/>
      <c r="DS930"/>
      <c r="DX930" s="1857">
        <v>2026</v>
      </c>
      <c r="DY930" s="1616">
        <f ca="1">СЧЁТ!BJ37</f>
        <v>50.252435090880134</v>
      </c>
      <c r="DZ930" s="1382">
        <f>СЧЁТ!BO37</f>
        <v>31.904600626879827</v>
      </c>
      <c r="EA930" s="1035">
        <f>СЧЁТ!BN37</f>
        <v>24.260462464164625</v>
      </c>
    </row>
    <row r="931" spans="105:131" ht="17.399999999999999">
      <c r="DA931" s="2080">
        <v>2027</v>
      </c>
      <c r="DB931" s="2089">
        <v>45.542372993667861</v>
      </c>
      <c r="DC931" s="2069">
        <f ca="1"/>
        <v>-1.7895129729460848</v>
      </c>
      <c r="DD931" s="2082">
        <f ca="1"/>
        <v>117293.21324623218</v>
      </c>
      <c r="DE931" s="2082">
        <f t="shared" ca="1" si="328"/>
        <v>3.8827798926491448E-4</v>
      </c>
      <c r="DF931" s="1097">
        <f t="shared" ca="1" si="329"/>
        <v>-1.5256747798266748E-5</v>
      </c>
      <c r="DH931"/>
      <c r="DI931"/>
      <c r="DJ931"/>
      <c r="DK931"/>
      <c r="DL931"/>
      <c r="DM931"/>
      <c r="DN931"/>
      <c r="DO931"/>
      <c r="DP931"/>
      <c r="DQ931"/>
      <c r="DR931"/>
      <c r="DS931"/>
      <c r="DX931" s="1857">
        <v>2027</v>
      </c>
      <c r="DY931" s="1616">
        <f ca="1">СЧЁТ!BJ38</f>
        <v>53.572305998881035</v>
      </c>
      <c r="DZ931" s="1382">
        <f>СЧЁТ!BO38</f>
        <v>33.499830658223821</v>
      </c>
      <c r="EA931" s="1035">
        <f>СЧЁТ!BN38</f>
        <v>25.180010237372858</v>
      </c>
    </row>
    <row r="932" spans="105:131" ht="17.399999999999999">
      <c r="DA932" s="2080">
        <v>2028</v>
      </c>
      <c r="DB932" s="2089">
        <v>47.123616643351255</v>
      </c>
      <c r="DC932" s="2069">
        <f ca="1"/>
        <v>-2.7007881812319994</v>
      </c>
      <c r="DD932" s="2082">
        <f ca="1"/>
        <v>128712.81634808327</v>
      </c>
      <c r="DE932" s="2082">
        <f t="shared" ca="1" si="328"/>
        <v>3.6611440865308203E-4</v>
      </c>
      <c r="DF932" s="1097">
        <f t="shared" ca="1" si="329"/>
        <v>-2.0983055595086574E-5</v>
      </c>
      <c r="DH932"/>
      <c r="DI932"/>
      <c r="DJ932"/>
      <c r="DK932"/>
      <c r="DL932"/>
      <c r="DM932"/>
      <c r="DN932"/>
      <c r="DO932"/>
      <c r="DP932"/>
      <c r="DQ932"/>
      <c r="DR932"/>
      <c r="DS932"/>
      <c r="DX932" s="1857">
        <v>2028</v>
      </c>
      <c r="DY932" s="1616">
        <f ca="1">СЧЁТ!BJ39</f>
        <v>57.088550391673721</v>
      </c>
      <c r="DZ932" s="1382">
        <f>СЧЁТ!BO39</f>
        <v>35.174822191135014</v>
      </c>
      <c r="EA932" s="1035">
        <f>СЧЁТ!BN39</f>
        <v>26.135713899241502</v>
      </c>
    </row>
    <row r="933" spans="105:131" ht="17.399999999999999">
      <c r="DA933" s="2080">
        <v>2029</v>
      </c>
      <c r="DB933" s="2089">
        <v>48.767672475518822</v>
      </c>
      <c r="DC933" s="2069">
        <f ca="1"/>
        <v>-3.6600764203583509</v>
      </c>
      <c r="DD933" s="2082">
        <f ca="1"/>
        <v>141258.28260823787</v>
      </c>
      <c r="DE933" s="2082">
        <f t="shared" ca="1" si="328"/>
        <v>3.4523761421317747E-4</v>
      </c>
      <c r="DF933" s="1097">
        <f t="shared" ca="1" si="329"/>
        <v>-2.591052611413317E-5</v>
      </c>
      <c r="DH933"/>
      <c r="DI933"/>
      <c r="DJ933"/>
      <c r="DK933"/>
      <c r="DL933"/>
      <c r="DM933"/>
      <c r="DN933"/>
      <c r="DO933"/>
      <c r="DP933"/>
      <c r="DQ933"/>
      <c r="DR933"/>
      <c r="DS933"/>
      <c r="DX933" s="1857">
        <v>2029</v>
      </c>
      <c r="DY933" s="1616">
        <f ca="1">СЧЁТ!BJ40</f>
        <v>60.811401422127091</v>
      </c>
      <c r="DZ933" s="1382">
        <f>СЧЁТ!BO40</f>
        <v>36.933563300691766</v>
      </c>
      <c r="EA933" s="1035">
        <f>СЧЁТ!BN40</f>
        <v>27.129381244203579</v>
      </c>
    </row>
    <row r="934" spans="105:131" ht="17.399999999999999">
      <c r="DA934" s="2081">
        <v>2030</v>
      </c>
      <c r="DB934" s="2085">
        <v>50.477681099294756</v>
      </c>
      <c r="DC934" s="2084">
        <f ca="1"/>
        <v>-4.6595420400787333</v>
      </c>
      <c r="DD934" s="2083">
        <f ca="1"/>
        <v>155046.78781318307</v>
      </c>
      <c r="DE934" s="2083">
        <f t="shared" ca="1" si="328"/>
        <v>3.2556418492278382E-4</v>
      </c>
      <c r="DF934" s="2090">
        <f t="shared" ca="1" si="329"/>
        <v>-3.0052489998651551E-5</v>
      </c>
      <c r="DX934" s="1862">
        <v>2030</v>
      </c>
      <c r="DY934" s="1616">
        <f ca="1">СЧЁТ!BJ41</f>
        <v>64.751648408286357</v>
      </c>
      <c r="DZ934" s="1382">
        <f>СЧЁТ!BO41</f>
        <v>38.780241465726355</v>
      </c>
      <c r="EA934" s="1035">
        <f>СЧЁТ!BN41</f>
        <v>28.162910456413751</v>
      </c>
    </row>
  </sheetData>
  <mergeCells count="3">
    <mergeCell ref="AP228:AP229"/>
    <mergeCell ref="AQ228:AQ229"/>
    <mergeCell ref="AR228:AR229"/>
  </mergeCells>
  <phoneticPr fontId="46" type="noConversion"/>
  <printOptions horizontalCentered="1"/>
  <pageMargins left="0.70866141732283472" right="0.70866141732283472" top="4.2913385826771657" bottom="0.74803149606299213" header="0.31496062992125984" footer="0.31496062992125984"/>
  <pageSetup paperSize="9" scale="120" orientation="portrait" horizontalDpi="180" verticalDpi="18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G1:IX272"/>
  <sheetViews>
    <sheetView topLeftCell="BY129" zoomScale="50" zoomScaleNormal="50" workbookViewId="0">
      <selection activeCell="CE162" sqref="CE162:CE176"/>
    </sheetView>
  </sheetViews>
  <sheetFormatPr defaultRowHeight="14.4"/>
  <cols>
    <col min="8" max="8" width="15.44140625" bestFit="1" customWidth="1"/>
    <col min="10" max="10" width="14.44140625" bestFit="1" customWidth="1"/>
    <col min="11" max="13" width="11.44140625" bestFit="1" customWidth="1"/>
    <col min="14" max="14" width="12.109375" customWidth="1"/>
    <col min="15" max="16" width="11.44140625" bestFit="1" customWidth="1"/>
    <col min="17" max="18" width="11.6640625" bestFit="1" customWidth="1"/>
    <col min="19" max="24" width="14.109375" bestFit="1" customWidth="1"/>
    <col min="25" max="25" width="10.6640625" customWidth="1"/>
    <col min="26" max="31" width="14.109375" bestFit="1" customWidth="1"/>
    <col min="32" max="32" width="12.88671875" customWidth="1"/>
    <col min="33" max="33" width="12.5546875" customWidth="1"/>
    <col min="34" max="34" width="10.6640625" customWidth="1"/>
    <col min="35" max="38" width="14.109375" bestFit="1" customWidth="1"/>
    <col min="39" max="39" width="12.6640625" customWidth="1"/>
    <col min="40" max="40" width="12.33203125" customWidth="1"/>
    <col min="41" max="41" width="11" customWidth="1"/>
    <col min="42" max="42" width="10.88671875" customWidth="1"/>
    <col min="43" max="43" width="10.109375" customWidth="1"/>
    <col min="48" max="48" width="11.44140625" customWidth="1"/>
    <col min="49" max="49" width="9.6640625" customWidth="1"/>
    <col min="50" max="51" width="11.109375" customWidth="1"/>
    <col min="52" max="52" width="10.6640625" customWidth="1"/>
    <col min="53" max="53" width="12" customWidth="1"/>
    <col min="54" max="54" width="11.88671875" bestFit="1" customWidth="1"/>
    <col min="55" max="55" width="12.109375" customWidth="1"/>
    <col min="56" max="56" width="12.5546875" bestFit="1" customWidth="1"/>
    <col min="57" max="57" width="11.109375" customWidth="1"/>
    <col min="58" max="58" width="10.33203125" customWidth="1"/>
    <col min="59" max="59" width="10.88671875" customWidth="1"/>
    <col min="60" max="60" width="11.44140625" customWidth="1"/>
    <col min="61" max="61" width="10" customWidth="1"/>
    <col min="62" max="62" width="10.33203125" customWidth="1"/>
    <col min="63" max="63" width="11.6640625" bestFit="1" customWidth="1"/>
    <col min="64" max="64" width="12" customWidth="1"/>
    <col min="65" max="65" width="12.33203125" customWidth="1"/>
    <col min="66" max="66" width="12" customWidth="1"/>
    <col min="67" max="67" width="11" customWidth="1"/>
    <col min="68" max="68" width="9.88671875" bestFit="1" customWidth="1"/>
    <col min="69" max="69" width="11" customWidth="1"/>
    <col min="70" max="70" width="10.44140625" customWidth="1"/>
    <col min="71" max="71" width="11.88671875" customWidth="1"/>
    <col min="72" max="72" width="13.44140625" customWidth="1"/>
    <col min="73" max="73" width="12.5546875" customWidth="1"/>
    <col min="74" max="74" width="10.6640625" bestFit="1" customWidth="1"/>
    <col min="75" max="75" width="12.109375" customWidth="1"/>
    <col min="76" max="76" width="12.5546875" customWidth="1"/>
    <col min="77" max="77" width="11.5546875" customWidth="1"/>
    <col min="78" max="78" width="13.109375" bestFit="1" customWidth="1"/>
    <col min="79" max="79" width="10.109375" bestFit="1" customWidth="1"/>
    <col min="80" max="80" width="12.5546875" bestFit="1" customWidth="1"/>
    <col min="81" max="82" width="11.5546875" bestFit="1" customWidth="1"/>
    <col min="83" max="83" width="11.109375" customWidth="1"/>
    <col min="84" max="84" width="11.33203125" customWidth="1"/>
    <col min="85" max="85" width="10.44140625" customWidth="1"/>
    <col min="86" max="86" width="11.88671875" customWidth="1"/>
    <col min="87" max="87" width="13.88671875" customWidth="1"/>
    <col min="88" max="88" width="12.5546875" customWidth="1"/>
    <col min="89" max="89" width="11.5546875" customWidth="1"/>
    <col min="90" max="90" width="11.6640625" customWidth="1"/>
    <col min="91" max="91" width="12.33203125" bestFit="1" customWidth="1"/>
    <col min="92" max="92" width="12.5546875" customWidth="1"/>
    <col min="93" max="93" width="11.33203125" customWidth="1"/>
    <col min="94" max="94" width="10.5546875" customWidth="1"/>
    <col min="95" max="95" width="12.6640625" bestFit="1" customWidth="1"/>
    <col min="97" max="98" width="11.5546875" customWidth="1"/>
    <col min="99" max="99" width="12.5546875" customWidth="1"/>
    <col min="100" max="100" width="11.33203125" bestFit="1" customWidth="1"/>
    <col min="101" max="101" width="10.5546875" bestFit="1" customWidth="1"/>
    <col min="102" max="102" width="11" customWidth="1"/>
    <col min="103" max="103" width="10.33203125" customWidth="1"/>
    <col min="104" max="104" width="11.33203125" customWidth="1"/>
    <col min="105" max="105" width="11.33203125" bestFit="1" customWidth="1"/>
    <col min="106" max="106" width="11.44140625" customWidth="1"/>
    <col min="107" max="107" width="9.33203125" bestFit="1" customWidth="1"/>
    <col min="108" max="108" width="10.5546875" bestFit="1" customWidth="1"/>
    <col min="109" max="109" width="12.44140625" customWidth="1"/>
    <col min="110" max="111" width="12.44140625" bestFit="1" customWidth="1"/>
    <col min="112" max="112" width="12.44140625" customWidth="1"/>
    <col min="113" max="114" width="9.33203125" bestFit="1" customWidth="1"/>
    <col min="115" max="115" width="10.33203125" bestFit="1" customWidth="1"/>
    <col min="116" max="116" width="9.33203125" bestFit="1" customWidth="1"/>
    <col min="117" max="117" width="10.109375" bestFit="1" customWidth="1"/>
    <col min="118" max="118" width="10.33203125" bestFit="1" customWidth="1"/>
    <col min="119" max="119" width="9.44140625" bestFit="1" customWidth="1"/>
    <col min="120" max="120" width="12" customWidth="1"/>
    <col min="121" max="121" width="9.88671875" bestFit="1" customWidth="1"/>
    <col min="122" max="122" width="11.33203125" bestFit="1" customWidth="1"/>
    <col min="123" max="123" width="12.109375" customWidth="1"/>
    <col min="124" max="124" width="11.6640625" customWidth="1"/>
    <col min="125" max="125" width="11.33203125" bestFit="1" customWidth="1"/>
    <col min="126" max="126" width="12.33203125" customWidth="1"/>
    <col min="127" max="127" width="11.6640625" customWidth="1"/>
    <col min="128" max="128" width="12.6640625" customWidth="1"/>
    <col min="129" max="129" width="10.88671875" customWidth="1"/>
    <col min="130" max="130" width="11.33203125" customWidth="1"/>
    <col min="131" max="131" width="10.5546875" customWidth="1"/>
    <col min="132" max="132" width="12.109375" bestFit="1" customWidth="1"/>
    <col min="133" max="134" width="10.5546875" bestFit="1" customWidth="1"/>
    <col min="135" max="135" width="9.88671875" bestFit="1" customWidth="1"/>
    <col min="136" max="136" width="11.5546875" customWidth="1"/>
    <col min="137" max="137" width="13.6640625" bestFit="1" customWidth="1"/>
    <col min="138" max="138" width="11.33203125" bestFit="1" customWidth="1"/>
    <col min="139" max="139" width="11.5546875" customWidth="1"/>
    <col min="140" max="140" width="12" customWidth="1"/>
    <col min="141" max="141" width="11.5546875" bestFit="1" customWidth="1"/>
    <col min="142" max="142" width="12.109375" bestFit="1" customWidth="1"/>
    <col min="143" max="143" width="10.88671875" bestFit="1" customWidth="1"/>
    <col min="144" max="144" width="12.5546875" customWidth="1"/>
    <col min="145" max="145" width="11.6640625" customWidth="1"/>
    <col min="146" max="146" width="12.33203125" customWidth="1"/>
    <col min="147" max="147" width="10.5546875" customWidth="1"/>
    <col min="149" max="149" width="12.33203125" customWidth="1"/>
    <col min="150" max="150" width="11.6640625" customWidth="1"/>
    <col min="151" max="151" width="11.33203125" customWidth="1"/>
    <col min="152" max="152" width="10.5546875" customWidth="1"/>
    <col min="153" max="154" width="11.5546875" bestFit="1" customWidth="1"/>
    <col min="155" max="155" width="12" customWidth="1"/>
    <col min="156" max="156" width="10.44140625" bestFit="1" customWidth="1"/>
    <col min="157" max="157" width="11.5546875" customWidth="1"/>
    <col min="158" max="158" width="9.6640625" customWidth="1"/>
    <col min="159" max="159" width="11.44140625" customWidth="1"/>
    <col min="160" max="160" width="9.44140625" bestFit="1" customWidth="1"/>
    <col min="161" max="161" width="11.109375" customWidth="1"/>
    <col min="162" max="162" width="11.5546875" bestFit="1" customWidth="1"/>
    <col min="163" max="163" width="10.88671875" customWidth="1"/>
    <col min="164" max="164" width="11.6640625" customWidth="1"/>
    <col min="165" max="165" width="11.109375" customWidth="1"/>
    <col min="166" max="166" width="11.5546875" customWidth="1"/>
    <col min="167" max="167" width="11.88671875" customWidth="1"/>
    <col min="168" max="168" width="11.5546875" bestFit="1" customWidth="1"/>
    <col min="169" max="169" width="10.5546875" customWidth="1"/>
    <col min="170" max="170" width="11.44140625" customWidth="1"/>
    <col min="171" max="171" width="12.109375" customWidth="1"/>
    <col min="172" max="172" width="12" customWidth="1"/>
    <col min="173" max="173" width="11.44140625" customWidth="1"/>
    <col min="174" max="174" width="10.5546875" customWidth="1"/>
    <col min="175" max="175" width="11.109375" customWidth="1"/>
    <col min="176" max="176" width="11" bestFit="1" customWidth="1"/>
    <col min="177" max="177" width="11.109375" customWidth="1"/>
    <col min="178" max="178" width="11.109375" bestFit="1" customWidth="1"/>
    <col min="179" max="179" width="10" bestFit="1" customWidth="1"/>
    <col min="182" max="182" width="10" bestFit="1" customWidth="1"/>
    <col min="183" max="183" width="9.44140625" bestFit="1" customWidth="1"/>
    <col min="184" max="184" width="11.44140625" customWidth="1"/>
    <col min="185" max="185" width="10.88671875" bestFit="1" customWidth="1"/>
    <col min="186" max="186" width="11.33203125" customWidth="1"/>
    <col min="187" max="187" width="11.5546875" customWidth="1"/>
    <col min="188" max="188" width="9.33203125" bestFit="1" customWidth="1"/>
    <col min="189" max="189" width="11.33203125" customWidth="1"/>
    <col min="190" max="190" width="11.88671875" customWidth="1"/>
    <col min="191" max="191" width="11.44140625" customWidth="1"/>
    <col min="192" max="192" width="10.6640625" customWidth="1"/>
    <col min="193" max="193" width="13.109375" customWidth="1"/>
    <col min="194" max="194" width="10.109375" bestFit="1" customWidth="1"/>
    <col min="195" max="195" width="11.109375" bestFit="1" customWidth="1"/>
    <col min="196" max="196" width="12" bestFit="1" customWidth="1"/>
    <col min="197" max="197" width="12.44140625" customWidth="1"/>
    <col min="198" max="198" width="13.33203125" customWidth="1"/>
    <col min="199" max="199" width="13.6640625" customWidth="1"/>
    <col min="200" max="200" width="14.44140625" customWidth="1"/>
    <col min="201" max="201" width="11.6640625" customWidth="1"/>
    <col min="202" max="202" width="11" customWidth="1"/>
    <col min="203" max="204" width="14.6640625" bestFit="1" customWidth="1"/>
    <col min="205" max="205" width="11.44140625" bestFit="1" customWidth="1"/>
    <col min="206" max="206" width="12.109375" customWidth="1"/>
    <col min="226" max="226" width="12.6640625" bestFit="1" customWidth="1"/>
    <col min="227" max="227" width="11.5546875" customWidth="1"/>
    <col min="228" max="228" width="10.109375" customWidth="1"/>
    <col min="234" max="234" width="11.6640625" customWidth="1"/>
    <col min="235" max="235" width="13.5546875" customWidth="1"/>
    <col min="236" max="236" width="13.88671875" customWidth="1"/>
    <col min="237" max="237" width="11.44140625" customWidth="1"/>
    <col min="258" max="258" width="12.33203125" customWidth="1"/>
  </cols>
  <sheetData>
    <row r="1" spans="7:258" ht="17.399999999999999">
      <c r="EJ1" s="614"/>
    </row>
    <row r="2" spans="7:258" ht="25.5" customHeight="1" thickBot="1">
      <c r="AU2" s="24"/>
      <c r="AV2" s="24"/>
      <c r="AW2" s="24"/>
      <c r="AX2" s="24"/>
      <c r="AY2" s="24"/>
      <c r="AZ2" s="24"/>
    </row>
    <row r="3" spans="7:258" ht="24.75" customHeight="1">
      <c r="AU3" s="24"/>
      <c r="AV3" s="24"/>
      <c r="AW3" s="24"/>
      <c r="AX3" s="24"/>
      <c r="AY3" s="24"/>
      <c r="AZ3" s="24"/>
      <c r="DX3" s="943" t="s">
        <v>155</v>
      </c>
      <c r="DY3" s="943"/>
      <c r="DZ3" s="943"/>
      <c r="EA3" s="943"/>
      <c r="EB3" s="943" t="s">
        <v>1450</v>
      </c>
      <c r="EC3" s="943"/>
      <c r="ED3" s="943"/>
      <c r="EE3" s="943" t="s">
        <v>1451</v>
      </c>
      <c r="EF3" s="943"/>
      <c r="EG3" s="943"/>
      <c r="EH3" s="599"/>
      <c r="EI3" s="599"/>
      <c r="EJ3" s="599"/>
      <c r="EK3" s="599"/>
      <c r="GU3" s="2397" t="s">
        <v>368</v>
      </c>
      <c r="GV3" s="1456" t="s">
        <v>2146</v>
      </c>
      <c r="GW3" s="1456" t="s">
        <v>590</v>
      </c>
      <c r="GX3" s="1456" t="s">
        <v>1593</v>
      </c>
      <c r="HZ3" s="2397" t="s">
        <v>368</v>
      </c>
      <c r="IA3" s="1456" t="s">
        <v>2071</v>
      </c>
      <c r="IB3" s="1456" t="s">
        <v>2071</v>
      </c>
      <c r="IC3" s="1456" t="s">
        <v>2071</v>
      </c>
      <c r="IX3" s="2558" t="s">
        <v>2071</v>
      </c>
    </row>
    <row r="4" spans="7:258" ht="23.4" thickBot="1">
      <c r="CH4" s="55"/>
      <c r="CI4" s="55"/>
      <c r="CJ4" s="55"/>
      <c r="CK4" s="55"/>
      <c r="CL4" s="55"/>
      <c r="DX4" s="599"/>
      <c r="DY4" s="599"/>
      <c r="DZ4" s="599"/>
      <c r="EA4" s="599"/>
      <c r="EB4" s="599"/>
      <c r="EC4" s="599"/>
      <c r="ED4" s="599"/>
      <c r="EE4" s="599"/>
      <c r="EF4" s="599"/>
      <c r="EG4" s="599"/>
      <c r="EH4" s="599"/>
      <c r="EI4" s="599"/>
      <c r="EJ4" s="599"/>
      <c r="EK4" s="599"/>
      <c r="GU4" s="2396">
        <v>43920</v>
      </c>
      <c r="GV4" s="2395" t="s">
        <v>688</v>
      </c>
      <c r="GW4" s="1384" t="s">
        <v>688</v>
      </c>
      <c r="GX4" s="2107" t="s">
        <v>688</v>
      </c>
      <c r="HZ4" s="2396">
        <v>43957</v>
      </c>
      <c r="IA4" s="496" t="s">
        <v>46</v>
      </c>
      <c r="IB4" s="496" t="s">
        <v>1259</v>
      </c>
      <c r="IC4" s="496" t="s">
        <v>1904</v>
      </c>
      <c r="IX4" s="2559" t="s">
        <v>1550</v>
      </c>
    </row>
    <row r="5" spans="7:258" ht="21.6" thickBot="1">
      <c r="L5" s="1128" t="s">
        <v>1857</v>
      </c>
      <c r="M5" s="1129"/>
      <c r="N5" s="1129"/>
      <c r="O5" s="1129"/>
      <c r="P5" s="1129"/>
      <c r="Q5" s="1129"/>
      <c r="R5" s="1129"/>
      <c r="S5" s="1130"/>
      <c r="T5" s="1131"/>
      <c r="AN5" s="614"/>
      <c r="AO5" s="614"/>
      <c r="AP5" s="614"/>
      <c r="AQ5" s="554"/>
      <c r="DX5" s="2384"/>
      <c r="DY5" s="2384" t="s">
        <v>153</v>
      </c>
      <c r="DZ5" s="2384"/>
      <c r="EA5" s="2384" t="s">
        <v>154</v>
      </c>
      <c r="EB5" s="2384"/>
      <c r="EC5" s="2384"/>
      <c r="ED5" s="2384"/>
      <c r="EE5" s="2384" t="s">
        <v>154</v>
      </c>
      <c r="EF5" s="2384"/>
      <c r="EG5" s="2384"/>
      <c r="EH5" s="2384"/>
      <c r="EI5" s="2384" t="s">
        <v>112</v>
      </c>
      <c r="EJ5" s="2384"/>
      <c r="EK5" s="2384"/>
      <c r="EL5" s="495"/>
      <c r="EM5" s="495"/>
      <c r="FS5" s="1180"/>
      <c r="GU5" s="1218">
        <v>1995</v>
      </c>
      <c r="GV5" s="1259">
        <v>1</v>
      </c>
      <c r="GW5" s="1293">
        <v>1</v>
      </c>
      <c r="GX5" s="1095"/>
      <c r="HY5" s="2406">
        <v>1</v>
      </c>
      <c r="HZ5" s="1218">
        <v>1995</v>
      </c>
      <c r="IA5" s="2406">
        <v>5306</v>
      </c>
      <c r="IB5" s="2406"/>
      <c r="IC5" s="1293"/>
      <c r="IX5" s="2406">
        <v>5306</v>
      </c>
    </row>
    <row r="6" spans="7:258" ht="28.2" thickBot="1">
      <c r="L6" s="1132" t="s">
        <v>694</v>
      </c>
      <c r="M6" s="1133" t="s">
        <v>770</v>
      </c>
      <c r="N6" s="76"/>
      <c r="O6" s="76"/>
      <c r="P6" s="76"/>
      <c r="Q6" s="76"/>
      <c r="R6" s="76"/>
      <c r="S6" s="1134" t="s">
        <v>695</v>
      </c>
      <c r="T6" s="2225">
        <v>43908</v>
      </c>
      <c r="AN6" s="614"/>
      <c r="AO6" s="614"/>
      <c r="AP6" s="614"/>
      <c r="AQ6" s="89"/>
      <c r="CH6" s="55"/>
      <c r="CJ6" s="1025"/>
      <c r="DX6" s="1566" t="s">
        <v>695</v>
      </c>
      <c r="DY6" s="2628" t="s">
        <v>113</v>
      </c>
      <c r="DZ6" s="2628" t="s">
        <v>152</v>
      </c>
      <c r="EA6" s="2628" t="s">
        <v>1119</v>
      </c>
      <c r="EB6" s="2628" t="s">
        <v>1120</v>
      </c>
      <c r="EC6" s="2629" t="s">
        <v>1252</v>
      </c>
      <c r="ED6" s="2630" t="s">
        <v>1254</v>
      </c>
      <c r="EE6" s="2628" t="s">
        <v>114</v>
      </c>
      <c r="EF6" s="2628" t="s">
        <v>115</v>
      </c>
      <c r="EG6" s="2629" t="s">
        <v>1253</v>
      </c>
      <c r="EH6" s="2631" t="s">
        <v>652</v>
      </c>
      <c r="EI6" s="2629" t="s">
        <v>1255</v>
      </c>
      <c r="EJ6" s="2630" t="s">
        <v>1197</v>
      </c>
      <c r="EK6" s="2632" t="s">
        <v>117</v>
      </c>
      <c r="EL6" s="2630" t="s">
        <v>118</v>
      </c>
      <c r="EM6" s="495"/>
      <c r="EO6" s="1111" t="s">
        <v>695</v>
      </c>
      <c r="EP6" s="2034" t="s">
        <v>119</v>
      </c>
      <c r="EQ6" s="2035" t="s">
        <v>120</v>
      </c>
      <c r="FH6" s="2662" t="s">
        <v>695</v>
      </c>
      <c r="FI6" s="2501" t="s">
        <v>656</v>
      </c>
      <c r="FJ6" s="2500" t="s">
        <v>1954</v>
      </c>
      <c r="FK6" s="1344" t="s">
        <v>1954</v>
      </c>
      <c r="FL6" s="2501"/>
      <c r="FQ6" s="70"/>
      <c r="FR6" s="87"/>
      <c r="FS6" s="87"/>
      <c r="FT6" s="552"/>
      <c r="FU6" s="70"/>
      <c r="GB6" s="1187" t="s">
        <v>368</v>
      </c>
      <c r="GC6" s="1456" t="s">
        <v>650</v>
      </c>
      <c r="GD6" s="1456" t="s">
        <v>590</v>
      </c>
      <c r="GE6" s="1456"/>
      <c r="GU6" s="1218">
        <v>1996</v>
      </c>
      <c r="GV6" s="1259">
        <f t="shared" ref="GV6:GV28" si="0">EH9</f>
        <v>1.6953967315458069</v>
      </c>
      <c r="GW6" s="2394">
        <f>DR137</f>
        <v>1.218</v>
      </c>
      <c r="GX6" s="787"/>
      <c r="HY6" s="2407">
        <v>2</v>
      </c>
      <c r="HZ6" s="1218">
        <v>1996</v>
      </c>
      <c r="IA6" s="2407">
        <v>5300.6940000000004</v>
      </c>
      <c r="IB6" s="2407"/>
      <c r="IC6" s="1294"/>
      <c r="IX6" s="2407">
        <f>IA6</f>
        <v>5300.6940000000004</v>
      </c>
    </row>
    <row r="7" spans="7:258" ht="21.6" thickBot="1">
      <c r="L7" s="554"/>
      <c r="M7" s="554"/>
      <c r="N7" s="554"/>
      <c r="O7" s="554"/>
      <c r="P7" s="554"/>
      <c r="Q7" s="554"/>
      <c r="R7" s="554"/>
      <c r="S7" s="554"/>
      <c r="T7" s="554"/>
      <c r="U7" s="554"/>
      <c r="V7" s="554"/>
      <c r="W7" s="554"/>
      <c r="X7" s="554"/>
      <c r="Y7" s="554"/>
      <c r="Z7" s="554"/>
      <c r="AA7" s="554"/>
      <c r="AB7" s="554"/>
      <c r="AC7" s="554"/>
      <c r="AD7" s="554"/>
      <c r="AE7" s="554"/>
      <c r="AF7" s="554"/>
      <c r="AG7" s="554"/>
      <c r="AH7" s="554"/>
      <c r="AI7" s="554"/>
      <c r="AJ7" s="554"/>
      <c r="AK7" s="554"/>
      <c r="AL7" s="554"/>
      <c r="AM7" s="554"/>
      <c r="AN7" s="554"/>
      <c r="AO7" s="554"/>
      <c r="AP7" s="554"/>
      <c r="AQ7" s="554"/>
      <c r="BB7" s="24"/>
      <c r="BC7" s="24"/>
      <c r="BD7" s="24"/>
      <c r="BE7" s="24"/>
      <c r="BF7" s="24"/>
      <c r="BG7" s="24"/>
      <c r="BH7" s="24"/>
      <c r="CJ7" s="1107" t="s">
        <v>695</v>
      </c>
      <c r="CK7" s="1284" t="s">
        <v>788</v>
      </c>
      <c r="CL7" s="813" t="s">
        <v>134</v>
      </c>
      <c r="DA7" s="2288" t="s">
        <v>782</v>
      </c>
      <c r="DX7" s="2633">
        <v>43919</v>
      </c>
      <c r="DY7" s="2634" t="s">
        <v>46</v>
      </c>
      <c r="DZ7" s="2635" t="s">
        <v>809</v>
      </c>
      <c r="EA7" s="2635" t="s">
        <v>809</v>
      </c>
      <c r="EB7" s="2635" t="s">
        <v>809</v>
      </c>
      <c r="EC7" s="2634" t="s">
        <v>46</v>
      </c>
      <c r="ED7" s="2636" t="s">
        <v>46</v>
      </c>
      <c r="EE7" s="2635" t="s">
        <v>46</v>
      </c>
      <c r="EF7" s="2635" t="s">
        <v>809</v>
      </c>
      <c r="EG7" s="2634" t="s">
        <v>46</v>
      </c>
      <c r="EH7" s="2635" t="s">
        <v>809</v>
      </c>
      <c r="EI7" s="2634" t="s">
        <v>46</v>
      </c>
      <c r="EJ7" s="2636" t="s">
        <v>46</v>
      </c>
      <c r="EK7" s="2637" t="s">
        <v>809</v>
      </c>
      <c r="EL7" s="2638" t="s">
        <v>809</v>
      </c>
      <c r="EM7" s="495"/>
      <c r="EO7" s="2036">
        <v>43919</v>
      </c>
      <c r="EP7" s="785" t="s">
        <v>809</v>
      </c>
      <c r="EQ7" s="786" t="s">
        <v>809</v>
      </c>
      <c r="FH7" s="2663">
        <v>43957</v>
      </c>
      <c r="FI7" s="1181" t="s">
        <v>46</v>
      </c>
      <c r="FJ7" s="2661" t="s">
        <v>46</v>
      </c>
      <c r="FK7" s="2661" t="s">
        <v>46</v>
      </c>
      <c r="FL7" s="2661" t="s">
        <v>46</v>
      </c>
      <c r="FQ7" s="70"/>
      <c r="FR7" s="87"/>
      <c r="FS7" s="87"/>
      <c r="FT7" s="552"/>
      <c r="FU7" s="70"/>
      <c r="GB7" s="720">
        <v>43920</v>
      </c>
      <c r="GC7" s="2393" t="s">
        <v>688</v>
      </c>
      <c r="GD7" s="62" t="s">
        <v>688</v>
      </c>
      <c r="GE7" s="117" t="s">
        <v>688</v>
      </c>
      <c r="GU7" s="1218">
        <v>1997</v>
      </c>
      <c r="GV7" s="1259">
        <f t="shared" si="0"/>
        <v>2.415292468742241</v>
      </c>
      <c r="GW7" s="2394">
        <f t="shared" ref="GW7:GW45" si="1">DR138</f>
        <v>1.3519800000000002</v>
      </c>
      <c r="GX7" s="787"/>
      <c r="HY7" s="2407">
        <v>3</v>
      </c>
      <c r="HZ7" s="1218">
        <v>1997</v>
      </c>
      <c r="IA7" s="2407">
        <v>5279.4912240000003</v>
      </c>
      <c r="IB7" s="2407"/>
      <c r="IC7" s="1294"/>
      <c r="IX7" s="2407">
        <f t="shared" ref="IX7:IX28" si="2">IA7</f>
        <v>5279.4912240000003</v>
      </c>
    </row>
    <row r="8" spans="7:258" ht="21.6" thickBot="1">
      <c r="L8" s="554"/>
      <c r="M8" s="554"/>
      <c r="N8" s="1893"/>
      <c r="O8" s="1893"/>
      <c r="P8" s="1894" t="s">
        <v>696</v>
      </c>
      <c r="Q8" s="1895"/>
      <c r="R8" s="1895"/>
      <c r="S8" s="1895"/>
      <c r="T8" s="1895"/>
      <c r="U8" s="1895"/>
      <c r="V8" s="1895"/>
      <c r="W8" s="1895"/>
      <c r="X8" s="1895"/>
      <c r="Y8" s="1895"/>
      <c r="Z8" s="1895"/>
      <c r="AA8" s="1896"/>
      <c r="AB8" s="89"/>
      <c r="AC8" s="89"/>
      <c r="AD8" s="89"/>
      <c r="AE8" s="89"/>
      <c r="AF8" s="89"/>
      <c r="AG8" s="89"/>
      <c r="AH8" s="89"/>
      <c r="AI8" s="89"/>
      <c r="AJ8" s="89"/>
      <c r="AK8" s="554"/>
      <c r="AL8" s="554"/>
      <c r="AM8" s="554"/>
      <c r="AN8" s="554"/>
      <c r="AO8" s="554"/>
      <c r="AP8" s="554"/>
      <c r="AQ8" s="554"/>
      <c r="BB8" s="24"/>
      <c r="BC8" s="24"/>
      <c r="BD8" s="24"/>
      <c r="BE8" s="24"/>
      <c r="BF8" s="24"/>
      <c r="CJ8" s="1191">
        <v>43913</v>
      </c>
      <c r="CK8" s="1516" t="s">
        <v>688</v>
      </c>
      <c r="CL8" s="1516" t="s">
        <v>688</v>
      </c>
      <c r="DA8" s="1505">
        <f>CJ8</f>
        <v>43913</v>
      </c>
      <c r="DX8" s="2629">
        <v>1995</v>
      </c>
      <c r="DY8" s="2639">
        <f t="array" ref="DY8:DY31">TRANSPOSE(ОТЧЁТ!U82:AR82)</f>
        <v>5306</v>
      </c>
      <c r="DZ8" s="2640">
        <v>1</v>
      </c>
      <c r="EA8" s="2640">
        <v>1</v>
      </c>
      <c r="EB8" s="2640">
        <f t="array" ref="EB8:EB31">TRANSPOSE(ОТЧЁТ!U142:AR142)</f>
        <v>1.0009999999999999</v>
      </c>
      <c r="EC8" s="2641">
        <f>DY8</f>
        <v>5306</v>
      </c>
      <c r="ED8" s="1241"/>
      <c r="EE8" s="2642">
        <f t="array" ref="EE8:EE31">TRANSPOSE(ОТЧЁТ!U83:AR83)</f>
        <v>230.40700000000001</v>
      </c>
      <c r="EF8" s="1225">
        <f t="array" ref="EF8:EF31">TRANSPOSE(ОТЧЁТ!U143:AR143)</f>
        <v>0.92732558139534893</v>
      </c>
      <c r="EG8" s="2643">
        <f>EE8</f>
        <v>230.40700000000001</v>
      </c>
      <c r="EH8" s="2644">
        <v>1</v>
      </c>
      <c r="EI8" s="2645"/>
      <c r="EJ8" s="1245"/>
      <c r="EK8" s="1225">
        <f t="shared" ref="EK8:EK31" si="3">EG8/EC8</f>
        <v>4.3423859781379574E-2</v>
      </c>
      <c r="EL8" s="1226"/>
      <c r="EO8" s="1177">
        <v>1995</v>
      </c>
      <c r="EP8" s="1265">
        <f t="shared" ref="EP8:EP31" si="4">EK8</f>
        <v>4.3423859781379574E-2</v>
      </c>
      <c r="EQ8" s="1266"/>
      <c r="FH8" s="1234">
        <v>1995</v>
      </c>
      <c r="FI8" s="2643">
        <f>EG8</f>
        <v>230.40700000000001</v>
      </c>
      <c r="FJ8" s="1225"/>
      <c r="FK8" s="1225"/>
      <c r="FL8" s="1226"/>
      <c r="GB8" s="1218">
        <v>1995</v>
      </c>
      <c r="GC8" s="1259">
        <v>1</v>
      </c>
      <c r="GD8" s="1293">
        <v>1</v>
      </c>
      <c r="GE8" s="1095"/>
      <c r="GU8" s="1218">
        <v>1998</v>
      </c>
      <c r="GV8" s="1259">
        <f t="shared" si="0"/>
        <v>2.6727462335842294</v>
      </c>
      <c r="GW8" s="2394">
        <f t="shared" si="1"/>
        <v>2.4930511200000005</v>
      </c>
      <c r="GX8" s="787"/>
      <c r="HY8" s="2407">
        <v>4</v>
      </c>
      <c r="HZ8" s="1218">
        <v>1998</v>
      </c>
      <c r="IA8" s="2407">
        <v>5263.6527503280004</v>
      </c>
      <c r="IB8" s="2407"/>
      <c r="IC8" s="1294"/>
      <c r="IX8" s="2407">
        <f t="shared" si="2"/>
        <v>5263.6527503280004</v>
      </c>
    </row>
    <row r="9" spans="7:258" ht="21.6" thickBot="1">
      <c r="L9" s="554"/>
      <c r="M9" s="1897" t="s">
        <v>695</v>
      </c>
      <c r="N9" s="1898">
        <v>43114</v>
      </c>
      <c r="O9" s="1899"/>
      <c r="P9" s="1900">
        <v>1995</v>
      </c>
      <c r="Q9" s="1900">
        <v>1996</v>
      </c>
      <c r="R9" s="1900">
        <v>1997</v>
      </c>
      <c r="S9" s="1900">
        <v>1998</v>
      </c>
      <c r="T9" s="1900">
        <v>1999</v>
      </c>
      <c r="U9" s="1900">
        <v>2000</v>
      </c>
      <c r="V9" s="1900">
        <v>2001</v>
      </c>
      <c r="W9" s="1900">
        <v>2002</v>
      </c>
      <c r="X9" s="1900">
        <v>2003</v>
      </c>
      <c r="Y9" s="1900">
        <v>2004</v>
      </c>
      <c r="Z9" s="1900">
        <v>2005</v>
      </c>
      <c r="AA9" s="1900">
        <v>2006</v>
      </c>
      <c r="AB9" s="1900">
        <v>2007</v>
      </c>
      <c r="AC9" s="1900">
        <v>2008</v>
      </c>
      <c r="AD9" s="1900">
        <v>2009</v>
      </c>
      <c r="AE9" s="1900">
        <v>2010</v>
      </c>
      <c r="AF9" s="1900">
        <v>2011</v>
      </c>
      <c r="AG9" s="1900">
        <v>2012</v>
      </c>
      <c r="AH9" s="1900">
        <v>2013</v>
      </c>
      <c r="AI9" s="1900">
        <v>2014</v>
      </c>
      <c r="AJ9" s="1901">
        <v>2015</v>
      </c>
      <c r="AK9" s="1901">
        <v>2016</v>
      </c>
      <c r="AL9" s="1901">
        <v>2017</v>
      </c>
      <c r="AM9" s="1901">
        <v>2018</v>
      </c>
      <c r="AN9" s="1901">
        <v>2019</v>
      </c>
      <c r="AO9" s="1901">
        <v>2020</v>
      </c>
      <c r="AP9" s="1901">
        <v>2021</v>
      </c>
      <c r="AQ9" s="1900"/>
      <c r="BB9" s="24"/>
      <c r="BC9" s="24"/>
      <c r="BD9" s="551" t="s">
        <v>368</v>
      </c>
      <c r="BE9" s="2209" t="s">
        <v>1855</v>
      </c>
      <c r="BF9" s="2210" t="s">
        <v>1856</v>
      </c>
      <c r="BT9" s="551" t="s">
        <v>368</v>
      </c>
      <c r="BU9" s="1384" t="s">
        <v>1855</v>
      </c>
      <c r="BV9" s="1384" t="s">
        <v>1856</v>
      </c>
      <c r="CJ9" s="770">
        <v>1995</v>
      </c>
      <c r="CK9" s="361">
        <f t="array" ref="CK9:CK32">TRANSPOSE(ОТЧЁТ!U178:AR178)</f>
        <v>2.2490438989016016E-2</v>
      </c>
      <c r="CL9" s="353"/>
      <c r="DA9" s="1192">
        <f t="shared" ref="DA9:DA29" si="5">CK9</f>
        <v>2.2490438989016016E-2</v>
      </c>
      <c r="DE9" s="551" t="s">
        <v>368</v>
      </c>
      <c r="DF9" s="1280" t="s">
        <v>664</v>
      </c>
      <c r="DG9" s="1343" t="s">
        <v>746</v>
      </c>
      <c r="DJ9" s="87"/>
      <c r="DK9" s="87"/>
      <c r="DL9" s="552"/>
      <c r="DM9" s="70"/>
      <c r="DX9" s="2646">
        <v>1996</v>
      </c>
      <c r="DY9" s="2647">
        <v>13072.378000000001</v>
      </c>
      <c r="DZ9" s="2648">
        <f>DY9/EC9</f>
        <v>2.4661634872716665</v>
      </c>
      <c r="EA9" s="1227">
        <f>EB9*EA8</f>
        <v>0.99900000000000011</v>
      </c>
      <c r="EB9" s="1227">
        <v>0.99900000000000011</v>
      </c>
      <c r="EC9" s="2649">
        <f t="shared" ref="EC9:EC29" si="6">EC$8*EA9</f>
        <v>5300.6940000000004</v>
      </c>
      <c r="ED9" s="1245"/>
      <c r="EE9" s="2650">
        <v>334.30200000000002</v>
      </c>
      <c r="EF9" s="1227">
        <v>0.85579937304075238</v>
      </c>
      <c r="EG9" s="2644">
        <f>EF9*EG8</f>
        <v>197.18216614420064</v>
      </c>
      <c r="EH9" s="2651">
        <f>EE9/EG9</f>
        <v>1.6953967315458069</v>
      </c>
      <c r="EI9" s="2644">
        <f t="shared" ref="EI9:EI31" si="7">EC8-EC9+EG9</f>
        <v>202.48816614420022</v>
      </c>
      <c r="EJ9" s="1245"/>
      <c r="EK9" s="2652">
        <f t="shared" si="3"/>
        <v>3.719931128720138E-2</v>
      </c>
      <c r="EL9" s="2653">
        <f t="shared" ref="EL9:EL31" si="8">EI9/EC8</f>
        <v>3.8162111975914098E-2</v>
      </c>
      <c r="EM9" s="495"/>
      <c r="EO9" s="1178">
        <v>1996</v>
      </c>
      <c r="EP9" s="1269">
        <f t="shared" si="4"/>
        <v>3.719931128720138E-2</v>
      </c>
      <c r="EQ9" s="1270">
        <f t="shared" ref="EQ9:EQ31" si="9">EL9</f>
        <v>3.8162111975914098E-2</v>
      </c>
      <c r="FH9" s="1234">
        <v>1996</v>
      </c>
      <c r="FI9" s="2664">
        <f>EG9</f>
        <v>197.18216614420064</v>
      </c>
      <c r="FJ9" s="2665">
        <f>EI9</f>
        <v>202.48816614420022</v>
      </c>
      <c r="FK9" s="1227"/>
      <c r="FL9" s="1228"/>
      <c r="FQ9" s="70"/>
      <c r="FR9" s="87"/>
      <c r="FS9" s="87"/>
      <c r="FT9" s="552"/>
      <c r="FU9" s="70"/>
      <c r="GB9" s="1218">
        <v>1996</v>
      </c>
      <c r="GC9" s="1259">
        <f>DZ9</f>
        <v>2.4661634872716665</v>
      </c>
      <c r="GD9" s="2394">
        <f t="shared" ref="GD9:GD31" si="10">CY137</f>
        <v>1.218</v>
      </c>
      <c r="GE9" s="787"/>
      <c r="GU9" s="1218">
        <v>1999</v>
      </c>
      <c r="GV9" s="1259">
        <f t="shared" si="0"/>
        <v>3.4893420575027583</v>
      </c>
      <c r="GW9" s="2394">
        <f t="shared" si="1"/>
        <v>3.4030147788000007</v>
      </c>
      <c r="GX9" s="787"/>
      <c r="HY9" s="2407">
        <v>5</v>
      </c>
      <c r="HZ9" s="1218">
        <v>1999</v>
      </c>
      <c r="IA9" s="2407">
        <v>5274.1800558286568</v>
      </c>
      <c r="IB9" s="2407"/>
      <c r="IC9" s="1294"/>
      <c r="IX9" s="2407">
        <f t="shared" si="2"/>
        <v>5274.1800558286568</v>
      </c>
    </row>
    <row r="10" spans="7:258" ht="21">
      <c r="G10" s="21"/>
      <c r="L10" s="1887" t="s">
        <v>697</v>
      </c>
      <c r="M10" s="1130" t="s">
        <v>698</v>
      </c>
      <c r="N10" s="1130"/>
      <c r="O10" s="1902" t="s">
        <v>398</v>
      </c>
      <c r="P10" s="1938">
        <f>ОТЧЁТ!U51</f>
        <v>2767.6205</v>
      </c>
      <c r="Q10" s="1939">
        <f>ОТЧЁТ!V51</f>
        <v>3799.1260000000002</v>
      </c>
      <c r="R10" s="1939">
        <f>ОТЧЁТ!W51</f>
        <v>4327.5309999999999</v>
      </c>
      <c r="S10" s="1939">
        <f>ОТЧЁТ!X51</f>
        <v>4573.9769999999999</v>
      </c>
      <c r="T10" s="1939">
        <f>ОТЧЁТ!Y51</f>
        <v>8303.2019999999993</v>
      </c>
      <c r="U10" s="1939">
        <f>ОТЧЁТ!Z51</f>
        <v>12552.212</v>
      </c>
      <c r="V10" s="1939">
        <f>ОТЧЁТ!AA51</f>
        <v>15922.788</v>
      </c>
      <c r="W10" s="1939">
        <f>ОТЧЁТ!AB51</f>
        <v>18973.673599999998</v>
      </c>
      <c r="X10" s="1939">
        <f>ОТЧЁТ!AC51</f>
        <v>23273.089499999998</v>
      </c>
      <c r="Y10" s="1939">
        <f>ОТЧЁТ!AD51</f>
        <v>29490.622599999999</v>
      </c>
      <c r="Z10" s="1940">
        <f>ОТЧЁТ!AE51</f>
        <v>37020.601999999999</v>
      </c>
      <c r="AA10" s="1940">
        <f>ОТЧЁТ!AF51</f>
        <v>46223.866499999996</v>
      </c>
      <c r="AB10" s="1940">
        <f>ОТЧЁТ!AG51</f>
        <v>57752.1325</v>
      </c>
      <c r="AC10" s="1940">
        <f>ОТЧЁТ!AH51</f>
        <v>71601.657999999996</v>
      </c>
      <c r="AD10" s="1940">
        <f>ОТЧЁТ!AI51</f>
        <v>68116.5</v>
      </c>
      <c r="AE10" s="2187">
        <f>ОТЧЁТ!AJ51</f>
        <v>82054.600000000006</v>
      </c>
      <c r="AF10" s="1940">
        <f>ОТЧЁТ!AK51</f>
        <v>100960.3907</v>
      </c>
      <c r="AG10" s="1940">
        <f>ОТЧЁТ!AL51</f>
        <v>113092.1725</v>
      </c>
      <c r="AH10" s="1940">
        <f>ОТЧЁТ!AM51</f>
        <v>123165.48509999999</v>
      </c>
      <c r="AI10" s="1940">
        <f>ОТЧЁТ!AN51</f>
        <v>132844.9</v>
      </c>
      <c r="AJ10" s="1940">
        <f>ОТЧЁТ!AO51</f>
        <v>145956.1</v>
      </c>
      <c r="AK10" s="1940">
        <f>ОТЧЁТ!AP51</f>
        <v>153856.5</v>
      </c>
      <c r="AL10" s="1940">
        <f>ОТЧЁТ!AQ51</f>
        <v>166329.29999999999</v>
      </c>
      <c r="AM10" s="1940">
        <f>ОТЧЁТ!AR51</f>
        <v>185534.2</v>
      </c>
      <c r="AN10" s="614"/>
      <c r="AO10" s="1923"/>
      <c r="AP10" s="614"/>
      <c r="AQ10" s="1903" t="str">
        <f>O10</f>
        <v>XO</v>
      </c>
      <c r="BB10" s="24"/>
      <c r="BC10" s="24"/>
      <c r="BD10" s="1504">
        <v>43909</v>
      </c>
      <c r="BE10" s="2211" t="s">
        <v>689</v>
      </c>
      <c r="BF10" s="2211" t="s">
        <v>690</v>
      </c>
      <c r="BT10" s="2208">
        <v>43909</v>
      </c>
      <c r="BU10" s="813" t="s">
        <v>691</v>
      </c>
      <c r="BV10" s="828" t="s">
        <v>692</v>
      </c>
      <c r="CJ10" s="771">
        <v>1996</v>
      </c>
      <c r="CK10" s="362">
        <v>2.7958204381156079E-2</v>
      </c>
      <c r="CL10" s="354"/>
      <c r="DA10" s="1193">
        <f t="shared" si="5"/>
        <v>2.7958204381156079E-2</v>
      </c>
      <c r="DE10" s="2307">
        <v>43917</v>
      </c>
      <c r="DF10" s="2308" t="s">
        <v>46</v>
      </c>
      <c r="DG10" s="2308" t="s">
        <v>46</v>
      </c>
      <c r="DJ10" s="87"/>
      <c r="DK10" s="87"/>
      <c r="DL10" s="552"/>
      <c r="DM10" s="70"/>
      <c r="DX10" s="2646">
        <v>1997</v>
      </c>
      <c r="DY10" s="2647">
        <v>13286.272000000001</v>
      </c>
      <c r="DZ10" s="2648">
        <f t="shared" ref="DZ10:DZ31" si="11">DY10/EC10</f>
        <v>2.5165818894824628</v>
      </c>
      <c r="EA10" s="1227">
        <f t="shared" ref="EA10:EA31" si="12">EB10*EA9</f>
        <v>0.99500400000000011</v>
      </c>
      <c r="EB10" s="1227">
        <v>0.996</v>
      </c>
      <c r="EC10" s="2649">
        <f t="shared" si="6"/>
        <v>5279.4912240000003</v>
      </c>
      <c r="ED10" s="1245"/>
      <c r="EE10" s="2650">
        <v>406.47199999999998</v>
      </c>
      <c r="EF10" s="1227">
        <v>0.85347985347985345</v>
      </c>
      <c r="EG10" s="2644">
        <f t="shared" ref="EG10:EG27" si="13">EF10*EG9</f>
        <v>168.29100626959249</v>
      </c>
      <c r="EH10" s="2651">
        <f t="shared" ref="EH10:EH31" si="14">EE10/EG10</f>
        <v>2.415292468742241</v>
      </c>
      <c r="EI10" s="2644">
        <f t="shared" si="7"/>
        <v>189.49378226959257</v>
      </c>
      <c r="EJ10" s="1245"/>
      <c r="EK10" s="2652">
        <f t="shared" si="3"/>
        <v>3.1876368219831419E-2</v>
      </c>
      <c r="EL10" s="2653">
        <f t="shared" si="8"/>
        <v>3.5748862746952111E-2</v>
      </c>
      <c r="EM10" s="495"/>
      <c r="EO10" s="1178">
        <v>1997</v>
      </c>
      <c r="EP10" s="1269">
        <f t="shared" si="4"/>
        <v>3.1876368219831419E-2</v>
      </c>
      <c r="EQ10" s="1270">
        <f t="shared" si="9"/>
        <v>3.5748862746952111E-2</v>
      </c>
      <c r="FH10" s="1234">
        <v>1997</v>
      </c>
      <c r="FI10" s="2664">
        <f t="shared" ref="FI10:FI31" si="15">EG10</f>
        <v>168.29100626959249</v>
      </c>
      <c r="FJ10" s="2665">
        <f t="shared" ref="FJ10:FJ31" si="16">EI10</f>
        <v>189.49378226959257</v>
      </c>
      <c r="FK10" s="1227"/>
      <c r="FL10" s="1228"/>
      <c r="GB10" s="1218">
        <v>1997</v>
      </c>
      <c r="GC10" s="1259">
        <f t="shared" ref="GC10:GC31" si="17">DZ10</f>
        <v>2.5165818894824628</v>
      </c>
      <c r="GD10" s="2394">
        <f t="shared" si="10"/>
        <v>1.3519800000000002</v>
      </c>
      <c r="GE10" s="787"/>
      <c r="GU10" s="1218">
        <v>2000</v>
      </c>
      <c r="GV10" s="1259">
        <f t="shared" si="0"/>
        <v>3.9448052793534916</v>
      </c>
      <c r="GW10" s="2394">
        <f t="shared" si="1"/>
        <v>4.0904237641176007</v>
      </c>
      <c r="GX10" s="787"/>
      <c r="HY10" s="2407">
        <v>6</v>
      </c>
      <c r="HZ10" s="1218">
        <v>2000</v>
      </c>
      <c r="IA10" s="2407">
        <v>5300.5509561077997</v>
      </c>
      <c r="IB10" s="2407"/>
      <c r="IC10" s="1294"/>
      <c r="IX10" s="2407">
        <f t="shared" si="2"/>
        <v>5300.5509561077997</v>
      </c>
    </row>
    <row r="11" spans="7:258" ht="22.8">
      <c r="G11" s="2237" t="s">
        <v>1200</v>
      </c>
      <c r="H11" s="1067"/>
      <c r="I11" s="669"/>
      <c r="J11" s="669"/>
      <c r="K11" s="669"/>
      <c r="L11" s="1887" t="s">
        <v>697</v>
      </c>
      <c r="M11" s="1891" t="s">
        <v>699</v>
      </c>
      <c r="N11" s="1891"/>
      <c r="O11" s="1892" t="s">
        <v>700</v>
      </c>
      <c r="P11" s="1941">
        <f>ОТЧЁТ!U129</f>
        <v>0.95899999999999996</v>
      </c>
      <c r="Q11" s="1941">
        <f>ОТЧЁТ!V129</f>
        <v>0.97199999999999998</v>
      </c>
      <c r="R11" s="1941">
        <f>ОТЧЁТ!W129</f>
        <v>1.014</v>
      </c>
      <c r="S11" s="1941">
        <f>ОТЧЁТ!X129</f>
        <v>0.94899999999999995</v>
      </c>
      <c r="T11" s="1941">
        <f>ОТЧЁТ!Y129</f>
        <v>1.0580000000000001</v>
      </c>
      <c r="U11" s="1941">
        <f>ОТЧЁТ!Z129</f>
        <v>1.0940000000000001</v>
      </c>
      <c r="V11" s="1941">
        <f>ОТЧЁТ!AA129</f>
        <v>1.0489999999999999</v>
      </c>
      <c r="W11" s="1941">
        <f>ОТЧЁТ!AB129</f>
        <v>1.044</v>
      </c>
      <c r="X11" s="1941">
        <f>ОТЧЁТ!AC129</f>
        <v>1.0760000000000001</v>
      </c>
      <c r="Y11" s="1941">
        <f>ОТЧЁТ!AD129</f>
        <v>1.08</v>
      </c>
      <c r="Z11" s="1941">
        <f>ОТЧЁТ!AE129</f>
        <v>1.0569999999999999</v>
      </c>
      <c r="AA11" s="1941">
        <f>ОТЧЁТ!AF129</f>
        <v>1.089</v>
      </c>
      <c r="AB11" s="1941">
        <f>ОТЧЁТ!AG129</f>
        <v>1.0880000000000001</v>
      </c>
      <c r="AC11" s="1941">
        <f>ОТЧЁТ!AH129</f>
        <v>1.05</v>
      </c>
      <c r="AD11" s="1941">
        <f>ОТЧЁТ!AI129</f>
        <v>0.92600000000000005</v>
      </c>
      <c r="AE11" s="1923">
        <f>ОТЧЁТ!AJ129</f>
        <v>1.05</v>
      </c>
      <c r="AF11" s="1941">
        <f>ОТЧЁТ!AK129</f>
        <v>1.0429999999999999</v>
      </c>
      <c r="AG11" s="1941">
        <f>ОТЧЁТ!AL129</f>
        <v>1.0390000000000001</v>
      </c>
      <c r="AH11" s="1941">
        <f>ОТЧЁТ!AM129</f>
        <v>1.0209999999999999</v>
      </c>
      <c r="AI11" s="1941">
        <f>ОТЧЁТ!AN129</f>
        <v>1.008</v>
      </c>
      <c r="AJ11" s="1941">
        <f>ОТЧЁТ!AO129</f>
        <v>0.98699999999999999</v>
      </c>
      <c r="AK11" s="1941">
        <f>ОТЧЁТ!AP129</f>
        <v>1.012</v>
      </c>
      <c r="AL11" s="1941">
        <f>ОТЧЁТ!AQ129</f>
        <v>1.0249999999999999</v>
      </c>
      <c r="AM11" s="1941">
        <f>ОТЧЁТ!AR129</f>
        <v>1.0249999999999999</v>
      </c>
      <c r="AN11" s="614"/>
      <c r="AO11" s="1942"/>
      <c r="AP11" s="614"/>
      <c r="AQ11" s="1904" t="str">
        <f>O11</f>
        <v>pXO</v>
      </c>
      <c r="BB11" s="24"/>
      <c r="BC11" s="24"/>
      <c r="BD11" s="1505"/>
      <c r="BE11" s="1506" t="s">
        <v>688</v>
      </c>
      <c r="BF11" s="1506" t="s">
        <v>688</v>
      </c>
      <c r="BT11" s="2207"/>
      <c r="BU11" s="1507" t="s">
        <v>688</v>
      </c>
      <c r="BV11" s="1506" t="s">
        <v>688</v>
      </c>
      <c r="CJ11" s="771">
        <v>1997</v>
      </c>
      <c r="CK11" s="362">
        <v>2.9747212180728889E-2</v>
      </c>
      <c r="CL11" s="354"/>
      <c r="DA11" s="1193">
        <f t="shared" si="5"/>
        <v>2.9747212180728889E-2</v>
      </c>
      <c r="DE11" s="1218">
        <v>1995</v>
      </c>
      <c r="DF11" s="2309">
        <f t="array" ref="DF11:DF34">TRANSPOSE(ОТЧЁТ!U197:AR197)</f>
        <v>5306</v>
      </c>
      <c r="DG11" s="2311">
        <f t="array" ref="DG11:DG34">TRANSPOSE(ОТЧЁТ!U199:AR199)</f>
        <v>1428.5209</v>
      </c>
      <c r="DJ11" s="87"/>
      <c r="DK11" s="87"/>
      <c r="DL11" s="552"/>
      <c r="DM11" s="70"/>
      <c r="DX11" s="2646">
        <v>1998</v>
      </c>
      <c r="DY11" s="2647">
        <v>14125.67</v>
      </c>
      <c r="DZ11" s="2648">
        <f t="shared" si="11"/>
        <v>2.6836249787031963</v>
      </c>
      <c r="EA11" s="1227">
        <f t="shared" si="12"/>
        <v>0.9920189880000001</v>
      </c>
      <c r="EB11" s="1227">
        <v>0.997</v>
      </c>
      <c r="EC11" s="2649">
        <f t="shared" si="6"/>
        <v>5263.6527503280004</v>
      </c>
      <c r="ED11" s="1245"/>
      <c r="EE11" s="2650">
        <v>428.56400000000002</v>
      </c>
      <c r="EF11" s="1227">
        <v>0.95278969957081538</v>
      </c>
      <c r="EG11" s="2644">
        <f t="shared" si="13"/>
        <v>160.34593730407522</v>
      </c>
      <c r="EH11" s="2651">
        <f t="shared" si="14"/>
        <v>2.6727462335842294</v>
      </c>
      <c r="EI11" s="2644">
        <f t="shared" si="7"/>
        <v>176.18441097607518</v>
      </c>
      <c r="EJ11" s="1245"/>
      <c r="EK11" s="2652">
        <f t="shared" si="3"/>
        <v>3.0462863891255628E-2</v>
      </c>
      <c r="EL11" s="2653">
        <f t="shared" si="8"/>
        <v>3.3371475299581857E-2</v>
      </c>
      <c r="EM11" s="495"/>
      <c r="EO11" s="1178">
        <v>1998</v>
      </c>
      <c r="EP11" s="1269">
        <f t="shared" si="4"/>
        <v>3.0462863891255628E-2</v>
      </c>
      <c r="EQ11" s="1270">
        <f t="shared" si="9"/>
        <v>3.3371475299581857E-2</v>
      </c>
      <c r="FH11" s="1234">
        <v>1998</v>
      </c>
      <c r="FI11" s="2664">
        <f t="shared" si="15"/>
        <v>160.34593730407522</v>
      </c>
      <c r="FJ11" s="2665">
        <f t="shared" si="16"/>
        <v>176.18441097607518</v>
      </c>
      <c r="FK11" s="1227"/>
      <c r="FL11" s="1228"/>
      <c r="GB11" s="1218">
        <v>1998</v>
      </c>
      <c r="GC11" s="1259">
        <f t="shared" si="17"/>
        <v>2.6836249787031963</v>
      </c>
      <c r="GD11" s="2394">
        <f t="shared" si="10"/>
        <v>2.4930511200000005</v>
      </c>
      <c r="GE11" s="787"/>
      <c r="GR11" s="460"/>
      <c r="GS11" s="461"/>
      <c r="GT11" s="24"/>
      <c r="GU11" s="1218">
        <v>2001</v>
      </c>
      <c r="GV11" s="1259">
        <f t="shared" si="0"/>
        <v>4.3960246162225971</v>
      </c>
      <c r="GW11" s="2394">
        <f t="shared" si="1"/>
        <v>4.8512425842434741</v>
      </c>
      <c r="GX11" s="787"/>
      <c r="HK11" s="460"/>
      <c r="HL11" s="461"/>
      <c r="HY11" s="2407">
        <v>7</v>
      </c>
      <c r="HZ11" s="1218">
        <v>2001</v>
      </c>
      <c r="IA11" s="2407">
        <v>5348.2559147127704</v>
      </c>
      <c r="IB11" s="2407"/>
      <c r="IC11" s="1294"/>
      <c r="IP11" s="460"/>
      <c r="IQ11" s="461"/>
      <c r="IX11" s="2407">
        <f t="shared" si="2"/>
        <v>5348.2559147127704</v>
      </c>
    </row>
    <row r="12" spans="7:258" ht="22.8">
      <c r="L12" s="1890"/>
      <c r="M12" s="1891"/>
      <c r="N12" s="1891"/>
      <c r="O12" s="1892" t="s">
        <v>701</v>
      </c>
      <c r="P12" s="1420">
        <v>1</v>
      </c>
      <c r="Q12" s="1918">
        <f>P12*Q11</f>
        <v>0.97199999999999998</v>
      </c>
      <c r="R12" s="1918">
        <f t="shared" ref="R12:AI12" si="18">Q12*R11</f>
        <v>0.98560800000000004</v>
      </c>
      <c r="S12" s="1918">
        <f t="shared" si="18"/>
        <v>0.93534199200000001</v>
      </c>
      <c r="T12" s="1918">
        <f t="shared" si="18"/>
        <v>0.98959182753600006</v>
      </c>
      <c r="U12" s="1918">
        <f t="shared" si="18"/>
        <v>1.0826134593243841</v>
      </c>
      <c r="V12" s="1918">
        <f t="shared" si="18"/>
        <v>1.1356615188312789</v>
      </c>
      <c r="W12" s="1918">
        <f t="shared" si="18"/>
        <v>1.1856306256598552</v>
      </c>
      <c r="X12" s="1918">
        <f t="shared" si="18"/>
        <v>1.2757385532100043</v>
      </c>
      <c r="Y12" s="1918">
        <f t="shared" si="18"/>
        <v>1.3777976374668046</v>
      </c>
      <c r="Z12" s="1918">
        <f t="shared" si="18"/>
        <v>1.4563321028024123</v>
      </c>
      <c r="AA12" s="1918">
        <f t="shared" si="18"/>
        <v>1.5859456599518269</v>
      </c>
      <c r="AB12" s="1918">
        <f t="shared" si="18"/>
        <v>1.7255088780275878</v>
      </c>
      <c r="AC12" s="1918">
        <f t="shared" si="18"/>
        <v>1.8117843219289673</v>
      </c>
      <c r="AD12" s="1918">
        <f t="shared" si="18"/>
        <v>1.6777122821062238</v>
      </c>
      <c r="AE12" s="1943">
        <f t="shared" si="18"/>
        <v>1.7615978962115351</v>
      </c>
      <c r="AF12" s="1944">
        <f t="shared" si="18"/>
        <v>1.837346605748631</v>
      </c>
      <c r="AG12" s="1944">
        <f t="shared" si="18"/>
        <v>1.9090031233728277</v>
      </c>
      <c r="AH12" s="1944">
        <f t="shared" si="18"/>
        <v>1.949092188963657</v>
      </c>
      <c r="AI12" s="1944">
        <f t="shared" si="18"/>
        <v>1.9646849264753663</v>
      </c>
      <c r="AJ12" s="1944">
        <f>AI12*AJ11</f>
        <v>1.9391440224311864</v>
      </c>
      <c r="AK12" s="1944">
        <f>AJ12*AK11</f>
        <v>1.9624137507003607</v>
      </c>
      <c r="AL12" s="1944">
        <f>AK12*AL11</f>
        <v>2.0114740944678697</v>
      </c>
      <c r="AM12" s="1944">
        <f>AL12*AM11</f>
        <v>2.0617609468295663</v>
      </c>
      <c r="AN12" s="614"/>
      <c r="AO12" s="1942"/>
      <c r="AP12" s="614"/>
      <c r="AQ12" s="1904" t="str">
        <f t="shared" ref="AQ12:AQ42" si="19">O12</f>
        <v>POx</v>
      </c>
      <c r="BB12" s="24"/>
      <c r="BC12" s="24"/>
      <c r="BD12" s="813">
        <v>1995</v>
      </c>
      <c r="BE12" s="361">
        <f t="array" ref="BE12:BE35">TRANSPOSE(ОТЧЁТ!U127:AR127)</f>
        <v>0.95899999999999996</v>
      </c>
      <c r="BF12" s="434">
        <f>BE12</f>
        <v>0.95899999999999996</v>
      </c>
      <c r="BT12" s="828">
        <v>1995</v>
      </c>
      <c r="BU12" s="361">
        <f t="array" ref="BU12:BU35">TRANSPOSE(P68:AM68)</f>
        <v>1</v>
      </c>
      <c r="BV12" s="434">
        <f t="array" ref="BV12:BV35">TRANSPOSE(P71:AM71)</f>
        <v>1</v>
      </c>
      <c r="CJ12" s="771">
        <v>1998</v>
      </c>
      <c r="CK12" s="362">
        <v>-1.0512157616833476E-2</v>
      </c>
      <c r="CL12" s="354"/>
      <c r="DA12" s="1193">
        <f t="shared" si="5"/>
        <v>-1.0512157616833476E-2</v>
      </c>
      <c r="DE12" s="1216">
        <v>1996</v>
      </c>
      <c r="DF12" s="2310">
        <v>5300.6940000000004</v>
      </c>
      <c r="DG12" s="1211">
        <v>1377.0941476</v>
      </c>
      <c r="DX12" s="2646">
        <v>1999</v>
      </c>
      <c r="DY12" s="2647">
        <v>14246.427</v>
      </c>
      <c r="DZ12" s="2648">
        <f t="shared" si="11"/>
        <v>2.701164323022275</v>
      </c>
      <c r="EA12" s="1227">
        <f t="shared" si="12"/>
        <v>0.9940030259760001</v>
      </c>
      <c r="EB12" s="1227">
        <v>1.002</v>
      </c>
      <c r="EC12" s="2649">
        <f t="shared" si="6"/>
        <v>5274.1800558286568</v>
      </c>
      <c r="ED12" s="1245"/>
      <c r="EE12" s="2650">
        <v>597.30600000000004</v>
      </c>
      <c r="EF12" s="1227">
        <v>1.0675675675675675</v>
      </c>
      <c r="EG12" s="2644">
        <f t="shared" si="13"/>
        <v>171.18012225705328</v>
      </c>
      <c r="EH12" s="2651">
        <f t="shared" si="14"/>
        <v>3.4893420575027583</v>
      </c>
      <c r="EI12" s="2644">
        <f t="shared" si="7"/>
        <v>160.65281675639685</v>
      </c>
      <c r="EJ12" s="1245"/>
      <c r="EK12" s="2652">
        <f t="shared" si="3"/>
        <v>3.2456252999530595E-2</v>
      </c>
      <c r="EL12" s="2653">
        <f t="shared" si="8"/>
        <v>3.0521165505529576E-2</v>
      </c>
      <c r="EM12" s="495"/>
      <c r="EO12" s="1178">
        <v>1999</v>
      </c>
      <c r="EP12" s="1269">
        <f t="shared" si="4"/>
        <v>3.2456252999530595E-2</v>
      </c>
      <c r="EQ12" s="1270">
        <f t="shared" si="9"/>
        <v>3.0521165505529576E-2</v>
      </c>
      <c r="FH12" s="1234">
        <v>1999</v>
      </c>
      <c r="FI12" s="2664">
        <f t="shared" si="15"/>
        <v>171.18012225705328</v>
      </c>
      <c r="FJ12" s="2665">
        <f t="shared" si="16"/>
        <v>160.65281675639685</v>
      </c>
      <c r="FK12" s="1227"/>
      <c r="FL12" s="1228"/>
      <c r="GB12" s="1218">
        <v>1999</v>
      </c>
      <c r="GC12" s="1259">
        <f t="shared" si="17"/>
        <v>2.701164323022275</v>
      </c>
      <c r="GD12" s="2394">
        <f t="shared" si="10"/>
        <v>3.4030147788000007</v>
      </c>
      <c r="GE12" s="787"/>
      <c r="GR12" s="460"/>
      <c r="GS12" s="461"/>
      <c r="GT12" s="24"/>
      <c r="GU12" s="1218">
        <v>2002</v>
      </c>
      <c r="GV12" s="1259">
        <f t="shared" si="0"/>
        <v>5.8843823618297426</v>
      </c>
      <c r="GW12" s="2394">
        <f t="shared" si="1"/>
        <v>5.5837802144642392</v>
      </c>
      <c r="GX12" s="787"/>
      <c r="HK12" s="460"/>
      <c r="HL12" s="461"/>
      <c r="HY12" s="2407">
        <v>8</v>
      </c>
      <c r="HZ12" s="1218">
        <v>2002</v>
      </c>
      <c r="IA12" s="2407">
        <v>5401.7384738598985</v>
      </c>
      <c r="IB12" s="2407"/>
      <c r="IC12" s="1294"/>
      <c r="IP12" s="460"/>
      <c r="IQ12" s="461"/>
      <c r="IX12" s="2407">
        <f t="shared" si="2"/>
        <v>5401.7384738598985</v>
      </c>
    </row>
    <row r="13" spans="7:258" ht="22.8">
      <c r="L13" s="1890"/>
      <c r="M13" s="1891"/>
      <c r="N13" s="1891"/>
      <c r="O13" s="1892" t="s">
        <v>702</v>
      </c>
      <c r="P13" s="1420">
        <v>1</v>
      </c>
      <c r="Q13" s="1929">
        <f>Q10/Q14</f>
        <v>1.4122477570972609</v>
      </c>
      <c r="R13" s="1929">
        <f t="shared" ref="R13:AM13" si="20">R10/R14</f>
        <v>1.5864611043969121</v>
      </c>
      <c r="S13" s="1929">
        <f t="shared" si="20"/>
        <v>1.7669204828999698</v>
      </c>
      <c r="T13" s="1929">
        <f t="shared" si="20"/>
        <v>3.0316772495419131</v>
      </c>
      <c r="U13" s="1929">
        <f t="shared" si="20"/>
        <v>4.1892888398154868</v>
      </c>
      <c r="V13" s="1929">
        <f t="shared" si="20"/>
        <v>5.0659822500447591</v>
      </c>
      <c r="W13" s="1929">
        <f t="shared" si="20"/>
        <v>5.7822315297952604</v>
      </c>
      <c r="X13" s="1929">
        <f t="shared" si="20"/>
        <v>6.5915237407621836</v>
      </c>
      <c r="Y13" s="1929">
        <f t="shared" si="20"/>
        <v>7.7337827274937645</v>
      </c>
      <c r="Z13" s="1929">
        <f t="shared" si="20"/>
        <v>9.1849440425976727</v>
      </c>
      <c r="AA13" s="1929">
        <f t="shared" si="20"/>
        <v>10.5310440318469</v>
      </c>
      <c r="AB13" s="1929">
        <f t="shared" si="20"/>
        <v>12.093285009188341</v>
      </c>
      <c r="AC13" s="1929">
        <f t="shared" si="20"/>
        <v>14.279402745112492</v>
      </c>
      <c r="AD13" s="1929">
        <f t="shared" si="20"/>
        <v>14.669938798054028</v>
      </c>
      <c r="AE13" s="1945">
        <f t="shared" si="20"/>
        <v>16.830212945381799</v>
      </c>
      <c r="AF13" s="1223">
        <f t="shared" si="20"/>
        <v>19.85424571376991</v>
      </c>
      <c r="AG13" s="1223">
        <f t="shared" si="20"/>
        <v>21.405203901528715</v>
      </c>
      <c r="AH13" s="1223">
        <f t="shared" si="20"/>
        <v>22.832323118365768</v>
      </c>
      <c r="AI13" s="1223">
        <f t="shared" si="20"/>
        <v>24.43123573923766</v>
      </c>
      <c r="AJ13" s="1223">
        <f t="shared" si="20"/>
        <v>27.196038400434425</v>
      </c>
      <c r="AK13" s="1223">
        <f t="shared" si="20"/>
        <v>28.328183799288354</v>
      </c>
      <c r="AL13" s="1223">
        <f t="shared" si="20"/>
        <v>29.877742312507845</v>
      </c>
      <c r="AM13" s="1223">
        <f t="shared" si="20"/>
        <v>32.514653338403463</v>
      </c>
      <c r="AN13" s="614"/>
      <c r="AO13" s="1942"/>
      <c r="AP13" s="614"/>
      <c r="AQ13" s="1904" t="str">
        <f t="shared" si="19"/>
        <v>DOx</v>
      </c>
      <c r="BB13" s="24"/>
      <c r="BC13" s="24"/>
      <c r="BD13" s="2212">
        <v>1996</v>
      </c>
      <c r="BE13" s="362">
        <v>0.96399999999999997</v>
      </c>
      <c r="BF13" s="364">
        <f>BV13/BV12</f>
        <v>0.95318835041195404</v>
      </c>
      <c r="BT13" s="828">
        <v>1996</v>
      </c>
      <c r="BU13" s="362">
        <v>0.96399999999999997</v>
      </c>
      <c r="BV13" s="364">
        <v>0.95318835041195404</v>
      </c>
      <c r="CJ13" s="771">
        <v>1999</v>
      </c>
      <c r="CK13" s="362">
        <v>-1.8366803715713885E-2</v>
      </c>
      <c r="CL13" s="354"/>
      <c r="DA13" s="1193">
        <f t="shared" si="5"/>
        <v>-1.8366803715713885E-2</v>
      </c>
      <c r="DE13" s="1216">
        <v>1997</v>
      </c>
      <c r="DF13" s="2310">
        <v>5279.4912240000003</v>
      </c>
      <c r="DG13" s="1211">
        <v>1396.3734656664001</v>
      </c>
      <c r="DX13" s="2646">
        <v>2000</v>
      </c>
      <c r="DY13" s="2647">
        <v>17464</v>
      </c>
      <c r="DZ13" s="2648">
        <f t="shared" si="11"/>
        <v>3.2947518370474893</v>
      </c>
      <c r="EA13" s="1227">
        <f t="shared" si="12"/>
        <v>0.99897304110588003</v>
      </c>
      <c r="EB13" s="1227">
        <v>1.0049999999999999</v>
      </c>
      <c r="EC13" s="2649">
        <f t="shared" si="6"/>
        <v>5300.5509561077997</v>
      </c>
      <c r="ED13" s="1245"/>
      <c r="EE13" s="2650">
        <v>843.37800000000004</v>
      </c>
      <c r="EF13" s="1227">
        <v>1.2489451476793252</v>
      </c>
      <c r="EG13" s="2644">
        <f t="shared" si="13"/>
        <v>213.79458307210035</v>
      </c>
      <c r="EH13" s="2651">
        <f t="shared" si="14"/>
        <v>3.9448052793534916</v>
      </c>
      <c r="EI13" s="2644">
        <f t="shared" si="7"/>
        <v>187.42368279295744</v>
      </c>
      <c r="EJ13" s="1245"/>
      <c r="EK13" s="2652">
        <f t="shared" si="3"/>
        <v>4.0334407657329631E-2</v>
      </c>
      <c r="EL13" s="2653">
        <f t="shared" si="8"/>
        <v>3.5536079695616347E-2</v>
      </c>
      <c r="EM13" s="495"/>
      <c r="EO13" s="1178">
        <v>2000</v>
      </c>
      <c r="EP13" s="1269">
        <f t="shared" si="4"/>
        <v>4.0334407657329631E-2</v>
      </c>
      <c r="EQ13" s="1270">
        <f t="shared" si="9"/>
        <v>3.5536079695616347E-2</v>
      </c>
      <c r="FH13" s="1234">
        <v>2000</v>
      </c>
      <c r="FI13" s="2664">
        <f t="shared" si="15"/>
        <v>213.79458307210035</v>
      </c>
      <c r="FJ13" s="2665">
        <f t="shared" si="16"/>
        <v>187.42368279295744</v>
      </c>
      <c r="FK13" s="1227"/>
      <c r="FL13" s="1228"/>
      <c r="GB13" s="1218">
        <v>2000</v>
      </c>
      <c r="GC13" s="1259">
        <f t="shared" si="17"/>
        <v>3.2947518370474893</v>
      </c>
      <c r="GD13" s="2394">
        <f t="shared" si="10"/>
        <v>4.0904237641176007</v>
      </c>
      <c r="GE13" s="787"/>
      <c r="GR13" s="460"/>
      <c r="GS13" s="461"/>
      <c r="GT13" s="24"/>
      <c r="GU13" s="1218">
        <v>2003</v>
      </c>
      <c r="GV13" s="1259">
        <f t="shared" si="0"/>
        <v>5.9009164044902702</v>
      </c>
      <c r="GW13" s="2394">
        <f t="shared" si="1"/>
        <v>6.2538338401999489</v>
      </c>
      <c r="GX13" s="787"/>
      <c r="HK13" s="460"/>
      <c r="HL13" s="461"/>
      <c r="HY13" s="2407">
        <v>9</v>
      </c>
      <c r="HZ13" s="1218">
        <v>2003</v>
      </c>
      <c r="IA13" s="2407">
        <v>5471.961074020076</v>
      </c>
      <c r="IB13" s="2407"/>
      <c r="IC13" s="1294"/>
      <c r="IP13" s="460"/>
      <c r="IQ13" s="461"/>
      <c r="IX13" s="2407">
        <f t="shared" si="2"/>
        <v>5471.961074020076</v>
      </c>
    </row>
    <row r="14" spans="7:258" ht="22.8">
      <c r="L14" s="1890"/>
      <c r="M14" s="1891" t="s">
        <v>703</v>
      </c>
      <c r="N14" s="1891"/>
      <c r="O14" s="1892" t="s">
        <v>619</v>
      </c>
      <c r="P14" s="1917">
        <v>2767.6205</v>
      </c>
      <c r="Q14" s="1917">
        <f t="shared" ref="Q14:AM14" si="21">$P10*Q12</f>
        <v>2690.1271259999999</v>
      </c>
      <c r="R14" s="1917">
        <f t="shared" si="21"/>
        <v>2727.788905764</v>
      </c>
      <c r="S14" s="1917">
        <f t="shared" si="21"/>
        <v>2588.6716715700359</v>
      </c>
      <c r="T14" s="1917">
        <f t="shared" si="21"/>
        <v>2738.8146285210983</v>
      </c>
      <c r="U14" s="1917">
        <f t="shared" si="21"/>
        <v>2996.2632036020818</v>
      </c>
      <c r="V14" s="1917">
        <f t="shared" si="21"/>
        <v>3143.0801005785834</v>
      </c>
      <c r="W14" s="1917">
        <f t="shared" si="21"/>
        <v>3281.3756250040415</v>
      </c>
      <c r="X14" s="1917">
        <f t="shared" si="21"/>
        <v>3530.7601725043487</v>
      </c>
      <c r="Y14" s="1917">
        <f t="shared" si="21"/>
        <v>3813.2209863046965</v>
      </c>
      <c r="Z14" s="1917">
        <f t="shared" si="21"/>
        <v>4030.5745825240638</v>
      </c>
      <c r="AA14" s="1917">
        <f t="shared" si="21"/>
        <v>4389.2957203687056</v>
      </c>
      <c r="AB14" s="1917">
        <f t="shared" si="21"/>
        <v>4775.553743761152</v>
      </c>
      <c r="AC14" s="1917">
        <f t="shared" si="21"/>
        <v>5014.3314309492098</v>
      </c>
      <c r="AD14" s="1917">
        <f t="shared" si="21"/>
        <v>4643.2709050589683</v>
      </c>
      <c r="AE14" s="1946">
        <f t="shared" si="21"/>
        <v>4875.4344503119164</v>
      </c>
      <c r="AF14" s="1928">
        <f t="shared" si="21"/>
        <v>5085.0781316753291</v>
      </c>
      <c r="AG14" s="1928">
        <f t="shared" si="21"/>
        <v>5283.3961788106672</v>
      </c>
      <c r="AH14" s="1928">
        <f t="shared" si="21"/>
        <v>5394.3474985656912</v>
      </c>
      <c r="AI14" s="1928">
        <f t="shared" si="21"/>
        <v>5437.5022785542169</v>
      </c>
      <c r="AJ14" s="1928">
        <f t="shared" si="21"/>
        <v>5366.8147489330113</v>
      </c>
      <c r="AK14" s="1928">
        <f t="shared" si="21"/>
        <v>5431.2165259202075</v>
      </c>
      <c r="AL14" s="1928">
        <f t="shared" si="21"/>
        <v>5566.9969390682127</v>
      </c>
      <c r="AM14" s="1928">
        <f t="shared" si="21"/>
        <v>5706.1718625449175</v>
      </c>
      <c r="AN14" s="614"/>
      <c r="AO14" s="1923"/>
      <c r="AP14" s="614"/>
      <c r="AQ14" s="1904" t="str">
        <f t="shared" si="19"/>
        <v>XOS</v>
      </c>
      <c r="BB14" s="24"/>
      <c r="BC14" s="24"/>
      <c r="BD14" s="2212">
        <v>1997</v>
      </c>
      <c r="BE14" s="362">
        <v>1.014</v>
      </c>
      <c r="BF14" s="364">
        <f>BV14/BV13</f>
        <v>1.0079367665224039</v>
      </c>
      <c r="BT14" s="828">
        <v>1997</v>
      </c>
      <c r="BU14" s="362">
        <v>0.97749600000000003</v>
      </c>
      <c r="BV14" s="364">
        <v>0.96075358380104903</v>
      </c>
      <c r="CJ14" s="771">
        <v>2000</v>
      </c>
      <c r="CK14" s="362">
        <v>9.4033448320917194E-3</v>
      </c>
      <c r="CL14" s="355"/>
      <c r="DA14" s="1193">
        <f t="shared" si="5"/>
        <v>9.4033448320917194E-3</v>
      </c>
      <c r="DE14" s="1216">
        <v>1998</v>
      </c>
      <c r="DF14" s="2310">
        <v>5263.6527503280004</v>
      </c>
      <c r="DG14" s="1211">
        <v>1322.3656719860808</v>
      </c>
      <c r="DX14" s="2646">
        <v>2001</v>
      </c>
      <c r="DY14" s="2647">
        <v>20241.428</v>
      </c>
      <c r="DZ14" s="2648">
        <f t="shared" si="11"/>
        <v>3.7846782806927575</v>
      </c>
      <c r="EA14" s="1227">
        <f t="shared" si="12"/>
        <v>1.0079637984758332</v>
      </c>
      <c r="EB14" s="1227">
        <v>1.0090000000000001</v>
      </c>
      <c r="EC14" s="2649">
        <f t="shared" si="6"/>
        <v>5348.2559147127704</v>
      </c>
      <c r="ED14" s="1245"/>
      <c r="EE14" s="2650">
        <v>1117.655</v>
      </c>
      <c r="EF14" s="1227">
        <v>1.189189189189189</v>
      </c>
      <c r="EG14" s="2644">
        <f t="shared" si="13"/>
        <v>254.24220689655175</v>
      </c>
      <c r="EH14" s="2651">
        <f t="shared" si="14"/>
        <v>4.3960246162225971</v>
      </c>
      <c r="EI14" s="2644">
        <f t="shared" si="7"/>
        <v>206.53724829158108</v>
      </c>
      <c r="EJ14" s="1245"/>
      <c r="EK14" s="2652">
        <f t="shared" si="3"/>
        <v>4.7537404894396472E-2</v>
      </c>
      <c r="EL14" s="2653">
        <f t="shared" si="8"/>
        <v>3.8965241538445959E-2</v>
      </c>
      <c r="EM14" s="495"/>
      <c r="EO14" s="1178">
        <v>2001</v>
      </c>
      <c r="EP14" s="1269">
        <f t="shared" si="4"/>
        <v>4.7537404894396472E-2</v>
      </c>
      <c r="EQ14" s="1270">
        <f t="shared" si="9"/>
        <v>3.8965241538445959E-2</v>
      </c>
      <c r="FH14" s="1234">
        <v>2001</v>
      </c>
      <c r="FI14" s="2664">
        <f t="shared" si="15"/>
        <v>254.24220689655175</v>
      </c>
      <c r="FJ14" s="2665">
        <f t="shared" si="16"/>
        <v>206.53724829158108</v>
      </c>
      <c r="FK14" s="1227"/>
      <c r="FL14" s="1228"/>
      <c r="GB14" s="1218">
        <v>2001</v>
      </c>
      <c r="GC14" s="1259">
        <f t="shared" si="17"/>
        <v>3.7846782806927575</v>
      </c>
      <c r="GD14" s="2394">
        <f t="shared" si="10"/>
        <v>4.8512425842434741</v>
      </c>
      <c r="GE14" s="787"/>
      <c r="GR14" s="460"/>
      <c r="GS14" s="461"/>
      <c r="GT14" s="24"/>
      <c r="GU14" s="1218">
        <v>2004</v>
      </c>
      <c r="GV14" s="1259">
        <f t="shared" si="0"/>
        <v>5.7361386042739939</v>
      </c>
      <c r="GW14" s="2394">
        <f t="shared" si="1"/>
        <v>6.9855323995033425</v>
      </c>
      <c r="GX14" s="787"/>
      <c r="HK14" s="460"/>
      <c r="HL14" s="461"/>
      <c r="HY14" s="2407">
        <v>10</v>
      </c>
      <c r="HZ14" s="1218">
        <v>2004</v>
      </c>
      <c r="IA14" s="2407">
        <v>5559.5124512043967</v>
      </c>
      <c r="IB14" s="2407"/>
      <c r="IC14" s="1294"/>
      <c r="IP14" s="460"/>
      <c r="IQ14" s="461"/>
      <c r="IX14" s="2407">
        <f t="shared" si="2"/>
        <v>5559.5124512043967</v>
      </c>
    </row>
    <row r="15" spans="7:258" ht="22.8">
      <c r="L15" s="1887" t="s">
        <v>697</v>
      </c>
      <c r="M15" s="1891" t="s">
        <v>704</v>
      </c>
      <c r="N15" s="1891"/>
      <c r="O15" s="1888" t="s">
        <v>401</v>
      </c>
      <c r="P15" s="1946">
        <f>ОТЧЁТ!U52</f>
        <v>369.90269999999998</v>
      </c>
      <c r="Q15" s="1917">
        <f>ОТЧЁТ!V52</f>
        <v>438.69400000000002</v>
      </c>
      <c r="R15" s="1917">
        <f>ОТЧЁТ!W52</f>
        <v>527.71100000000001</v>
      </c>
      <c r="S15" s="1917">
        <f>ОТЧЁТ!X52</f>
        <v>645.63400000000001</v>
      </c>
      <c r="T15" s="1917">
        <f>ОТЧЁТ!Y52</f>
        <v>1262.3489999999999</v>
      </c>
      <c r="U15" s="1917">
        <f>ОТЧЁТ!Z52</f>
        <v>1755.8040000000001</v>
      </c>
      <c r="V15" s="1917">
        <f>ОТЧЁТ!AA52</f>
        <v>2165.9279999999999</v>
      </c>
      <c r="W15" s="1917">
        <f>ОТЧЁТ!AB52</f>
        <v>2646.2040000000002</v>
      </c>
      <c r="X15" s="1917">
        <f>ОТЧЁТ!AC52</f>
        <v>3153.9</v>
      </c>
      <c r="Y15" s="1917">
        <f>ОТЧЁТ!AD52</f>
        <v>3773.9</v>
      </c>
      <c r="Z15" s="1917">
        <f>ОТЧЁТ!AE52</f>
        <v>4648.3</v>
      </c>
      <c r="AA15" s="1917">
        <f>ОТЧЁТ!AF52</f>
        <v>5653.4198999999999</v>
      </c>
      <c r="AB15" s="1917">
        <f>ОТЧЁТ!AG52</f>
        <v>7162.2107999999998</v>
      </c>
      <c r="AC15" s="1917">
        <f>ОТЧЁТ!AH52</f>
        <v>9110.9865000000009</v>
      </c>
      <c r="AD15" s="1917">
        <f>ОТЧЁТ!AI52</f>
        <v>7954.3271000000004</v>
      </c>
      <c r="AE15" s="2185">
        <f>ОТЧЁТ!AJ52</f>
        <v>9789.6139999999996</v>
      </c>
      <c r="AF15" s="2186">
        <f>ОТЧЁТ!AK52</f>
        <v>12010.7569</v>
      </c>
      <c r="AG15" s="2186">
        <f>ОТЧЁТ!AL52</f>
        <v>13786.8717</v>
      </c>
      <c r="AH15" s="2186">
        <f>ОТЧЁТ!AM52</f>
        <v>14919.620800000001</v>
      </c>
      <c r="AI15" s="2186">
        <f>ОТЧЁТ!AN52</f>
        <v>16351.5355</v>
      </c>
      <c r="AJ15" s="2186">
        <f>ОТЧЁТ!AO52</f>
        <v>17153.419999999998</v>
      </c>
      <c r="AK15" s="2186">
        <f>ОТЧЁТ!AP52</f>
        <v>17689.044000000002</v>
      </c>
      <c r="AL15" s="2186">
        <f>ОТЧЁТ!AQ52</f>
        <v>19072.95</v>
      </c>
      <c r="AM15" s="2186">
        <f>ОТЧЁТ!AR52</f>
        <v>21574.3</v>
      </c>
      <c r="AN15" s="614"/>
      <c r="AO15" s="1923"/>
      <c r="AP15" s="614"/>
      <c r="AQ15" s="1904" t="str">
        <f t="shared" si="19"/>
        <v>IM</v>
      </c>
      <c r="BB15" s="24"/>
      <c r="BC15" s="24"/>
      <c r="BD15" s="2212">
        <v>1998</v>
      </c>
      <c r="BE15" s="362">
        <v>0.94699999999999995</v>
      </c>
      <c r="BF15" s="364">
        <f t="shared" ref="BF15:BF35" si="22">BV15/BV14</f>
        <v>0.93925875428171279</v>
      </c>
      <c r="BT15" s="828">
        <v>1998</v>
      </c>
      <c r="BU15" s="362">
        <v>0.92568871200000002</v>
      </c>
      <c r="BV15" s="364">
        <v>0.90239621429266448</v>
      </c>
      <c r="CJ15" s="771">
        <v>2001</v>
      </c>
      <c r="CK15" s="362">
        <v>1.5435898035414669E-2</v>
      </c>
      <c r="CL15" s="355"/>
      <c r="DA15" s="1193">
        <f t="shared" si="5"/>
        <v>1.5435898035414669E-2</v>
      </c>
      <c r="DE15" s="1216">
        <v>1999</v>
      </c>
      <c r="DF15" s="2310">
        <v>5274.1800558286568</v>
      </c>
      <c r="DG15" s="1211">
        <v>1406.9970749931899</v>
      </c>
      <c r="DX15" s="2646">
        <v>2002</v>
      </c>
      <c r="DY15" s="2647">
        <v>24431</v>
      </c>
      <c r="DZ15" s="2648">
        <f t="shared" si="11"/>
        <v>4.5228031897927927</v>
      </c>
      <c r="EA15" s="1227">
        <f t="shared" si="12"/>
        <v>1.0180434364605915</v>
      </c>
      <c r="EB15" s="1227">
        <v>1.01</v>
      </c>
      <c r="EC15" s="2649">
        <f t="shared" si="6"/>
        <v>5401.7384738598985</v>
      </c>
      <c r="ED15" s="1245"/>
      <c r="EE15" s="2650">
        <v>1615.0630000000001</v>
      </c>
      <c r="EF15" s="1227">
        <v>1.0795454545454544</v>
      </c>
      <c r="EG15" s="2644">
        <f t="shared" si="13"/>
        <v>274.46601880877739</v>
      </c>
      <c r="EH15" s="2651">
        <f t="shared" si="14"/>
        <v>5.8843823618297426</v>
      </c>
      <c r="EI15" s="2644">
        <f t="shared" si="7"/>
        <v>220.98345966164931</v>
      </c>
      <c r="EJ15" s="1245"/>
      <c r="EK15" s="2652">
        <f t="shared" si="3"/>
        <v>5.0810682549141131E-2</v>
      </c>
      <c r="EL15" s="2653">
        <f t="shared" si="8"/>
        <v>4.1318789374632472E-2</v>
      </c>
      <c r="EM15" s="495"/>
      <c r="EO15" s="1178">
        <v>2002</v>
      </c>
      <c r="EP15" s="1269">
        <f t="shared" si="4"/>
        <v>5.0810682549141131E-2</v>
      </c>
      <c r="EQ15" s="1270">
        <f t="shared" si="9"/>
        <v>4.1318789374632472E-2</v>
      </c>
      <c r="FH15" s="1234">
        <v>2002</v>
      </c>
      <c r="FI15" s="2664">
        <f t="shared" si="15"/>
        <v>274.46601880877739</v>
      </c>
      <c r="FJ15" s="2665">
        <f t="shared" si="16"/>
        <v>220.98345966164931</v>
      </c>
      <c r="FK15" s="1227"/>
      <c r="FL15" s="1228"/>
      <c r="GB15" s="1218">
        <v>2002</v>
      </c>
      <c r="GC15" s="1259">
        <f t="shared" si="17"/>
        <v>4.5228031897927927</v>
      </c>
      <c r="GD15" s="2394">
        <f t="shared" si="10"/>
        <v>5.5837802144642392</v>
      </c>
      <c r="GE15" s="787"/>
      <c r="GR15" s="460"/>
      <c r="GS15" s="461"/>
      <c r="GT15" s="24"/>
      <c r="GU15" s="1218">
        <v>2005</v>
      </c>
      <c r="GV15" s="1259">
        <f t="shared" si="0"/>
        <v>7.7188495068870884</v>
      </c>
      <c r="GW15" s="2394">
        <f t="shared" si="1"/>
        <v>7.7469554310492068</v>
      </c>
      <c r="GX15" s="787"/>
      <c r="HK15" s="460"/>
      <c r="HL15" s="461"/>
      <c r="HY15" s="2407">
        <v>11</v>
      </c>
      <c r="HZ15" s="1218">
        <v>2005</v>
      </c>
      <c r="IA15" s="2407">
        <v>5665.1431877772811</v>
      </c>
      <c r="IB15" s="2407"/>
      <c r="IC15" s="1294"/>
      <c r="IP15" s="460"/>
      <c r="IQ15" s="461"/>
      <c r="IX15" s="2407">
        <f t="shared" si="2"/>
        <v>5665.1431877772811</v>
      </c>
    </row>
    <row r="16" spans="7:258" ht="22.8">
      <c r="L16" s="1887" t="s">
        <v>697</v>
      </c>
      <c r="M16" s="1891"/>
      <c r="N16" s="1891"/>
      <c r="O16" s="1892" t="s">
        <v>569</v>
      </c>
      <c r="P16" s="1420"/>
      <c r="Q16" s="1918">
        <v>1.0129999999999999</v>
      </c>
      <c r="R16" s="1918">
        <v>1.004</v>
      </c>
      <c r="S16" s="1918">
        <v>0.82599999999999996</v>
      </c>
      <c r="T16" s="1918">
        <v>0.83</v>
      </c>
      <c r="U16" s="1918">
        <v>1.3240000000000001</v>
      </c>
      <c r="V16" s="1918">
        <v>1.1870000000000001</v>
      </c>
      <c r="W16" s="1918">
        <v>1.1459999999999999</v>
      </c>
      <c r="X16" s="1918">
        <v>1.173</v>
      </c>
      <c r="Y16" s="1918">
        <v>1.2330000000000001</v>
      </c>
      <c r="Z16" s="1918">
        <v>1.1659999999999999</v>
      </c>
      <c r="AA16" s="1918">
        <v>1.2130000000000001</v>
      </c>
      <c r="AB16" s="1918">
        <v>1.262</v>
      </c>
      <c r="AC16" s="1918">
        <f>ОТЧЁТ!AH140</f>
        <v>1.1479999999999999</v>
      </c>
      <c r="AD16" s="1918">
        <f>ОТЧЁТ!AI140</f>
        <v>0.69599999999999995</v>
      </c>
      <c r="AE16" s="1943">
        <f>ОТЧЁТ!AJ140</f>
        <v>1.258</v>
      </c>
      <c r="AF16" s="1944">
        <f>ОТЧЁТ!AK140</f>
        <v>1.2030000000000001</v>
      </c>
      <c r="AG16" s="1944">
        <f>ОТЧЁТ!AL140</f>
        <v>1.097</v>
      </c>
      <c r="AH16" s="1944">
        <f>ОТЧЁТ!AM140</f>
        <v>1.0349999999999999</v>
      </c>
      <c r="AI16" s="1944">
        <f>ОТЧЁТ!AN140</f>
        <v>0.92700000000000005</v>
      </c>
      <c r="AJ16" s="1944">
        <f>ОТЧЁТ!AO140</f>
        <v>0.749</v>
      </c>
      <c r="AK16" s="1944">
        <f>ОТЧЁТ!AP140</f>
        <v>0.96399999999999997</v>
      </c>
      <c r="AL16" s="1944">
        <f>ОТЧЁТ!AQ140</f>
        <v>1.1739999999999999</v>
      </c>
      <c r="AM16" s="1944">
        <f>ОТЧЁТ!AR140</f>
        <v>1.0269999999999999</v>
      </c>
      <c r="AN16" s="614"/>
      <c r="AO16" s="1923"/>
      <c r="AP16" s="614"/>
      <c r="AQ16" s="1904" t="str">
        <f t="shared" si="19"/>
        <v>pIM</v>
      </c>
      <c r="BB16" s="24"/>
      <c r="BC16" s="24"/>
      <c r="BD16" s="2212">
        <v>1999</v>
      </c>
      <c r="BE16" s="362">
        <v>1.0640000000000001</v>
      </c>
      <c r="BF16" s="364">
        <f t="shared" si="22"/>
        <v>1.0642683356819922</v>
      </c>
      <c r="BT16" s="828">
        <v>1999</v>
      </c>
      <c r="BU16" s="362">
        <v>0.98493278956800012</v>
      </c>
      <c r="BV16" s="364">
        <v>0.96039171711098448</v>
      </c>
      <c r="CJ16" s="771">
        <v>2002</v>
      </c>
      <c r="CK16" s="362">
        <v>1.0420706842907277E-2</v>
      </c>
      <c r="CL16" s="355"/>
      <c r="DA16" s="1193">
        <f t="shared" si="5"/>
        <v>1.0420706842907277E-2</v>
      </c>
      <c r="DE16" s="1216">
        <v>2000</v>
      </c>
      <c r="DF16" s="2310">
        <v>5300.5509561077997</v>
      </c>
      <c r="DG16" s="1211">
        <v>1547.6967824925091</v>
      </c>
      <c r="DX16" s="2646">
        <v>2003</v>
      </c>
      <c r="DY16" s="2647">
        <v>30329.1</v>
      </c>
      <c r="DZ16" s="2648">
        <f t="shared" si="11"/>
        <v>5.5426381126863848</v>
      </c>
      <c r="EA16" s="1227">
        <f t="shared" si="12"/>
        <v>1.031278001134579</v>
      </c>
      <c r="EB16" s="1227">
        <v>1.0129999999999999</v>
      </c>
      <c r="EC16" s="2649">
        <f t="shared" si="6"/>
        <v>5471.961074020076</v>
      </c>
      <c r="ED16" s="1245"/>
      <c r="EE16" s="2650">
        <v>1815.6579999999999</v>
      </c>
      <c r="EF16" s="1227">
        <v>1.1210526315789473</v>
      </c>
      <c r="EG16" s="2644">
        <f t="shared" si="13"/>
        <v>307.69085266457677</v>
      </c>
      <c r="EH16" s="2651">
        <f t="shared" si="14"/>
        <v>5.9009164044902702</v>
      </c>
      <c r="EI16" s="2644">
        <f t="shared" si="7"/>
        <v>237.46825250439923</v>
      </c>
      <c r="EJ16" s="1245"/>
      <c r="EK16" s="2652">
        <f t="shared" si="3"/>
        <v>5.623045348868428E-2</v>
      </c>
      <c r="EL16" s="2653">
        <f t="shared" si="8"/>
        <v>4.3961449384037378E-2</v>
      </c>
      <c r="EM16" s="495"/>
      <c r="EO16" s="1178">
        <v>2003</v>
      </c>
      <c r="EP16" s="1269">
        <f t="shared" si="4"/>
        <v>5.623045348868428E-2</v>
      </c>
      <c r="EQ16" s="1270">
        <f t="shared" si="9"/>
        <v>4.3961449384037378E-2</v>
      </c>
      <c r="FH16" s="1234">
        <v>2003</v>
      </c>
      <c r="FI16" s="2664">
        <f t="shared" si="15"/>
        <v>307.69085266457677</v>
      </c>
      <c r="FJ16" s="2665">
        <f t="shared" si="16"/>
        <v>237.46825250439923</v>
      </c>
      <c r="FK16" s="1227"/>
      <c r="FL16" s="1229"/>
      <c r="GB16" s="1218">
        <v>2003</v>
      </c>
      <c r="GC16" s="1259">
        <f t="shared" si="17"/>
        <v>5.5426381126863848</v>
      </c>
      <c r="GD16" s="2394">
        <f t="shared" si="10"/>
        <v>6.2538338401999489</v>
      </c>
      <c r="GE16" s="787"/>
      <c r="GR16" s="460"/>
      <c r="GS16" s="461"/>
      <c r="GT16" s="24"/>
      <c r="GU16" s="1218">
        <v>2006</v>
      </c>
      <c r="GV16" s="1259">
        <f t="shared" si="0"/>
        <v>7.333907061981483</v>
      </c>
      <c r="GW16" s="2394">
        <f t="shared" si="1"/>
        <v>8.4441814198436358</v>
      </c>
      <c r="GX16" s="787"/>
      <c r="HK16" s="460"/>
      <c r="HL16" s="461"/>
      <c r="HY16" s="2407">
        <v>12</v>
      </c>
      <c r="HZ16" s="1218">
        <v>2006</v>
      </c>
      <c r="IA16" s="2407">
        <v>5801.1066242839361</v>
      </c>
      <c r="IB16" s="2407"/>
      <c r="IC16" s="1294"/>
      <c r="IP16" s="460"/>
      <c r="IQ16" s="461"/>
      <c r="IX16" s="2407">
        <f t="shared" si="2"/>
        <v>5801.1066242839361</v>
      </c>
    </row>
    <row r="17" spans="7:258" ht="22.8">
      <c r="L17" s="1905"/>
      <c r="M17" s="1891"/>
      <c r="N17" s="1891"/>
      <c r="O17" s="1892" t="s">
        <v>705</v>
      </c>
      <c r="P17" s="1420">
        <v>1</v>
      </c>
      <c r="Q17" s="1918">
        <f>P17*Q16</f>
        <v>1.0129999999999999</v>
      </c>
      <c r="R17" s="1918">
        <f t="shared" ref="R17:AK17" si="23">Q17*R16</f>
        <v>1.0170519999999998</v>
      </c>
      <c r="S17" s="1918">
        <f t="shared" si="23"/>
        <v>0.84008495199999977</v>
      </c>
      <c r="T17" s="1918">
        <f t="shared" si="23"/>
        <v>0.69727051015999975</v>
      </c>
      <c r="U17" s="1918">
        <f t="shared" si="23"/>
        <v>0.92318615545183969</v>
      </c>
      <c r="V17" s="1918">
        <f t="shared" si="23"/>
        <v>1.0958219665213338</v>
      </c>
      <c r="W17" s="1918">
        <f t="shared" si="23"/>
        <v>1.2558119736334483</v>
      </c>
      <c r="X17" s="1918">
        <f t="shared" si="23"/>
        <v>1.4730674450720349</v>
      </c>
      <c r="Y17" s="1918">
        <f t="shared" si="23"/>
        <v>1.8162921597738191</v>
      </c>
      <c r="Z17" s="1918">
        <f t="shared" si="23"/>
        <v>2.1177966582962728</v>
      </c>
      <c r="AA17" s="1918">
        <f t="shared" si="23"/>
        <v>2.568887346513379</v>
      </c>
      <c r="AB17" s="1918">
        <f t="shared" si="23"/>
        <v>3.2419358312998843</v>
      </c>
      <c r="AC17" s="1918">
        <f t="shared" si="23"/>
        <v>3.7217423343322666</v>
      </c>
      <c r="AD17" s="1918">
        <f t="shared" si="23"/>
        <v>2.5903326646952576</v>
      </c>
      <c r="AE17" s="1943">
        <f t="shared" si="23"/>
        <v>3.258638492186634</v>
      </c>
      <c r="AF17" s="1944">
        <f t="shared" si="23"/>
        <v>3.9201421061005211</v>
      </c>
      <c r="AG17" s="1944">
        <f t="shared" si="23"/>
        <v>4.3003958903922719</v>
      </c>
      <c r="AH17" s="1944">
        <f t="shared" si="23"/>
        <v>4.4509097465560012</v>
      </c>
      <c r="AI17" s="1944">
        <f t="shared" si="23"/>
        <v>4.1259933350574132</v>
      </c>
      <c r="AJ17" s="1944">
        <f t="shared" si="23"/>
        <v>3.0903690079580026</v>
      </c>
      <c r="AK17" s="1944">
        <f t="shared" si="23"/>
        <v>2.9791157236715144</v>
      </c>
      <c r="AL17" s="1944">
        <f>AK17*AL16</f>
        <v>3.4974818595903576</v>
      </c>
      <c r="AM17" s="1944">
        <f>AL17*AM16</f>
        <v>3.5919138697992969</v>
      </c>
      <c r="AN17" s="614"/>
      <c r="AO17" s="1923"/>
      <c r="AP17" s="614"/>
      <c r="AQ17" s="1904" t="str">
        <f t="shared" si="19"/>
        <v>Pm</v>
      </c>
      <c r="BB17" s="24"/>
      <c r="BC17" s="24"/>
      <c r="BD17" s="2212">
        <v>2000</v>
      </c>
      <c r="BE17" s="362">
        <v>1.1000000000000001</v>
      </c>
      <c r="BF17" s="364">
        <f t="shared" si="22"/>
        <v>1.0906275655384339</v>
      </c>
      <c r="BT17" s="828">
        <v>2000</v>
      </c>
      <c r="BU17" s="362">
        <v>1.0834260685248003</v>
      </c>
      <c r="BV17" s="364">
        <v>1.0474296803960292</v>
      </c>
      <c r="CJ17" s="771">
        <v>2003</v>
      </c>
      <c r="CK17" s="362">
        <v>1.1378312982583559E-2</v>
      </c>
      <c r="CL17" s="355"/>
      <c r="DA17" s="1193">
        <f t="shared" si="5"/>
        <v>1.1378312982583559E-2</v>
      </c>
      <c r="DE17" s="1216">
        <v>2001</v>
      </c>
      <c r="DF17" s="2310">
        <v>5348.2559147127704</v>
      </c>
      <c r="DG17" s="1211">
        <v>1626.629318399627</v>
      </c>
      <c r="DX17" s="2646">
        <v>2004</v>
      </c>
      <c r="DY17" s="2647">
        <v>34874</v>
      </c>
      <c r="DZ17" s="2648">
        <f t="shared" si="11"/>
        <v>6.272852216104849</v>
      </c>
      <c r="EA17" s="1227">
        <f t="shared" si="12"/>
        <v>1.0477784491527322</v>
      </c>
      <c r="EB17" s="1227">
        <v>1.016</v>
      </c>
      <c r="EC17" s="2649">
        <f t="shared" si="6"/>
        <v>5559.5124512043967</v>
      </c>
      <c r="ED17" s="1245"/>
      <c r="EE17" s="2650">
        <v>1972.1120000000001</v>
      </c>
      <c r="EF17" s="1227">
        <v>1.1173708920187795</v>
      </c>
      <c r="EG17" s="2644">
        <f t="shared" si="13"/>
        <v>343.804802507837</v>
      </c>
      <c r="EH17" s="2651">
        <f t="shared" si="14"/>
        <v>5.7361386042739939</v>
      </c>
      <c r="EI17" s="2644">
        <f t="shared" si="7"/>
        <v>256.2534253235163</v>
      </c>
      <c r="EJ17" s="1245"/>
      <c r="EK17" s="2652">
        <f t="shared" si="3"/>
        <v>6.1840818871330368E-2</v>
      </c>
      <c r="EL17" s="2653">
        <f t="shared" si="8"/>
        <v>4.6830271973271741E-2</v>
      </c>
      <c r="EM17" s="495"/>
      <c r="EO17" s="1178">
        <v>2004</v>
      </c>
      <c r="EP17" s="1269">
        <f t="shared" si="4"/>
        <v>6.1840818871330368E-2</v>
      </c>
      <c r="EQ17" s="1270">
        <f t="shared" si="9"/>
        <v>4.6830271973271741E-2</v>
      </c>
      <c r="FH17" s="1234">
        <v>2004</v>
      </c>
      <c r="FI17" s="2664">
        <f t="shared" si="15"/>
        <v>343.804802507837</v>
      </c>
      <c r="FJ17" s="2665">
        <f t="shared" si="16"/>
        <v>256.2534253235163</v>
      </c>
      <c r="FK17" s="1227"/>
      <c r="FL17" s="1229"/>
      <c r="GB17" s="1218">
        <v>2004</v>
      </c>
      <c r="GC17" s="1259">
        <f t="shared" si="17"/>
        <v>6.272852216104849</v>
      </c>
      <c r="GD17" s="2394">
        <f t="shared" si="10"/>
        <v>6.9855323995033425</v>
      </c>
      <c r="GE17" s="787"/>
      <c r="GR17" s="460"/>
      <c r="GS17" s="461"/>
      <c r="GT17" s="24"/>
      <c r="GU17" s="1218">
        <v>2007</v>
      </c>
      <c r="GV17" s="1259">
        <f t="shared" si="0"/>
        <v>7.9418012798076241</v>
      </c>
      <c r="GW17" s="2394">
        <f t="shared" si="1"/>
        <v>9.4465057543790749</v>
      </c>
      <c r="GX17" s="787"/>
      <c r="HK17" s="460"/>
      <c r="HL17" s="461"/>
      <c r="HY17" s="2407">
        <v>13</v>
      </c>
      <c r="HZ17" s="1218">
        <v>2007</v>
      </c>
      <c r="IA17" s="2407">
        <v>5980.9409296367376</v>
      </c>
      <c r="IB17" s="2407"/>
      <c r="IC17" s="1294"/>
      <c r="IP17" s="460"/>
      <c r="IQ17" s="461"/>
      <c r="IX17" s="2407">
        <f t="shared" si="2"/>
        <v>5980.9409296367376</v>
      </c>
    </row>
    <row r="18" spans="7:258" ht="22.8">
      <c r="L18" s="1905"/>
      <c r="M18" s="1891"/>
      <c r="N18" s="1891"/>
      <c r="O18" s="1892" t="s">
        <v>646</v>
      </c>
      <c r="P18" s="1420">
        <v>1</v>
      </c>
      <c r="Q18" s="1929">
        <v>1.170751567490661</v>
      </c>
      <c r="R18" s="1929">
        <v>1.4027022303089887</v>
      </c>
      <c r="S18" s="1929">
        <v>2.0776657762662096</v>
      </c>
      <c r="T18" s="1929">
        <v>4.8943006185343947</v>
      </c>
      <c r="U18" s="1929">
        <v>5.1416113994451784</v>
      </c>
      <c r="V18" s="1929">
        <v>5.3433855590626731</v>
      </c>
      <c r="W18" s="1929">
        <v>5.6965406483895427</v>
      </c>
      <c r="X18" s="1929">
        <v>5.7881234617249069</v>
      </c>
      <c r="Y18" s="1929">
        <v>5.6171649663435339</v>
      </c>
      <c r="Z18" s="1929">
        <v>5.9336563381172791</v>
      </c>
      <c r="AA18" s="1929">
        <v>5.9494755268032113</v>
      </c>
      <c r="AB18" s="1929">
        <v>5.972486590341231</v>
      </c>
      <c r="AC18" s="1929">
        <v>6.6180634586139622</v>
      </c>
      <c r="AD18" s="1929">
        <f t="shared" ref="AD18:AM18" si="24">AD15/AD19</f>
        <v>8.3015732196072332</v>
      </c>
      <c r="AE18" s="1945">
        <f t="shared" si="24"/>
        <v>8.1216053754514945</v>
      </c>
      <c r="AF18" s="1223">
        <f t="shared" si="24"/>
        <v>8.28287419187604</v>
      </c>
      <c r="AG18" s="1223">
        <f t="shared" si="24"/>
        <v>8.6670199170643656</v>
      </c>
      <c r="AH18" s="1223">
        <f t="shared" si="24"/>
        <v>9.0619465420277994</v>
      </c>
      <c r="AI18" s="1223">
        <f t="shared" si="24"/>
        <v>10.713774916786438</v>
      </c>
      <c r="AJ18" s="1223">
        <f t="shared" si="24"/>
        <v>15.005583237946574</v>
      </c>
      <c r="AK18" s="1223">
        <f t="shared" si="24"/>
        <v>16.052012422908838</v>
      </c>
      <c r="AL18" s="1223">
        <f t="shared" si="24"/>
        <v>14.742627700481556</v>
      </c>
      <c r="AM18" s="1223">
        <f t="shared" si="24"/>
        <v>16.237654558609506</v>
      </c>
      <c r="AN18" s="614"/>
      <c r="AO18" s="1923"/>
      <c r="AP18" s="614"/>
      <c r="AQ18" s="1904" t="str">
        <f t="shared" si="19"/>
        <v>Dm</v>
      </c>
      <c r="BB18" s="24"/>
      <c r="BC18" s="24"/>
      <c r="BD18" s="2212">
        <v>2001</v>
      </c>
      <c r="BE18" s="362">
        <v>1.0509999999999999</v>
      </c>
      <c r="BF18" s="364">
        <f t="shared" si="22"/>
        <v>1.0404340769887175</v>
      </c>
      <c r="BT18" s="828">
        <v>2001</v>
      </c>
      <c r="BU18" s="362">
        <v>1.138680798019565</v>
      </c>
      <c r="BV18" s="364">
        <v>1.0897815327334301</v>
      </c>
      <c r="CJ18" s="771">
        <v>2004</v>
      </c>
      <c r="CK18" s="362">
        <v>1.1495203825421829E-2</v>
      </c>
      <c r="CL18" s="355"/>
      <c r="DA18" s="1193">
        <f t="shared" si="5"/>
        <v>1.1495203825421829E-2</v>
      </c>
      <c r="DE18" s="1216">
        <v>2002</v>
      </c>
      <c r="DF18" s="2310">
        <v>5401.7384738598985</v>
      </c>
      <c r="DG18" s="1211">
        <v>1703.0808963644092</v>
      </c>
      <c r="DX18" s="2646">
        <v>2005</v>
      </c>
      <c r="DY18" s="2647">
        <v>41494</v>
      </c>
      <c r="DZ18" s="2648">
        <f t="shared" si="11"/>
        <v>7.3244397581202483</v>
      </c>
      <c r="EA18" s="1227">
        <f t="shared" si="12"/>
        <v>1.0676862396866342</v>
      </c>
      <c r="EB18" s="1227">
        <v>1.0190000000000001</v>
      </c>
      <c r="EC18" s="2649">
        <f t="shared" si="6"/>
        <v>5665.1431877772811</v>
      </c>
      <c r="ED18" s="1245"/>
      <c r="EE18" s="2650">
        <v>2943.6860000000001</v>
      </c>
      <c r="EF18" s="1227">
        <v>1.1092436974789917</v>
      </c>
      <c r="EG18" s="2644">
        <f t="shared" si="13"/>
        <v>381.3633103448276</v>
      </c>
      <c r="EH18" s="2651">
        <f t="shared" si="14"/>
        <v>7.7188495068870884</v>
      </c>
      <c r="EI18" s="2644">
        <f t="shared" si="7"/>
        <v>275.73257377194318</v>
      </c>
      <c r="EJ18" s="1245"/>
      <c r="EK18" s="2652">
        <f t="shared" si="3"/>
        <v>6.7317505966597732E-2</v>
      </c>
      <c r="EL18" s="2653">
        <f t="shared" si="8"/>
        <v>4.9596538579962934E-2</v>
      </c>
      <c r="EM18" s="495"/>
      <c r="EO18" s="1178">
        <v>2005</v>
      </c>
      <c r="EP18" s="1269">
        <f t="shared" si="4"/>
        <v>6.7317505966597732E-2</v>
      </c>
      <c r="EQ18" s="1270">
        <f t="shared" si="9"/>
        <v>4.9596538579962934E-2</v>
      </c>
      <c r="FH18" s="1234">
        <v>2005</v>
      </c>
      <c r="FI18" s="2664">
        <f t="shared" si="15"/>
        <v>381.3633103448276</v>
      </c>
      <c r="FJ18" s="2665">
        <f t="shared" si="16"/>
        <v>275.73257377194318</v>
      </c>
      <c r="FK18" s="1227"/>
      <c r="FL18" s="1229"/>
      <c r="GB18" s="1218">
        <v>2005</v>
      </c>
      <c r="GC18" s="1259">
        <f t="shared" si="17"/>
        <v>7.3244397581202483</v>
      </c>
      <c r="GD18" s="2394">
        <f t="shared" si="10"/>
        <v>7.7469554310492068</v>
      </c>
      <c r="GE18" s="787"/>
      <c r="GR18" s="460"/>
      <c r="GS18" s="461"/>
      <c r="GT18" s="24"/>
      <c r="GU18" s="1218">
        <v>2008</v>
      </c>
      <c r="GV18" s="1259">
        <f t="shared" si="0"/>
        <v>9.313557709187231</v>
      </c>
      <c r="GW18" s="2394">
        <f t="shared" si="1"/>
        <v>10.701001718560617</v>
      </c>
      <c r="GX18" s="787"/>
      <c r="HK18" s="460"/>
      <c r="HL18" s="461"/>
      <c r="HY18" s="2407">
        <v>14</v>
      </c>
      <c r="HZ18" s="1218">
        <v>2008</v>
      </c>
      <c r="IA18" s="2407">
        <v>6196.2548031036604</v>
      </c>
      <c r="IB18" s="2407"/>
      <c r="IC18" s="1294"/>
      <c r="IP18" s="460"/>
      <c r="IQ18" s="461"/>
      <c r="IX18" s="2407">
        <f t="shared" si="2"/>
        <v>6196.2548031036604</v>
      </c>
    </row>
    <row r="19" spans="7:258" ht="22.8">
      <c r="L19" s="1905"/>
      <c r="M19" s="1891"/>
      <c r="N19" s="1891"/>
      <c r="O19" s="1892" t="s">
        <v>658</v>
      </c>
      <c r="P19" s="1917">
        <v>369.90269999999998</v>
      </c>
      <c r="Q19" s="1917">
        <f t="shared" ref="Q19:AM19" si="25">$P19*Q17</f>
        <v>374.71143509999996</v>
      </c>
      <c r="R19" s="1917">
        <f t="shared" si="25"/>
        <v>376.21028084039995</v>
      </c>
      <c r="S19" s="1917">
        <f t="shared" si="25"/>
        <v>310.74969197417028</v>
      </c>
      <c r="T19" s="1917">
        <f t="shared" si="25"/>
        <v>257.92224433856131</v>
      </c>
      <c r="U19" s="1917">
        <f t="shared" si="25"/>
        <v>341.4890515042552</v>
      </c>
      <c r="V19" s="1917">
        <f t="shared" si="25"/>
        <v>405.34750413555093</v>
      </c>
      <c r="W19" s="1917">
        <f t="shared" si="25"/>
        <v>464.5282397393413</v>
      </c>
      <c r="X19" s="1917">
        <f t="shared" si="25"/>
        <v>544.89162521424737</v>
      </c>
      <c r="Y19" s="1917">
        <f t="shared" si="25"/>
        <v>671.85137388916701</v>
      </c>
      <c r="Z19" s="1917">
        <f t="shared" si="25"/>
        <v>783.37870195476864</v>
      </c>
      <c r="AA19" s="1917">
        <f t="shared" si="25"/>
        <v>950.23836547113444</v>
      </c>
      <c r="AB19" s="1917">
        <f t="shared" si="25"/>
        <v>1199.2008172245717</v>
      </c>
      <c r="AC19" s="1917">
        <f t="shared" si="25"/>
        <v>1376.6825381738081</v>
      </c>
      <c r="AD19" s="1917">
        <f t="shared" si="25"/>
        <v>958.17104656897038</v>
      </c>
      <c r="AE19" s="1946">
        <f t="shared" si="25"/>
        <v>1205.3791765837648</v>
      </c>
      <c r="AF19" s="1928">
        <f t="shared" si="25"/>
        <v>1450.0711494302691</v>
      </c>
      <c r="AG19" s="1928">
        <f t="shared" si="25"/>
        <v>1590.7280509250054</v>
      </c>
      <c r="AH19" s="1928">
        <f t="shared" si="25"/>
        <v>1646.4035327073805</v>
      </c>
      <c r="AI19" s="1928">
        <f t="shared" si="25"/>
        <v>1526.2160748197416</v>
      </c>
      <c r="AJ19" s="1928">
        <f t="shared" si="25"/>
        <v>1143.1358400399865</v>
      </c>
      <c r="AK19" s="1928">
        <f t="shared" si="25"/>
        <v>1101.982949798547</v>
      </c>
      <c r="AL19" s="1928">
        <f t="shared" si="25"/>
        <v>1293.7279830634941</v>
      </c>
      <c r="AM19" s="1928">
        <f t="shared" si="25"/>
        <v>1328.6586386062083</v>
      </c>
      <c r="AN19" s="614"/>
      <c r="AO19" s="1923"/>
      <c r="AP19" s="614"/>
      <c r="AQ19" s="1904" t="str">
        <f t="shared" si="19"/>
        <v>IMS</v>
      </c>
      <c r="BD19" s="2212">
        <v>2002</v>
      </c>
      <c r="BE19" s="362">
        <v>1.0469999999999999</v>
      </c>
      <c r="BF19" s="364">
        <f t="shared" si="22"/>
        <v>1.0378465590484229</v>
      </c>
      <c r="BT19" s="828">
        <v>2002</v>
      </c>
      <c r="BU19" s="362">
        <v>1.1921987955264846</v>
      </c>
      <c r="BV19" s="364">
        <v>1.1310260138619068</v>
      </c>
      <c r="CJ19" s="771">
        <v>2005</v>
      </c>
      <c r="CK19" s="362">
        <v>1.1017693783579027E-2</v>
      </c>
      <c r="CL19" s="355"/>
      <c r="DA19" s="1193">
        <f t="shared" si="5"/>
        <v>1.1017693783579027E-2</v>
      </c>
      <c r="DE19" s="1216">
        <v>2003</v>
      </c>
      <c r="DF19" s="2310">
        <v>5471.9610740200769</v>
      </c>
      <c r="DG19" s="1211">
        <v>1827.405801799011</v>
      </c>
      <c r="DX19" s="2646">
        <v>2006</v>
      </c>
      <c r="DY19" s="2647">
        <v>47489</v>
      </c>
      <c r="DZ19" s="2648">
        <f t="shared" si="11"/>
        <v>8.1861967165379994</v>
      </c>
      <c r="EA19" s="1227">
        <f t="shared" si="12"/>
        <v>1.0933107094391135</v>
      </c>
      <c r="EB19" s="1227">
        <v>1.024</v>
      </c>
      <c r="EC19" s="2649">
        <f t="shared" si="6"/>
        <v>5801.1066242839361</v>
      </c>
      <c r="ED19" s="1245"/>
      <c r="EE19" s="2650">
        <v>3252.4360000000001</v>
      </c>
      <c r="EF19" s="1227">
        <v>1.1628787878787878</v>
      </c>
      <c r="EG19" s="2644">
        <f t="shared" si="13"/>
        <v>443.47930407523512</v>
      </c>
      <c r="EH19" s="2651">
        <f t="shared" si="14"/>
        <v>7.333907061981483</v>
      </c>
      <c r="EI19" s="2644">
        <f t="shared" si="7"/>
        <v>307.51586756858018</v>
      </c>
      <c r="EJ19" s="1245"/>
      <c r="EK19" s="2652">
        <f t="shared" si="3"/>
        <v>7.6447363028769755E-2</v>
      </c>
      <c r="EL19" s="2653">
        <f t="shared" si="8"/>
        <v>5.4282099741460199E-2</v>
      </c>
      <c r="EM19" s="495"/>
      <c r="EO19" s="1178">
        <v>2006</v>
      </c>
      <c r="EP19" s="1269">
        <f t="shared" si="4"/>
        <v>7.6447363028769755E-2</v>
      </c>
      <c r="EQ19" s="1270">
        <f t="shared" si="9"/>
        <v>5.4282099741460199E-2</v>
      </c>
      <c r="FH19" s="1234">
        <v>2006</v>
      </c>
      <c r="FI19" s="2664">
        <f t="shared" si="15"/>
        <v>443.47930407523512</v>
      </c>
      <c r="FJ19" s="2665">
        <f t="shared" si="16"/>
        <v>307.51586756858018</v>
      </c>
      <c r="FK19" s="1227"/>
      <c r="FL19" s="1229"/>
      <c r="GB19" s="1218">
        <v>2006</v>
      </c>
      <c r="GC19" s="1259">
        <f t="shared" si="17"/>
        <v>8.1861967165379994</v>
      </c>
      <c r="GD19" s="2394">
        <f t="shared" si="10"/>
        <v>8.4441814198436358</v>
      </c>
      <c r="GE19" s="787"/>
      <c r="GR19" s="460"/>
      <c r="GS19" s="461"/>
      <c r="GT19" s="24"/>
      <c r="GU19" s="1218">
        <v>2009</v>
      </c>
      <c r="GV19" s="1259">
        <f t="shared" si="0"/>
        <v>10.66694831320229</v>
      </c>
      <c r="GW19" s="2394">
        <f t="shared" si="1"/>
        <v>11.642689869793951</v>
      </c>
      <c r="GX19" s="787"/>
      <c r="HK19" s="460"/>
      <c r="HL19" s="461"/>
      <c r="HY19" s="2407">
        <v>15</v>
      </c>
      <c r="HZ19" s="1218">
        <v>2009</v>
      </c>
      <c r="IA19" s="2407">
        <v>6394.5349568029778</v>
      </c>
      <c r="IB19" s="2407"/>
      <c r="IC19" s="1294"/>
      <c r="IP19" s="460"/>
      <c r="IQ19" s="461"/>
      <c r="IX19" s="2407">
        <f t="shared" si="2"/>
        <v>6394.5349568029778</v>
      </c>
    </row>
    <row r="20" spans="7:258" ht="22.8">
      <c r="L20" s="1887" t="s">
        <v>697</v>
      </c>
      <c r="M20" s="1891" t="s">
        <v>706</v>
      </c>
      <c r="N20" s="1891"/>
      <c r="O20" s="1888" t="s">
        <v>427</v>
      </c>
      <c r="P20" s="1947">
        <v>108.89559999999999</v>
      </c>
      <c r="Q20" s="1917">
        <f>ОТЧЁТ!V66</f>
        <v>179.61600000000004</v>
      </c>
      <c r="R20" s="1917">
        <f>ОТЧЁТ!W66</f>
        <v>214.59470000000002</v>
      </c>
      <c r="S20" s="1917">
        <f>ОТЧЁТ!X66</f>
        <v>246.36329999999998</v>
      </c>
      <c r="T20" s="1917">
        <f>ОТЧЁТ!Y66</f>
        <v>495.36020000000002</v>
      </c>
      <c r="U20" s="1917">
        <f>ОТЧЁТ!Z66</f>
        <v>833.44749999999999</v>
      </c>
      <c r="V20" s="1917">
        <f>ОТЧЁТ!AA66</f>
        <v>1097.4893</v>
      </c>
      <c r="W20" s="1917">
        <f>ОТЧЁТ!AB66</f>
        <v>1249.3</v>
      </c>
      <c r="X20" s="1917">
        <f>ОТЧЁТ!AC66</f>
        <v>1588.5</v>
      </c>
      <c r="Y20" s="1917">
        <f>ОТЧЁТ!AD66</f>
        <v>2168.4</v>
      </c>
      <c r="Z20" s="1917">
        <f>ОТЧЁТ!AE66</f>
        <v>3092.1</v>
      </c>
      <c r="AA20" s="1917">
        <f>ОТЧЁТ!AF66</f>
        <v>3939.8599999999997</v>
      </c>
      <c r="AB20" s="1917">
        <f>ОТЧЁТ!AG66</f>
        <v>4763.0419999999995</v>
      </c>
      <c r="AC20" s="1917">
        <f>ОТЧЁТ!AH66</f>
        <v>6094.1507999999994</v>
      </c>
      <c r="AD20" s="1917">
        <f>ОТЧЁТ!AI66</f>
        <v>4975.8948999999993</v>
      </c>
      <c r="AE20" s="1946">
        <f>ОТЧЁТ!AJ66</f>
        <v>6268.4679999999998</v>
      </c>
      <c r="AF20" s="1928">
        <f>ОТЧЁТ!AK66</f>
        <v>8198.4096000000009</v>
      </c>
      <c r="AG20" s="1928">
        <f>ОТЧЁТ!AL66</f>
        <v>9167.6498999999985</v>
      </c>
      <c r="AH20" s="1928">
        <f>ОТЧЁТ!AM66</f>
        <v>9264.4451999999983</v>
      </c>
      <c r="AI20" s="1928">
        <f>ОТЧЁТ!AN66</f>
        <v>10292.145999999999</v>
      </c>
      <c r="AJ20" s="1928">
        <f>ОТЧЁТ!AO66</f>
        <v>8466.8595999999998</v>
      </c>
      <c r="AK20" s="1928">
        <f>ОТЧЁТ!AP66</f>
        <v>8538.92</v>
      </c>
      <c r="AL20" s="1928">
        <f>ОТЧЁТ!AQ66</f>
        <v>8945.76</v>
      </c>
      <c r="AM20" s="1928">
        <f>ОТЧЁТ!AR66</f>
        <v>11076.27</v>
      </c>
      <c r="AN20" s="614"/>
      <c r="AO20" s="1923"/>
      <c r="AP20" s="614"/>
      <c r="AQ20" s="1904" t="str">
        <f t="shared" si="19"/>
        <v>CN1</v>
      </c>
      <c r="BD20" s="2212">
        <v>2003</v>
      </c>
      <c r="BE20" s="362">
        <v>1.073</v>
      </c>
      <c r="BF20" s="364">
        <f t="shared" si="22"/>
        <v>1.0696986263701993</v>
      </c>
      <c r="BT20" s="828">
        <v>2003</v>
      </c>
      <c r="BU20" s="362">
        <v>1.2792293075999179</v>
      </c>
      <c r="BV20" s="364">
        <v>1.2098569734170437</v>
      </c>
      <c r="CJ20" s="771">
        <v>2006</v>
      </c>
      <c r="CK20" s="362">
        <v>1.164388659610574E-2</v>
      </c>
      <c r="CL20" s="355"/>
      <c r="DA20" s="1193">
        <f t="shared" si="5"/>
        <v>1.164388659610574E-2</v>
      </c>
      <c r="DE20" s="1216">
        <v>2004</v>
      </c>
      <c r="DF20" s="2310">
        <v>5559.5124512043985</v>
      </c>
      <c r="DG20" s="1211">
        <v>1958.97901952854</v>
      </c>
      <c r="DJ20" s="1204" t="s">
        <v>196</v>
      </c>
      <c r="DX20" s="2646">
        <v>2007</v>
      </c>
      <c r="DY20" s="2647">
        <v>60391</v>
      </c>
      <c r="DZ20" s="2648">
        <f t="shared" si="11"/>
        <v>10.097240670067603</v>
      </c>
      <c r="EA20" s="1227">
        <f t="shared" si="12"/>
        <v>1.127203341431726</v>
      </c>
      <c r="EB20" s="1227">
        <v>1.0309999999999999</v>
      </c>
      <c r="EC20" s="2649">
        <f t="shared" si="6"/>
        <v>5980.9409296367376</v>
      </c>
      <c r="ED20" s="1245"/>
      <c r="EE20" s="2650">
        <v>4296.4110000000001</v>
      </c>
      <c r="EF20" s="1227">
        <v>1.219869706840391</v>
      </c>
      <c r="EG20" s="2644">
        <f t="shared" si="13"/>
        <v>540.98696865203772</v>
      </c>
      <c r="EH20" s="2651">
        <f t="shared" si="14"/>
        <v>7.9418012798076241</v>
      </c>
      <c r="EI20" s="2644">
        <f t="shared" si="7"/>
        <v>361.15266329923622</v>
      </c>
      <c r="EJ20" s="1245"/>
      <c r="EK20" s="2652">
        <f t="shared" si="3"/>
        <v>9.0451816029705451E-2</v>
      </c>
      <c r="EL20" s="2653">
        <f t="shared" si="8"/>
        <v>6.2255822326626409E-2</v>
      </c>
      <c r="EM20" s="495"/>
      <c r="EO20" s="1178">
        <v>2007</v>
      </c>
      <c r="EP20" s="1269">
        <f t="shared" si="4"/>
        <v>9.0451816029705451E-2</v>
      </c>
      <c r="EQ20" s="1270">
        <f t="shared" si="9"/>
        <v>6.2255822326626409E-2</v>
      </c>
      <c r="FH20" s="1234">
        <v>2007</v>
      </c>
      <c r="FI20" s="2664">
        <f t="shared" si="15"/>
        <v>540.98696865203772</v>
      </c>
      <c r="FJ20" s="2665">
        <f t="shared" si="16"/>
        <v>361.15266329923622</v>
      </c>
      <c r="FK20" s="1227"/>
      <c r="FL20" s="1229"/>
      <c r="GB20" s="1218">
        <v>2007</v>
      </c>
      <c r="GC20" s="1259">
        <f t="shared" si="17"/>
        <v>10.097240670067603</v>
      </c>
      <c r="GD20" s="2394">
        <f t="shared" si="10"/>
        <v>9.4465057543790749</v>
      </c>
      <c r="GE20" s="787"/>
      <c r="GR20" s="460"/>
      <c r="GS20" s="461"/>
      <c r="GT20" s="24"/>
      <c r="GU20" s="1218">
        <v>2010</v>
      </c>
      <c r="GV20" s="1259">
        <f t="shared" si="0"/>
        <v>11.27644871677545</v>
      </c>
      <c r="GW20" s="2394">
        <f t="shared" si="1"/>
        <v>12.664918040361862</v>
      </c>
      <c r="GX20" s="787"/>
      <c r="HK20" s="460"/>
      <c r="HL20" s="461"/>
      <c r="HY20" s="2407">
        <v>16</v>
      </c>
      <c r="HZ20" s="1218">
        <v>2010</v>
      </c>
      <c r="IA20" s="2407">
        <v>6586.3710055070669</v>
      </c>
      <c r="IB20" s="2407"/>
      <c r="IC20" s="1294"/>
      <c r="IP20" s="460"/>
      <c r="IQ20" s="461"/>
      <c r="IX20" s="2407">
        <f t="shared" si="2"/>
        <v>6586.3710055070669</v>
      </c>
    </row>
    <row r="21" spans="7:258" ht="22.8">
      <c r="L21" s="1905"/>
      <c r="M21" s="1891"/>
      <c r="N21" s="1891"/>
      <c r="O21" s="1892" t="s">
        <v>707</v>
      </c>
      <c r="P21" s="1917"/>
      <c r="Q21" s="1918">
        <v>0.86705391218745365</v>
      </c>
      <c r="R21" s="1918">
        <v>1.0140000000000009</v>
      </c>
      <c r="S21" s="1918">
        <v>0.91982994862566547</v>
      </c>
      <c r="T21" s="1918">
        <v>1.1480950399346082</v>
      </c>
      <c r="U21" s="1918">
        <v>1.1774958075386188</v>
      </c>
      <c r="V21" s="1918">
        <v>1.0750002024931415</v>
      </c>
      <c r="W21" s="1918">
        <v>1.0821295921018141</v>
      </c>
      <c r="X21" s="1918">
        <v>1.050405482410496</v>
      </c>
      <c r="Y21" s="1918">
        <v>1.1413706577567804</v>
      </c>
      <c r="Z21" s="1918">
        <v>1.1071931675984876</v>
      </c>
      <c r="AA21" s="1918">
        <v>1.1130140716594932</v>
      </c>
      <c r="AB21" s="1918">
        <v>1.0950220905175947</v>
      </c>
      <c r="AC21" s="1918">
        <v>1.0520000000000005</v>
      </c>
      <c r="AD21" s="1918"/>
      <c r="AE21" s="1923"/>
      <c r="AF21" s="136"/>
      <c r="AG21" s="136"/>
      <c r="AH21" s="136"/>
      <c r="AI21" s="136"/>
      <c r="AJ21" s="136"/>
      <c r="AK21" s="614"/>
      <c r="AL21" s="614"/>
      <c r="AM21" s="614"/>
      <c r="AN21" s="614"/>
      <c r="AO21" s="1923"/>
      <c r="AP21" s="614"/>
      <c r="AQ21" s="1904" t="str">
        <f t="shared" si="19"/>
        <v>pCN1</v>
      </c>
      <c r="BD21" s="2212">
        <v>2004</v>
      </c>
      <c r="BE21" s="362">
        <v>1.0720000000000001</v>
      </c>
      <c r="BF21" s="364">
        <f t="shared" si="22"/>
        <v>1.0658405716297876</v>
      </c>
      <c r="BT21" s="828">
        <v>2004</v>
      </c>
      <c r="BU21" s="362">
        <v>1.3713338177471122</v>
      </c>
      <c r="BV21" s="364">
        <v>1.2895146481371067</v>
      </c>
      <c r="CJ21" s="771">
        <v>2007</v>
      </c>
      <c r="CK21" s="362">
        <v>1.4011430848958683E-2</v>
      </c>
      <c r="CL21" s="356"/>
      <c r="DA21" s="1193">
        <f t="shared" si="5"/>
        <v>1.4011430848958683E-2</v>
      </c>
      <c r="DE21" s="1216">
        <v>2005</v>
      </c>
      <c r="DF21" s="2310">
        <v>5665.1431877772829</v>
      </c>
      <c r="DG21" s="1211">
        <v>2084.3536767783667</v>
      </c>
      <c r="DX21" s="2646">
        <v>2008</v>
      </c>
      <c r="DY21" s="2647">
        <v>74447</v>
      </c>
      <c r="DZ21" s="2648">
        <f t="shared" si="11"/>
        <v>12.014838376677154</v>
      </c>
      <c r="EA21" s="1227">
        <f t="shared" si="12"/>
        <v>1.1677826617232681</v>
      </c>
      <c r="EB21" s="1227">
        <v>1.036</v>
      </c>
      <c r="EC21" s="2649">
        <f t="shared" si="6"/>
        <v>6196.2548031036604</v>
      </c>
      <c r="ED21" s="1245"/>
      <c r="EE21" s="2650">
        <v>5744.8469999999998</v>
      </c>
      <c r="EF21" s="1227">
        <v>1.1401869158878504</v>
      </c>
      <c r="EG21" s="2644">
        <f t="shared" si="13"/>
        <v>616.82626332288407</v>
      </c>
      <c r="EH21" s="2651">
        <f t="shared" si="14"/>
        <v>9.313557709187231</v>
      </c>
      <c r="EI21" s="2644">
        <f t="shared" si="7"/>
        <v>401.51238985596126</v>
      </c>
      <c r="EJ21" s="1245"/>
      <c r="EK21" s="2652">
        <f t="shared" si="3"/>
        <v>9.9548240497456641E-2</v>
      </c>
      <c r="EL21" s="2653">
        <f t="shared" si="8"/>
        <v>6.713197715536505E-2</v>
      </c>
      <c r="EM21" s="495"/>
      <c r="EO21" s="1178">
        <v>2008</v>
      </c>
      <c r="EP21" s="1269">
        <f t="shared" si="4"/>
        <v>9.9548240497456641E-2</v>
      </c>
      <c r="EQ21" s="1270">
        <f t="shared" si="9"/>
        <v>6.713197715536505E-2</v>
      </c>
      <c r="FH21" s="1234">
        <v>2008</v>
      </c>
      <c r="FI21" s="2664">
        <f t="shared" si="15"/>
        <v>616.82626332288407</v>
      </c>
      <c r="FJ21" s="2665">
        <f t="shared" si="16"/>
        <v>401.51238985596126</v>
      </c>
      <c r="FK21" s="1227"/>
      <c r="FL21" s="1229"/>
      <c r="GB21" s="1218">
        <v>2008</v>
      </c>
      <c r="GC21" s="1259">
        <f t="shared" si="17"/>
        <v>12.014838376677154</v>
      </c>
      <c r="GD21" s="2394">
        <f t="shared" si="10"/>
        <v>10.701001718560617</v>
      </c>
      <c r="GE21" s="787"/>
      <c r="GR21" s="460"/>
      <c r="GS21" s="461"/>
      <c r="GT21" s="24"/>
      <c r="GU21" s="1218">
        <v>2011</v>
      </c>
      <c r="GV21" s="1259">
        <f t="shared" si="0"/>
        <v>12.282914423380722</v>
      </c>
      <c r="GW21" s="2394">
        <f t="shared" si="1"/>
        <v>13.437478040823935</v>
      </c>
      <c r="GX21" s="787"/>
      <c r="HK21" s="460"/>
      <c r="HL21" s="461"/>
      <c r="HY21" s="2407">
        <v>17</v>
      </c>
      <c r="HZ21" s="1218">
        <v>2011</v>
      </c>
      <c r="IA21" s="2407">
        <v>6849.8258457273505</v>
      </c>
      <c r="IB21" s="2407"/>
      <c r="IC21" s="1294"/>
      <c r="IP21" s="460"/>
      <c r="IQ21" s="461"/>
      <c r="IX21" s="2407">
        <f t="shared" si="2"/>
        <v>6849.8258457273505</v>
      </c>
    </row>
    <row r="22" spans="7:258" ht="22.8">
      <c r="L22" s="1905"/>
      <c r="M22" s="1891"/>
      <c r="N22" s="1891"/>
      <c r="O22" s="1892" t="s">
        <v>708</v>
      </c>
      <c r="P22" s="1928">
        <v>1</v>
      </c>
      <c r="Q22" s="1918">
        <v>0.86705391218745365</v>
      </c>
      <c r="R22" s="1918">
        <v>0.87919266695807874</v>
      </c>
      <c r="S22" s="1918">
        <v>0.80870774568011139</v>
      </c>
      <c r="T22" s="1918">
        <v>0.92847335157203437</v>
      </c>
      <c r="U22" s="1918">
        <v>1.0932734788874006</v>
      </c>
      <c r="V22" s="1918">
        <v>1.175269211184337</v>
      </c>
      <c r="W22" s="1918">
        <v>1.2717935921087276</v>
      </c>
      <c r="X22" s="1918">
        <v>1.3358989616455457</v>
      </c>
      <c r="Y22" s="1918">
        <v>1.5247558765499765</v>
      </c>
      <c r="Z22" s="1918">
        <v>1.6881992887717772</v>
      </c>
      <c r="AA22" s="1918">
        <v>1.8789895641685364</v>
      </c>
      <c r="AB22" s="1918">
        <v>2.0575350806165749</v>
      </c>
      <c r="AC22" s="1918">
        <v>2.1645269048086377</v>
      </c>
      <c r="AD22" s="1918"/>
      <c r="AE22" s="1923"/>
      <c r="AF22" s="136"/>
      <c r="AG22" s="136"/>
      <c r="AH22" s="136"/>
      <c r="AI22" s="136"/>
      <c r="AJ22" s="136"/>
      <c r="AK22" s="614"/>
      <c r="AL22" s="614"/>
      <c r="AM22" s="614"/>
      <c r="AN22" s="614"/>
      <c r="AO22" s="1923"/>
      <c r="AP22" s="614"/>
      <c r="AQ22" s="1904" t="str">
        <f t="shared" si="19"/>
        <v>Pcn1</v>
      </c>
      <c r="BD22" s="2212">
        <v>2005</v>
      </c>
      <c r="BE22" s="362">
        <v>1.0640000000000001</v>
      </c>
      <c r="BF22" s="364">
        <f t="shared" si="22"/>
        <v>1.0544151027941575</v>
      </c>
      <c r="BT22" s="828">
        <v>2005</v>
      </c>
      <c r="BU22" s="362">
        <v>1.4590991820829273</v>
      </c>
      <c r="BV22" s="364">
        <v>1.3596837202700593</v>
      </c>
      <c r="CJ22" s="771">
        <v>2008</v>
      </c>
      <c r="CK22" s="362">
        <v>1.4635325905782108E-2</v>
      </c>
      <c r="CL22" s="356"/>
      <c r="DA22" s="1193">
        <f t="shared" si="5"/>
        <v>1.4635325905782108E-2</v>
      </c>
      <c r="DE22" s="1216">
        <v>2006</v>
      </c>
      <c r="DF22" s="2310">
        <v>5801.1066242839379</v>
      </c>
      <c r="DG22" s="1211">
        <v>2255.270678274193</v>
      </c>
      <c r="DX22" s="2646">
        <v>2009</v>
      </c>
      <c r="DY22" s="2647">
        <v>82302.968999999997</v>
      </c>
      <c r="DZ22" s="2648">
        <f t="shared" si="11"/>
        <v>12.870829474853371</v>
      </c>
      <c r="EA22" s="1227">
        <f t="shared" si="12"/>
        <v>1.2051517068984128</v>
      </c>
      <c r="EB22" s="1227">
        <v>1.032</v>
      </c>
      <c r="EC22" s="2649">
        <f t="shared" si="6"/>
        <v>6394.5349568029778</v>
      </c>
      <c r="ED22" s="1245"/>
      <c r="EE22" s="2650">
        <v>6356.223</v>
      </c>
      <c r="EF22" s="1227">
        <v>0.96604215456674458</v>
      </c>
      <c r="EG22" s="2644">
        <f t="shared" si="13"/>
        <v>595.88017241379305</v>
      </c>
      <c r="EH22" s="2651">
        <f t="shared" si="14"/>
        <v>10.66694831320229</v>
      </c>
      <c r="EI22" s="2644">
        <f t="shared" si="7"/>
        <v>397.6000187144756</v>
      </c>
      <c r="EJ22" s="1245"/>
      <c r="EK22" s="2652">
        <f t="shared" si="3"/>
        <v>9.3185849547956848E-2</v>
      </c>
      <c r="EL22" s="2653">
        <f t="shared" si="8"/>
        <v>6.416779673349142E-2</v>
      </c>
      <c r="EM22" s="495"/>
      <c r="EO22" s="1178">
        <v>2009</v>
      </c>
      <c r="EP22" s="1269">
        <f t="shared" si="4"/>
        <v>9.3185849547956848E-2</v>
      </c>
      <c r="EQ22" s="1270">
        <f t="shared" si="9"/>
        <v>6.416779673349142E-2</v>
      </c>
      <c r="FH22" s="1234">
        <v>2009</v>
      </c>
      <c r="FI22" s="2664">
        <f t="shared" si="15"/>
        <v>595.88017241379305</v>
      </c>
      <c r="FJ22" s="2665">
        <f t="shared" si="16"/>
        <v>397.6000187144756</v>
      </c>
      <c r="FK22" s="1227"/>
      <c r="FL22" s="1229"/>
      <c r="GB22" s="1218">
        <v>2009</v>
      </c>
      <c r="GC22" s="1259">
        <f t="shared" si="17"/>
        <v>12.870829474853371</v>
      </c>
      <c r="GD22" s="2394">
        <f t="shared" si="10"/>
        <v>11.642689869793951</v>
      </c>
      <c r="GE22" s="787"/>
      <c r="GR22" s="460"/>
      <c r="GS22" s="461"/>
      <c r="GT22" s="24"/>
      <c r="GU22" s="1218">
        <v>2012</v>
      </c>
      <c r="GV22" s="1259">
        <f t="shared" si="0"/>
        <v>13.249096044334456</v>
      </c>
      <c r="GW22" s="2394">
        <f t="shared" si="1"/>
        <v>14.321664095910151</v>
      </c>
      <c r="GX22" s="787"/>
      <c r="HK22" s="460"/>
      <c r="HL22" s="461"/>
      <c r="HY22" s="2407">
        <v>18</v>
      </c>
      <c r="HZ22" s="1218">
        <v>2012</v>
      </c>
      <c r="IA22" s="2407">
        <v>7144.3683570936255</v>
      </c>
      <c r="IB22" s="2407"/>
      <c r="IC22" s="1294"/>
      <c r="IP22" s="460"/>
      <c r="IQ22" s="461"/>
      <c r="IX22" s="2407">
        <f t="shared" si="2"/>
        <v>7144.3683570936255</v>
      </c>
    </row>
    <row r="23" spans="7:258" ht="22.8">
      <c r="G23" t="s">
        <v>1420</v>
      </c>
      <c r="L23" s="1905"/>
      <c r="M23" s="1891"/>
      <c r="N23" s="1891"/>
      <c r="O23" s="1892" t="s">
        <v>709</v>
      </c>
      <c r="P23" s="1420">
        <v>1</v>
      </c>
      <c r="Q23" s="1929">
        <v>1.9023419556256602</v>
      </c>
      <c r="R23" s="1929">
        <v>2.2414270170452033</v>
      </c>
      <c r="S23" s="1929">
        <v>2.7975256544816887</v>
      </c>
      <c r="T23" s="1929">
        <v>4.8993823626927853</v>
      </c>
      <c r="U23" s="1929">
        <v>7.0006618907944329</v>
      </c>
      <c r="V23" s="1929">
        <v>8.5753647889654374</v>
      </c>
      <c r="W23" s="1929">
        <v>9.0206903530406848</v>
      </c>
      <c r="X23" s="1929">
        <v>10.919513127003887</v>
      </c>
      <c r="Y23" s="1929">
        <v>13.059566182233628</v>
      </c>
      <c r="Z23" s="1929">
        <v>16.819748035095355</v>
      </c>
      <c r="AA23" s="1929">
        <v>19.244557315998964</v>
      </c>
      <c r="AB23" s="1929">
        <v>21.258216726394878</v>
      </c>
      <c r="AC23" s="1929">
        <v>25.690599705116913</v>
      </c>
      <c r="AD23" s="1420"/>
      <c r="AE23" s="1923"/>
      <c r="AF23" s="136"/>
      <c r="AG23" s="136"/>
      <c r="AH23" s="136"/>
      <c r="AI23" s="136"/>
      <c r="AJ23" s="136"/>
      <c r="AK23" s="614"/>
      <c r="AL23" s="614"/>
      <c r="AM23" s="614"/>
      <c r="AN23" s="614"/>
      <c r="AO23" s="1923"/>
      <c r="AP23" s="614"/>
      <c r="AQ23" s="1904" t="str">
        <f t="shared" si="19"/>
        <v>Dcn1</v>
      </c>
      <c r="BD23" s="2212">
        <v>2006</v>
      </c>
      <c r="BE23" s="362">
        <v>1.0820000000000001</v>
      </c>
      <c r="BF23" s="364">
        <f t="shared" si="22"/>
        <v>1.0593502828774255</v>
      </c>
      <c r="BT23" s="828">
        <v>2006</v>
      </c>
      <c r="BU23" s="362">
        <v>1.5787453150137274</v>
      </c>
      <c r="BV23" s="364">
        <v>1.4403813336919178</v>
      </c>
      <c r="CJ23" s="771">
        <v>2009</v>
      </c>
      <c r="CK23" s="362">
        <v>-2.5634571644029994E-2</v>
      </c>
      <c r="CL23" s="355"/>
      <c r="DA23" s="1193">
        <f t="shared" si="5"/>
        <v>-2.5634571644029994E-2</v>
      </c>
      <c r="DE23" s="1216">
        <v>2007</v>
      </c>
      <c r="DF23" s="2310">
        <v>5980.9409296367394</v>
      </c>
      <c r="DG23" s="1211">
        <v>2446.9686859274993</v>
      </c>
      <c r="DX23" s="2646">
        <v>2010</v>
      </c>
      <c r="DY23" s="2647">
        <v>93186</v>
      </c>
      <c r="DZ23" s="2648">
        <f t="shared" si="11"/>
        <v>14.148307151553462</v>
      </c>
      <c r="EA23" s="1227">
        <f t="shared" si="12"/>
        <v>1.2413062581053651</v>
      </c>
      <c r="EB23" s="1227">
        <v>1.03</v>
      </c>
      <c r="EC23" s="2649">
        <f t="shared" si="6"/>
        <v>6586.3710055070669</v>
      </c>
      <c r="ED23" s="1245"/>
      <c r="EE23" s="2650">
        <v>6275.9309999999996</v>
      </c>
      <c r="EF23" s="1227">
        <v>0.93400000000000005</v>
      </c>
      <c r="EG23" s="2644">
        <f t="shared" si="13"/>
        <v>556.55208103448274</v>
      </c>
      <c r="EH23" s="2651">
        <f t="shared" si="14"/>
        <v>11.27644871677545</v>
      </c>
      <c r="EI23" s="2644">
        <f t="shared" si="7"/>
        <v>364.71603233039366</v>
      </c>
      <c r="EJ23" s="1245"/>
      <c r="EK23" s="2652">
        <f t="shared" si="3"/>
        <v>8.4500566483292919E-2</v>
      </c>
      <c r="EL23" s="2653">
        <f t="shared" si="8"/>
        <v>5.7035583477791744E-2</v>
      </c>
      <c r="EM23" s="495"/>
      <c r="EO23" s="1178">
        <v>2010</v>
      </c>
      <c r="EP23" s="1269">
        <f t="shared" si="4"/>
        <v>8.4500566483292919E-2</v>
      </c>
      <c r="EQ23" s="1270">
        <f t="shared" si="9"/>
        <v>5.7035583477791744E-2</v>
      </c>
      <c r="FH23" s="1234">
        <v>2010</v>
      </c>
      <c r="FI23" s="2664">
        <f t="shared" si="15"/>
        <v>556.55208103448274</v>
      </c>
      <c r="FJ23" s="2665">
        <f t="shared" si="16"/>
        <v>364.71603233039366</v>
      </c>
      <c r="FK23" s="1227"/>
      <c r="FL23" s="1229"/>
      <c r="GB23" s="1218">
        <v>2010</v>
      </c>
      <c r="GC23" s="1259">
        <f t="shared" si="17"/>
        <v>14.148307151553462</v>
      </c>
      <c r="GD23" s="2394">
        <f t="shared" si="10"/>
        <v>12.664918040361862</v>
      </c>
      <c r="GE23" s="787"/>
      <c r="GR23" s="460"/>
      <c r="GS23" s="461"/>
      <c r="GT23" s="24"/>
      <c r="GU23" s="1218">
        <v>2013</v>
      </c>
      <c r="GV23" s="1259">
        <f t="shared" si="0"/>
        <v>14.15863931501705</v>
      </c>
      <c r="GW23" s="2394">
        <f t="shared" si="1"/>
        <v>15.245411430096356</v>
      </c>
      <c r="GX23" s="2394">
        <f>0.1975*GW23+11.04</f>
        <v>14.050968757444029</v>
      </c>
      <c r="HK23" s="460"/>
      <c r="HL23" s="461"/>
      <c r="HY23" s="2407">
        <v>19</v>
      </c>
      <c r="HZ23" s="1218">
        <v>2013</v>
      </c>
      <c r="IA23" s="2407">
        <v>7437.2874597344635</v>
      </c>
      <c r="IB23" s="2407"/>
      <c r="IC23" s="1294"/>
      <c r="IP23" s="460"/>
      <c r="IQ23" s="461"/>
      <c r="IX23" s="2407">
        <f t="shared" si="2"/>
        <v>7437.2874597344635</v>
      </c>
    </row>
    <row r="24" spans="7:258" ht="22.8">
      <c r="G24" s="801" t="s">
        <v>710</v>
      </c>
      <c r="H24" s="801"/>
      <c r="I24" s="801"/>
      <c r="J24" s="669"/>
      <c r="K24" s="669"/>
      <c r="L24" s="1905"/>
      <c r="M24" s="1891"/>
      <c r="N24" s="1891"/>
      <c r="O24" s="1892" t="s">
        <v>711</v>
      </c>
      <c r="P24" s="1917">
        <v>108.89560000000006</v>
      </c>
      <c r="Q24" s="1917">
        <v>94.418356000000131</v>
      </c>
      <c r="R24" s="1917">
        <v>95.740212984000209</v>
      </c>
      <c r="S24" s="1917">
        <v>88.064715190483184</v>
      </c>
      <c r="T24" s="1917">
        <v>101.10666270344768</v>
      </c>
      <c r="U24" s="1917">
        <v>119.05267144753088</v>
      </c>
      <c r="V24" s="1917">
        <v>127.98164591344516</v>
      </c>
      <c r="W24" s="1917">
        <v>138.49272628883523</v>
      </c>
      <c r="X24" s="1917">
        <v>145.47351896776877</v>
      </c>
      <c r="Y24" s="1917">
        <v>166.03920603043571</v>
      </c>
      <c r="Z24" s="1917">
        <v>183.83747447037604</v>
      </c>
      <c r="AA24" s="1917">
        <v>204.61369598387137</v>
      </c>
      <c r="AB24" s="1917">
        <v>224.05651712479039</v>
      </c>
      <c r="AC24" s="1917">
        <v>235.7074560152796</v>
      </c>
      <c r="AD24" s="1917">
        <v>196.04003457584849</v>
      </c>
      <c r="AE24" s="1923"/>
      <c r="AF24" s="136"/>
      <c r="AG24" s="136"/>
      <c r="AH24" s="136"/>
      <c r="AI24" s="136"/>
      <c r="AJ24" s="136"/>
      <c r="AK24" s="614"/>
      <c r="AL24" s="614"/>
      <c r="AM24" s="614"/>
      <c r="AN24" s="614"/>
      <c r="AO24" s="1923"/>
      <c r="AP24" s="614"/>
      <c r="AQ24" s="1904" t="str">
        <f t="shared" si="19"/>
        <v>CNS1</v>
      </c>
      <c r="BD24" s="2212">
        <v>2007</v>
      </c>
      <c r="BE24" s="362">
        <v>1.085</v>
      </c>
      <c r="BF24" s="364">
        <f t="shared" si="22"/>
        <v>1.0534473688515078</v>
      </c>
      <c r="BT24" s="828">
        <v>2007</v>
      </c>
      <c r="BU24" s="362">
        <v>1.7129386667898943</v>
      </c>
      <c r="BV24" s="364">
        <v>1.5173659261205765</v>
      </c>
      <c r="CJ24" s="771">
        <v>2010</v>
      </c>
      <c r="CK24" s="475">
        <v>-7.1573095064919514E-3</v>
      </c>
      <c r="CL24" s="355"/>
      <c r="DA24" s="1193">
        <f t="shared" si="5"/>
        <v>-7.1573095064919514E-3</v>
      </c>
      <c r="DE24" s="1216">
        <v>2008</v>
      </c>
      <c r="DF24" s="2310">
        <v>6196.2548031036622</v>
      </c>
      <c r="DG24" s="1211">
        <v>2574.2110575957295</v>
      </c>
      <c r="DX24" s="2646">
        <v>2011</v>
      </c>
      <c r="DY24" s="2647">
        <v>108001</v>
      </c>
      <c r="DZ24" s="2648">
        <f t="shared" si="11"/>
        <v>15.766970202222986</v>
      </c>
      <c r="EA24" s="1227">
        <f t="shared" si="12"/>
        <v>1.2909585084295798</v>
      </c>
      <c r="EB24" s="1227">
        <v>1.04</v>
      </c>
      <c r="EC24" s="2649">
        <f t="shared" si="6"/>
        <v>6849.8258457273505</v>
      </c>
      <c r="ED24" s="1245"/>
      <c r="EE24" s="2650">
        <v>8813.3140000000003</v>
      </c>
      <c r="EF24" s="1227">
        <v>1.289234760051881</v>
      </c>
      <c r="EG24" s="2644">
        <f t="shared" si="13"/>
        <v>717.5262886488664</v>
      </c>
      <c r="EH24" s="2651">
        <f t="shared" si="14"/>
        <v>12.282914423380722</v>
      </c>
      <c r="EI24" s="2644">
        <f t="shared" si="7"/>
        <v>454.07144842858281</v>
      </c>
      <c r="EJ24" s="1245"/>
      <c r="EK24" s="2652">
        <f t="shared" si="3"/>
        <v>0.10475102649455399</v>
      </c>
      <c r="EL24" s="2653">
        <f t="shared" si="8"/>
        <v>6.894106755433603E-2</v>
      </c>
      <c r="EM24" s="495"/>
      <c r="EO24" s="1178">
        <v>2011</v>
      </c>
      <c r="EP24" s="1269">
        <f t="shared" si="4"/>
        <v>0.10475102649455399</v>
      </c>
      <c r="EQ24" s="1270">
        <f t="shared" si="9"/>
        <v>6.894106755433603E-2</v>
      </c>
      <c r="FH24" s="1234">
        <v>2011</v>
      </c>
      <c r="FI24" s="2664">
        <f t="shared" si="15"/>
        <v>717.5262886488664</v>
      </c>
      <c r="FJ24" s="2665">
        <f t="shared" si="16"/>
        <v>454.07144842858281</v>
      </c>
      <c r="FK24" s="1227"/>
      <c r="FL24" s="1229"/>
      <c r="GB24" s="1218">
        <v>2011</v>
      </c>
      <c r="GC24" s="1259">
        <f t="shared" si="17"/>
        <v>15.766970202222986</v>
      </c>
      <c r="GD24" s="2394">
        <f t="shared" si="10"/>
        <v>13.437478040823935</v>
      </c>
      <c r="GE24" s="787"/>
      <c r="GR24" s="460"/>
      <c r="GS24" s="461"/>
      <c r="GT24" s="24"/>
      <c r="GU24" s="1218">
        <v>2014</v>
      </c>
      <c r="GV24" s="1259">
        <f t="shared" si="0"/>
        <v>14.240158664898729</v>
      </c>
      <c r="GW24" s="2394">
        <f t="shared" si="1"/>
        <v>17.318787384589459</v>
      </c>
      <c r="GX24" s="2394">
        <f t="shared" ref="GX24:GX45" si="26">0.1975*GW24+11.04</f>
        <v>14.460460508456418</v>
      </c>
      <c r="HK24" s="460"/>
      <c r="HL24" s="461"/>
      <c r="HY24" s="2407">
        <v>20</v>
      </c>
      <c r="HZ24" s="1218">
        <v>2014</v>
      </c>
      <c r="IA24" s="2407">
        <v>7712.4670957446378</v>
      </c>
      <c r="IB24" s="2407"/>
      <c r="IC24" s="2407">
        <f t="shared" ref="IC24:IC45" si="27">9.2931*HY24*HY24-73.126*HY24+5393.1</f>
        <v>7647.8200000000015</v>
      </c>
      <c r="IP24" s="460"/>
      <c r="IQ24" s="461"/>
      <c r="IX24" s="2407">
        <f t="shared" si="2"/>
        <v>7712.4670957446378</v>
      </c>
    </row>
    <row r="25" spans="7:258" ht="22.8">
      <c r="G25" s="801" t="s">
        <v>353</v>
      </c>
      <c r="H25" s="801"/>
      <c r="I25" s="669"/>
      <c r="J25" s="669"/>
      <c r="K25" s="669"/>
      <c r="L25" s="1890"/>
      <c r="M25" s="1891" t="s">
        <v>712</v>
      </c>
      <c r="N25" s="1891"/>
      <c r="O25" s="1888" t="s">
        <v>408</v>
      </c>
      <c r="P25" s="1946">
        <v>2876.5160999999998</v>
      </c>
      <c r="Q25" s="1928">
        <f>ОТЧЁТ!V55</f>
        <v>3978.7420000000006</v>
      </c>
      <c r="R25" s="1928">
        <f>ОТЧЁТ!W55</f>
        <v>4542.1256999999996</v>
      </c>
      <c r="S25" s="1928">
        <f>ОТЧЁТ!X55</f>
        <v>4820.3402999999998</v>
      </c>
      <c r="T25" s="1928">
        <f>ОТЧЁТ!Y55</f>
        <v>8798.5622000000003</v>
      </c>
      <c r="U25" s="1928">
        <f>ОТЧЁТ!Z55</f>
        <v>13385.6595</v>
      </c>
      <c r="V25" s="1928">
        <f>ОТЧЁТ!AA55</f>
        <v>17020.277300000002</v>
      </c>
      <c r="W25" s="1928">
        <f>ОТЧЁТ!AB55</f>
        <v>20222.973599999998</v>
      </c>
      <c r="X25" s="1928">
        <f>ОТЧЁТ!AC55</f>
        <v>24861.589499999998</v>
      </c>
      <c r="Y25" s="1928">
        <f>ОТЧЁТ!AD55</f>
        <v>31659.022599999997</v>
      </c>
      <c r="Z25" s="1928">
        <f>ОТЧЁТ!AE55</f>
        <v>40112.701999999997</v>
      </c>
      <c r="AA25" s="2186">
        <f>ОТЧЁТ!AF55</f>
        <v>50163.726499999997</v>
      </c>
      <c r="AB25" s="2186">
        <f>ОТЧЁТ!AG55</f>
        <v>62515.174500000001</v>
      </c>
      <c r="AC25" s="2186">
        <f>ОТЧЁТ!AH55</f>
        <v>77695.808799999999</v>
      </c>
      <c r="AD25" s="2186">
        <f>ОТЧЁТ!AI55</f>
        <v>73092.394899999999</v>
      </c>
      <c r="AE25" s="2185">
        <f>ОТЧЁТ!AJ55</f>
        <v>88323.067999999999</v>
      </c>
      <c r="AF25" s="1948">
        <f t="shared" ref="AF25:AM25" si="28">AF10+AF20</f>
        <v>109158.8003</v>
      </c>
      <c r="AG25" s="1948">
        <f t="shared" si="28"/>
        <v>122259.8224</v>
      </c>
      <c r="AH25" s="1948">
        <f t="shared" si="28"/>
        <v>132429.93029999998</v>
      </c>
      <c r="AI25" s="1948">
        <f t="shared" si="28"/>
        <v>143137.046</v>
      </c>
      <c r="AJ25" s="1948">
        <f t="shared" si="28"/>
        <v>154422.9596</v>
      </c>
      <c r="AK25" s="1948">
        <f t="shared" si="28"/>
        <v>162395.42000000001</v>
      </c>
      <c r="AL25" s="1948">
        <f t="shared" si="28"/>
        <v>175275.06</v>
      </c>
      <c r="AM25" s="1948">
        <f t="shared" si="28"/>
        <v>196610.47</v>
      </c>
      <c r="AN25" s="614"/>
      <c r="AO25" s="1923"/>
      <c r="AP25" s="614"/>
      <c r="AQ25" s="1904" t="str">
        <f t="shared" si="19"/>
        <v>X</v>
      </c>
      <c r="BD25" s="2212">
        <v>2008</v>
      </c>
      <c r="BE25" s="362">
        <v>1.052</v>
      </c>
      <c r="BF25" s="364">
        <f t="shared" si="22"/>
        <v>1.0270529063726523</v>
      </c>
      <c r="BT25" s="828">
        <v>2008</v>
      </c>
      <c r="BU25" s="362">
        <v>1.8020114774629687</v>
      </c>
      <c r="BV25" s="364">
        <v>1.5584150844529694</v>
      </c>
      <c r="CJ25" s="771">
        <v>2011</v>
      </c>
      <c r="CK25" s="475">
        <v>4.6424142281784484E-3</v>
      </c>
      <c r="CL25" s="355"/>
      <c r="DA25" s="1193">
        <f t="shared" si="5"/>
        <v>4.6424142281784484E-3</v>
      </c>
      <c r="DE25" s="1216">
        <v>2009</v>
      </c>
      <c r="DF25" s="2310">
        <v>6394.5349568029797</v>
      </c>
      <c r="DG25" s="1211">
        <v>2370.848384045667</v>
      </c>
      <c r="DX25" s="2646">
        <v>2012</v>
      </c>
      <c r="DY25" s="2647">
        <v>121269</v>
      </c>
      <c r="DZ25" s="2648">
        <f t="shared" si="11"/>
        <v>16.974068796381744</v>
      </c>
      <c r="EA25" s="1227">
        <f t="shared" si="12"/>
        <v>1.3464697242920516</v>
      </c>
      <c r="EB25" s="1227">
        <v>1.0429999999999999</v>
      </c>
      <c r="EC25" s="2649">
        <f t="shared" si="6"/>
        <v>7144.3683570936255</v>
      </c>
      <c r="ED25" s="2654"/>
      <c r="EE25" s="2650">
        <v>10338.4</v>
      </c>
      <c r="EF25" s="1227">
        <v>1.0874999999999999</v>
      </c>
      <c r="EG25" s="2644">
        <f t="shared" si="13"/>
        <v>780.3098389056421</v>
      </c>
      <c r="EH25" s="2651">
        <f t="shared" si="14"/>
        <v>13.249096044334456</v>
      </c>
      <c r="EI25" s="2644">
        <f t="shared" si="7"/>
        <v>485.7673275393671</v>
      </c>
      <c r="EJ25" s="1245"/>
      <c r="EK25" s="2652">
        <f t="shared" si="3"/>
        <v>0.10922026971507907</v>
      </c>
      <c r="EL25" s="2653">
        <f t="shared" si="8"/>
        <v>7.0916741312827603E-2</v>
      </c>
      <c r="EM25" s="495"/>
      <c r="EO25" s="1178">
        <v>2012</v>
      </c>
      <c r="EP25" s="1269">
        <f t="shared" si="4"/>
        <v>0.10922026971507907</v>
      </c>
      <c r="EQ25" s="1270">
        <f t="shared" si="9"/>
        <v>7.0916741312827603E-2</v>
      </c>
      <c r="FH25" s="1234">
        <v>2012</v>
      </c>
      <c r="FI25" s="2664">
        <f t="shared" si="15"/>
        <v>780.3098389056421</v>
      </c>
      <c r="FJ25" s="2665">
        <f t="shared" si="16"/>
        <v>485.7673275393671</v>
      </c>
      <c r="FK25" s="1227"/>
      <c r="FL25" s="1229"/>
      <c r="GB25" s="1218">
        <v>2012</v>
      </c>
      <c r="GC25" s="1259">
        <f t="shared" si="17"/>
        <v>16.974068796381744</v>
      </c>
      <c r="GD25" s="2394">
        <f t="shared" si="10"/>
        <v>14.321664095910151</v>
      </c>
      <c r="GE25" s="787"/>
      <c r="GR25" s="460"/>
      <c r="GS25" s="461"/>
      <c r="GT25" s="24"/>
      <c r="GU25" s="1218">
        <v>2015</v>
      </c>
      <c r="GV25" s="1259">
        <f t="shared" si="0"/>
        <v>14.837823597492827</v>
      </c>
      <c r="GW25" s="2394">
        <f t="shared" si="1"/>
        <v>19.552910957201501</v>
      </c>
      <c r="GX25" s="2394">
        <f t="shared" si="26"/>
        <v>14.901699914047295</v>
      </c>
      <c r="HK25" s="460"/>
      <c r="HL25" s="461"/>
      <c r="HY25" s="2407">
        <v>21</v>
      </c>
      <c r="HZ25" s="1218">
        <v>2015</v>
      </c>
      <c r="IA25" s="2407">
        <v>7959.2660428084673</v>
      </c>
      <c r="IB25" s="2407"/>
      <c r="IC25" s="2407">
        <f t="shared" si="27"/>
        <v>7955.7111000000004</v>
      </c>
      <c r="IP25" s="460"/>
      <c r="IQ25" s="461"/>
      <c r="IX25" s="2407">
        <f t="shared" si="2"/>
        <v>7959.2660428084673</v>
      </c>
    </row>
    <row r="26" spans="7:258" ht="22.8">
      <c r="L26" s="1890"/>
      <c r="M26" s="1891"/>
      <c r="N26" s="1891"/>
      <c r="O26" s="1892" t="s">
        <v>713</v>
      </c>
      <c r="P26" s="1941">
        <f>P11</f>
        <v>0.95899999999999996</v>
      </c>
      <c r="Q26" s="1944">
        <f>Q11</f>
        <v>0.97199999999999998</v>
      </c>
      <c r="R26" s="1944">
        <f t="shared" ref="R26:AM26" si="29">R11</f>
        <v>1.014</v>
      </c>
      <c r="S26" s="1944">
        <f t="shared" si="29"/>
        <v>0.94899999999999995</v>
      </c>
      <c r="T26" s="1944">
        <f t="shared" si="29"/>
        <v>1.0580000000000001</v>
      </c>
      <c r="U26" s="1944">
        <f t="shared" si="29"/>
        <v>1.0940000000000001</v>
      </c>
      <c r="V26" s="1944">
        <f t="shared" si="29"/>
        <v>1.0489999999999999</v>
      </c>
      <c r="W26" s="1944">
        <f t="shared" si="29"/>
        <v>1.044</v>
      </c>
      <c r="X26" s="1944">
        <f t="shared" si="29"/>
        <v>1.0760000000000001</v>
      </c>
      <c r="Y26" s="1944">
        <f t="shared" si="29"/>
        <v>1.08</v>
      </c>
      <c r="Z26" s="1944">
        <f t="shared" si="29"/>
        <v>1.0569999999999999</v>
      </c>
      <c r="AA26" s="1944">
        <f t="shared" si="29"/>
        <v>1.089</v>
      </c>
      <c r="AB26" s="1944">
        <f t="shared" si="29"/>
        <v>1.0880000000000001</v>
      </c>
      <c r="AC26" s="1944">
        <f t="shared" si="29"/>
        <v>1.05</v>
      </c>
      <c r="AD26" s="1944">
        <f t="shared" si="29"/>
        <v>0.92600000000000005</v>
      </c>
      <c r="AE26" s="1943">
        <f t="shared" si="29"/>
        <v>1.05</v>
      </c>
      <c r="AF26" s="136">
        <f t="shared" si="29"/>
        <v>1.0429999999999999</v>
      </c>
      <c r="AG26" s="136">
        <f t="shared" si="29"/>
        <v>1.0390000000000001</v>
      </c>
      <c r="AH26" s="136">
        <f t="shared" si="29"/>
        <v>1.0209999999999999</v>
      </c>
      <c r="AI26" s="136">
        <f t="shared" si="29"/>
        <v>1.008</v>
      </c>
      <c r="AJ26" s="136">
        <f t="shared" si="29"/>
        <v>0.98699999999999999</v>
      </c>
      <c r="AK26" s="136">
        <f t="shared" si="29"/>
        <v>1.012</v>
      </c>
      <c r="AL26" s="136">
        <f t="shared" si="29"/>
        <v>1.0249999999999999</v>
      </c>
      <c r="AM26" s="136">
        <f t="shared" si="29"/>
        <v>1.0249999999999999</v>
      </c>
      <c r="AN26" s="614"/>
      <c r="AO26" s="1923"/>
      <c r="AP26" s="614"/>
      <c r="AQ26" s="1904" t="str">
        <f t="shared" si="19"/>
        <v>pX</v>
      </c>
      <c r="BD26" s="2212">
        <v>2009</v>
      </c>
      <c r="BE26" s="362">
        <v>0.92100000000000004</v>
      </c>
      <c r="BF26" s="364">
        <f t="shared" si="22"/>
        <v>1.0035769164587474</v>
      </c>
      <c r="BT26" s="828">
        <v>2009</v>
      </c>
      <c r="BU26" s="362">
        <v>1.6596525707433942</v>
      </c>
      <c r="BV26" s="364">
        <v>1.5639894050181093</v>
      </c>
      <c r="CJ26" s="771">
        <v>2012</v>
      </c>
      <c r="CK26" s="362">
        <v>3.9793621240403485E-3</v>
      </c>
      <c r="CL26" s="355"/>
      <c r="DA26" s="1193">
        <f t="shared" si="5"/>
        <v>3.9793621240403485E-3</v>
      </c>
      <c r="DE26" s="1216">
        <v>2010</v>
      </c>
      <c r="DF26" s="2310">
        <v>6586.3710055070696</v>
      </c>
      <c r="DG26" s="1211">
        <v>2477.5365613277218</v>
      </c>
      <c r="DX26" s="2646">
        <v>2013</v>
      </c>
      <c r="DY26" s="2647">
        <v>133522.79999999999</v>
      </c>
      <c r="DZ26" s="2648">
        <f t="shared" si="11"/>
        <v>17.953158422730539</v>
      </c>
      <c r="EA26" s="1227">
        <f t="shared" si="12"/>
        <v>1.4016749829880255</v>
      </c>
      <c r="EB26" s="1227">
        <v>1.0409999999999999</v>
      </c>
      <c r="EC26" s="2649">
        <f t="shared" si="6"/>
        <v>7437.2874597344635</v>
      </c>
      <c r="ED26" s="2654"/>
      <c r="EE26" s="2650">
        <v>11160.485000000001</v>
      </c>
      <c r="EF26" s="1227">
        <v>1.01017</v>
      </c>
      <c r="EG26" s="2644">
        <f t="shared" si="13"/>
        <v>788.24558996731253</v>
      </c>
      <c r="EH26" s="2651">
        <f t="shared" si="14"/>
        <v>14.15863931501705</v>
      </c>
      <c r="EI26" s="2644">
        <f t="shared" si="7"/>
        <v>495.32648732647453</v>
      </c>
      <c r="EJ26" s="1228"/>
      <c r="EK26" s="2652">
        <f t="shared" si="3"/>
        <v>0.10598562906636065</v>
      </c>
      <c r="EL26" s="2653">
        <f t="shared" si="8"/>
        <v>6.933103985808152E-2</v>
      </c>
      <c r="EM26" s="495"/>
      <c r="EO26" s="1178">
        <v>2013</v>
      </c>
      <c r="EP26" s="1269">
        <f t="shared" si="4"/>
        <v>0.10598562906636065</v>
      </c>
      <c r="EQ26" s="1270">
        <f t="shared" si="9"/>
        <v>6.933103985808152E-2</v>
      </c>
      <c r="FH26" s="1234">
        <v>2013</v>
      </c>
      <c r="FI26" s="2664">
        <f t="shared" si="15"/>
        <v>788.24558996731253</v>
      </c>
      <c r="FJ26" s="2665">
        <f t="shared" si="16"/>
        <v>495.32648732647453</v>
      </c>
      <c r="FK26" s="1227"/>
      <c r="FL26" s="1229"/>
      <c r="GB26" s="1218">
        <v>2013</v>
      </c>
      <c r="GC26" s="1259">
        <f t="shared" si="17"/>
        <v>17.953158422730539</v>
      </c>
      <c r="GD26" s="2394">
        <f t="shared" si="10"/>
        <v>15.245411430096356</v>
      </c>
      <c r="GE26" s="787"/>
      <c r="GR26" s="460"/>
      <c r="GS26" s="461"/>
      <c r="GT26" s="24"/>
      <c r="GU26" s="1218">
        <v>2016</v>
      </c>
      <c r="GV26" s="1259">
        <f t="shared" si="0"/>
        <v>15.707409284457475</v>
      </c>
      <c r="GW26" s="2394">
        <f t="shared" si="1"/>
        <v>20.606812857794662</v>
      </c>
      <c r="GX26" s="2394">
        <f t="shared" si="26"/>
        <v>15.109845539414444</v>
      </c>
      <c r="HK26" s="460"/>
      <c r="HL26" s="461"/>
      <c r="HY26" s="2407">
        <v>22</v>
      </c>
      <c r="HZ26" s="1218">
        <v>2016</v>
      </c>
      <c r="IA26" s="2407">
        <v>8269.677418477997</v>
      </c>
      <c r="IB26" s="2407"/>
      <c r="IC26" s="2407">
        <f t="shared" si="27"/>
        <v>8282.1884000000009</v>
      </c>
      <c r="IP26" s="460"/>
      <c r="IQ26" s="461"/>
      <c r="IX26" s="2407">
        <f t="shared" si="2"/>
        <v>8269.677418477997</v>
      </c>
    </row>
    <row r="27" spans="7:258" ht="21">
      <c r="G27" s="801" t="s">
        <v>714</v>
      </c>
      <c r="H27" s="669"/>
      <c r="I27" s="669"/>
      <c r="J27" s="669"/>
      <c r="K27" s="669"/>
      <c r="L27" s="1890"/>
      <c r="M27" s="1891"/>
      <c r="N27" s="1891"/>
      <c r="O27" s="1892" t="s">
        <v>715</v>
      </c>
      <c r="P27" s="1420">
        <v>1</v>
      </c>
      <c r="Q27" s="1918">
        <f>P27*Q26</f>
        <v>0.97199999999999998</v>
      </c>
      <c r="R27" s="1918">
        <f t="shared" ref="R27:AK27" si="30">Q27*R26</f>
        <v>0.98560800000000004</v>
      </c>
      <c r="S27" s="1918">
        <f t="shared" si="30"/>
        <v>0.93534199200000001</v>
      </c>
      <c r="T27" s="1918">
        <f t="shared" si="30"/>
        <v>0.98959182753600006</v>
      </c>
      <c r="U27" s="1918">
        <f t="shared" si="30"/>
        <v>1.0826134593243841</v>
      </c>
      <c r="V27" s="1918">
        <f t="shared" si="30"/>
        <v>1.1356615188312789</v>
      </c>
      <c r="W27" s="1918">
        <f t="shared" si="30"/>
        <v>1.1856306256598552</v>
      </c>
      <c r="X27" s="1918">
        <f t="shared" si="30"/>
        <v>1.2757385532100043</v>
      </c>
      <c r="Y27" s="1918">
        <f t="shared" si="30"/>
        <v>1.3777976374668046</v>
      </c>
      <c r="Z27" s="1918">
        <f t="shared" si="30"/>
        <v>1.4563321028024123</v>
      </c>
      <c r="AA27" s="1918">
        <f t="shared" si="30"/>
        <v>1.5859456599518269</v>
      </c>
      <c r="AB27" s="1918">
        <f t="shared" si="30"/>
        <v>1.7255088780275878</v>
      </c>
      <c r="AC27" s="1918">
        <f t="shared" si="30"/>
        <v>1.8117843219289673</v>
      </c>
      <c r="AD27" s="1918">
        <f t="shared" si="30"/>
        <v>1.6777122821062238</v>
      </c>
      <c r="AE27" s="1943">
        <f t="shared" si="30"/>
        <v>1.7615978962115351</v>
      </c>
      <c r="AF27" s="1925">
        <f t="shared" si="30"/>
        <v>1.837346605748631</v>
      </c>
      <c r="AG27" s="1925">
        <f t="shared" si="30"/>
        <v>1.9090031233728277</v>
      </c>
      <c r="AH27" s="1925">
        <f t="shared" si="30"/>
        <v>1.949092188963657</v>
      </c>
      <c r="AI27" s="1925">
        <f t="shared" si="30"/>
        <v>1.9646849264753663</v>
      </c>
      <c r="AJ27" s="1925">
        <f t="shared" si="30"/>
        <v>1.9391440224311864</v>
      </c>
      <c r="AK27" s="1925">
        <f t="shared" si="30"/>
        <v>1.9624137507003607</v>
      </c>
      <c r="AL27" s="1925">
        <f>AK27*AL26</f>
        <v>2.0114740944678697</v>
      </c>
      <c r="AM27" s="1925">
        <f>AL27*AM26</f>
        <v>2.0617609468295663</v>
      </c>
      <c r="AN27" s="614"/>
      <c r="AO27" s="1923"/>
      <c r="AP27" s="614"/>
      <c r="AQ27" s="1904" t="str">
        <f t="shared" si="19"/>
        <v>Px</v>
      </c>
      <c r="BD27" s="2212">
        <v>2010</v>
      </c>
      <c r="BE27" s="362">
        <v>1.0449999999999999</v>
      </c>
      <c r="BF27" s="364">
        <f t="shared" si="22"/>
        <v>1.0044429903165417</v>
      </c>
      <c r="BT27" s="828">
        <v>2010</v>
      </c>
      <c r="BU27" s="762">
        <v>1.7343369364268468</v>
      </c>
      <c r="BV27" s="787">
        <v>1.5709381947997787</v>
      </c>
      <c r="CJ27" s="771">
        <v>2013</v>
      </c>
      <c r="CK27" s="362">
        <v>-4.4266417622443694E-3</v>
      </c>
      <c r="CL27" s="355"/>
      <c r="DA27" s="1193">
        <f t="shared" si="5"/>
        <v>-4.4266417622443694E-3</v>
      </c>
      <c r="DE27" s="1216">
        <v>2011</v>
      </c>
      <c r="DF27" s="2310">
        <v>6849.8258457273523</v>
      </c>
      <c r="DG27" s="1211">
        <v>2584.0706334648135</v>
      </c>
      <c r="DX27" s="2646">
        <v>2014</v>
      </c>
      <c r="DY27" s="2647">
        <v>147430</v>
      </c>
      <c r="DZ27" s="2648">
        <f t="shared" si="11"/>
        <v>19.115802786548635</v>
      </c>
      <c r="EA27" s="1227">
        <f t="shared" si="12"/>
        <v>1.4535369573585823</v>
      </c>
      <c r="EB27" s="1227">
        <v>1.0369999999999999</v>
      </c>
      <c r="EC27" s="2649">
        <f t="shared" si="6"/>
        <v>7712.4670957446378</v>
      </c>
      <c r="ED27" s="2654"/>
      <c r="EE27" s="2650">
        <v>10888</v>
      </c>
      <c r="EF27" s="1227">
        <v>0.97</v>
      </c>
      <c r="EG27" s="2644">
        <f t="shared" si="13"/>
        <v>764.59822226829317</v>
      </c>
      <c r="EH27" s="2651">
        <f t="shared" si="14"/>
        <v>14.240158664898729</v>
      </c>
      <c r="EI27" s="2644">
        <f t="shared" si="7"/>
        <v>489.41858625811881</v>
      </c>
      <c r="EJ27" s="1228"/>
      <c r="EK27" s="2652">
        <f t="shared" si="3"/>
        <v>9.9137955828707658E-2</v>
      </c>
      <c r="EL27" s="2653">
        <f t="shared" si="8"/>
        <v>6.5806060194369936E-2</v>
      </c>
      <c r="EM27" s="495"/>
      <c r="EO27" s="1178">
        <v>2014</v>
      </c>
      <c r="EP27" s="1269">
        <f t="shared" si="4"/>
        <v>9.9137955828707658E-2</v>
      </c>
      <c r="EQ27" s="1270">
        <f t="shared" si="9"/>
        <v>6.5806060194369936E-2</v>
      </c>
      <c r="FH27" s="1234">
        <v>2014</v>
      </c>
      <c r="FI27" s="2664">
        <f t="shared" si="15"/>
        <v>764.59822226829317</v>
      </c>
      <c r="FJ27" s="2665">
        <f t="shared" si="16"/>
        <v>489.41858625811881</v>
      </c>
      <c r="FK27" s="2665">
        <f>FJ27</f>
        <v>489.41858625811881</v>
      </c>
      <c r="FL27" s="1229"/>
      <c r="GB27" s="1218">
        <v>2014</v>
      </c>
      <c r="GC27" s="1259">
        <f t="shared" si="17"/>
        <v>19.115802786548635</v>
      </c>
      <c r="GD27" s="2394">
        <f t="shared" si="10"/>
        <v>17.318787384589459</v>
      </c>
      <c r="GE27" s="787"/>
      <c r="GU27" s="1218">
        <v>2017</v>
      </c>
      <c r="GV27" s="1259">
        <f t="shared" si="0"/>
        <v>14.777985159687598</v>
      </c>
      <c r="GW27" s="2394">
        <f t="shared" si="1"/>
        <v>21.124043860525305</v>
      </c>
      <c r="GX27" s="2394">
        <f t="shared" si="26"/>
        <v>15.211998662453748</v>
      </c>
      <c r="HY27" s="2407">
        <v>23</v>
      </c>
      <c r="HZ27" s="1218">
        <v>2017</v>
      </c>
      <c r="IA27" s="2407">
        <v>8583.9251603801604</v>
      </c>
      <c r="IB27" s="2407"/>
      <c r="IC27" s="2407">
        <f t="shared" si="27"/>
        <v>8627.2519000000011</v>
      </c>
      <c r="IX27" s="2407">
        <f t="shared" si="2"/>
        <v>8583.9251603801604</v>
      </c>
    </row>
    <row r="28" spans="7:258" ht="21">
      <c r="G28" s="801" t="s">
        <v>716</v>
      </c>
      <c r="H28" s="669"/>
      <c r="I28" s="669"/>
      <c r="J28" s="669"/>
      <c r="K28" s="669"/>
      <c r="L28" s="1890"/>
      <c r="M28" s="1891" t="s">
        <v>717</v>
      </c>
      <c r="N28" s="1891"/>
      <c r="O28" s="1892" t="s">
        <v>718</v>
      </c>
      <c r="P28" s="1420">
        <v>1</v>
      </c>
      <c r="Q28" s="1929">
        <f>Q25/Q29</f>
        <v>1.4230255714814843</v>
      </c>
      <c r="R28" s="1929">
        <f t="shared" ref="R28:AM28" si="31">R25/R29</f>
        <v>1.6020944641617487</v>
      </c>
      <c r="S28" s="1929">
        <f t="shared" si="31"/>
        <v>1.7915975405266322</v>
      </c>
      <c r="T28" s="1929">
        <f t="shared" si="31"/>
        <v>3.09092736397628</v>
      </c>
      <c r="U28" s="1929">
        <f t="shared" si="31"/>
        <v>4.2983278940953458</v>
      </c>
      <c r="V28" s="1929">
        <f t="shared" si="31"/>
        <v>5.2101582214210307</v>
      </c>
      <c r="W28" s="1929">
        <f t="shared" si="31"/>
        <v>5.9296464112464484</v>
      </c>
      <c r="X28" s="1929">
        <f t="shared" si="31"/>
        <v>6.7748611993914034</v>
      </c>
      <c r="Y28" s="1929">
        <f t="shared" si="31"/>
        <v>7.9881324646136456</v>
      </c>
      <c r="Z28" s="1929">
        <f t="shared" si="31"/>
        <v>9.5753506090096359</v>
      </c>
      <c r="AA28" s="1929">
        <f t="shared" si="31"/>
        <v>10.995998689731231</v>
      </c>
      <c r="AB28" s="1929">
        <f t="shared" si="31"/>
        <v>12.595094794725636</v>
      </c>
      <c r="AC28" s="1929">
        <f t="shared" si="31"/>
        <v>14.908168255843353</v>
      </c>
      <c r="AD28" s="1929">
        <f t="shared" si="31"/>
        <v>15.145649385720535</v>
      </c>
      <c r="AE28" s="1945">
        <f t="shared" si="31"/>
        <v>17.430127110309737</v>
      </c>
      <c r="AF28" s="1925">
        <f t="shared" si="31"/>
        <v>20.65384214415057</v>
      </c>
      <c r="AG28" s="1925">
        <f t="shared" si="31"/>
        <v>22.264364965078677</v>
      </c>
      <c r="AH28" s="1925">
        <f t="shared" si="31"/>
        <v>23.620384357528209</v>
      </c>
      <c r="AI28" s="1925">
        <f t="shared" si="31"/>
        <v>25.327500226014699</v>
      </c>
      <c r="AJ28" s="1925">
        <f t="shared" si="31"/>
        <v>27.684392425904843</v>
      </c>
      <c r="AK28" s="1925">
        <f t="shared" si="31"/>
        <v>28.76844509227222</v>
      </c>
      <c r="AL28" s="1925">
        <f t="shared" si="31"/>
        <v>30.292761918932758</v>
      </c>
      <c r="AM28" s="1925">
        <f t="shared" si="31"/>
        <v>33.151373247864946</v>
      </c>
      <c r="AN28" s="614"/>
      <c r="AO28" s="1923"/>
      <c r="AP28" s="614"/>
      <c r="AQ28" s="1904" t="str">
        <f t="shared" si="19"/>
        <v>Dx</v>
      </c>
      <c r="BD28" s="2212">
        <v>2011</v>
      </c>
      <c r="BE28" s="362">
        <v>1.0429999999999999</v>
      </c>
      <c r="BF28" s="364">
        <f t="shared" si="22"/>
        <v>0.99139735446691069</v>
      </c>
      <c r="BT28" s="828">
        <v>2011</v>
      </c>
      <c r="BU28" s="362">
        <v>1.808913424693201</v>
      </c>
      <c r="BV28" s="364">
        <v>1.557423970355525</v>
      </c>
      <c r="CJ28" s="771">
        <v>2014</v>
      </c>
      <c r="CK28" s="362">
        <v>-9.2001845966607383E-3</v>
      </c>
      <c r="CL28" s="355"/>
      <c r="DA28" s="1193">
        <f t="shared" si="5"/>
        <v>-9.2001845966607383E-3</v>
      </c>
      <c r="DE28" s="1216">
        <v>2012</v>
      </c>
      <c r="DF28" s="2310">
        <v>7144.3683570936282</v>
      </c>
      <c r="DG28" s="1211">
        <v>2678.541712402734</v>
      </c>
      <c r="DX28" s="2646">
        <v>2015</v>
      </c>
      <c r="DY28" s="2647">
        <v>160725</v>
      </c>
      <c r="DZ28" s="2648">
        <f t="shared" si="11"/>
        <v>20.193444864834216</v>
      </c>
      <c r="EA28" s="1227">
        <f t="shared" si="12"/>
        <v>1.5000501399940571</v>
      </c>
      <c r="EB28" s="1227">
        <v>1.032</v>
      </c>
      <c r="EC28" s="2649">
        <f t="shared" si="6"/>
        <v>7959.2660428084673</v>
      </c>
      <c r="ED28" s="2654"/>
      <c r="EE28" s="2655">
        <v>10721</v>
      </c>
      <c r="EF28" s="1227">
        <v>0.94499999999999995</v>
      </c>
      <c r="EG28" s="2644">
        <f>EF28*EG27</f>
        <v>722.545320043537</v>
      </c>
      <c r="EH28" s="2651">
        <f t="shared" si="14"/>
        <v>14.837823597492827</v>
      </c>
      <c r="EI28" s="2644">
        <f t="shared" si="7"/>
        <v>475.74637297970753</v>
      </c>
      <c r="EJ28" s="1228"/>
      <c r="EK28" s="2652">
        <f t="shared" si="3"/>
        <v>9.0780395598961935E-2</v>
      </c>
      <c r="EL28" s="2653">
        <f t="shared" si="8"/>
        <v>6.1685368258128599E-2</v>
      </c>
      <c r="EM28" s="495"/>
      <c r="EO28" s="1178">
        <v>2015</v>
      </c>
      <c r="EP28" s="1269">
        <f t="shared" si="4"/>
        <v>9.0780395598961935E-2</v>
      </c>
      <c r="EQ28" s="1270">
        <f t="shared" si="9"/>
        <v>6.1685368258128599E-2</v>
      </c>
      <c r="FH28" s="1234">
        <v>2015</v>
      </c>
      <c r="FI28" s="2664">
        <f t="shared" si="15"/>
        <v>722.545320043537</v>
      </c>
      <c r="FJ28" s="2665">
        <f t="shared" si="16"/>
        <v>475.74637297970753</v>
      </c>
      <c r="FK28" s="2665">
        <f t="shared" ref="FK28:FK31" si="32">FJ28</f>
        <v>475.74637297970753</v>
      </c>
      <c r="FL28" s="1229"/>
      <c r="GB28" s="1218">
        <v>2015</v>
      </c>
      <c r="GC28" s="1259">
        <f t="shared" si="17"/>
        <v>20.193444864834216</v>
      </c>
      <c r="GD28" s="2394">
        <f t="shared" si="10"/>
        <v>19.552910957201501</v>
      </c>
      <c r="GE28" s="787"/>
      <c r="GU28" s="1218">
        <v>2018</v>
      </c>
      <c r="GV28" s="1259">
        <f t="shared" si="0"/>
        <v>15.400454434924034</v>
      </c>
      <c r="GW28" s="2394">
        <f t="shared" si="1"/>
        <v>22.02392812898368</v>
      </c>
      <c r="GX28" s="2394">
        <f t="shared" si="26"/>
        <v>15.389725805474276</v>
      </c>
      <c r="HY28" s="2407">
        <v>24</v>
      </c>
      <c r="HZ28" s="1218">
        <v>2018</v>
      </c>
      <c r="IA28" s="2407">
        <v>8944.4500171161289</v>
      </c>
      <c r="IB28" s="2407"/>
      <c r="IC28" s="2407">
        <f t="shared" si="27"/>
        <v>8990.9016000000011</v>
      </c>
      <c r="IX28" s="2407">
        <f t="shared" si="2"/>
        <v>8944.4500171161289</v>
      </c>
    </row>
    <row r="29" spans="7:258" ht="21.6" thickBot="1">
      <c r="G29" s="801" t="s">
        <v>719</v>
      </c>
      <c r="H29" s="801"/>
      <c r="I29" s="801"/>
      <c r="J29" s="669"/>
      <c r="K29" s="669"/>
      <c r="L29" s="1906"/>
      <c r="M29" s="1907"/>
      <c r="N29" s="1907"/>
      <c r="O29" s="1908" t="s">
        <v>588</v>
      </c>
      <c r="P29" s="1949">
        <v>2876.5160999999998</v>
      </c>
      <c r="Q29" s="1949">
        <f t="shared" ref="Q29:AM29" si="33">$P29*Q27</f>
        <v>2795.9736491999997</v>
      </c>
      <c r="R29" s="1949">
        <f t="shared" si="33"/>
        <v>2835.1172802888</v>
      </c>
      <c r="S29" s="1949">
        <f t="shared" si="33"/>
        <v>2690.5262989940711</v>
      </c>
      <c r="T29" s="1949">
        <f t="shared" si="33"/>
        <v>2846.5768243357275</v>
      </c>
      <c r="U29" s="1949">
        <f t="shared" si="33"/>
        <v>3114.1550458232859</v>
      </c>
      <c r="V29" s="1949">
        <f t="shared" si="33"/>
        <v>3266.7486430686267</v>
      </c>
      <c r="W29" s="1949">
        <f t="shared" si="33"/>
        <v>3410.4855833636466</v>
      </c>
      <c r="X29" s="1949">
        <f t="shared" si="33"/>
        <v>3669.6824876992837</v>
      </c>
      <c r="Y29" s="1949">
        <f t="shared" si="33"/>
        <v>3963.2570867152263</v>
      </c>
      <c r="Z29" s="1949">
        <f t="shared" si="33"/>
        <v>4189.1627406579937</v>
      </c>
      <c r="AA29" s="1949">
        <f t="shared" si="33"/>
        <v>4561.998224576555</v>
      </c>
      <c r="AB29" s="1949">
        <f t="shared" si="33"/>
        <v>4963.4540683392925</v>
      </c>
      <c r="AC29" s="1949">
        <f t="shared" si="33"/>
        <v>5211.6267717562569</v>
      </c>
      <c r="AD29" s="1949">
        <f t="shared" si="33"/>
        <v>4825.9663906462947</v>
      </c>
      <c r="AE29" s="1950">
        <f t="shared" si="33"/>
        <v>5067.2647101786097</v>
      </c>
      <c r="AF29" s="1949">
        <f t="shared" si="33"/>
        <v>5285.1570927162893</v>
      </c>
      <c r="AG29" s="1949">
        <f t="shared" si="33"/>
        <v>5491.2782193322246</v>
      </c>
      <c r="AH29" s="1949">
        <f t="shared" si="33"/>
        <v>5606.5950619382011</v>
      </c>
      <c r="AI29" s="1949">
        <f t="shared" si="33"/>
        <v>5651.4478224337072</v>
      </c>
      <c r="AJ29" s="1949">
        <f t="shared" si="33"/>
        <v>5577.9790007420688</v>
      </c>
      <c r="AK29" s="1949">
        <f t="shared" si="33"/>
        <v>5644.9147487509736</v>
      </c>
      <c r="AL29" s="1949">
        <f t="shared" si="33"/>
        <v>5786.0376174697476</v>
      </c>
      <c r="AM29" s="1949">
        <f t="shared" si="33"/>
        <v>5930.688557906491</v>
      </c>
      <c r="AN29" s="1951"/>
      <c r="AO29" s="1923"/>
      <c r="AP29" s="1951"/>
      <c r="AQ29" s="1904" t="str">
        <f t="shared" si="19"/>
        <v>XS</v>
      </c>
      <c r="BD29" s="2212">
        <v>2012</v>
      </c>
      <c r="BE29" s="362">
        <v>1.0365590157306384</v>
      </c>
      <c r="BF29" s="364">
        <f t="shared" si="22"/>
        <v>1.0203913635015827</v>
      </c>
      <c r="BT29" s="828">
        <v>2012</v>
      </c>
      <c r="BU29" s="362">
        <v>1.8750455190419226</v>
      </c>
      <c r="BV29" s="364">
        <v>1.5891819686611226</v>
      </c>
      <c r="CJ29" s="771">
        <v>2015</v>
      </c>
      <c r="CK29" s="362">
        <v>-9.5135168765049238E-3</v>
      </c>
      <c r="CL29" s="355"/>
      <c r="DA29" s="1193">
        <f t="shared" si="5"/>
        <v>-9.5135168765049238E-3</v>
      </c>
      <c r="DE29" s="1216">
        <v>2013</v>
      </c>
      <c r="DF29" s="2310">
        <v>7437.2874597344662</v>
      </c>
      <c r="DG29" s="1211">
        <v>2726.3631774238834</v>
      </c>
      <c r="DX29" s="2646">
        <v>2016</v>
      </c>
      <c r="DY29" s="2647">
        <v>183404</v>
      </c>
      <c r="DZ29" s="2648">
        <f t="shared" si="11"/>
        <v>22.177890468882982</v>
      </c>
      <c r="EA29" s="1227">
        <f t="shared" si="12"/>
        <v>1.5585520954538252</v>
      </c>
      <c r="EB29" s="1227">
        <v>1.0389999999999999</v>
      </c>
      <c r="EC29" s="2649">
        <f t="shared" si="6"/>
        <v>8269.677418477997</v>
      </c>
      <c r="ED29" s="2654"/>
      <c r="EE29" s="2655">
        <v>13256</v>
      </c>
      <c r="EF29" s="1227">
        <v>1.1679999999999999</v>
      </c>
      <c r="EG29" s="2644">
        <f>EF29*EG28</f>
        <v>843.93293381085118</v>
      </c>
      <c r="EH29" s="2651">
        <f t="shared" si="14"/>
        <v>15.707409284457475</v>
      </c>
      <c r="EI29" s="2644">
        <f t="shared" si="7"/>
        <v>533.52155814132152</v>
      </c>
      <c r="EJ29" s="1228"/>
      <c r="EK29" s="2652">
        <f t="shared" si="3"/>
        <v>0.10205149380133546</v>
      </c>
      <c r="EL29" s="2653">
        <f t="shared" si="8"/>
        <v>6.7031502059587605E-2</v>
      </c>
      <c r="EM29" s="495"/>
      <c r="EO29" s="1178">
        <v>2016</v>
      </c>
      <c r="EP29" s="1269">
        <f t="shared" si="4"/>
        <v>0.10205149380133546</v>
      </c>
      <c r="EQ29" s="1270">
        <f t="shared" si="9"/>
        <v>6.7031502059587605E-2</v>
      </c>
      <c r="FH29" s="1234">
        <v>2016</v>
      </c>
      <c r="FI29" s="2664">
        <f t="shared" si="15"/>
        <v>843.93293381085118</v>
      </c>
      <c r="FJ29" s="2665">
        <f t="shared" si="16"/>
        <v>533.52155814132152</v>
      </c>
      <c r="FK29" s="2665">
        <f t="shared" si="32"/>
        <v>533.52155814132152</v>
      </c>
      <c r="FL29" s="1229"/>
      <c r="GB29" s="1218">
        <v>2016</v>
      </c>
      <c r="GC29" s="1259">
        <f t="shared" si="17"/>
        <v>22.177890468882982</v>
      </c>
      <c r="GD29" s="2394">
        <f t="shared" si="10"/>
        <v>20.606812857794662</v>
      </c>
      <c r="GE29" s="787"/>
      <c r="GU29" s="1218">
        <v>2019</v>
      </c>
      <c r="GV29" s="1182"/>
      <c r="GW29" s="2394">
        <f t="shared" si="1"/>
        <v>22.693455544104783</v>
      </c>
      <c r="GX29" s="2394">
        <f t="shared" si="26"/>
        <v>15.521957469960693</v>
      </c>
      <c r="HY29" s="2407">
        <v>25</v>
      </c>
      <c r="HZ29" s="1218">
        <v>2019</v>
      </c>
      <c r="IA29" s="2556"/>
      <c r="IB29" s="2407">
        <v>9315.4794364663703</v>
      </c>
      <c r="IC29" s="2407">
        <f t="shared" si="27"/>
        <v>9373.1375000000007</v>
      </c>
      <c r="IX29" s="2407">
        <f>IB29</f>
        <v>9315.4794364663703</v>
      </c>
    </row>
    <row r="30" spans="7:258" ht="21">
      <c r="L30" s="554"/>
      <c r="M30" s="1909" t="s">
        <v>720</v>
      </c>
      <c r="N30" s="1909"/>
      <c r="O30" s="1888" t="s">
        <v>721</v>
      </c>
      <c r="P30" s="1930">
        <v>1447.9952000000001</v>
      </c>
      <c r="Q30" s="1924">
        <f>ОТЧЁТ!V56</f>
        <v>1970.9168</v>
      </c>
      <c r="R30" s="1924">
        <f>ОТЧЁТ!W56</f>
        <v>2199.6120000000001</v>
      </c>
      <c r="S30" s="1924">
        <f>ОТЧЁТ!X56</f>
        <v>2190.7174</v>
      </c>
      <c r="T30" s="1924">
        <f>ОТЧЁТ!Y56</f>
        <v>3975.3292999999999</v>
      </c>
      <c r="U30" s="1924">
        <f>ОТЧЁТ!Z56</f>
        <v>6080.0128999999997</v>
      </c>
      <c r="V30" s="1924">
        <f>ОТЧЁТ!AA56</f>
        <v>8076.6947</v>
      </c>
      <c r="W30" s="1948">
        <f>ОТЧЁТ!AB56</f>
        <v>9403.7026999999998</v>
      </c>
      <c r="X30" s="1948">
        <f>ОТЧЁТ!AC56</f>
        <v>11653.3392</v>
      </c>
      <c r="Y30" s="1948">
        <f>ОТЧЁТ!AD56</f>
        <v>14631.855600000001</v>
      </c>
      <c r="Z30" s="1948">
        <f>ОТЧЁТ!AE56</f>
        <v>18502.9362</v>
      </c>
      <c r="AA30" s="1948">
        <f>ОТЧЁТ!AF56</f>
        <v>23246.522799999999</v>
      </c>
      <c r="AB30" s="1948">
        <f>ОТЧЁТ!AG56</f>
        <v>29267.6613</v>
      </c>
      <c r="AC30" s="1948">
        <f>ОТЧЁТ!AH56</f>
        <v>36418.959600000002</v>
      </c>
      <c r="AD30" s="1948">
        <f>ОТЧЁТ!AI56</f>
        <v>34285.124000000003</v>
      </c>
      <c r="AE30" s="2188">
        <f>ОТЧЁТ!AJ56</f>
        <v>42014.536999999997</v>
      </c>
      <c r="AF30" s="1952">
        <f>ОТЧЁТ!AK56</f>
        <v>48876.259899999997</v>
      </c>
      <c r="AG30" s="1952">
        <f>ОТЧЁТ!AL56</f>
        <v>54095.939299999998</v>
      </c>
      <c r="AH30" s="1952">
        <f>ОТЧЁТ!AM56</f>
        <v>59296.035200000006</v>
      </c>
      <c r="AI30" s="1952">
        <f>ОТЧЁТ!AN56</f>
        <v>64078.5</v>
      </c>
      <c r="AJ30" s="1952">
        <f>ОТЧЁТ!AO56</f>
        <v>71328.7</v>
      </c>
      <c r="AK30" s="1952">
        <f>ОТЧЁТ!AP56</f>
        <v>76381.240000000005</v>
      </c>
      <c r="AL30" s="1952">
        <f>ОТЧЁТ!AQ56</f>
        <v>83173.7</v>
      </c>
      <c r="AM30" s="1952">
        <f>ОТЧЁТ!AR56</f>
        <v>92734.7</v>
      </c>
      <c r="AN30" s="614"/>
      <c r="AO30" s="1923"/>
      <c r="AP30" s="614"/>
      <c r="AQ30" s="1904" t="str">
        <f t="shared" si="19"/>
        <v>Z</v>
      </c>
      <c r="BD30" s="2212">
        <v>2013</v>
      </c>
      <c r="BE30" s="362">
        <v>1.0178535450091057</v>
      </c>
      <c r="BF30" s="364">
        <f t="shared" si="22"/>
        <v>1.0231401323642648</v>
      </c>
      <c r="BT30" s="828">
        <v>2013</v>
      </c>
      <c r="BU30" s="362">
        <v>1.9085217286102596</v>
      </c>
      <c r="BV30" s="364">
        <v>1.6259558497668438</v>
      </c>
      <c r="CJ30" s="771">
        <v>2016</v>
      </c>
      <c r="CK30" s="475">
        <v>-1.1568183003116708E-2</v>
      </c>
      <c r="CL30" s="355">
        <f>CK30</f>
        <v>-1.1568183003116708E-2</v>
      </c>
      <c r="DA30" s="1193">
        <f t="shared" ref="DA30:DA43" si="34">CL30</f>
        <v>-1.1568183003116708E-2</v>
      </c>
      <c r="DE30" s="1216">
        <v>2014</v>
      </c>
      <c r="DF30" s="2310">
        <v>7712.4670957446406</v>
      </c>
      <c r="DG30" s="1211">
        <v>2746.5001169353304</v>
      </c>
      <c r="DX30" s="2646">
        <v>2017</v>
      </c>
      <c r="DY30" s="2647">
        <v>194649</v>
      </c>
      <c r="DZ30" s="2648">
        <f t="shared" si="11"/>
        <v>22.675989872141368</v>
      </c>
      <c r="EA30" s="1227">
        <f t="shared" si="12"/>
        <v>1.6177770750810707</v>
      </c>
      <c r="EB30" s="2655">
        <v>1.038</v>
      </c>
      <c r="EC30" s="2649">
        <f t="shared" ref="EC30:EC31" si="35">EC$8*EA30</f>
        <v>8583.9251603801604</v>
      </c>
      <c r="ED30" s="1228"/>
      <c r="EE30" s="2650">
        <v>12484.1</v>
      </c>
      <c r="EF30" s="2655">
        <v>1.0009999999999999</v>
      </c>
      <c r="EG30" s="2644">
        <f t="shared" ref="EG30:EG31" si="36">EF30*EG29</f>
        <v>844.7768667446619</v>
      </c>
      <c r="EH30" s="2651">
        <f t="shared" si="14"/>
        <v>14.777985159687598</v>
      </c>
      <c r="EI30" s="2644">
        <f t="shared" si="7"/>
        <v>530.5291248424985</v>
      </c>
      <c r="EJ30" s="1228"/>
      <c r="EK30" s="2652">
        <f t="shared" si="3"/>
        <v>9.841382013018958E-2</v>
      </c>
      <c r="EL30" s="2653">
        <f t="shared" si="8"/>
        <v>6.4153545295136838E-2</v>
      </c>
      <c r="EM30" s="495"/>
      <c r="EO30" s="1178">
        <v>2017</v>
      </c>
      <c r="EP30" s="1269">
        <f t="shared" si="4"/>
        <v>9.841382013018958E-2</v>
      </c>
      <c r="EQ30" s="1270">
        <f t="shared" si="9"/>
        <v>6.4153545295136838E-2</v>
      </c>
      <c r="FH30" s="1234">
        <v>2017</v>
      </c>
      <c r="FI30" s="2664">
        <f t="shared" si="15"/>
        <v>844.7768667446619</v>
      </c>
      <c r="FJ30" s="2665">
        <f t="shared" si="16"/>
        <v>530.5291248424985</v>
      </c>
      <c r="FK30" s="2665">
        <f t="shared" si="32"/>
        <v>530.5291248424985</v>
      </c>
      <c r="FL30" s="1229"/>
      <c r="GB30" s="1218">
        <v>2017</v>
      </c>
      <c r="GC30" s="1259">
        <f t="shared" si="17"/>
        <v>22.675989872141368</v>
      </c>
      <c r="GD30" s="2394">
        <f t="shared" si="10"/>
        <v>21.124043860525305</v>
      </c>
      <c r="GE30" s="787"/>
      <c r="GU30" s="1218">
        <v>2020</v>
      </c>
      <c r="GV30" s="1182"/>
      <c r="GW30" s="2394">
        <f t="shared" si="1"/>
        <v>23.807704211320324</v>
      </c>
      <c r="GX30" s="2394">
        <f t="shared" si="26"/>
        <v>15.742021581735763</v>
      </c>
      <c r="HY30" s="2407">
        <v>26</v>
      </c>
      <c r="HZ30" s="1218">
        <v>2020</v>
      </c>
      <c r="IA30" s="2556"/>
      <c r="IB30" s="2407">
        <v>9701.5634658874351</v>
      </c>
      <c r="IC30" s="2407">
        <f t="shared" si="27"/>
        <v>9773.959600000002</v>
      </c>
      <c r="IX30" s="2407">
        <f t="shared" ref="IX30:IX45" si="37">IB30</f>
        <v>9701.5634658874351</v>
      </c>
    </row>
    <row r="31" spans="7:258" ht="21">
      <c r="L31" s="554"/>
      <c r="M31" s="1909"/>
      <c r="N31" s="1909"/>
      <c r="O31" s="546" t="s">
        <v>722</v>
      </c>
      <c r="P31" s="136"/>
      <c r="Q31" s="1925">
        <f>Q34/P34</f>
        <v>0.97989240682565815</v>
      </c>
      <c r="R31" s="1925">
        <f t="shared" ref="R31:AG31" si="38">R34/Q34</f>
        <v>1.0140000000000002</v>
      </c>
      <c r="S31" s="1925">
        <f t="shared" si="38"/>
        <v>0.95094110091244133</v>
      </c>
      <c r="T31" s="1925">
        <f t="shared" si="38"/>
        <v>1.0522008314847742</v>
      </c>
      <c r="U31" s="1925">
        <f t="shared" si="38"/>
        <v>1.0881358007753201</v>
      </c>
      <c r="V31" s="1925">
        <f t="shared" si="38"/>
        <v>1.0470239540130464</v>
      </c>
      <c r="W31" s="1925">
        <f t="shared" si="38"/>
        <v>1.0410246750454066</v>
      </c>
      <c r="X31" s="1925">
        <f t="shared" si="38"/>
        <v>1.0789924028720299</v>
      </c>
      <c r="Y31" s="1925">
        <f t="shared" si="38"/>
        <v>1.0879354238840881</v>
      </c>
      <c r="Z31" s="1925">
        <f t="shared" si="38"/>
        <v>1.0501582082540331</v>
      </c>
      <c r="AA31" s="1925">
        <f t="shared" si="38"/>
        <v>1.0959319711644318</v>
      </c>
      <c r="AB31" s="1925">
        <f t="shared" si="38"/>
        <v>1.0909330780939728</v>
      </c>
      <c r="AC31" s="1925">
        <f t="shared" si="38"/>
        <v>1.0480552490365889</v>
      </c>
      <c r="AD31" s="1925">
        <f t="shared" si="38"/>
        <v>0.93088017691669633</v>
      </c>
      <c r="AE31" s="1942">
        <f t="shared" si="38"/>
        <v>1.0548283796902465</v>
      </c>
      <c r="AF31" s="1925">
        <f t="shared" si="38"/>
        <v>1.0430000000000001</v>
      </c>
      <c r="AG31" s="1925">
        <f t="shared" si="38"/>
        <v>1.0413352365288429</v>
      </c>
      <c r="AH31" s="1925">
        <f t="shared" ref="AH31:AM31" si="39">AH34/AG34</f>
        <v>1.023996338590033</v>
      </c>
      <c r="AI31" s="1925">
        <f t="shared" si="39"/>
        <v>1.0085811913675926</v>
      </c>
      <c r="AJ31" s="1925">
        <f t="shared" si="39"/>
        <v>0.99645455958376405</v>
      </c>
      <c r="AK31" s="1925">
        <f t="shared" si="39"/>
        <v>1.0212699708426203</v>
      </c>
      <c r="AL31" s="1925">
        <f t="shared" si="39"/>
        <v>1.0313665413990869</v>
      </c>
      <c r="AM31" s="1925">
        <f t="shared" si="39"/>
        <v>1.0223068439295477</v>
      </c>
      <c r="AN31" s="614"/>
      <c r="AO31" s="1923"/>
      <c r="AP31" s="614"/>
      <c r="AQ31" s="1904" t="str">
        <f t="shared" si="19"/>
        <v>pZ</v>
      </c>
      <c r="BD31" s="2212">
        <v>2014</v>
      </c>
      <c r="BE31" s="362">
        <v>1.0073860077330101</v>
      </c>
      <c r="BF31" s="364">
        <f t="shared" si="22"/>
        <v>1.0514045360253677</v>
      </c>
      <c r="BT31" s="828">
        <v>2014</v>
      </c>
      <c r="BU31" s="362">
        <v>1.9226180848563927</v>
      </c>
      <c r="BV31" s="364">
        <v>1.7095373558218407</v>
      </c>
      <c r="CJ31" s="771">
        <v>2017</v>
      </c>
      <c r="CK31" s="475">
        <v>-1.1146134809817541E-2</v>
      </c>
      <c r="CL31" s="355">
        <f t="shared" ref="CL31:CL32" si="40">CK31</f>
        <v>-1.1146134809817541E-2</v>
      </c>
      <c r="DA31" s="1193">
        <f t="shared" si="34"/>
        <v>-1.1146134809817541E-2</v>
      </c>
      <c r="DE31" s="1218">
        <v>2015</v>
      </c>
      <c r="DF31" s="2310">
        <v>7959.2660428084691</v>
      </c>
      <c r="DG31" s="1211">
        <v>2683.3306142458177</v>
      </c>
      <c r="DX31" s="2646">
        <v>2018</v>
      </c>
      <c r="DY31" s="2647">
        <v>206484</v>
      </c>
      <c r="DZ31" s="2648">
        <f t="shared" si="11"/>
        <v>23.085153319082956</v>
      </c>
      <c r="EA31" s="1227">
        <f t="shared" si="12"/>
        <v>1.6857237122344757</v>
      </c>
      <c r="EB31" s="2655">
        <v>1.042</v>
      </c>
      <c r="EC31" s="2649">
        <f t="shared" si="35"/>
        <v>8944.4500171161289</v>
      </c>
      <c r="ED31" s="1228"/>
      <c r="EE31" s="2650">
        <v>14909.4</v>
      </c>
      <c r="EF31" s="2655">
        <v>1.1459999999999999</v>
      </c>
      <c r="EG31" s="2644">
        <f t="shared" si="36"/>
        <v>968.11428928938244</v>
      </c>
      <c r="EH31" s="2651">
        <f t="shared" si="14"/>
        <v>15.400454434924034</v>
      </c>
      <c r="EI31" s="2644">
        <f t="shared" si="7"/>
        <v>607.58943255341387</v>
      </c>
      <c r="EJ31" s="1228"/>
      <c r="EK31" s="2652">
        <f t="shared" si="3"/>
        <v>0.10823631273435434</v>
      </c>
      <c r="EL31" s="2653">
        <f t="shared" si="8"/>
        <v>7.0782237869197046E-2</v>
      </c>
      <c r="EM31" s="495"/>
      <c r="EO31" s="1178">
        <v>2018</v>
      </c>
      <c r="EP31" s="1269">
        <f t="shared" si="4"/>
        <v>0.10823631273435434</v>
      </c>
      <c r="EQ31" s="1270">
        <f t="shared" si="9"/>
        <v>7.0782237869197046E-2</v>
      </c>
      <c r="FH31" s="1234">
        <v>2018</v>
      </c>
      <c r="FI31" s="2664">
        <f t="shared" si="15"/>
        <v>968.11428928938244</v>
      </c>
      <c r="FJ31" s="2665">
        <f t="shared" si="16"/>
        <v>607.58943255341387</v>
      </c>
      <c r="FK31" s="2665">
        <f t="shared" si="32"/>
        <v>607.58943255341387</v>
      </c>
      <c r="FL31" s="1229"/>
      <c r="GB31" s="1218">
        <v>2018</v>
      </c>
      <c r="GC31" s="1259">
        <f t="shared" si="17"/>
        <v>23.085153319082956</v>
      </c>
      <c r="GD31" s="2394">
        <f t="shared" si="10"/>
        <v>22.02392812898368</v>
      </c>
      <c r="GE31" s="787"/>
      <c r="GU31" s="1218">
        <v>2021</v>
      </c>
      <c r="GV31" s="1182"/>
      <c r="GW31" s="2394">
        <f t="shared" si="1"/>
        <v>24.998089421886341</v>
      </c>
      <c r="GX31" s="2394">
        <f t="shared" si="26"/>
        <v>15.977122660822552</v>
      </c>
      <c r="HY31" s="2407">
        <v>27</v>
      </c>
      <c r="HZ31" s="1218">
        <v>2021</v>
      </c>
      <c r="IA31" s="2556"/>
      <c r="IB31" s="2407">
        <v>10100.449024754149</v>
      </c>
      <c r="IC31" s="2407">
        <f t="shared" si="27"/>
        <v>10193.367900000001</v>
      </c>
      <c r="IX31" s="2407">
        <f t="shared" si="37"/>
        <v>10100.449024754149</v>
      </c>
    </row>
    <row r="32" spans="7:258" ht="21">
      <c r="L32" s="554"/>
      <c r="M32" s="1909"/>
      <c r="N32" s="1909"/>
      <c r="O32" s="546" t="s">
        <v>723</v>
      </c>
      <c r="P32" s="136">
        <v>1</v>
      </c>
      <c r="Q32" s="1925">
        <f>P32*Q31</f>
        <v>0.97989240682565815</v>
      </c>
      <c r="R32" s="1925">
        <f t="shared" ref="R32:AH32" si="41">Q32*R31</f>
        <v>0.99361090052121759</v>
      </c>
      <c r="S32" s="1925">
        <f t="shared" si="41"/>
        <v>0.94486544362024882</v>
      </c>
      <c r="T32" s="1925">
        <f t="shared" si="41"/>
        <v>0.99418820541845587</v>
      </c>
      <c r="U32" s="1925">
        <f t="shared" si="41"/>
        <v>1.08181177902439</v>
      </c>
      <c r="V32" s="1925">
        <f t="shared" si="41"/>
        <v>1.1326828463720047</v>
      </c>
      <c r="W32" s="1925">
        <f t="shared" si="41"/>
        <v>1.1791507920739224</v>
      </c>
      <c r="X32" s="1925">
        <f t="shared" si="41"/>
        <v>1.2722947464882988</v>
      </c>
      <c r="Y32" s="1925">
        <f t="shared" si="41"/>
        <v>1.3841745243262458</v>
      </c>
      <c r="Z32" s="1925">
        <f t="shared" si="41"/>
        <v>1.4536022383773288</v>
      </c>
      <c r="AA32" s="1925">
        <f t="shared" si="41"/>
        <v>1.5930491663938962</v>
      </c>
      <c r="AB32" s="1925">
        <f t="shared" si="41"/>
        <v>1.7379100306491306</v>
      </c>
      <c r="AC32" s="1925">
        <f t="shared" si="41"/>
        <v>1.8214257299751604</v>
      </c>
      <c r="AD32" s="1925">
        <f t="shared" si="41"/>
        <v>1.6955291057599</v>
      </c>
      <c r="AE32" s="1942">
        <f t="shared" si="41"/>
        <v>1.7884922193463679</v>
      </c>
      <c r="AF32" s="1925">
        <f t="shared" si="41"/>
        <v>1.8653973847782621</v>
      </c>
      <c r="AG32" s="1925">
        <f t="shared" si="41"/>
        <v>1.9425040268983564</v>
      </c>
      <c r="AH32" s="1925">
        <f t="shared" si="41"/>
        <v>1.989117011240312</v>
      </c>
      <c r="AI32" s="1925">
        <f>AH32*AI31</f>
        <v>2.006186004966299</v>
      </c>
      <c r="AJ32" s="1925">
        <f>AI32*AJ31</f>
        <v>1.9990731920218046</v>
      </c>
      <c r="AK32" s="1925">
        <f>AJ32*AK31</f>
        <v>2.0415934205283723</v>
      </c>
      <c r="AL32" s="1925">
        <f>AK32*AL31</f>
        <v>2.1056311450734788</v>
      </c>
      <c r="AM32" s="1925">
        <f>AL32*AM31</f>
        <v>2.1526011303998276</v>
      </c>
      <c r="AN32" s="614"/>
      <c r="AO32" s="1923"/>
      <c r="AP32" s="614"/>
      <c r="AQ32" s="1904" t="str">
        <f t="shared" si="19"/>
        <v>Pz</v>
      </c>
      <c r="BD32" s="2212">
        <v>2015</v>
      </c>
      <c r="BE32" s="362">
        <v>0.97699999999999998</v>
      </c>
      <c r="BF32" s="364">
        <f t="shared" si="22"/>
        <v>1.0623806022857043</v>
      </c>
      <c r="BT32" s="1155">
        <v>2015</v>
      </c>
      <c r="BU32" s="362">
        <v>1.8783978689046956</v>
      </c>
      <c r="BV32" s="364">
        <v>1.8161793257079177</v>
      </c>
      <c r="CJ32" s="771">
        <v>2018</v>
      </c>
      <c r="CK32" s="475">
        <v>-1.316254946451181E-2</v>
      </c>
      <c r="CL32" s="355">
        <f t="shared" si="40"/>
        <v>-1.316254946451181E-2</v>
      </c>
      <c r="DA32" s="1193">
        <f t="shared" si="34"/>
        <v>-1.316254946451181E-2</v>
      </c>
      <c r="DE32" s="1218">
        <v>2016</v>
      </c>
      <c r="DF32" s="2310">
        <v>8269.6774184779988</v>
      </c>
      <c r="DG32" s="1211">
        <v>2688.6972754743092</v>
      </c>
      <c r="DX32" s="2646">
        <v>2019</v>
      </c>
      <c r="DY32" s="1230"/>
      <c r="DZ32" s="2655"/>
      <c r="EA32" s="2655"/>
      <c r="EB32" s="2655"/>
      <c r="EC32" s="2656"/>
      <c r="ED32" s="1228"/>
      <c r="EE32" s="2655"/>
      <c r="EF32" s="2655"/>
      <c r="EG32" s="2656"/>
      <c r="EH32" s="2655"/>
      <c r="EI32" s="2656"/>
      <c r="EJ32" s="1228"/>
      <c r="EK32" s="2655"/>
      <c r="EL32" s="1228"/>
      <c r="EM32" s="495"/>
      <c r="EO32" s="1178">
        <v>2019</v>
      </c>
      <c r="EP32" s="1263"/>
      <c r="EQ32" s="1267"/>
      <c r="FH32" s="1234">
        <v>2019</v>
      </c>
      <c r="FI32" s="1230"/>
      <c r="FJ32" s="1227"/>
      <c r="FK32" s="1227"/>
      <c r="FL32" s="1229"/>
      <c r="GB32" s="1218">
        <v>2019</v>
      </c>
      <c r="GC32" s="1182"/>
      <c r="GD32" s="765"/>
      <c r="GE32" s="1198"/>
      <c r="GU32" s="1218">
        <v>2022</v>
      </c>
      <c r="GV32" s="1182"/>
      <c r="GW32" s="2394">
        <f t="shared" si="1"/>
        <v>26.247993892980659</v>
      </c>
      <c r="GX32" s="2394">
        <f t="shared" si="26"/>
        <v>16.223978793863679</v>
      </c>
      <c r="HY32" s="2407">
        <v>28</v>
      </c>
      <c r="HZ32" s="1218">
        <v>2022</v>
      </c>
      <c r="IA32" s="2556"/>
      <c r="IB32" s="2407">
        <v>10526.232536339399</v>
      </c>
      <c r="IC32" s="2407">
        <f t="shared" si="27"/>
        <v>10631.362400000002</v>
      </c>
      <c r="IX32" s="2407">
        <f t="shared" si="37"/>
        <v>10526.232536339399</v>
      </c>
    </row>
    <row r="33" spans="7:258" ht="21">
      <c r="G33" s="21"/>
      <c r="H33" s="21"/>
      <c r="I33" s="21"/>
      <c r="L33" s="554"/>
      <c r="M33" s="1909"/>
      <c r="N33" s="1909"/>
      <c r="O33" s="546" t="s">
        <v>654</v>
      </c>
      <c r="P33" s="136">
        <v>1</v>
      </c>
      <c r="Q33" s="1953">
        <f>Q30/Q34</f>
        <v>1.3890656660960248</v>
      </c>
      <c r="R33" s="1953">
        <f t="shared" ref="R33:AM33" si="42">R30/R34</f>
        <v>1.5288420201321875</v>
      </c>
      <c r="S33" s="1953">
        <f t="shared" si="42"/>
        <v>1.6012135978440234</v>
      </c>
      <c r="T33" s="1953">
        <f t="shared" si="42"/>
        <v>2.7614512511832352</v>
      </c>
      <c r="U33" s="1953">
        <f t="shared" si="42"/>
        <v>3.8813756116757316</v>
      </c>
      <c r="V33" s="1953">
        <f t="shared" si="42"/>
        <v>4.9244555432757879</v>
      </c>
      <c r="W33" s="1953">
        <f t="shared" si="42"/>
        <v>5.5076003782834864</v>
      </c>
      <c r="X33" s="1953">
        <f t="shared" si="42"/>
        <v>6.3255097831872691</v>
      </c>
      <c r="Y33" s="1953">
        <f t="shared" si="42"/>
        <v>7.3003121869901326</v>
      </c>
      <c r="Z33" s="1953">
        <f t="shared" si="42"/>
        <v>8.7907908216125801</v>
      </c>
      <c r="AA33" s="1953">
        <f t="shared" si="42"/>
        <v>10.077706332186347</v>
      </c>
      <c r="AB33" s="1953">
        <f t="shared" si="42"/>
        <v>11.630372067549995</v>
      </c>
      <c r="AC33" s="1953">
        <f t="shared" si="42"/>
        <v>13.808577618030881</v>
      </c>
      <c r="AD33" s="1953">
        <f t="shared" si="42"/>
        <v>13.964756035279709</v>
      </c>
      <c r="AE33" s="1954">
        <f t="shared" si="42"/>
        <v>16.223531809175668</v>
      </c>
      <c r="AF33" s="1953">
        <f t="shared" si="42"/>
        <v>18.09503717757504</v>
      </c>
      <c r="AG33" s="1953">
        <f t="shared" si="42"/>
        <v>19.232494464635629</v>
      </c>
      <c r="AH33" s="1953">
        <f t="shared" si="42"/>
        <v>20.587243519803909</v>
      </c>
      <c r="AI33" s="1953">
        <f t="shared" si="42"/>
        <v>22.05840052773225</v>
      </c>
      <c r="AJ33" s="1953">
        <f t="shared" si="42"/>
        <v>24.641576618684894</v>
      </c>
      <c r="AK33" s="1953">
        <f t="shared" si="42"/>
        <v>25.837490201740536</v>
      </c>
      <c r="AL33" s="1953">
        <f t="shared" si="42"/>
        <v>27.279512414925115</v>
      </c>
      <c r="AM33" s="1953">
        <f t="shared" si="42"/>
        <v>29.751686227172179</v>
      </c>
      <c r="AN33" s="614"/>
      <c r="AO33" s="1923"/>
      <c r="AP33" s="614"/>
      <c r="AQ33" s="1904" t="str">
        <f t="shared" si="19"/>
        <v>Dz</v>
      </c>
      <c r="BD33" s="2212">
        <v>2016</v>
      </c>
      <c r="BE33" s="362">
        <v>1.002</v>
      </c>
      <c r="BF33" s="364">
        <f t="shared" si="22"/>
        <v>1.0154299391843049</v>
      </c>
      <c r="BT33" s="828">
        <v>2016</v>
      </c>
      <c r="BU33" s="362">
        <v>1.8821546646425049</v>
      </c>
      <c r="BV33" s="364">
        <v>1.8442028622513829</v>
      </c>
      <c r="CJ33" s="771">
        <v>2019</v>
      </c>
      <c r="CK33" s="475"/>
      <c r="CL33" s="355"/>
      <c r="DA33" s="1193">
        <f t="shared" si="34"/>
        <v>0</v>
      </c>
      <c r="DE33" s="1218">
        <v>2017</v>
      </c>
      <c r="DF33" s="2310">
        <v>8583.9251603801622</v>
      </c>
      <c r="DG33" s="1211">
        <v>2737.093826432847</v>
      </c>
      <c r="DX33" s="2646">
        <v>2020</v>
      </c>
      <c r="DY33" s="1230"/>
      <c r="DZ33" s="2655"/>
      <c r="EA33" s="2655"/>
      <c r="EB33" s="2655"/>
      <c r="EC33" s="2656"/>
      <c r="ED33" s="1228"/>
      <c r="EE33" s="2655"/>
      <c r="EF33" s="2655"/>
      <c r="EG33" s="2656"/>
      <c r="EH33" s="2655"/>
      <c r="EI33" s="2656"/>
      <c r="EJ33" s="1228"/>
      <c r="EK33" s="2655"/>
      <c r="EL33" s="1228"/>
      <c r="EM33" s="495"/>
      <c r="EO33" s="1178">
        <v>2020</v>
      </c>
      <c r="EP33" s="1263"/>
      <c r="EQ33" s="1267"/>
      <c r="FH33" s="1234">
        <v>2020</v>
      </c>
      <c r="FI33" s="1230"/>
      <c r="FJ33" s="1227"/>
      <c r="FK33" s="1227"/>
      <c r="FL33" s="1229"/>
      <c r="GB33" s="1218">
        <v>2020</v>
      </c>
      <c r="GC33" s="1182"/>
      <c r="GD33" s="765"/>
      <c r="GE33" s="1198"/>
      <c r="GU33" s="1218">
        <v>2023</v>
      </c>
      <c r="GV33" s="1182"/>
      <c r="GW33" s="2394">
        <f t="shared" si="1"/>
        <v>27.560393587629694</v>
      </c>
      <c r="GX33" s="2394">
        <f t="shared" si="26"/>
        <v>16.483177733556865</v>
      </c>
      <c r="HY33" s="2407">
        <v>29</v>
      </c>
      <c r="HZ33" s="1218">
        <v>2023</v>
      </c>
      <c r="IA33" s="2556"/>
      <c r="IB33" s="2407">
        <v>10976.127338183813</v>
      </c>
      <c r="IC33" s="2407">
        <f t="shared" si="27"/>
        <v>11087.9431</v>
      </c>
      <c r="IX33" s="2407">
        <f t="shared" si="37"/>
        <v>10976.127338183813</v>
      </c>
    </row>
    <row r="34" spans="7:258" ht="21">
      <c r="G34" s="801" t="s">
        <v>724</v>
      </c>
      <c r="H34" s="801"/>
      <c r="I34" s="801"/>
      <c r="J34" s="669"/>
      <c r="K34" s="669"/>
      <c r="L34" s="554"/>
      <c r="M34" s="1909"/>
      <c r="N34" s="1909"/>
      <c r="O34" s="546" t="s">
        <v>582</v>
      </c>
      <c r="P34" s="1924">
        <v>1447.9951999999998</v>
      </c>
      <c r="Q34" s="1924">
        <f>ОТЧЁТ!V145</f>
        <v>1418.8795016000001</v>
      </c>
      <c r="R34" s="1924">
        <f>ОТЧЁТ!W145</f>
        <v>1438.7438146224004</v>
      </c>
      <c r="S34" s="1924">
        <f>ОТЧЁТ!X145</f>
        <v>1368.1606270079908</v>
      </c>
      <c r="T34" s="1924">
        <f>ОТЧЁТ!Y145</f>
        <v>1439.579749342538</v>
      </c>
      <c r="U34" s="1924">
        <f>ОТЧЁТ!Z145</f>
        <v>1566.4582633307773</v>
      </c>
      <c r="V34" s="1924">
        <f>ОТЧЁТ!AA145</f>
        <v>1640.1193246690002</v>
      </c>
      <c r="W34" s="1924">
        <f>ОТЧЁТ!AB145</f>
        <v>1707.4046869992378</v>
      </c>
      <c r="X34" s="1924">
        <f>ОТЧЁТ!AC145</f>
        <v>1842.2766859002736</v>
      </c>
      <c r="Y34" s="1924">
        <f>ОТЧЁТ!AD145</f>
        <v>2004.2780671866872</v>
      </c>
      <c r="Z34" s="1924">
        <f>ОТЧЁТ!AE145</f>
        <v>2104.809063879628</v>
      </c>
      <c r="AA34" s="1924">
        <f>ОТЧЁТ!AF145</f>
        <v>2306.727546302363</v>
      </c>
      <c r="AB34" s="1924">
        <f>ОТЧЁТ!AG145</f>
        <v>2516.485382411794</v>
      </c>
      <c r="AC34" s="1924">
        <f>ОТЧЁТ!AH145</f>
        <v>2637.4157141605283</v>
      </c>
      <c r="AD34" s="1924">
        <f>ОТЧЁТ!AI145</f>
        <v>2455.1180066006277</v>
      </c>
      <c r="AE34" s="1930">
        <f>ОТЧЁТ!AJ145</f>
        <v>2589.7281488508879</v>
      </c>
      <c r="AF34" s="1924">
        <f>ОТЧЁТ!AK145</f>
        <v>2701.0864592514768</v>
      </c>
      <c r="AG34" s="1924">
        <f>ОТЧЁТ!AL145</f>
        <v>2812.7365069294915</v>
      </c>
      <c r="AH34" s="1924">
        <f>ОТЧЁТ!AM145</f>
        <v>2880.2318845143186</v>
      </c>
      <c r="AI34" s="1924">
        <f>ОТЧЁТ!AN145</f>
        <v>2904.9477054983777</v>
      </c>
      <c r="AJ34" s="1924">
        <f>ОТЧЁТ!AO145</f>
        <v>2894.648386496252</v>
      </c>
      <c r="AK34" s="1924">
        <f>ОТЧЁТ!AP145</f>
        <v>2956.2174732766653</v>
      </c>
      <c r="AL34" s="1924">
        <f>ОТЧЁТ!AQ145</f>
        <v>3048.9437910369015</v>
      </c>
      <c r="AM34" s="1924">
        <f>ОТЧЁТ!AR145</f>
        <v>3116.9561043335252</v>
      </c>
      <c r="AN34" s="614"/>
      <c r="AO34" s="1923"/>
      <c r="AP34" s="614"/>
      <c r="AQ34" s="1904" t="str">
        <f t="shared" si="19"/>
        <v>ZS</v>
      </c>
      <c r="BD34" s="2212">
        <v>2017</v>
      </c>
      <c r="BE34" s="1057">
        <v>1.018</v>
      </c>
      <c r="BF34" s="364">
        <f t="shared" si="22"/>
        <v>0.98515391830945609</v>
      </c>
      <c r="BT34" s="1155">
        <v>2017</v>
      </c>
      <c r="BU34" s="362">
        <v>1.9160334486060699</v>
      </c>
      <c r="BV34" s="364">
        <v>1.816823675904464</v>
      </c>
      <c r="CJ34" s="771">
        <v>2020</v>
      </c>
      <c r="CK34" s="475"/>
      <c r="CL34" s="355"/>
      <c r="DA34" s="1193">
        <f t="shared" si="34"/>
        <v>0</v>
      </c>
      <c r="DE34" s="1218">
        <v>2018</v>
      </c>
      <c r="DF34" s="2310">
        <v>8944.4500171161289</v>
      </c>
      <c r="DG34" s="1211">
        <v>2813.7324535729667</v>
      </c>
      <c r="DX34" s="2646">
        <v>2021</v>
      </c>
      <c r="DY34" s="1230"/>
      <c r="DZ34" s="2655"/>
      <c r="EA34" s="2655"/>
      <c r="EB34" s="2655"/>
      <c r="EC34" s="2656"/>
      <c r="ED34" s="1228"/>
      <c r="EE34" s="2655"/>
      <c r="EF34" s="2655"/>
      <c r="EG34" s="2656"/>
      <c r="EH34" s="2655"/>
      <c r="EI34" s="2656"/>
      <c r="EJ34" s="1228"/>
      <c r="EK34" s="2655"/>
      <c r="EL34" s="1228"/>
      <c r="EM34" s="495"/>
      <c r="EO34" s="1178">
        <v>2021</v>
      </c>
      <c r="EP34" s="1263"/>
      <c r="EQ34" s="1267"/>
      <c r="FH34" s="1234">
        <v>2021</v>
      </c>
      <c r="FI34" s="1230"/>
      <c r="FJ34" s="1227"/>
      <c r="FK34" s="1227"/>
      <c r="FL34" s="1229"/>
      <c r="GB34" s="1218">
        <v>2021</v>
      </c>
      <c r="GC34" s="1182"/>
      <c r="GD34" s="765"/>
      <c r="GE34" s="1198"/>
      <c r="GU34" s="1218">
        <v>2024</v>
      </c>
      <c r="GV34" s="1182"/>
      <c r="GW34" s="2394">
        <f t="shared" si="1"/>
        <v>28.938413267011178</v>
      </c>
      <c r="GX34" s="2394">
        <f t="shared" si="26"/>
        <v>16.755336620234708</v>
      </c>
      <c r="HY34" s="2407">
        <v>30</v>
      </c>
      <c r="HZ34" s="1218">
        <v>2024</v>
      </c>
      <c r="IA34" s="2556"/>
      <c r="IB34" s="2407">
        <v>11450.376438115263</v>
      </c>
      <c r="IC34" s="2407">
        <f t="shared" si="27"/>
        <v>11563.11</v>
      </c>
      <c r="IX34" s="2407">
        <f t="shared" si="37"/>
        <v>11450.376438115263</v>
      </c>
    </row>
    <row r="35" spans="7:258" ht="21">
      <c r="L35" s="1910" t="s">
        <v>697</v>
      </c>
      <c r="M35" s="1909" t="s">
        <v>725</v>
      </c>
      <c r="N35" s="1909"/>
      <c r="O35" s="1888" t="s">
        <v>417</v>
      </c>
      <c r="P35" s="1930">
        <v>363.36200000000002</v>
      </c>
      <c r="Q35" s="1924">
        <f>ОТЧЁТ!V61</f>
        <v>475.25639999999999</v>
      </c>
      <c r="R35" s="1924">
        <f>ОТЧЁТ!W61</f>
        <v>514.80129999999997</v>
      </c>
      <c r="S35" s="1924">
        <f>ОТЧЁТ!X61</f>
        <v>393.48219999999998</v>
      </c>
      <c r="T35" s="1924">
        <f>ОТЧЁТ!Y61</f>
        <v>715.31949999999995</v>
      </c>
      <c r="U35" s="1924">
        <f>ОТЧЁТ!Z61</f>
        <v>1365.7338</v>
      </c>
      <c r="V35" s="1924">
        <f>ОТЧЁТ!AA61</f>
        <v>1963.1104</v>
      </c>
      <c r="W35" s="1924">
        <f>ОТЧЁТ!AB61</f>
        <v>2169.3000000000002</v>
      </c>
      <c r="X35" s="1924">
        <f>ОТЧЁТ!AC61</f>
        <v>2755</v>
      </c>
      <c r="Y35" s="1948">
        <f>ОТЧЁТ!AD61</f>
        <v>3558.9513999999999</v>
      </c>
      <c r="Z35" s="1948">
        <f>ОТЧЁТ!AE61</f>
        <v>4338.7304999999997</v>
      </c>
      <c r="AA35" s="1948">
        <f>ОТЧЁТ!AF61</f>
        <v>5698.7272999999996</v>
      </c>
      <c r="AB35" s="1948">
        <f>ОТЧЁТ!AG61</f>
        <v>8034.0982000000004</v>
      </c>
      <c r="AC35" s="1948">
        <f>ОТЧЁТ!AH61</f>
        <v>10526.116099999999</v>
      </c>
      <c r="AD35" s="1948">
        <f>ОТЧЁТ!AI61</f>
        <v>7344.7560000000003</v>
      </c>
      <c r="AE35" s="2188">
        <f>ОТЧЁТ!AJ61</f>
        <v>10472.629999999999</v>
      </c>
      <c r="AF35" s="1952">
        <f>ОТЧЁТ!AK61</f>
        <v>14735.8874</v>
      </c>
      <c r="AG35" s="1952">
        <f>ОТЧЁТ!AL61</f>
        <v>16730.202400000002</v>
      </c>
      <c r="AH35" s="1952">
        <f>ОТЧЁТ!AM61</f>
        <v>16915.862100000002</v>
      </c>
      <c r="AI35" s="1952">
        <f>ОТЧЁТ!AN61</f>
        <v>17883.66</v>
      </c>
      <c r="AJ35" s="1952">
        <f>ОТЧЁТ!AO61</f>
        <v>18603.39</v>
      </c>
      <c r="AK35" s="1952">
        <f>ОТЧЁТ!AP61</f>
        <v>20242.849999999999</v>
      </c>
      <c r="AL35" s="1948">
        <f>ОТЧЁТ!AQ61</f>
        <v>22189.208999999999</v>
      </c>
      <c r="AM35" s="1948">
        <f>ОТЧЁТ!AR61</f>
        <v>23611.22</v>
      </c>
      <c r="AN35" s="614"/>
      <c r="AO35" s="1923"/>
      <c r="AP35" s="614"/>
      <c r="AQ35" s="1904" t="str">
        <f t="shared" si="19"/>
        <v>WN</v>
      </c>
      <c r="BD35" s="2212">
        <v>2018</v>
      </c>
      <c r="BE35" s="1057">
        <v>1.028</v>
      </c>
      <c r="BF35" s="364">
        <f t="shared" si="22"/>
        <v>1.0296899351853275</v>
      </c>
      <c r="BT35" s="828">
        <v>2018</v>
      </c>
      <c r="BU35" s="362">
        <v>1.96968238516704</v>
      </c>
      <c r="BV35" s="364">
        <v>1.870765053085236</v>
      </c>
      <c r="CJ35" s="771">
        <v>2021</v>
      </c>
      <c r="CK35" s="475"/>
      <c r="CL35" s="355"/>
      <c r="DA35" s="1193">
        <f t="shared" si="34"/>
        <v>0</v>
      </c>
      <c r="DE35" s="1218">
        <v>2019</v>
      </c>
      <c r="DF35" s="1182"/>
      <c r="DG35" s="558"/>
      <c r="DX35" s="2646">
        <v>2022</v>
      </c>
      <c r="DY35" s="1230"/>
      <c r="DZ35" s="2655"/>
      <c r="EA35" s="2655"/>
      <c r="EB35" s="2655"/>
      <c r="EC35" s="2656"/>
      <c r="ED35" s="1228"/>
      <c r="EE35" s="2655"/>
      <c r="EF35" s="2655"/>
      <c r="EG35" s="2656"/>
      <c r="EH35" s="2655"/>
      <c r="EI35" s="2656"/>
      <c r="EJ35" s="1228"/>
      <c r="EK35" s="2655"/>
      <c r="EL35" s="1228"/>
      <c r="EM35" s="495"/>
      <c r="EO35" s="1178">
        <v>2022</v>
      </c>
      <c r="EP35" s="1263"/>
      <c r="EQ35" s="1267"/>
      <c r="FH35" s="1234">
        <v>2022</v>
      </c>
      <c r="FI35" s="1230"/>
      <c r="FJ35" s="1227"/>
      <c r="FK35" s="1227"/>
      <c r="FL35" s="1229"/>
      <c r="GB35" s="1218">
        <v>2022</v>
      </c>
      <c r="GC35" s="1182"/>
      <c r="GD35" s="765"/>
      <c r="GE35" s="1198"/>
      <c r="GU35" s="1218">
        <v>2025</v>
      </c>
      <c r="GV35" s="1182"/>
      <c r="GW35" s="2394">
        <f t="shared" si="1"/>
        <v>30.385333930361739</v>
      </c>
      <c r="GX35" s="2394">
        <f t="shared" si="26"/>
        <v>17.041103451246443</v>
      </c>
      <c r="HY35" s="2407">
        <v>31</v>
      </c>
      <c r="HZ35" s="1218">
        <v>2025</v>
      </c>
      <c r="IA35" s="2556"/>
      <c r="IB35" s="2407">
        <v>11948.374451382973</v>
      </c>
      <c r="IC35" s="2407">
        <f t="shared" si="27"/>
        <v>12056.863100000002</v>
      </c>
      <c r="IX35" s="2407">
        <f t="shared" si="37"/>
        <v>11948.374451382973</v>
      </c>
    </row>
    <row r="36" spans="7:258" ht="21">
      <c r="L36" s="1910" t="s">
        <v>697</v>
      </c>
      <c r="M36" s="1909"/>
      <c r="N36" s="1909"/>
      <c r="O36" s="546" t="s">
        <v>555</v>
      </c>
      <c r="P36" s="1924"/>
      <c r="Q36" s="1925">
        <f>ОТЧЁТ!V131</f>
        <v>0.86</v>
      </c>
      <c r="R36" s="1925">
        <f>ОТЧЁТ!W131</f>
        <v>0.95899999999999996</v>
      </c>
      <c r="S36" s="1925">
        <f>ОТЧЁТ!X131</f>
        <v>0.54800000000000004</v>
      </c>
      <c r="T36" s="1925">
        <f>ОТЧЁТ!Y131</f>
        <v>0.93400000000000005</v>
      </c>
      <c r="U36" s="1925">
        <f>ОТЧЁТ!Z131</f>
        <v>1.752</v>
      </c>
      <c r="V36" s="1925">
        <f>ОТЧЁТ!AA131</f>
        <v>1.167</v>
      </c>
      <c r="W36" s="1925">
        <f>ОТЧЁТ!AB131</f>
        <v>0.97799999999999998</v>
      </c>
      <c r="X36" s="1925">
        <f>ОТЧЁТ!AC131</f>
        <v>1.143</v>
      </c>
      <c r="Y36" s="1925">
        <f>ОТЧЁТ!AD131</f>
        <v>1.1220000000000001</v>
      </c>
      <c r="Z36" s="1925">
        <f>ОТЧЁТ!AE131</f>
        <v>1.0953654188948307</v>
      </c>
      <c r="AA36" s="1925">
        <f>ОТЧЁТ!AF131</f>
        <v>1.177</v>
      </c>
      <c r="AB36" s="1925">
        <f>ОТЧЁТ!AG131</f>
        <v>1.22</v>
      </c>
      <c r="AC36" s="1925">
        <f>ОТЧЁТ!AH131</f>
        <v>1.105</v>
      </c>
      <c r="AD36" s="1925">
        <f>ОТЧЁТ!AI131</f>
        <v>0.59</v>
      </c>
      <c r="AE36" s="1942">
        <f>ОТЧЁТ!AJ131</f>
        <v>1.2849999999999999</v>
      </c>
      <c r="AF36" s="1925">
        <f>ОТЧЁТ!AK131</f>
        <v>1.21</v>
      </c>
      <c r="AG36" s="1925">
        <f>ОТЧЁТ!AL131</f>
        <v>1.044</v>
      </c>
      <c r="AH36" s="1925">
        <f>ОТЧЁТ!AM131</f>
        <v>0.94400000000000006</v>
      </c>
      <c r="AI36" s="1925">
        <f>ОТЧЁТ!AN131</f>
        <v>0.93900000000000006</v>
      </c>
      <c r="AJ36" s="1925">
        <f>ОТЧЁТ!AO131</f>
        <v>0.88200000000000001</v>
      </c>
      <c r="AK36" s="1925">
        <f>ОТЧЁТ!AP131</f>
        <v>0.98799999999999999</v>
      </c>
      <c r="AL36" s="1925">
        <f>ОТЧЁТ!AQ131</f>
        <v>1.06</v>
      </c>
      <c r="AM36" s="1925">
        <f>ОТЧЁТ!AR131</f>
        <v>1.008</v>
      </c>
      <c r="AN36" s="614"/>
      <c r="AO36" s="1923"/>
      <c r="AP36" s="614"/>
      <c r="AQ36" s="1904" t="str">
        <f t="shared" si="19"/>
        <v>pWN</v>
      </c>
      <c r="BD36" s="2212">
        <v>2019</v>
      </c>
      <c r="BE36" s="977"/>
      <c r="BF36" s="1160"/>
      <c r="BT36" s="1155">
        <v>2019</v>
      </c>
      <c r="BU36" s="782"/>
      <c r="BV36" s="364"/>
      <c r="CJ36" s="771">
        <v>2022</v>
      </c>
      <c r="CK36" s="475"/>
      <c r="CL36" s="355"/>
      <c r="DA36" s="1193">
        <f t="shared" si="34"/>
        <v>0</v>
      </c>
      <c r="DE36" s="1218">
        <v>2020</v>
      </c>
      <c r="DF36" s="1182"/>
      <c r="DG36" s="558"/>
      <c r="DX36" s="2646">
        <v>2023</v>
      </c>
      <c r="DY36" s="1230"/>
      <c r="DZ36" s="2655"/>
      <c r="EA36" s="2655"/>
      <c r="EB36" s="2655"/>
      <c r="EC36" s="2656"/>
      <c r="ED36" s="1228"/>
      <c r="EE36" s="2655"/>
      <c r="EF36" s="2655"/>
      <c r="EG36" s="2656"/>
      <c r="EH36" s="2655"/>
      <c r="EI36" s="2656"/>
      <c r="EJ36" s="1228"/>
      <c r="EK36" s="2655"/>
      <c r="EL36" s="1228"/>
      <c r="EM36" s="495"/>
      <c r="EO36" s="1178">
        <v>2023</v>
      </c>
      <c r="EP36" s="1263"/>
      <c r="EQ36" s="1267"/>
      <c r="FH36" s="1234">
        <v>2023</v>
      </c>
      <c r="FI36" s="1230"/>
      <c r="FJ36" s="1227"/>
      <c r="FK36" s="1227"/>
      <c r="FL36" s="1229"/>
      <c r="GB36" s="1218">
        <v>2023</v>
      </c>
      <c r="GC36" s="1182"/>
      <c r="GD36" s="765"/>
      <c r="GE36" s="1198"/>
      <c r="GU36" s="1218">
        <v>2026</v>
      </c>
      <c r="GV36" s="1182"/>
      <c r="GW36" s="2394">
        <f t="shared" si="1"/>
        <v>31.904600626879827</v>
      </c>
      <c r="GX36" s="2394">
        <f t="shared" si="26"/>
        <v>17.341158623808766</v>
      </c>
      <c r="HY36" s="2407">
        <v>32</v>
      </c>
      <c r="HZ36" s="1218">
        <v>2026</v>
      </c>
      <c r="IA36" s="2556"/>
      <c r="IB36" s="2407">
        <v>12470.493165184831</v>
      </c>
      <c r="IC36" s="2407">
        <f t="shared" si="27"/>
        <v>12569.202400000002</v>
      </c>
      <c r="IX36" s="2407">
        <f t="shared" si="37"/>
        <v>12470.493165184831</v>
      </c>
    </row>
    <row r="37" spans="7:258" ht="21">
      <c r="L37" s="1893"/>
      <c r="M37" s="1909"/>
      <c r="N37" s="1909"/>
      <c r="O37" s="546" t="s">
        <v>726</v>
      </c>
      <c r="P37" s="1924">
        <v>1</v>
      </c>
      <c r="Q37" s="1925">
        <f>P37*Q36</f>
        <v>0.86</v>
      </c>
      <c r="R37" s="1925">
        <f t="shared" ref="R37:AI37" si="43">Q37*R36</f>
        <v>0.82473999999999992</v>
      </c>
      <c r="S37" s="1925">
        <f t="shared" si="43"/>
        <v>0.45195752</v>
      </c>
      <c r="T37" s="1925">
        <f t="shared" si="43"/>
        <v>0.42212832368000003</v>
      </c>
      <c r="U37" s="1925">
        <f t="shared" si="43"/>
        <v>0.73956882308736005</v>
      </c>
      <c r="V37" s="1925">
        <f t="shared" si="43"/>
        <v>0.86307681654294921</v>
      </c>
      <c r="W37" s="1925">
        <f t="shared" si="43"/>
        <v>0.84408912657900426</v>
      </c>
      <c r="X37" s="1925">
        <f t="shared" si="43"/>
        <v>0.96479387167980191</v>
      </c>
      <c r="Y37" s="1925">
        <f t="shared" si="43"/>
        <v>1.0824987240247379</v>
      </c>
      <c r="Z37" s="1925">
        <f t="shared" si="43"/>
        <v>1.1857316682944767</v>
      </c>
      <c r="AA37" s="1925">
        <f t="shared" si="43"/>
        <v>1.3956061735825991</v>
      </c>
      <c r="AB37" s="1925">
        <f t="shared" si="43"/>
        <v>1.7026395317707708</v>
      </c>
      <c r="AC37" s="1925">
        <f t="shared" si="43"/>
        <v>1.8814166826067016</v>
      </c>
      <c r="AD37" s="1925">
        <f t="shared" si="43"/>
        <v>1.110035842737954</v>
      </c>
      <c r="AE37" s="1942">
        <f t="shared" si="43"/>
        <v>1.4263960579182708</v>
      </c>
      <c r="AF37" s="1955">
        <f t="shared" si="43"/>
        <v>1.7259392300811076</v>
      </c>
      <c r="AG37" s="1955">
        <f t="shared" si="43"/>
        <v>1.8018805562046765</v>
      </c>
      <c r="AH37" s="1955">
        <f t="shared" si="43"/>
        <v>1.7009752450572146</v>
      </c>
      <c r="AI37" s="1955">
        <f t="shared" si="43"/>
        <v>1.5972157551087247</v>
      </c>
      <c r="AJ37" s="1955">
        <f>AI37*AJ36</f>
        <v>1.4087442960058951</v>
      </c>
      <c r="AK37" s="1955">
        <f>AJ37*AK36</f>
        <v>1.3918393644538243</v>
      </c>
      <c r="AL37" s="1955">
        <f>AK37*AL36</f>
        <v>1.4753497263210538</v>
      </c>
      <c r="AM37" s="1955">
        <f>AL37*AM36</f>
        <v>1.4871525241316221</v>
      </c>
      <c r="AN37" s="614"/>
      <c r="AO37" s="1923"/>
      <c r="AP37" s="614"/>
      <c r="AQ37" s="1904" t="str">
        <f t="shared" si="19"/>
        <v>Pk</v>
      </c>
      <c r="BD37" s="2213">
        <v>2020</v>
      </c>
      <c r="BE37" s="1161"/>
      <c r="BF37" s="1162"/>
      <c r="BT37" s="828">
        <v>2020</v>
      </c>
      <c r="BU37" s="783"/>
      <c r="BV37" s="478"/>
      <c r="CJ37" s="771">
        <v>2023</v>
      </c>
      <c r="CK37" s="475"/>
      <c r="CL37" s="355"/>
      <c r="DA37" s="1193">
        <f t="shared" si="34"/>
        <v>0</v>
      </c>
      <c r="DE37" s="1218">
        <v>2021</v>
      </c>
      <c r="DF37" s="1182"/>
      <c r="DG37" s="558"/>
      <c r="DX37" s="2646">
        <v>2024</v>
      </c>
      <c r="DY37" s="1230"/>
      <c r="DZ37" s="2655"/>
      <c r="EA37" s="2655"/>
      <c r="EB37" s="2655"/>
      <c r="EC37" s="2656"/>
      <c r="ED37" s="1228"/>
      <c r="EE37" s="2655"/>
      <c r="EF37" s="2655"/>
      <c r="EG37" s="2656"/>
      <c r="EH37" s="2655"/>
      <c r="EI37" s="2656"/>
      <c r="EJ37" s="1228"/>
      <c r="EK37" s="2655"/>
      <c r="EL37" s="1228"/>
      <c r="EM37" s="495"/>
      <c r="EO37" s="1178">
        <v>2024</v>
      </c>
      <c r="EP37" s="1263"/>
      <c r="EQ37" s="1267"/>
      <c r="FH37" s="1234">
        <v>2024</v>
      </c>
      <c r="FI37" s="1230"/>
      <c r="FJ37" s="1227"/>
      <c r="FK37" s="1227"/>
      <c r="FL37" s="1229"/>
      <c r="GB37" s="1218">
        <v>2024</v>
      </c>
      <c r="GC37" s="1182"/>
      <c r="GD37" s="765"/>
      <c r="GE37" s="1198"/>
      <c r="GU37" s="1218">
        <v>2027</v>
      </c>
      <c r="GV37" s="1182"/>
      <c r="GW37" s="2394">
        <f t="shared" si="1"/>
        <v>33.499830658223821</v>
      </c>
      <c r="GX37" s="2394">
        <f t="shared" si="26"/>
        <v>17.656216554999205</v>
      </c>
      <c r="HY37" s="2407">
        <v>33</v>
      </c>
      <c r="HZ37" s="1218">
        <v>2027</v>
      </c>
      <c r="IA37" s="2556"/>
      <c r="IB37" s="2407">
        <v>13017.144068658055</v>
      </c>
      <c r="IC37" s="2407">
        <f t="shared" si="27"/>
        <v>13100.127899999999</v>
      </c>
      <c r="IX37" s="2407">
        <f t="shared" si="37"/>
        <v>13017.144068658055</v>
      </c>
    </row>
    <row r="38" spans="7:258" ht="21">
      <c r="L38" s="1893"/>
      <c r="M38" s="1909"/>
      <c r="N38" s="1909"/>
      <c r="O38" s="546" t="s">
        <v>636</v>
      </c>
      <c r="P38" s="1924">
        <v>1</v>
      </c>
      <c r="Q38" s="1924">
        <f>Q35/Q39</f>
        <v>1.5208627234830072</v>
      </c>
      <c r="R38" s="1924">
        <f t="shared" ref="R38:AM38" si="44">R35/R39</f>
        <v>1.7178414165358655</v>
      </c>
      <c r="S38" s="1924">
        <f t="shared" si="44"/>
        <v>2.3960063610370872</v>
      </c>
      <c r="T38" s="1924">
        <f t="shared" si="44"/>
        <v>4.6635438415007853</v>
      </c>
      <c r="U38" s="1924">
        <f t="shared" si="44"/>
        <v>5.0821555739588433</v>
      </c>
      <c r="V38" s="1924">
        <f t="shared" si="44"/>
        <v>6.2597323676099625</v>
      </c>
      <c r="W38" s="1924">
        <f t="shared" si="44"/>
        <v>7.0728069310904988</v>
      </c>
      <c r="X38" s="1924">
        <f t="shared" si="44"/>
        <v>7.858642990356409</v>
      </c>
      <c r="Y38" s="1924">
        <f t="shared" si="44"/>
        <v>9.0480534412004516</v>
      </c>
      <c r="Z38" s="1924">
        <f t="shared" si="44"/>
        <v>10.070168753275148</v>
      </c>
      <c r="AA38" s="1924">
        <f t="shared" si="44"/>
        <v>11.237649593940658</v>
      </c>
      <c r="AB38" s="1924">
        <f t="shared" si="44"/>
        <v>12.98598556755597</v>
      </c>
      <c r="AC38" s="1924">
        <f t="shared" si="44"/>
        <v>15.397267606350981</v>
      </c>
      <c r="AD38" s="1924">
        <f t="shared" si="44"/>
        <v>18.20961916652691</v>
      </c>
      <c r="AE38" s="1930">
        <f t="shared" si="44"/>
        <v>20.205803391972644</v>
      </c>
      <c r="AF38" s="1931">
        <f t="shared" si="44"/>
        <v>23.496938857350891</v>
      </c>
      <c r="AG38" s="1931">
        <f t="shared" si="44"/>
        <v>25.552634846384681</v>
      </c>
      <c r="AH38" s="1931">
        <f t="shared" si="44"/>
        <v>27.368855432385335</v>
      </c>
      <c r="AI38" s="1931">
        <f t="shared" si="44"/>
        <v>30.814371333057384</v>
      </c>
      <c r="AJ38" s="1931">
        <f t="shared" si="44"/>
        <v>36.342969763536537</v>
      </c>
      <c r="AK38" s="1931">
        <f t="shared" si="44"/>
        <v>40.026077735793152</v>
      </c>
      <c r="AL38" s="1931">
        <f t="shared" si="44"/>
        <v>41.391134765439006</v>
      </c>
      <c r="AM38" s="1931">
        <f t="shared" si="44"/>
        <v>43.694161336379672</v>
      </c>
      <c r="AN38" s="614"/>
      <c r="AO38" s="1923"/>
      <c r="AP38" s="614"/>
      <c r="AQ38" s="1904" t="str">
        <f t="shared" si="19"/>
        <v>Dk</v>
      </c>
      <c r="CJ38" s="771">
        <v>2024</v>
      </c>
      <c r="CK38" s="475"/>
      <c r="CL38" s="355"/>
      <c r="DA38" s="1193">
        <f t="shared" si="34"/>
        <v>0</v>
      </c>
      <c r="DE38" s="1218">
        <v>2022</v>
      </c>
      <c r="DF38" s="1182"/>
      <c r="DG38" s="558"/>
      <c r="DX38" s="2646">
        <v>2025</v>
      </c>
      <c r="DY38" s="1230"/>
      <c r="DZ38" s="2655"/>
      <c r="EA38" s="2655"/>
      <c r="EB38" s="2655"/>
      <c r="EC38" s="2656"/>
      <c r="ED38" s="1228"/>
      <c r="EE38" s="2655"/>
      <c r="EF38" s="2655"/>
      <c r="EG38" s="2656"/>
      <c r="EH38" s="2655"/>
      <c r="EI38" s="2656"/>
      <c r="EJ38" s="1228"/>
      <c r="EK38" s="2655"/>
      <c r="EL38" s="1228"/>
      <c r="EM38" s="495"/>
      <c r="EO38" s="1178">
        <v>2025</v>
      </c>
      <c r="EP38" s="1263"/>
      <c r="EQ38" s="1267"/>
      <c r="FH38" s="1234">
        <v>2025</v>
      </c>
      <c r="FI38" s="1230"/>
      <c r="FJ38" s="1227"/>
      <c r="FK38" s="1227"/>
      <c r="FL38" s="1229"/>
      <c r="GB38" s="1218">
        <v>2025</v>
      </c>
      <c r="GC38" s="1182"/>
      <c r="GD38" s="765"/>
      <c r="GE38" s="1198"/>
      <c r="GU38" s="1218">
        <v>2028</v>
      </c>
      <c r="GV38" s="1182"/>
      <c r="GW38" s="2394">
        <f t="shared" si="1"/>
        <v>35.174822191135014</v>
      </c>
      <c r="GX38" s="2394">
        <f t="shared" si="26"/>
        <v>17.987027382749165</v>
      </c>
      <c r="HY38" s="2407">
        <v>34</v>
      </c>
      <c r="HZ38" s="1218">
        <v>2028</v>
      </c>
      <c r="IA38" s="2556"/>
      <c r="IB38" s="2407">
        <v>13588.769822736602</v>
      </c>
      <c r="IC38" s="2407">
        <f t="shared" si="27"/>
        <v>13649.639600000002</v>
      </c>
      <c r="IX38" s="2407">
        <f t="shared" si="37"/>
        <v>13588.769822736602</v>
      </c>
    </row>
    <row r="39" spans="7:258" ht="21">
      <c r="L39" s="1893"/>
      <c r="M39" s="1909"/>
      <c r="N39" s="1909"/>
      <c r="O39" s="546" t="s">
        <v>727</v>
      </c>
      <c r="P39" s="1924">
        <v>363.36200000000002</v>
      </c>
      <c r="Q39" s="1924">
        <f t="shared" ref="Q39:AM39" si="45">$P39*Q37</f>
        <v>312.49132000000003</v>
      </c>
      <c r="R39" s="1924">
        <f t="shared" si="45"/>
        <v>299.67917588</v>
      </c>
      <c r="S39" s="1924">
        <f t="shared" si="45"/>
        <v>164.22418838224002</v>
      </c>
      <c r="T39" s="1924">
        <f t="shared" si="45"/>
        <v>153.38539194901219</v>
      </c>
      <c r="U39" s="1924">
        <f t="shared" si="45"/>
        <v>268.73120669466937</v>
      </c>
      <c r="V39" s="1924">
        <f t="shared" si="45"/>
        <v>313.60931821267911</v>
      </c>
      <c r="W39" s="1924">
        <f t="shared" si="45"/>
        <v>306.70991321200017</v>
      </c>
      <c r="X39" s="1924">
        <f t="shared" si="45"/>
        <v>350.56943080131623</v>
      </c>
      <c r="Y39" s="1924">
        <f t="shared" si="45"/>
        <v>393.33890135907683</v>
      </c>
      <c r="Z39" s="1924">
        <f t="shared" si="45"/>
        <v>430.84983045481766</v>
      </c>
      <c r="AA39" s="1924">
        <f t="shared" si="45"/>
        <v>507.11025044532039</v>
      </c>
      <c r="AB39" s="1924">
        <f t="shared" si="45"/>
        <v>618.67450554329082</v>
      </c>
      <c r="AC39" s="1924">
        <f t="shared" si="45"/>
        <v>683.63532862533634</v>
      </c>
      <c r="AD39" s="1924">
        <f t="shared" si="45"/>
        <v>403.34484388894845</v>
      </c>
      <c r="AE39" s="1930">
        <f t="shared" si="45"/>
        <v>518.29812439729881</v>
      </c>
      <c r="AF39" s="1931">
        <f t="shared" si="45"/>
        <v>627.14073052073149</v>
      </c>
      <c r="AG39" s="1931">
        <f t="shared" si="45"/>
        <v>654.73492266364372</v>
      </c>
      <c r="AH39" s="1931">
        <f t="shared" si="45"/>
        <v>618.06976699447966</v>
      </c>
      <c r="AI39" s="1931">
        <f t="shared" si="45"/>
        <v>580.36751120781651</v>
      </c>
      <c r="AJ39" s="1931">
        <f t="shared" si="45"/>
        <v>511.88414488529412</v>
      </c>
      <c r="AK39" s="1931">
        <f t="shared" si="45"/>
        <v>505.74153514667051</v>
      </c>
      <c r="AL39" s="1931">
        <f t="shared" si="45"/>
        <v>536.08602725547075</v>
      </c>
      <c r="AM39" s="1931">
        <f t="shared" si="45"/>
        <v>540.37471547351447</v>
      </c>
      <c r="AN39" s="614"/>
      <c r="AO39" s="1923"/>
      <c r="AP39" s="614"/>
      <c r="AQ39" s="1904" t="str">
        <f t="shared" si="19"/>
        <v>WNS</v>
      </c>
      <c r="CJ39" s="771">
        <v>2025</v>
      </c>
      <c r="CK39" s="475"/>
      <c r="CL39" s="355"/>
      <c r="DA39" s="1193">
        <f t="shared" si="34"/>
        <v>0</v>
      </c>
      <c r="DE39" s="1218">
        <v>2023</v>
      </c>
      <c r="DF39" s="1182"/>
      <c r="DG39" s="558"/>
      <c r="DX39" s="2646">
        <v>2026</v>
      </c>
      <c r="DY39" s="1230"/>
      <c r="DZ39" s="2655"/>
      <c r="EA39" s="2655"/>
      <c r="EB39" s="2655"/>
      <c r="EC39" s="2656"/>
      <c r="ED39" s="1228"/>
      <c r="EE39" s="2655"/>
      <c r="EF39" s="2655"/>
      <c r="EG39" s="2656"/>
      <c r="EH39" s="2655"/>
      <c r="EI39" s="2656"/>
      <c r="EJ39" s="1228"/>
      <c r="EK39" s="2655"/>
      <c r="EL39" s="1228"/>
      <c r="EM39" s="495"/>
      <c r="EO39" s="1178">
        <v>2026</v>
      </c>
      <c r="EP39" s="1263"/>
      <c r="EQ39" s="1267"/>
      <c r="FH39" s="1234">
        <v>2026</v>
      </c>
      <c r="FI39" s="1230"/>
      <c r="FJ39" s="1227"/>
      <c r="FK39" s="1227"/>
      <c r="FL39" s="1229"/>
      <c r="GB39" s="1218">
        <v>2026</v>
      </c>
      <c r="GC39" s="1182"/>
      <c r="GD39" s="765"/>
      <c r="GE39" s="1198"/>
      <c r="GU39" s="1218">
        <v>2029</v>
      </c>
      <c r="GV39" s="1182"/>
      <c r="GW39" s="2394">
        <f t="shared" si="1"/>
        <v>36.933563300691766</v>
      </c>
      <c r="GX39" s="2394">
        <f t="shared" si="26"/>
        <v>18.334378751886625</v>
      </c>
      <c r="HY39" s="2407">
        <v>35</v>
      </c>
      <c r="HZ39" s="1218">
        <v>2029</v>
      </c>
      <c r="IA39" s="2556"/>
      <c r="IB39" s="2407">
        <v>14185.83670455504</v>
      </c>
      <c r="IC39" s="2407">
        <f t="shared" si="27"/>
        <v>14217.737500000001</v>
      </c>
      <c r="IX39" s="2407">
        <f t="shared" si="37"/>
        <v>14185.83670455504</v>
      </c>
    </row>
    <row r="40" spans="7:258" ht="21">
      <c r="G40" s="21"/>
      <c r="H40" s="21"/>
      <c r="I40" s="21"/>
      <c r="J40" s="21"/>
      <c r="L40" s="1893"/>
      <c r="M40" s="1909" t="s">
        <v>1423</v>
      </c>
      <c r="N40" s="1909"/>
      <c r="O40" s="1888" t="s">
        <v>434</v>
      </c>
      <c r="P40" s="1930">
        <f>ОТЧЁТ!U70</f>
        <v>272.50150000000002</v>
      </c>
      <c r="Q40" s="1931">
        <f>ОТЧЁТ!V70</f>
        <v>391.38130000000001</v>
      </c>
      <c r="R40" s="1931">
        <f>ОТЧЁТ!W70</f>
        <v>493.57350000000002</v>
      </c>
      <c r="S40" s="1931">
        <f>ОТЧЁТ!X70</f>
        <v>492.62060000000002</v>
      </c>
      <c r="T40" s="1931">
        <f>ОТЧЁТ!Y70</f>
        <v>703.20910000000003</v>
      </c>
      <c r="U40" s="1931">
        <f>ОТЧЁТ!Z70</f>
        <v>1102.4971</v>
      </c>
      <c r="V40" s="1931">
        <f>ОТЧЁТ!AA70</f>
        <v>1469.9576</v>
      </c>
      <c r="W40" s="1931">
        <f>ОТЧЁТ!AB70</f>
        <v>1942.4418000000001</v>
      </c>
      <c r="X40" s="1931">
        <f>ОТЧЁТ!AC70</f>
        <v>2366.3687</v>
      </c>
      <c r="Y40" s="1931">
        <f>ОТЧЁТ!AD70</f>
        <v>2889.8145</v>
      </c>
      <c r="Z40" s="1931">
        <f>ОТЧЁТ!AE70</f>
        <v>3645.9185000000002</v>
      </c>
      <c r="AA40" s="1931">
        <f>ОТЧЁТ!AF70</f>
        <v>4680.4097000000002</v>
      </c>
      <c r="AB40" s="1952">
        <f>ОТЧЁТ!AG70</f>
        <v>5750.9641000000001</v>
      </c>
      <c r="AC40" s="1952">
        <f>ОТЧЁТ!AH70</f>
        <v>7359.8441999999995</v>
      </c>
      <c r="AD40" s="1952">
        <f>ОТЧЁТ!AI70</f>
        <v>8066.7</v>
      </c>
      <c r="AE40" s="2244">
        <f>ОТЧЁТ!AJ70</f>
        <v>8671.3230000000003</v>
      </c>
      <c r="AF40" s="1952">
        <f>ОТЧЁТ!AK70</f>
        <v>10527.4218</v>
      </c>
      <c r="AG40" s="1952">
        <f>ОТЧЁТ!AL70</f>
        <v>12155.9717</v>
      </c>
      <c r="AH40" s="1952">
        <f>ОТЧЁТ!AM70</f>
        <v>13551.946099999999</v>
      </c>
      <c r="AI40" s="1952">
        <f>ОТЧЁТ!AN70</f>
        <v>14173.19</v>
      </c>
      <c r="AJ40" s="1952">
        <f>ОТЧЁТ!AO70</f>
        <v>14684.12</v>
      </c>
      <c r="AK40" s="1952">
        <f>ОТЧЁТ!AP70</f>
        <v>15728.49</v>
      </c>
      <c r="AL40" s="1952">
        <f>ОТЧЁТ!AQ70</f>
        <v>16649.189999999999</v>
      </c>
      <c r="AM40" s="1952">
        <f>ОТЧЁТ!AR70</f>
        <v>18049.3</v>
      </c>
      <c r="AN40" s="614"/>
      <c r="AO40" s="1923"/>
      <c r="AP40" s="614"/>
      <c r="AQ40" s="1904" t="str">
        <f t="shared" si="19"/>
        <v>YG</v>
      </c>
      <c r="CJ40" s="771">
        <v>2026</v>
      </c>
      <c r="CK40" s="475"/>
      <c r="CL40" s="355"/>
      <c r="DA40" s="1193">
        <f t="shared" si="34"/>
        <v>0</v>
      </c>
      <c r="DE40" s="1218">
        <v>2024</v>
      </c>
      <c r="DF40" s="1182"/>
      <c r="DG40" s="558"/>
      <c r="DX40" s="2646">
        <v>2027</v>
      </c>
      <c r="DY40" s="1230"/>
      <c r="DZ40" s="2655"/>
      <c r="EA40" s="2655"/>
      <c r="EB40" s="2655"/>
      <c r="EC40" s="2656"/>
      <c r="ED40" s="1228"/>
      <c r="EE40" s="2655"/>
      <c r="EF40" s="2655"/>
      <c r="EG40" s="2656"/>
      <c r="EH40" s="2655"/>
      <c r="EI40" s="2656"/>
      <c r="EJ40" s="1228"/>
      <c r="EK40" s="2655"/>
      <c r="EL40" s="1228"/>
      <c r="EM40" s="495"/>
      <c r="EO40" s="1178">
        <v>2027</v>
      </c>
      <c r="EP40" s="1263"/>
      <c r="EQ40" s="1267"/>
      <c r="FH40" s="1234">
        <v>2027</v>
      </c>
      <c r="FI40" s="1230"/>
      <c r="FJ40" s="1227"/>
      <c r="FK40" s="1227"/>
      <c r="FL40" s="1229"/>
      <c r="GB40" s="1218">
        <v>2027</v>
      </c>
      <c r="GC40" s="1182"/>
      <c r="GD40" s="765"/>
      <c r="GE40" s="1198"/>
      <c r="GU40" s="1218">
        <v>2030</v>
      </c>
      <c r="GV40" s="1182"/>
      <c r="GW40" s="2394">
        <f t="shared" si="1"/>
        <v>38.780241465726355</v>
      </c>
      <c r="GX40" s="2394">
        <f t="shared" si="26"/>
        <v>18.699097689480954</v>
      </c>
      <c r="HY40" s="2407">
        <v>36</v>
      </c>
      <c r="HZ40" s="1218">
        <v>2030</v>
      </c>
      <c r="IA40" s="2556"/>
      <c r="IB40" s="2407">
        <v>14808.82788562779</v>
      </c>
      <c r="IC40" s="2407">
        <f t="shared" si="27"/>
        <v>14804.4216</v>
      </c>
      <c r="IX40" s="2407">
        <f t="shared" si="37"/>
        <v>14808.82788562779</v>
      </c>
    </row>
    <row r="41" spans="7:258" ht="21">
      <c r="L41" s="1893"/>
      <c r="M41" s="1909"/>
      <c r="N41" s="1909"/>
      <c r="O41" s="546" t="s">
        <v>563</v>
      </c>
      <c r="P41" s="136"/>
      <c r="Q41" s="1925">
        <f>ОТЧЁТ!V136</f>
        <v>1.0309999999999999</v>
      </c>
      <c r="R41" s="1925">
        <f>ОТЧЁТ!W136</f>
        <v>0.97599999999999998</v>
      </c>
      <c r="S41" s="1925">
        <f>ОТЧЁТ!X136</f>
        <v>1.01</v>
      </c>
      <c r="T41" s="1925">
        <f>ОТЧЁТ!Y136</f>
        <v>1.0309999999999999</v>
      </c>
      <c r="U41" s="1925">
        <f>ОТЧЁТ!Z136</f>
        <v>1.02</v>
      </c>
      <c r="V41" s="1925">
        <f>ОТЧЁТ!AA136</f>
        <v>0.99199999999999999</v>
      </c>
      <c r="W41" s="1925">
        <f>ОТЧЁТ!AB136</f>
        <v>1.026</v>
      </c>
      <c r="X41" s="1925">
        <f>ОТЧЁТ!AC136</f>
        <v>1.024</v>
      </c>
      <c r="Y41" s="1925">
        <f>ОТЧЁТ!AD136</f>
        <v>1.0209999999999999</v>
      </c>
      <c r="Z41" s="1925">
        <f>ОТЧЁТ!AE136</f>
        <v>1.014</v>
      </c>
      <c r="AA41" s="1925">
        <f>ОТЧЁТ!AF136</f>
        <v>1.0229999999999999</v>
      </c>
      <c r="AB41" s="1925">
        <f>ОТЧЁТ!AG136</f>
        <v>1.0269999999999999</v>
      </c>
      <c r="AC41" s="1925">
        <f>ОТЧЁТ!AH136</f>
        <v>1.034</v>
      </c>
      <c r="AD41" s="1925">
        <f>ОТЧЁТ!AI136</f>
        <v>0.99399999999999999</v>
      </c>
      <c r="AE41" s="2245">
        <f>ОТЧЁТ!AJ136</f>
        <v>0.98499999999999999</v>
      </c>
      <c r="AF41" s="1925">
        <f>ОТЧЁТ!AK136</f>
        <v>1.014</v>
      </c>
      <c r="AG41" s="1925">
        <f>ОТЧЁТ!AL136</f>
        <v>1.026</v>
      </c>
      <c r="AH41" s="1925">
        <f>ОТЧЁТ!AM136</f>
        <v>1.0090000000000001</v>
      </c>
      <c r="AI41" s="1925">
        <f>ОТЧЁТ!AN136</f>
        <v>0.97900000000000009</v>
      </c>
      <c r="AJ41" s="1925">
        <f>ОТЧЁТ!AO136</f>
        <v>0.96399999999999997</v>
      </c>
      <c r="AK41" s="1925">
        <f>ОТЧЁТ!AP136</f>
        <v>1.0149999999999999</v>
      </c>
      <c r="AL41" s="1925">
        <f>ОТЧЁТ!AQ136</f>
        <v>1.0249999999999999</v>
      </c>
      <c r="AM41" s="1925">
        <f>ОТЧЁТ!AR136</f>
        <v>1.0029999999999999</v>
      </c>
      <c r="AN41" s="614"/>
      <c r="AO41" s="1923"/>
      <c r="AP41" s="614"/>
      <c r="AQ41" s="1904" t="str">
        <f t="shared" si="19"/>
        <v>pYG</v>
      </c>
      <c r="BD41" s="551" t="s">
        <v>368</v>
      </c>
      <c r="BE41" s="2242" t="s">
        <v>1281</v>
      </c>
      <c r="BF41" s="2242" t="s">
        <v>1865</v>
      </c>
      <c r="BT41" s="551" t="s">
        <v>368</v>
      </c>
      <c r="BU41" s="2242" t="s">
        <v>1275</v>
      </c>
      <c r="BV41" s="2242" t="s">
        <v>1866</v>
      </c>
      <c r="CJ41" s="771">
        <v>2027</v>
      </c>
      <c r="CK41" s="475"/>
      <c r="CL41" s="355"/>
      <c r="DA41" s="1193">
        <f t="shared" si="34"/>
        <v>0</v>
      </c>
      <c r="DE41" s="1218">
        <v>2025</v>
      </c>
      <c r="DF41" s="1182"/>
      <c r="DG41" s="558"/>
      <c r="DX41" s="2646">
        <v>2028</v>
      </c>
      <c r="DY41" s="1230"/>
      <c r="DZ41" s="2655"/>
      <c r="EA41" s="2655"/>
      <c r="EB41" s="2655"/>
      <c r="EC41" s="2656"/>
      <c r="ED41" s="1228"/>
      <c r="EE41" s="2655"/>
      <c r="EF41" s="2655"/>
      <c r="EG41" s="2656"/>
      <c r="EH41" s="2655"/>
      <c r="EI41" s="2656"/>
      <c r="EJ41" s="1228"/>
      <c r="EK41" s="2655"/>
      <c r="EL41" s="1228"/>
      <c r="EM41" s="495"/>
      <c r="EO41" s="1178">
        <v>2028</v>
      </c>
      <c r="EP41" s="1263"/>
      <c r="EQ41" s="1267"/>
      <c r="FH41" s="1234">
        <v>2028</v>
      </c>
      <c r="FI41" s="1230"/>
      <c r="FJ41" s="1227"/>
      <c r="FK41" s="1227"/>
      <c r="FL41" s="1229"/>
      <c r="GB41" s="1218">
        <v>2028</v>
      </c>
      <c r="GC41" s="1182"/>
      <c r="GD41" s="765"/>
      <c r="GE41" s="1198"/>
      <c r="GU41" s="1218">
        <v>2031</v>
      </c>
      <c r="GV41" s="1182"/>
      <c r="GW41" s="2394">
        <f t="shared" si="1"/>
        <v>40.719253539012676</v>
      </c>
      <c r="GX41" s="2394">
        <f t="shared" si="26"/>
        <v>19.082052573955004</v>
      </c>
      <c r="HY41" s="2407">
        <v>37</v>
      </c>
      <c r="HZ41" s="1218">
        <v>2031</v>
      </c>
      <c r="IA41" s="2556"/>
      <c r="IB41" s="2407">
        <v>15458.237424001558</v>
      </c>
      <c r="IC41" s="2407">
        <f t="shared" si="27"/>
        <v>15409.691900000002</v>
      </c>
      <c r="IX41" s="2407">
        <f t="shared" si="37"/>
        <v>15458.237424001558</v>
      </c>
    </row>
    <row r="42" spans="7:258" ht="21">
      <c r="L42" s="1893"/>
      <c r="M42" s="1909"/>
      <c r="N42" s="1909"/>
      <c r="O42" s="546" t="s">
        <v>728</v>
      </c>
      <c r="P42" s="136">
        <v>1</v>
      </c>
      <c r="Q42" s="1925">
        <f>P42*Q41</f>
        <v>1.0309999999999999</v>
      </c>
      <c r="R42" s="1925">
        <f t="shared" ref="R42:AM42" si="46">Q42*R41</f>
        <v>1.0062559999999998</v>
      </c>
      <c r="S42" s="1925">
        <f t="shared" si="46"/>
        <v>1.0163185599999998</v>
      </c>
      <c r="T42" s="1925">
        <f t="shared" si="46"/>
        <v>1.0478244353599997</v>
      </c>
      <c r="U42" s="1925">
        <f t="shared" si="46"/>
        <v>1.0687809240671997</v>
      </c>
      <c r="V42" s="1925">
        <f t="shared" si="46"/>
        <v>1.0602306766746621</v>
      </c>
      <c r="W42" s="1925">
        <f t="shared" si="46"/>
        <v>1.0877966742682033</v>
      </c>
      <c r="X42" s="1925">
        <f t="shared" si="46"/>
        <v>1.1139037944506402</v>
      </c>
      <c r="Y42" s="1925">
        <f t="shared" si="46"/>
        <v>1.1372957741341037</v>
      </c>
      <c r="Z42" s="1925">
        <f t="shared" si="46"/>
        <v>1.1532179149719812</v>
      </c>
      <c r="AA42" s="1925">
        <f t="shared" si="46"/>
        <v>1.1797419270163367</v>
      </c>
      <c r="AB42" s="1925">
        <f t="shared" si="46"/>
        <v>1.2115949590457777</v>
      </c>
      <c r="AC42" s="1925">
        <f t="shared" si="46"/>
        <v>1.2527891876533341</v>
      </c>
      <c r="AD42" s="1925">
        <f t="shared" si="46"/>
        <v>1.2452724525274141</v>
      </c>
      <c r="AE42" s="2245">
        <f t="shared" si="46"/>
        <v>1.2265933657395029</v>
      </c>
      <c r="AF42" s="1925">
        <f t="shared" si="46"/>
        <v>1.2437656728598561</v>
      </c>
      <c r="AG42" s="1925">
        <f t="shared" si="46"/>
        <v>1.2761035803542125</v>
      </c>
      <c r="AH42" s="1925">
        <f t="shared" si="46"/>
        <v>1.2875885125774005</v>
      </c>
      <c r="AI42" s="1925">
        <f t="shared" si="46"/>
        <v>1.2605491538132751</v>
      </c>
      <c r="AJ42" s="1925">
        <f t="shared" si="46"/>
        <v>1.2151693842759972</v>
      </c>
      <c r="AK42" s="1925">
        <f t="shared" si="46"/>
        <v>1.2333969250401371</v>
      </c>
      <c r="AL42" s="1925">
        <f t="shared" si="46"/>
        <v>1.2642318481661403</v>
      </c>
      <c r="AM42" s="1925">
        <f t="shared" si="46"/>
        <v>1.2680245437106386</v>
      </c>
      <c r="AN42" s="614"/>
      <c r="AO42" s="1923"/>
      <c r="AP42" s="614"/>
      <c r="AQ42" s="1904" t="str">
        <f t="shared" si="19"/>
        <v>Pg</v>
      </c>
      <c r="BD42" s="2241">
        <v>43910</v>
      </c>
      <c r="BE42" s="1506" t="s">
        <v>688</v>
      </c>
      <c r="BF42" s="1506" t="s">
        <v>688</v>
      </c>
      <c r="BT42" s="2241">
        <v>43910</v>
      </c>
      <c r="BU42" s="1506" t="s">
        <v>688</v>
      </c>
      <c r="BV42" s="1506" t="s">
        <v>688</v>
      </c>
      <c r="CJ42" s="771">
        <v>2028</v>
      </c>
      <c r="CK42" s="475"/>
      <c r="CL42" s="355"/>
      <c r="DA42" s="1193">
        <f t="shared" si="34"/>
        <v>0</v>
      </c>
      <c r="DE42" s="1218">
        <v>2026</v>
      </c>
      <c r="DF42" s="1182"/>
      <c r="DG42" s="558"/>
      <c r="DX42" s="2657">
        <v>2029</v>
      </c>
      <c r="DY42" s="1230"/>
      <c r="DZ42" s="2655"/>
      <c r="EA42" s="2655"/>
      <c r="EB42" s="2655"/>
      <c r="EC42" s="2656"/>
      <c r="ED42" s="1228"/>
      <c r="EE42" s="2655"/>
      <c r="EF42" s="2655"/>
      <c r="EG42" s="2656"/>
      <c r="EH42" s="2655"/>
      <c r="EI42" s="2656"/>
      <c r="EJ42" s="1228"/>
      <c r="EK42" s="2655"/>
      <c r="EL42" s="1228"/>
      <c r="EM42" s="495"/>
      <c r="EO42" s="1178">
        <v>2029</v>
      </c>
      <c r="EP42" s="1263"/>
      <c r="EQ42" s="1267"/>
      <c r="FH42" s="1234">
        <v>2029</v>
      </c>
      <c r="FI42" s="1230"/>
      <c r="FJ42" s="1227"/>
      <c r="FK42" s="1227"/>
      <c r="FL42" s="1229"/>
      <c r="GB42" s="1218">
        <v>2029</v>
      </c>
      <c r="GC42" s="1182"/>
      <c r="GD42" s="765"/>
      <c r="GE42" s="1198"/>
      <c r="GU42" s="1218">
        <v>2032</v>
      </c>
      <c r="GV42" s="1182"/>
      <c r="GW42" s="2394">
        <f t="shared" si="1"/>
        <v>42.755216215963316</v>
      </c>
      <c r="GX42" s="2394">
        <f t="shared" si="26"/>
        <v>19.484155202652754</v>
      </c>
      <c r="HY42" s="2407">
        <v>38</v>
      </c>
      <c r="HZ42" s="1218">
        <v>2032</v>
      </c>
      <c r="IA42" s="2556"/>
      <c r="IB42" s="2407">
        <v>16134.564868588497</v>
      </c>
      <c r="IC42" s="2407">
        <f t="shared" si="27"/>
        <v>16033.548400000001</v>
      </c>
      <c r="IX42" s="2407">
        <f t="shared" si="37"/>
        <v>16134.564868588497</v>
      </c>
    </row>
    <row r="43" spans="7:258" ht="21">
      <c r="L43" s="1893"/>
      <c r="M43" s="1909"/>
      <c r="N43" s="1909"/>
      <c r="O43" s="546" t="s">
        <v>640</v>
      </c>
      <c r="P43" s="136">
        <v>1</v>
      </c>
      <c r="Q43" s="1953">
        <f>Q40/Q44</f>
        <v>1.3930686182271845</v>
      </c>
      <c r="R43" s="1953">
        <f t="shared" ref="R43:AM43" si="47">R40/R44</f>
        <v>1.8000080782573098</v>
      </c>
      <c r="S43" s="1953">
        <f t="shared" si="47"/>
        <v>1.7787455021088285</v>
      </c>
      <c r="T43" s="1953">
        <f t="shared" si="47"/>
        <v>2.4627881934761957</v>
      </c>
      <c r="U43" s="1953">
        <f t="shared" si="47"/>
        <v>3.7854704885295649</v>
      </c>
      <c r="V43" s="1953">
        <f t="shared" si="47"/>
        <v>5.0878645956391404</v>
      </c>
      <c r="W43" s="1953">
        <f t="shared" si="47"/>
        <v>6.5528675715584006</v>
      </c>
      <c r="X43" s="1953">
        <f t="shared" si="47"/>
        <v>7.7958923176158716</v>
      </c>
      <c r="Y43" s="1953">
        <f t="shared" si="47"/>
        <v>9.32454487174126</v>
      </c>
      <c r="Z43" s="1953">
        <f t="shared" si="47"/>
        <v>11.601834838997735</v>
      </c>
      <c r="AA43" s="1953">
        <f t="shared" si="47"/>
        <v>14.558879763670303</v>
      </c>
      <c r="AB43" s="1953">
        <f t="shared" si="47"/>
        <v>17.418642331419541</v>
      </c>
      <c r="AC43" s="1953">
        <f t="shared" si="47"/>
        <v>21.558658204106848</v>
      </c>
      <c r="AD43" s="1953">
        <f t="shared" si="47"/>
        <v>23.771830652990928</v>
      </c>
      <c r="AE43" s="2246">
        <f t="shared" si="47"/>
        <v>25.942740710668115</v>
      </c>
      <c r="AF43" s="1953">
        <f t="shared" si="47"/>
        <v>31.060937552257776</v>
      </c>
      <c r="AG43" s="1953">
        <f t="shared" si="47"/>
        <v>34.957056458668305</v>
      </c>
      <c r="AH43" s="1953">
        <f t="shared" si="47"/>
        <v>38.623860073036887</v>
      </c>
      <c r="AI43" s="1953">
        <f t="shared" si="47"/>
        <v>41.260921847659759</v>
      </c>
      <c r="AJ43" s="1953">
        <f t="shared" si="47"/>
        <v>44.344749772395339</v>
      </c>
      <c r="AK43" s="1953">
        <f t="shared" si="47"/>
        <v>46.796704667591264</v>
      </c>
      <c r="AL43" s="1953">
        <f t="shared" si="47"/>
        <v>48.327851197265097</v>
      </c>
      <c r="AM43" s="1953">
        <f t="shared" si="47"/>
        <v>52.235265501486438</v>
      </c>
      <c r="AN43" s="614"/>
      <c r="AO43" s="1923"/>
      <c r="AP43" s="614"/>
      <c r="AQ43" s="1904" t="str">
        <f t="shared" ref="AQ43:AQ57" si="48">O43</f>
        <v>Dg</v>
      </c>
      <c r="BD43" s="813">
        <v>1995</v>
      </c>
      <c r="BE43" s="361">
        <f t="array" ref="BE43:BE66">TRANSPOSE(P60:AM60)</f>
        <v>1</v>
      </c>
      <c r="BF43" s="434">
        <f t="array" ref="BF43:BF66">TRANSPOSE(P80:AM80)</f>
        <v>1</v>
      </c>
      <c r="BT43" s="813">
        <v>1995</v>
      </c>
      <c r="BU43" s="361">
        <f t="array" ref="BU43:BU66">TRANSPOSE(P61:AM61)</f>
        <v>1</v>
      </c>
      <c r="BV43" s="434">
        <f t="array" ref="BV43:BV66">TRANSPOSE(P81:AM81)</f>
        <v>1</v>
      </c>
      <c r="CJ43" s="771">
        <v>2029</v>
      </c>
      <c r="CK43" s="475"/>
      <c r="CL43" s="355"/>
      <c r="DA43" s="1193">
        <f t="shared" si="34"/>
        <v>0</v>
      </c>
      <c r="DE43" s="1218">
        <v>2027</v>
      </c>
      <c r="DF43" s="1182"/>
      <c r="DG43" s="558"/>
      <c r="DX43" s="2658"/>
      <c r="DY43" s="2656"/>
      <c r="DZ43" s="2655"/>
      <c r="EA43" s="2655"/>
      <c r="EB43" s="2655"/>
      <c r="EC43" s="2656"/>
      <c r="ED43" s="1228"/>
      <c r="EE43" s="2655"/>
      <c r="EF43" s="2655"/>
      <c r="EG43" s="2656"/>
      <c r="EH43" s="2655"/>
      <c r="EI43" s="2656"/>
      <c r="EJ43" s="1228"/>
      <c r="EK43" s="2655"/>
      <c r="EL43" s="1228"/>
      <c r="EM43" s="495"/>
      <c r="EO43" s="1179">
        <v>2030</v>
      </c>
      <c r="EP43" s="1264"/>
      <c r="EQ43" s="1268"/>
      <c r="FH43" s="1235">
        <v>2030</v>
      </c>
      <c r="FI43" s="1231"/>
      <c r="FJ43" s="1232"/>
      <c r="FK43" s="1232"/>
      <c r="FL43" s="1233"/>
      <c r="GB43" s="1214">
        <v>2030</v>
      </c>
      <c r="GC43" s="1021"/>
      <c r="GD43" s="557"/>
      <c r="GE43" s="1199"/>
      <c r="GU43" s="1218">
        <v>2033</v>
      </c>
      <c r="GV43" s="1182"/>
      <c r="GW43" s="2394">
        <f t="shared" si="1"/>
        <v>44.892977026761486</v>
      </c>
      <c r="GX43" s="2394">
        <f t="shared" si="26"/>
        <v>19.906362962785394</v>
      </c>
      <c r="HY43" s="2407">
        <v>39</v>
      </c>
      <c r="HZ43" s="1218">
        <v>2033</v>
      </c>
      <c r="IA43" s="2556"/>
      <c r="IB43" s="2407">
        <v>16838.310389353599</v>
      </c>
      <c r="IC43" s="2407">
        <f t="shared" si="27"/>
        <v>16675.991099999999</v>
      </c>
      <c r="IX43" s="2407">
        <f t="shared" si="37"/>
        <v>16838.310389353599</v>
      </c>
    </row>
    <row r="44" spans="7:258" ht="21">
      <c r="L44" s="1893"/>
      <c r="M44" s="1909"/>
      <c r="N44" s="1909"/>
      <c r="O44" s="546" t="s">
        <v>729</v>
      </c>
      <c r="P44" s="1924">
        <f>P40</f>
        <v>272.50150000000002</v>
      </c>
      <c r="Q44" s="1924">
        <f>$P44*Q42</f>
        <v>280.94904650000001</v>
      </c>
      <c r="R44" s="1924">
        <f t="shared" ref="R44:AM44" si="49">$P44*R42</f>
        <v>274.206269384</v>
      </c>
      <c r="S44" s="1924">
        <f t="shared" si="49"/>
        <v>276.94833207783995</v>
      </c>
      <c r="T44" s="1924">
        <f t="shared" si="49"/>
        <v>285.53373037225299</v>
      </c>
      <c r="U44" s="1924">
        <f t="shared" si="49"/>
        <v>291.24440497969806</v>
      </c>
      <c r="V44" s="1924">
        <f t="shared" si="49"/>
        <v>288.91444973986046</v>
      </c>
      <c r="W44" s="1924">
        <f t="shared" si="49"/>
        <v>296.42622543309682</v>
      </c>
      <c r="X44" s="1924">
        <f t="shared" si="49"/>
        <v>303.54045484349115</v>
      </c>
      <c r="Y44" s="1924">
        <f t="shared" si="49"/>
        <v>309.9148043952045</v>
      </c>
      <c r="Z44" s="1924">
        <f t="shared" si="49"/>
        <v>314.25361165673735</v>
      </c>
      <c r="AA44" s="1924">
        <f t="shared" si="49"/>
        <v>321.48144472484233</v>
      </c>
      <c r="AB44" s="1924">
        <f t="shared" si="49"/>
        <v>330.16144373241303</v>
      </c>
      <c r="AC44" s="1924">
        <f t="shared" si="49"/>
        <v>341.38693281931506</v>
      </c>
      <c r="AD44" s="1924">
        <f t="shared" si="49"/>
        <v>339.33861122239915</v>
      </c>
      <c r="AE44" s="1924">
        <f t="shared" si="49"/>
        <v>334.24853205406316</v>
      </c>
      <c r="AF44" s="1924">
        <f t="shared" si="49"/>
        <v>338.92801150282008</v>
      </c>
      <c r="AG44" s="1924">
        <f t="shared" si="49"/>
        <v>347.74013980189346</v>
      </c>
      <c r="AH44" s="1924">
        <f t="shared" si="49"/>
        <v>350.86980106011055</v>
      </c>
      <c r="AI44" s="1924">
        <f t="shared" si="49"/>
        <v>343.5015352378482</v>
      </c>
      <c r="AJ44" s="1924">
        <f t="shared" si="49"/>
        <v>331.13547996928565</v>
      </c>
      <c r="AK44" s="1924">
        <f t="shared" si="49"/>
        <v>336.10251216882494</v>
      </c>
      <c r="AL44" s="1924">
        <f t="shared" si="49"/>
        <v>344.50507497304551</v>
      </c>
      <c r="AM44" s="1924">
        <f t="shared" si="49"/>
        <v>345.5385901979646</v>
      </c>
      <c r="AN44" s="614"/>
      <c r="AO44" s="1923"/>
      <c r="AP44" s="614"/>
      <c r="AQ44" s="1904" t="str">
        <f t="shared" si="48"/>
        <v>YGS</v>
      </c>
      <c r="BD44" s="2212">
        <v>1996</v>
      </c>
      <c r="BE44" s="362">
        <v>1.0369999999999999</v>
      </c>
      <c r="BF44" s="364">
        <v>1.0551214093635801</v>
      </c>
      <c r="BT44" s="2212">
        <v>1996</v>
      </c>
      <c r="BU44" s="362">
        <v>1.2062700474653716</v>
      </c>
      <c r="BV44" s="364">
        <v>1.1463921152743082</v>
      </c>
      <c r="CJ44" s="771">
        <v>2030</v>
      </c>
      <c r="CK44" s="475"/>
      <c r="CL44" s="355"/>
      <c r="DA44" s="1193">
        <f t="shared" ref="DA44:DA48" si="50">CL44</f>
        <v>0</v>
      </c>
      <c r="DE44" s="1218">
        <v>2028</v>
      </c>
      <c r="DF44" s="1182"/>
      <c r="DG44" s="558"/>
      <c r="DX44" s="2628">
        <v>2030</v>
      </c>
      <c r="DY44" s="1231"/>
      <c r="DZ44" s="2659"/>
      <c r="EA44" s="2659"/>
      <c r="EB44" s="2659"/>
      <c r="EC44" s="1231"/>
      <c r="ED44" s="2660"/>
      <c r="EE44" s="2659"/>
      <c r="EF44" s="2659"/>
      <c r="EG44" s="1231"/>
      <c r="EH44" s="2659"/>
      <c r="EI44" s="1231"/>
      <c r="EJ44" s="2660"/>
      <c r="EK44" s="2659"/>
      <c r="EL44" s="2660"/>
      <c r="EM44" s="495"/>
      <c r="FS44" s="24"/>
      <c r="FT44" s="24"/>
      <c r="FU44" s="24"/>
      <c r="FV44" s="24"/>
      <c r="FW44" s="24"/>
      <c r="FX44" s="24"/>
      <c r="FY44" s="24"/>
      <c r="GB44" s="599"/>
      <c r="GU44" s="1218">
        <v>2034</v>
      </c>
      <c r="GV44" s="1182"/>
      <c r="GW44" s="2394">
        <f t="shared" si="1"/>
        <v>47.137625878099563</v>
      </c>
      <c r="GX44" s="2394">
        <f t="shared" si="26"/>
        <v>20.349681110924664</v>
      </c>
      <c r="HY44" s="2407">
        <v>40</v>
      </c>
      <c r="HZ44" s="1218">
        <v>2034</v>
      </c>
      <c r="IA44" s="2556"/>
      <c r="IB44" s="2407">
        <v>17569.97036030794</v>
      </c>
      <c r="IC44" s="2407">
        <f t="shared" si="27"/>
        <v>17337.020000000004</v>
      </c>
      <c r="IX44" s="2407">
        <f t="shared" si="37"/>
        <v>17569.97036030794</v>
      </c>
    </row>
    <row r="45" spans="7:258" ht="20.399999999999999">
      <c r="G45" s="21"/>
      <c r="H45" s="21"/>
      <c r="I45" s="21"/>
      <c r="J45" s="21"/>
      <c r="L45" s="1910" t="s">
        <v>697</v>
      </c>
      <c r="M45" s="1909" t="s">
        <v>730</v>
      </c>
      <c r="N45" s="1909"/>
      <c r="O45" s="1888" t="s">
        <v>731</v>
      </c>
      <c r="P45" s="1930">
        <v>24.299299999999999</v>
      </c>
      <c r="Q45" s="1924">
        <f>ОТЧЁТ!V71</f>
        <v>36.661499999999997</v>
      </c>
      <c r="R45" s="1924">
        <f>ОТЧЁТ!W71</f>
        <v>47.3504</v>
      </c>
      <c r="S45" s="1924">
        <f>ОТЧЁТ!X71</f>
        <v>48.8855</v>
      </c>
      <c r="T45" s="1924">
        <f>ОТЧЁТ!Y71</f>
        <v>56.301099999999998</v>
      </c>
      <c r="U45" s="1924">
        <f>ОТЧЁТ!Z71</f>
        <v>79.116500000000002</v>
      </c>
      <c r="V45" s="1924">
        <f>ОТЧЁТ!AA71</f>
        <v>98.781899999999993</v>
      </c>
      <c r="W45" s="1924">
        <f>ОТЧЁТ!AB71</f>
        <v>132.51599999999999</v>
      </c>
      <c r="X45" s="1924">
        <f>ОТЧЁТ!AC71</f>
        <v>154.91739999999999</v>
      </c>
      <c r="Y45" s="1924">
        <f>ОТЧЁТ!AD71</f>
        <v>149.55099999999999</v>
      </c>
      <c r="Z45" s="1924">
        <f>ОТЧЁТ!AE71</f>
        <v>139.37289999999999</v>
      </c>
      <c r="AA45" s="1924">
        <f>ОТЧЁТ!AF71</f>
        <v>154.58760000000001</v>
      </c>
      <c r="AB45" s="1924">
        <f>ОТЧЁТ!AG71</f>
        <v>185.87559999999999</v>
      </c>
      <c r="AC45" s="1924">
        <f>ОТЧЁТ!AH71</f>
        <v>216.71250000000001</v>
      </c>
      <c r="AD45" s="1924">
        <f>ОТЧЁТ!AI71</f>
        <v>216.99639999999999</v>
      </c>
      <c r="AE45" s="1930">
        <f>ОТЧЁТ!AJ71</f>
        <v>225.726</v>
      </c>
      <c r="AF45" s="1931">
        <f>ОТЧЁТ!AK71</f>
        <v>225.33240000000001</v>
      </c>
      <c r="AG45" s="1931">
        <f>ОТЧЁТ!AL71</f>
        <v>247.44670000000002</v>
      </c>
      <c r="AH45" s="1931">
        <f>ОТЧЁТ!AM71</f>
        <v>257.19670000000002</v>
      </c>
      <c r="AI45" s="1931">
        <f>ОТЧЁТ!AN71</f>
        <v>290.19099999999997</v>
      </c>
      <c r="AJ45" s="1931">
        <f>ОТЧЁТ!AO71</f>
        <v>314.08699999999999</v>
      </c>
      <c r="AK45" s="1931">
        <f>ОТЧЁТ!AP71</f>
        <v>344.22899999999998</v>
      </c>
      <c r="AL45" s="1931">
        <f>ОТЧЁТ!AQ71</f>
        <v>380.678</v>
      </c>
      <c r="AM45" s="1931">
        <f>ОТЧЁТ!AR71</f>
        <v>432.62599999999998</v>
      </c>
      <c r="AN45" s="614"/>
      <c r="AO45" s="1923"/>
      <c r="AP45" s="614"/>
      <c r="AQ45" s="1904" t="str">
        <f t="shared" si="48"/>
        <v>YNK</v>
      </c>
      <c r="BD45" s="2212">
        <v>1997</v>
      </c>
      <c r="BE45" s="362">
        <v>1.0318149999999999</v>
      </c>
      <c r="BF45" s="364">
        <v>1.0637119701590636</v>
      </c>
      <c r="BT45" s="2212">
        <v>1997</v>
      </c>
      <c r="BU45" s="362">
        <v>1.3416177583578945</v>
      </c>
      <c r="BV45" s="364">
        <v>1.2513079717780973</v>
      </c>
      <c r="CJ45" s="771">
        <v>2031</v>
      </c>
      <c r="CK45" s="475"/>
      <c r="CL45" s="355"/>
      <c r="DA45" s="1193">
        <f t="shared" si="50"/>
        <v>0</v>
      </c>
      <c r="DE45" s="1218">
        <v>2029</v>
      </c>
      <c r="DF45" s="1182"/>
      <c r="DG45" s="558"/>
      <c r="GU45" s="2147">
        <v>2035</v>
      </c>
      <c r="GV45" s="3"/>
      <c r="GW45" s="2584">
        <f t="shared" si="1"/>
        <v>49.494507172004546</v>
      </c>
      <c r="GX45" s="2584">
        <f t="shared" si="26"/>
        <v>20.815165166470898</v>
      </c>
      <c r="HY45" s="2557">
        <v>41</v>
      </c>
      <c r="HZ45" s="1496">
        <v>2035</v>
      </c>
      <c r="IA45" s="1497"/>
      <c r="IB45" s="2557">
        <v>18330.033333654035</v>
      </c>
      <c r="IC45" s="2557">
        <f t="shared" si="27"/>
        <v>18016.6351</v>
      </c>
      <c r="IX45" s="2557">
        <f t="shared" si="37"/>
        <v>18330.033333654035</v>
      </c>
    </row>
    <row r="46" spans="7:258" ht="21" thickBot="1">
      <c r="L46" s="1910" t="s">
        <v>697</v>
      </c>
      <c r="M46" s="1909"/>
      <c r="N46" s="1909"/>
      <c r="O46" s="546" t="s">
        <v>565</v>
      </c>
      <c r="P46" s="136">
        <v>0.69499999999999995</v>
      </c>
      <c r="Q46" s="136">
        <f>ОТЧЁТ!V137</f>
        <v>1.006</v>
      </c>
      <c r="R46" s="136">
        <f>ОТЧЁТ!W137</f>
        <v>0.99199999999999999</v>
      </c>
      <c r="S46" s="136">
        <f>ОТЧЁТ!X137</f>
        <v>1.0049999999999999</v>
      </c>
      <c r="T46" s="136">
        <f>ОТЧЁТ!Y137</f>
        <v>0.98599999999999999</v>
      </c>
      <c r="U46" s="136">
        <f>ОТЧЁТ!Z137</f>
        <v>1.016</v>
      </c>
      <c r="V46" s="136">
        <f>ОТЧЁТ!AA137</f>
        <v>1.0189999999999999</v>
      </c>
      <c r="W46" s="136">
        <f>ОТЧЁТ!AB137</f>
        <v>1.008</v>
      </c>
      <c r="X46" s="136">
        <f>ОТЧЁТ!AC137</f>
        <v>1.0009999999999999</v>
      </c>
      <c r="Y46" s="136">
        <f>ОТЧЁТ!AD137</f>
        <v>0.88900000000000001</v>
      </c>
      <c r="Z46" s="136">
        <f>ОТЧЁТ!AE137</f>
        <v>0.81699999999999995</v>
      </c>
      <c r="AA46" s="136">
        <f>ОТЧЁТ!AF137</f>
        <v>0.98299999999999998</v>
      </c>
      <c r="AB46" s="136">
        <f>ОТЧЁТ!AG137</f>
        <v>1.0269999999999999</v>
      </c>
      <c r="AC46" s="136">
        <f>ОТЧЁТ!AH137</f>
        <v>0.98599999999999999</v>
      </c>
      <c r="AD46" s="136">
        <f>ОТЧЁТ!AI137</f>
        <v>0.92</v>
      </c>
      <c r="AE46" s="1922">
        <f>ОТЧЁТ!AJ137</f>
        <v>0.995</v>
      </c>
      <c r="AF46" s="136">
        <f>ОТЧЁТ!AK137</f>
        <v>0.95099999999999996</v>
      </c>
      <c r="AG46" s="136">
        <f>ОТЧЁТ!AL137</f>
        <v>0.99</v>
      </c>
      <c r="AH46" s="136">
        <f>ОТЧЁТ!AM137</f>
        <v>0.98799999999999999</v>
      </c>
      <c r="AI46" s="1925">
        <f>ОТЧЁТ!AN137</f>
        <v>1</v>
      </c>
      <c r="AJ46" s="1925">
        <f>ОТЧЁТ!AO137</f>
        <v>0.97099999999999997</v>
      </c>
      <c r="AK46" s="136">
        <f>ОТЧЁТ!AP137</f>
        <v>1.01</v>
      </c>
      <c r="AL46" s="136">
        <f>ОТЧЁТ!AQ137</f>
        <v>1.0049999999999999</v>
      </c>
      <c r="AM46" s="136">
        <f>ОТЧЁТ!AR137</f>
        <v>1.0449999999999999</v>
      </c>
      <c r="AN46" s="614"/>
      <c r="AO46" s="1923"/>
      <c r="AP46" s="614"/>
      <c r="AQ46" s="1904" t="str">
        <f t="shared" si="48"/>
        <v>pYNK</v>
      </c>
      <c r="BD46" s="2212">
        <v>1998</v>
      </c>
      <c r="BE46" s="362">
        <v>1.0514194849999998</v>
      </c>
      <c r="BF46" s="364">
        <v>0.88314145147840806</v>
      </c>
      <c r="BT46" s="2212">
        <v>1998</v>
      </c>
      <c r="BU46" s="362">
        <v>1.8660673788361899</v>
      </c>
      <c r="BV46" s="364">
        <v>1.7757982734232483</v>
      </c>
      <c r="CJ46" s="771">
        <v>2032</v>
      </c>
      <c r="CK46" s="475"/>
      <c r="CL46" s="355"/>
      <c r="DA46" s="1193">
        <f t="shared" si="50"/>
        <v>0</v>
      </c>
      <c r="DE46" s="1217">
        <v>2030</v>
      </c>
      <c r="DF46" s="1021"/>
      <c r="DG46" s="1183"/>
    </row>
    <row r="47" spans="7:258" ht="27.6">
      <c r="L47" s="1893"/>
      <c r="M47" s="1909"/>
      <c r="N47" s="1909"/>
      <c r="O47" s="546" t="s">
        <v>732</v>
      </c>
      <c r="P47" s="136">
        <v>1</v>
      </c>
      <c r="Q47" s="1925">
        <f>P47*Q46</f>
        <v>1.006</v>
      </c>
      <c r="R47" s="1925">
        <f t="shared" ref="R47:AK47" si="51">Q47*R46</f>
        <v>0.99795199999999995</v>
      </c>
      <c r="S47" s="1925">
        <f t="shared" si="51"/>
        <v>1.0029417599999999</v>
      </c>
      <c r="T47" s="1925">
        <f t="shared" si="51"/>
        <v>0.98890057535999987</v>
      </c>
      <c r="U47" s="1925">
        <f t="shared" si="51"/>
        <v>1.0047229845657599</v>
      </c>
      <c r="V47" s="1925">
        <f t="shared" si="51"/>
        <v>1.0238127212725092</v>
      </c>
      <c r="W47" s="1925">
        <f t="shared" si="51"/>
        <v>1.0320032230426892</v>
      </c>
      <c r="X47" s="1925">
        <f t="shared" si="51"/>
        <v>1.0330352262657319</v>
      </c>
      <c r="Y47" s="1925">
        <f t="shared" si="51"/>
        <v>0.91836831615023562</v>
      </c>
      <c r="Z47" s="1925">
        <f t="shared" si="51"/>
        <v>0.7503069142947425</v>
      </c>
      <c r="AA47" s="1925">
        <f t="shared" si="51"/>
        <v>0.73755169675173182</v>
      </c>
      <c r="AB47" s="1925">
        <f t="shared" si="51"/>
        <v>0.75746559256402857</v>
      </c>
      <c r="AC47" s="1925">
        <f t="shared" si="51"/>
        <v>0.7468610742681322</v>
      </c>
      <c r="AD47" s="1925">
        <f t="shared" si="51"/>
        <v>0.68711218832668164</v>
      </c>
      <c r="AE47" s="1942">
        <f t="shared" si="51"/>
        <v>0.6836766273850482</v>
      </c>
      <c r="AF47" s="1955">
        <f t="shared" si="51"/>
        <v>0.65017647264318079</v>
      </c>
      <c r="AG47" s="1955">
        <f t="shared" si="51"/>
        <v>0.64367470791674897</v>
      </c>
      <c r="AH47" s="1955">
        <f t="shared" si="51"/>
        <v>0.63595061142174802</v>
      </c>
      <c r="AI47" s="1955">
        <f t="shared" si="51"/>
        <v>0.63595061142174802</v>
      </c>
      <c r="AJ47" s="1955">
        <f t="shared" si="51"/>
        <v>0.61750804369051726</v>
      </c>
      <c r="AK47" s="1955">
        <f t="shared" si="51"/>
        <v>0.62368312412742244</v>
      </c>
      <c r="AL47" s="1955">
        <f>AK47*AL46</f>
        <v>0.62680153974805952</v>
      </c>
      <c r="AM47" s="1955">
        <f>AL47*AM46</f>
        <v>0.65500760903672217</v>
      </c>
      <c r="AN47" s="614"/>
      <c r="AO47" s="1923"/>
      <c r="AP47" s="614"/>
      <c r="AQ47" s="1904" t="str">
        <f t="shared" si="48"/>
        <v>Pnk</v>
      </c>
      <c r="BD47" s="2212">
        <v>1999</v>
      </c>
      <c r="BE47" s="362">
        <v>1.1691784673199999</v>
      </c>
      <c r="BF47" s="364">
        <v>0.94351478283205603</v>
      </c>
      <c r="BT47" s="2212">
        <v>1999</v>
      </c>
      <c r="BU47" s="362">
        <v>4.2606518536034752</v>
      </c>
      <c r="BV47" s="364">
        <v>4.3836468174313552</v>
      </c>
      <c r="CJ47" s="771">
        <v>2033</v>
      </c>
      <c r="CK47" s="475"/>
      <c r="CL47" s="355"/>
      <c r="DA47" s="1193">
        <f t="shared" si="50"/>
        <v>0</v>
      </c>
      <c r="DZ47" s="2503" t="s">
        <v>695</v>
      </c>
      <c r="EA47" s="2382" t="s">
        <v>1892</v>
      </c>
      <c r="EB47" s="2383" t="s">
        <v>614</v>
      </c>
      <c r="ES47" s="2502" t="s">
        <v>695</v>
      </c>
      <c r="ET47" s="2500" t="s">
        <v>656</v>
      </c>
      <c r="EU47" s="2500" t="s">
        <v>1954</v>
      </c>
      <c r="FA47" s="70"/>
      <c r="FB47" s="87"/>
      <c r="FC47" s="87"/>
      <c r="FD47" s="552"/>
      <c r="FE47" s="70"/>
      <c r="FL47" s="1562" t="s">
        <v>368</v>
      </c>
      <c r="FM47" s="1456" t="s">
        <v>654</v>
      </c>
      <c r="FN47" s="1456" t="s">
        <v>630</v>
      </c>
      <c r="FO47" s="2666" t="s">
        <v>1621</v>
      </c>
      <c r="FP47" s="2666" t="s">
        <v>1622</v>
      </c>
      <c r="GH47" s="2385" t="s">
        <v>368</v>
      </c>
      <c r="GI47" s="2269" t="s">
        <v>656</v>
      </c>
      <c r="GJ47" s="2269" t="s">
        <v>660</v>
      </c>
      <c r="GK47" s="2269" t="s">
        <v>1894</v>
      </c>
      <c r="HC47" s="2385" t="s">
        <v>368</v>
      </c>
      <c r="HD47" s="2269" t="s">
        <v>450</v>
      </c>
      <c r="HE47" s="2269" t="s">
        <v>439</v>
      </c>
      <c r="HF47" s="2269" t="s">
        <v>1894</v>
      </c>
      <c r="HZ47" s="1562" t="s">
        <v>368</v>
      </c>
      <c r="IA47" s="2269" t="s">
        <v>2145</v>
      </c>
      <c r="IB47" s="2269" t="s">
        <v>656</v>
      </c>
      <c r="IC47" s="2269"/>
    </row>
    <row r="48" spans="7:258" ht="18.600000000000001" thickBot="1">
      <c r="L48" s="1893"/>
      <c r="M48" s="1909"/>
      <c r="N48" s="1909"/>
      <c r="O48" s="546" t="s">
        <v>642</v>
      </c>
      <c r="P48" s="136">
        <v>1</v>
      </c>
      <c r="Q48" s="1953">
        <f>Q45/Q49</f>
        <v>1.4997486735151189</v>
      </c>
      <c r="R48" s="1953">
        <f t="shared" ref="R48:AM48" si="52">R45/R49</f>
        <v>1.9526312539350381</v>
      </c>
      <c r="S48" s="1953">
        <f t="shared" si="52"/>
        <v>2.0059060303554479</v>
      </c>
      <c r="T48" s="1953">
        <f t="shared" si="52"/>
        <v>2.3429902839701637</v>
      </c>
      <c r="U48" s="1953">
        <f t="shared" si="52"/>
        <v>3.2406114791110681</v>
      </c>
      <c r="V48" s="1953">
        <f t="shared" si="52"/>
        <v>3.97066356566005</v>
      </c>
      <c r="W48" s="1953">
        <f t="shared" si="52"/>
        <v>5.2843734476785453</v>
      </c>
      <c r="X48" s="1953">
        <f t="shared" si="52"/>
        <v>6.1715081316356093</v>
      </c>
      <c r="Y48" s="1953">
        <f t="shared" si="52"/>
        <v>6.7016025302099056</v>
      </c>
      <c r="Z48" s="1953">
        <f t="shared" si="52"/>
        <v>7.6444391008680617</v>
      </c>
      <c r="AA48" s="1953">
        <f t="shared" si="52"/>
        <v>8.6255823418854529</v>
      </c>
      <c r="AB48" s="1953">
        <f t="shared" si="52"/>
        <v>10.098705571453516</v>
      </c>
      <c r="AC48" s="1953">
        <f t="shared" si="52"/>
        <v>11.941266045828566</v>
      </c>
      <c r="AD48" s="1953">
        <f t="shared" si="52"/>
        <v>12.996640727607122</v>
      </c>
      <c r="AE48" s="1954">
        <f t="shared" si="52"/>
        <v>13.587422805401822</v>
      </c>
      <c r="AF48" s="1956">
        <f t="shared" si="52"/>
        <v>14.262597604124318</v>
      </c>
      <c r="AG48" s="1956">
        <f t="shared" si="52"/>
        <v>15.820545673088896</v>
      </c>
      <c r="AH48" s="1956">
        <f t="shared" si="52"/>
        <v>16.643637181160418</v>
      </c>
      <c r="AI48" s="1956">
        <f t="shared" si="52"/>
        <v>18.778754615584578</v>
      </c>
      <c r="AJ48" s="1956">
        <f t="shared" si="52"/>
        <v>20.932137525435952</v>
      </c>
      <c r="AK48" s="1956">
        <f t="shared" si="52"/>
        <v>22.713794876355891</v>
      </c>
      <c r="AL48" s="1956">
        <f t="shared" si="52"/>
        <v>24.993896175246313</v>
      </c>
      <c r="AM48" s="1956">
        <f t="shared" si="52"/>
        <v>27.181442967904612</v>
      </c>
      <c r="AN48" s="614"/>
      <c r="AO48" s="1923"/>
      <c r="AP48" s="614"/>
      <c r="AQ48" s="1904" t="str">
        <f t="shared" si="48"/>
        <v>Dnk</v>
      </c>
      <c r="BD48" s="2212">
        <v>2000</v>
      </c>
      <c r="BE48" s="362">
        <v>1.2802504217153998</v>
      </c>
      <c r="BF48" s="364">
        <v>1.2247462277047632</v>
      </c>
      <c r="BT48" s="2212">
        <v>2000</v>
      </c>
      <c r="BU48" s="362">
        <v>6.0082118596068304</v>
      </c>
      <c r="BV48" s="364">
        <v>5.4226708047280461</v>
      </c>
      <c r="CJ48" s="771">
        <v>2034</v>
      </c>
      <c r="CK48" s="475"/>
      <c r="CL48" s="355"/>
      <c r="DA48" s="1193">
        <f t="shared" si="50"/>
        <v>0</v>
      </c>
      <c r="DZ48" s="1561">
        <v>43919</v>
      </c>
      <c r="EA48" s="2375" t="s">
        <v>1893</v>
      </c>
      <c r="EB48" s="2376" t="s">
        <v>1893</v>
      </c>
      <c r="ES48" s="1561">
        <v>43935</v>
      </c>
      <c r="ET48" s="789" t="s">
        <v>46</v>
      </c>
      <c r="EU48" s="825" t="s">
        <v>46</v>
      </c>
      <c r="FA48" s="70"/>
      <c r="FB48" s="87"/>
      <c r="FC48" s="87"/>
      <c r="FD48" s="552"/>
      <c r="FE48" s="70"/>
      <c r="FL48" s="1197">
        <v>43919</v>
      </c>
      <c r="FM48" s="2359" t="s">
        <v>688</v>
      </c>
      <c r="FN48" s="1384" t="s">
        <v>688</v>
      </c>
      <c r="FO48" s="1384" t="s">
        <v>688</v>
      </c>
      <c r="FP48" s="2107" t="s">
        <v>688</v>
      </c>
      <c r="GH48" s="1197">
        <v>43920</v>
      </c>
      <c r="GI48" s="2390" t="s">
        <v>46</v>
      </c>
      <c r="GJ48" s="2391" t="s">
        <v>46</v>
      </c>
      <c r="GK48" s="2391" t="s">
        <v>46</v>
      </c>
      <c r="HC48" s="1197">
        <v>43920</v>
      </c>
      <c r="HD48" s="2390" t="s">
        <v>46</v>
      </c>
      <c r="HE48" s="2391" t="s">
        <v>46</v>
      </c>
      <c r="HF48" s="2391" t="s">
        <v>46</v>
      </c>
      <c r="HZ48" s="1197">
        <v>43946</v>
      </c>
      <c r="IA48" s="2390" t="s">
        <v>46</v>
      </c>
      <c r="IB48" s="2391" t="s">
        <v>46</v>
      </c>
      <c r="IC48" s="2391" t="s">
        <v>46</v>
      </c>
    </row>
    <row r="49" spans="12:253" ht="21">
      <c r="L49" s="1893"/>
      <c r="M49" s="1909"/>
      <c r="N49" s="1909"/>
      <c r="O49" s="546" t="s">
        <v>733</v>
      </c>
      <c r="P49" s="1924">
        <v>24.299299999999999</v>
      </c>
      <c r="Q49" s="1956">
        <f t="shared" ref="Q49:AM49" si="53">$P49*Q47</f>
        <v>24.445095799999997</v>
      </c>
      <c r="R49" s="1956">
        <f t="shared" si="53"/>
        <v>24.249535033599997</v>
      </c>
      <c r="S49" s="1956">
        <f t="shared" si="53"/>
        <v>24.370782708767997</v>
      </c>
      <c r="T49" s="1956">
        <f t="shared" si="53"/>
        <v>24.029591750845242</v>
      </c>
      <c r="U49" s="1956">
        <f t="shared" si="53"/>
        <v>24.41406521885877</v>
      </c>
      <c r="V49" s="1956">
        <f t="shared" si="53"/>
        <v>24.877932458017082</v>
      </c>
      <c r="W49" s="1956">
        <f t="shared" si="53"/>
        <v>25.076955917681218</v>
      </c>
      <c r="X49" s="1956">
        <f t="shared" si="53"/>
        <v>25.102032873598898</v>
      </c>
      <c r="Y49" s="1956">
        <f t="shared" si="53"/>
        <v>22.315707224629421</v>
      </c>
      <c r="Z49" s="1956">
        <f t="shared" si="53"/>
        <v>18.231932802522234</v>
      </c>
      <c r="AA49" s="1956">
        <f t="shared" si="53"/>
        <v>17.921989944879357</v>
      </c>
      <c r="AB49" s="1956">
        <f t="shared" si="53"/>
        <v>18.405883673391099</v>
      </c>
      <c r="AC49" s="1956">
        <f t="shared" si="53"/>
        <v>18.148201301963624</v>
      </c>
      <c r="AD49" s="1956">
        <f t="shared" si="53"/>
        <v>16.696345197806533</v>
      </c>
      <c r="AE49" s="1954">
        <f t="shared" si="53"/>
        <v>16.612863471817501</v>
      </c>
      <c r="AF49" s="1956">
        <f t="shared" si="53"/>
        <v>15.798833161698441</v>
      </c>
      <c r="AG49" s="1956">
        <f t="shared" si="53"/>
        <v>15.640844830081457</v>
      </c>
      <c r="AH49" s="1956">
        <f t="shared" si="53"/>
        <v>15.453154692120481</v>
      </c>
      <c r="AI49" s="1956">
        <f t="shared" si="53"/>
        <v>15.453154692120481</v>
      </c>
      <c r="AJ49" s="1956">
        <f t="shared" si="53"/>
        <v>15.005013206048986</v>
      </c>
      <c r="AK49" s="1956">
        <f t="shared" si="53"/>
        <v>15.155063338109475</v>
      </c>
      <c r="AL49" s="1956">
        <f t="shared" si="53"/>
        <v>15.230838654800023</v>
      </c>
      <c r="AM49" s="1956">
        <f t="shared" si="53"/>
        <v>15.916226394266022</v>
      </c>
      <c r="AN49" s="614"/>
      <c r="AO49" s="1923"/>
      <c r="AP49" s="614"/>
      <c r="AQ49" s="1904" t="str">
        <f t="shared" si="48"/>
        <v>YNKS</v>
      </c>
      <c r="BD49" s="2212">
        <v>2001</v>
      </c>
      <c r="BE49" s="362">
        <v>1.3340209394274467</v>
      </c>
      <c r="BF49" s="364">
        <v>1.3476514205322294</v>
      </c>
      <c r="BT49" s="2212">
        <v>2001</v>
      </c>
      <c r="BU49" s="362">
        <v>5.9105900050191611</v>
      </c>
      <c r="BV49" s="364">
        <v>5.4161394271000178</v>
      </c>
      <c r="CJ49" s="2286">
        <v>2035</v>
      </c>
      <c r="CK49" s="2335"/>
      <c r="CL49" s="357"/>
      <c r="DA49" s="2287">
        <f>CL49</f>
        <v>0</v>
      </c>
      <c r="DZ49" s="1272">
        <v>1995</v>
      </c>
      <c r="EA49" s="2377">
        <f t="array" ref="EA49:EA72">TRANSPOSE(ОТЧЁТ!U156:AR156)</f>
        <v>1</v>
      </c>
      <c r="EB49" s="2272">
        <f t="array" ref="EB49:EB72">TRANSPOSE(ОТЧЁТ!U157:AR157)</f>
        <v>1</v>
      </c>
      <c r="ES49" s="1234">
        <v>1995</v>
      </c>
      <c r="ET49" s="2504">
        <f>EG8</f>
        <v>230.40700000000001</v>
      </c>
      <c r="EU49" s="2505">
        <f>EI8</f>
        <v>0</v>
      </c>
      <c r="FL49" s="1218">
        <v>1995</v>
      </c>
      <c r="FM49" s="1257">
        <f t="array" ref="FM49:FM72">TRANSPOSE(ОТЧЁТ!U192:AR192)</f>
        <v>1</v>
      </c>
      <c r="FN49" s="1293">
        <f t="array" ref="FN49:FN72">TRANSPOSE(ОТЧЁТ!U179:AR179)</f>
        <v>1</v>
      </c>
      <c r="FO49" s="1293"/>
      <c r="FP49" s="2398"/>
      <c r="GH49" s="1185">
        <v>1995</v>
      </c>
      <c r="GI49" s="2386">
        <f t="array" ref="GI49:GI72">TRANSPOSE(ОТЧЁТ!U193:AR193)</f>
        <v>230.40700000000001</v>
      </c>
      <c r="GJ49" s="2389">
        <f t="array" ref="GJ49:GJ72">TRANSPOSE(ОТЧЁТ!U195:AR195)</f>
        <v>266.97399999999999</v>
      </c>
      <c r="GK49" s="1095"/>
      <c r="HC49" s="1185">
        <v>1995</v>
      </c>
      <c r="HD49" s="766">
        <f t="array" ref="HD49:HD72">TRANSPOSE(ОТЧЁТ!U83:AR83)</f>
        <v>230.40700000000001</v>
      </c>
      <c r="HE49" s="1088">
        <f t="array" ref="HE49:HE72">TRANSPOSE(ОТЧЁТ!U79:AR79)</f>
        <v>266.97399999999999</v>
      </c>
      <c r="HF49" s="1095"/>
      <c r="HZ49" s="1218">
        <v>1995</v>
      </c>
      <c r="IA49" s="2399">
        <v>230.40700000000001</v>
      </c>
      <c r="IB49" s="2406"/>
      <c r="IC49" s="2398"/>
    </row>
    <row r="50" spans="12:253" ht="21.6" thickBot="1">
      <c r="L50" s="1910" t="s">
        <v>697</v>
      </c>
      <c r="M50" s="1909" t="s">
        <v>734</v>
      </c>
      <c r="N50" s="1909"/>
      <c r="O50" s="1888" t="s">
        <v>432</v>
      </c>
      <c r="P50" s="1930">
        <v>719.79349999999999</v>
      </c>
      <c r="Q50" s="1924">
        <f>ОТЧЁТ!V69</f>
        <v>1007.827</v>
      </c>
      <c r="R50" s="1924">
        <f>ОТЧЁТ!W69</f>
        <v>1235.2137</v>
      </c>
      <c r="S50" s="1924">
        <f>ОТЧЁТ!X69</f>
        <v>1462.2840000000001</v>
      </c>
      <c r="T50" s="1924">
        <f>ОТЧЁТ!Y69</f>
        <v>2526.1678999999999</v>
      </c>
      <c r="U50" s="1924">
        <f>ОТЧЁТ!Z69</f>
        <v>3295.2372999999998</v>
      </c>
      <c r="V50" s="1924">
        <f>ОТЧЁТ!AA69</f>
        <v>4318.1211000000003</v>
      </c>
      <c r="W50" s="1924">
        <f>ОТЧЁТ!AB69</f>
        <v>5409.1576999999997</v>
      </c>
      <c r="X50" s="1924">
        <f>ОТЧЁТ!AC69</f>
        <v>6537.4014999999999</v>
      </c>
      <c r="Y50" s="1924">
        <f>ОТЧЁТ!AD69</f>
        <v>8438.4840999999997</v>
      </c>
      <c r="Z50" s="1924">
        <f>ОТЧЁТ!AE69</f>
        <v>10652.8578</v>
      </c>
      <c r="AA50" s="1924">
        <f>ОТЧЁТ!AF69</f>
        <v>12974.743399999999</v>
      </c>
      <c r="AB50" s="1948">
        <f>ОТЧЁТ!AG69</f>
        <v>16031.739799999999</v>
      </c>
      <c r="AC50" s="1948">
        <f>ОТЧЁТ!AH69</f>
        <v>19966.954699999998</v>
      </c>
      <c r="AD50" s="1948">
        <f>ОТЧЁТ!AI69</f>
        <v>20986.036</v>
      </c>
      <c r="AE50" s="2188">
        <f>ОТЧЁТ!AJ69</f>
        <v>23617.623</v>
      </c>
      <c r="AF50" s="1952">
        <f>ОТЧЁТ!AK69</f>
        <v>29939.463500000002</v>
      </c>
      <c r="AG50" s="1952">
        <f>ОТЧЁТ!AL69</f>
        <v>34492.361700000001</v>
      </c>
      <c r="AH50" s="1952">
        <f>ОТЧЁТ!AM69</f>
        <v>38465.140799999994</v>
      </c>
      <c r="AI50" s="1952">
        <f>ОТЧЁТ!AN69</f>
        <v>41954.83</v>
      </c>
      <c r="AJ50" s="1952">
        <f>ОТЧЁТ!AO69</f>
        <v>43242.32</v>
      </c>
      <c r="AK50" s="1952">
        <f>ОТЧЁТ!AP69</f>
        <v>45317.05</v>
      </c>
      <c r="AL50" s="1952">
        <f>ОТЧЁТ!AQ69</f>
        <v>48135.66</v>
      </c>
      <c r="AM50" s="1952">
        <f>ОТЧЁТ!AR69</f>
        <v>50851.05</v>
      </c>
      <c r="AN50" s="614"/>
      <c r="AO50" s="1923"/>
      <c r="AP50" s="614"/>
      <c r="AQ50" s="1904" t="str">
        <f t="shared" si="48"/>
        <v>YD</v>
      </c>
      <c r="BD50" s="2212">
        <v>2002</v>
      </c>
      <c r="BE50" s="362">
        <v>1.4714250961884736</v>
      </c>
      <c r="BF50" s="364">
        <v>1.4665054246210889</v>
      </c>
      <c r="BT50" s="2212">
        <v>2002</v>
      </c>
      <c r="BU50" s="362">
        <v>6.1936348205467269</v>
      </c>
      <c r="BV50" s="364">
        <v>5.5899139616982199</v>
      </c>
      <c r="DZ50" s="1272">
        <v>1996</v>
      </c>
      <c r="EA50" s="2378">
        <v>0.78800000000000003</v>
      </c>
      <c r="EB50" s="2272">
        <v>0.81899999999999995</v>
      </c>
      <c r="ES50" s="1234">
        <v>1996</v>
      </c>
      <c r="ET50" s="2506">
        <f>EG9</f>
        <v>197.18216614420064</v>
      </c>
      <c r="EU50" s="2507">
        <f>EI9</f>
        <v>202.48816614420022</v>
      </c>
      <c r="FA50" s="70"/>
      <c r="FB50" s="87"/>
      <c r="FC50" s="87"/>
      <c r="FD50" s="552"/>
      <c r="FE50" s="70"/>
      <c r="FL50" s="1218">
        <v>1996</v>
      </c>
      <c r="FM50" s="1259">
        <v>1.3890656660960248</v>
      </c>
      <c r="FN50" s="2394">
        <v>1.458015926869807</v>
      </c>
      <c r="FO50" s="2394">
        <f>FM50</f>
        <v>1.3890656660960248</v>
      </c>
      <c r="FP50" s="2270"/>
      <c r="GH50" s="1185">
        <v>1996</v>
      </c>
      <c r="GI50" s="1974">
        <v>197.18216614420064</v>
      </c>
      <c r="GJ50" s="2387">
        <v>218.65170599999999</v>
      </c>
      <c r="GK50" s="787"/>
      <c r="HC50" s="1185">
        <v>1996</v>
      </c>
      <c r="HD50" s="1190">
        <v>334.30200000000002</v>
      </c>
      <c r="HE50" s="2392">
        <v>375.95800000000003</v>
      </c>
      <c r="HF50" s="787"/>
      <c r="HZ50" s="1218">
        <v>1996</v>
      </c>
      <c r="IA50" s="1274">
        <f>EG9</f>
        <v>197.18216614420064</v>
      </c>
      <c r="IB50" s="2581">
        <f>2.191*(IX6-IX5+70.942)</f>
        <v>143.80847600000089</v>
      </c>
      <c r="IC50" s="2270"/>
    </row>
    <row r="51" spans="12:253" ht="21">
      <c r="L51" s="1910" t="s">
        <v>697</v>
      </c>
      <c r="M51" s="1909"/>
      <c r="N51" s="1909"/>
      <c r="O51" s="546" t="s">
        <v>561</v>
      </c>
      <c r="P51" s="136">
        <v>0.97199999999999998</v>
      </c>
      <c r="Q51" s="136">
        <f>ОТЧЁТ!V135</f>
        <v>0.95099999999999996</v>
      </c>
      <c r="R51" s="136">
        <f>ОТЧЁТ!W135</f>
        <v>1.05</v>
      </c>
      <c r="S51" s="136">
        <f>ОТЧЁТ!X135</f>
        <v>0.96599999999999997</v>
      </c>
      <c r="T51" s="136">
        <f>ОТЧЁТ!Y135</f>
        <v>0.97599999999999998</v>
      </c>
      <c r="U51" s="136">
        <f>ОТЧЁТ!Z135</f>
        <v>1.0589999999999999</v>
      </c>
      <c r="V51" s="136">
        <f>ОТЧЁТ!AA135</f>
        <v>1.0820000000000001</v>
      </c>
      <c r="W51" s="136">
        <f>ОТЧЁТ!AB135</f>
        <v>1.077</v>
      </c>
      <c r="X51" s="136">
        <f>ОТЧЁТ!AC135</f>
        <v>1.077</v>
      </c>
      <c r="Y51" s="136">
        <f>ОТЧЁТ!AD135</f>
        <v>1.125</v>
      </c>
      <c r="Z51" s="136">
        <f>ОТЧЁТ!AE135</f>
        <v>1.1220000000000001</v>
      </c>
      <c r="AA51" s="136">
        <f>ОТЧЁТ!AF135</f>
        <v>1.1220000000000001</v>
      </c>
      <c r="AB51" s="136">
        <f>ОТЧЁТ!AG135</f>
        <v>1.143</v>
      </c>
      <c r="AC51" s="136">
        <f>ОТЧЁТ!AH135</f>
        <v>1.1060000000000001</v>
      </c>
      <c r="AD51" s="136">
        <f>ОТЧЁТ!AI135</f>
        <v>0.94899999999999995</v>
      </c>
      <c r="AE51" s="1922">
        <f>ОТЧЁТ!AJ135</f>
        <v>1.0549999999999999</v>
      </c>
      <c r="AF51" s="136">
        <f>ОТЧЁТ!AK135</f>
        <v>1.0680000000000001</v>
      </c>
      <c r="AG51" s="136">
        <f>ОТЧЁТ!AL135</f>
        <v>1.079</v>
      </c>
      <c r="AH51" s="136">
        <f>ОТЧЁТ!AM135</f>
        <v>1.052</v>
      </c>
      <c r="AI51" s="136">
        <f>ОТЧЁТ!AN135</f>
        <v>1.02</v>
      </c>
      <c r="AJ51" s="136">
        <f>ОТЧЁТ!AO135</f>
        <v>0.90600000000000003</v>
      </c>
      <c r="AK51" s="136">
        <f>ОТЧЁТ!AP135</f>
        <v>0.98099999999999998</v>
      </c>
      <c r="AL51" s="136">
        <f>ОТЧЁТ!AQ135</f>
        <v>1.0329999999999999</v>
      </c>
      <c r="AM51" s="136">
        <f>ОТЧЁТ!AR135</f>
        <v>1.0229999999999999</v>
      </c>
      <c r="AN51" s="614"/>
      <c r="AO51" s="1923"/>
      <c r="AP51" s="614"/>
      <c r="AQ51" s="1904" t="str">
        <f t="shared" si="48"/>
        <v>pYD</v>
      </c>
      <c r="BD51" s="2212">
        <v>2003</v>
      </c>
      <c r="BE51" s="362">
        <v>1.6568246583082211</v>
      </c>
      <c r="BF51" s="364">
        <v>1.6632717318596482</v>
      </c>
      <c r="BT51" s="2212">
        <v>2003</v>
      </c>
      <c r="BU51" s="362">
        <v>6.7152546240758211</v>
      </c>
      <c r="BV51" s="364">
        <v>6.1009299967879249</v>
      </c>
      <c r="DF51" s="1187" t="s">
        <v>368</v>
      </c>
      <c r="DG51" s="1186" t="s">
        <v>1196</v>
      </c>
      <c r="DH51" s="823" t="s">
        <v>1888</v>
      </c>
      <c r="DW51" s="2338" t="s">
        <v>1889</v>
      </c>
      <c r="DZ51" s="1272">
        <v>1997</v>
      </c>
      <c r="EA51" s="2378">
        <v>0.72574800000000006</v>
      </c>
      <c r="EB51" s="2272">
        <v>0.77804999999999991</v>
      </c>
      <c r="ES51" s="1234">
        <v>1997</v>
      </c>
      <c r="ET51" s="2506">
        <f t="shared" ref="ET51:ET72" si="54">EG10</f>
        <v>168.29100626959249</v>
      </c>
      <c r="EU51" s="2507">
        <f t="shared" ref="EU51:EU72" si="55">EI10</f>
        <v>189.49378226959257</v>
      </c>
      <c r="FL51" s="1218">
        <v>1997</v>
      </c>
      <c r="FM51" s="1259">
        <v>1.5288420201321875</v>
      </c>
      <c r="FN51" s="2394">
        <v>1.6775696170093486</v>
      </c>
      <c r="FO51" s="2394">
        <f t="shared" ref="FO51:FO64" si="56">FM51</f>
        <v>1.5288420201321875</v>
      </c>
      <c r="FP51" s="2270"/>
      <c r="GH51" s="1185">
        <v>1997</v>
      </c>
      <c r="GI51" s="1974">
        <v>168.29100626959249</v>
      </c>
      <c r="GJ51" s="2387">
        <v>207.71912069999999</v>
      </c>
      <c r="GK51" s="2388">
        <f>0.7*GJ51+0.2*GJ50+0.1*GJ49</f>
        <v>215.83112568999996</v>
      </c>
      <c r="HC51" s="1185">
        <v>1997</v>
      </c>
      <c r="HD51" s="1190">
        <v>406.47199999999998</v>
      </c>
      <c r="HE51" s="2392">
        <v>408.79700000000003</v>
      </c>
      <c r="HF51" s="2392">
        <f>0.7*HE51+0.2*HE50+0.1*HE49</f>
        <v>388.04689999999999</v>
      </c>
      <c r="HZ51" s="1218">
        <v>1997</v>
      </c>
      <c r="IA51" s="1274">
        <f t="shared" ref="IA51:IA72" si="57">EG10</f>
        <v>168.29100626959249</v>
      </c>
      <c r="IB51" s="2581">
        <f t="shared" ref="IB51:IB83" si="58">2.191*(IX7-IX6+70.942)</f>
        <v>108.9786397839998</v>
      </c>
      <c r="IC51" s="2581"/>
    </row>
    <row r="52" spans="12:253" ht="23.4" thickBot="1">
      <c r="L52" s="1893"/>
      <c r="M52" s="1909"/>
      <c r="N52" s="1909"/>
      <c r="O52" s="546" t="s">
        <v>735</v>
      </c>
      <c r="P52" s="136">
        <v>1</v>
      </c>
      <c r="Q52" s="1925">
        <f>P52*Q51</f>
        <v>0.95099999999999996</v>
      </c>
      <c r="R52" s="1925">
        <f t="shared" ref="R52:AK52" si="59">Q52*R51</f>
        <v>0.99855000000000005</v>
      </c>
      <c r="S52" s="1925">
        <f t="shared" si="59"/>
        <v>0.96459930000000005</v>
      </c>
      <c r="T52" s="1925">
        <f t="shared" si="59"/>
        <v>0.94144891679999998</v>
      </c>
      <c r="U52" s="1925">
        <f t="shared" si="59"/>
        <v>0.99699440289119989</v>
      </c>
      <c r="V52" s="1925">
        <f t="shared" si="59"/>
        <v>1.0787479439282783</v>
      </c>
      <c r="W52" s="1925">
        <f t="shared" si="59"/>
        <v>1.1618115356107557</v>
      </c>
      <c r="X52" s="1925">
        <f t="shared" si="59"/>
        <v>1.2512710238527838</v>
      </c>
      <c r="Y52" s="1925">
        <f t="shared" si="59"/>
        <v>1.4076799018343817</v>
      </c>
      <c r="Z52" s="1925">
        <f t="shared" si="59"/>
        <v>1.5794168498581764</v>
      </c>
      <c r="AA52" s="1925">
        <f t="shared" si="59"/>
        <v>1.7721057055408742</v>
      </c>
      <c r="AB52" s="1925">
        <f t="shared" si="59"/>
        <v>2.0255168214332193</v>
      </c>
      <c r="AC52" s="1925">
        <f t="shared" si="59"/>
        <v>2.2402216045051406</v>
      </c>
      <c r="AD52" s="1925">
        <f t="shared" si="59"/>
        <v>2.1259703026753782</v>
      </c>
      <c r="AE52" s="1942">
        <f t="shared" si="59"/>
        <v>2.2428986693225239</v>
      </c>
      <c r="AF52" s="1955">
        <f t="shared" si="59"/>
        <v>2.3954157788364556</v>
      </c>
      <c r="AG52" s="1955">
        <f t="shared" si="59"/>
        <v>2.5846536253645356</v>
      </c>
      <c r="AH52" s="1955">
        <f t="shared" si="59"/>
        <v>2.7190556138834916</v>
      </c>
      <c r="AI52" s="1955">
        <f t="shared" si="59"/>
        <v>2.7734367261611617</v>
      </c>
      <c r="AJ52" s="1955">
        <f t="shared" si="59"/>
        <v>2.5127336739020127</v>
      </c>
      <c r="AK52" s="1955">
        <f t="shared" si="59"/>
        <v>2.4649917340978744</v>
      </c>
      <c r="AL52" s="1955">
        <f>AK52*AL51</f>
        <v>2.5463364613231039</v>
      </c>
      <c r="AM52" s="1955">
        <f>AL52*AM51</f>
        <v>2.6049021999335351</v>
      </c>
      <c r="AN52" s="614"/>
      <c r="AO52" s="1923"/>
      <c r="AP52" s="614"/>
      <c r="AQ52" s="1904" t="str">
        <f t="shared" si="48"/>
        <v>Pd</v>
      </c>
      <c r="BD52" s="2212">
        <v>2004</v>
      </c>
      <c r="BE52" s="362">
        <v>1.8523299679885914</v>
      </c>
      <c r="BF52" s="364">
        <v>1.8635052624946229</v>
      </c>
      <c r="BT52" s="2212">
        <v>2004</v>
      </c>
      <c r="BU52" s="362">
        <v>7.5604196927091616</v>
      </c>
      <c r="BV52" s="364">
        <v>6.8314848750672237</v>
      </c>
      <c r="CJ52" s="792"/>
      <c r="CK52" s="774"/>
      <c r="CL52" s="774"/>
      <c r="CM52" s="774"/>
      <c r="CN52" s="774"/>
      <c r="CO52" s="776"/>
      <c r="DF52" s="2342">
        <v>43918</v>
      </c>
      <c r="DG52" s="2353" t="s">
        <v>784</v>
      </c>
      <c r="DH52" s="2341" t="s">
        <v>1278</v>
      </c>
      <c r="DW52" s="2337" t="s">
        <v>667</v>
      </c>
      <c r="DZ52" s="1272">
        <v>1998</v>
      </c>
      <c r="EA52" s="2378">
        <v>0.63575524800000005</v>
      </c>
      <c r="EB52" s="2272">
        <v>0.68468399999999996</v>
      </c>
      <c r="ES52" s="1234">
        <v>1998</v>
      </c>
      <c r="ET52" s="2506">
        <f t="shared" si="54"/>
        <v>160.34593730407522</v>
      </c>
      <c r="EU52" s="2507">
        <f t="shared" si="55"/>
        <v>176.18441097607518</v>
      </c>
      <c r="FL52" s="1218">
        <v>1998</v>
      </c>
      <c r="FM52" s="1259">
        <v>1.6012135978440234</v>
      </c>
      <c r="FN52" s="2394">
        <v>1.988574685283935</v>
      </c>
      <c r="FO52" s="2394">
        <f t="shared" si="56"/>
        <v>1.6012135978440234</v>
      </c>
      <c r="FP52" s="2270"/>
      <c r="GC52" s="460"/>
      <c r="GD52" s="461"/>
      <c r="GE52" s="24"/>
      <c r="GH52" s="1185">
        <v>1998</v>
      </c>
      <c r="GI52" s="1974">
        <v>160.34593730407522</v>
      </c>
      <c r="GJ52" s="2387">
        <v>182.79282621599998</v>
      </c>
      <c r="GK52" s="2388">
        <f t="shared" ref="GK52:GK72" si="60">0.7*GJ52+0.2*GJ51+0.1*GJ50</f>
        <v>191.36397309119997</v>
      </c>
      <c r="GX52" s="460"/>
      <c r="GY52" s="461"/>
      <c r="GZ52" s="24"/>
      <c r="HC52" s="1185">
        <v>1998</v>
      </c>
      <c r="HD52" s="1190">
        <v>428.56400000000002</v>
      </c>
      <c r="HE52" s="2392">
        <v>407.08600000000001</v>
      </c>
      <c r="HF52" s="2392">
        <f t="shared" ref="HF52:HF72" si="61">0.7*HE52+0.2*HE51+0.1*HE50</f>
        <v>404.31540000000001</v>
      </c>
      <c r="HT52" s="460"/>
      <c r="HU52" s="461"/>
      <c r="HV52" s="24"/>
      <c r="HZ52" s="1218">
        <v>1998</v>
      </c>
      <c r="IA52" s="1274">
        <f t="shared" si="57"/>
        <v>160.34593730407522</v>
      </c>
      <c r="IB52" s="2581">
        <f t="shared" si="58"/>
        <v>120.73182618464806</v>
      </c>
      <c r="IC52" s="2581"/>
      <c r="IQ52" s="460"/>
      <c r="IR52" s="461"/>
      <c r="IS52" s="24"/>
    </row>
    <row r="53" spans="12:253" ht="23.4">
      <c r="L53" s="1893"/>
      <c r="M53" s="1909"/>
      <c r="N53" s="1909"/>
      <c r="O53" s="546" t="s">
        <v>638</v>
      </c>
      <c r="P53" s="136">
        <v>1</v>
      </c>
      <c r="Q53" s="1953">
        <f>Q50/Q54</f>
        <v>1.4723042021668387</v>
      </c>
      <c r="R53" s="1953">
        <f t="shared" ref="R53:AM53" si="62">R50/R54</f>
        <v>1.718558670886825</v>
      </c>
      <c r="S53" s="1953">
        <f t="shared" si="62"/>
        <v>2.1060897046594418</v>
      </c>
      <c r="T53" s="1953">
        <f t="shared" si="62"/>
        <v>3.7278422973468679</v>
      </c>
      <c r="U53" s="1953">
        <f t="shared" si="62"/>
        <v>4.5918326760987345</v>
      </c>
      <c r="V53" s="1953">
        <f t="shared" si="62"/>
        <v>5.5611795404054956</v>
      </c>
      <c r="W53" s="1953">
        <f t="shared" si="62"/>
        <v>6.4682386989177063</v>
      </c>
      <c r="X53" s="1953">
        <f t="shared" si="62"/>
        <v>7.2584827706254744</v>
      </c>
      <c r="Y53" s="1953">
        <f t="shared" si="62"/>
        <v>8.3282279936178867</v>
      </c>
      <c r="Z53" s="1953">
        <f t="shared" si="62"/>
        <v>9.3704714639566831</v>
      </c>
      <c r="AA53" s="1953">
        <f t="shared" si="62"/>
        <v>10.171880121895711</v>
      </c>
      <c r="AB53" s="1953">
        <f t="shared" si="62"/>
        <v>10.996054426330467</v>
      </c>
      <c r="AC53" s="1953">
        <f t="shared" si="62"/>
        <v>12.382630991276981</v>
      </c>
      <c r="AD53" s="1953">
        <f t="shared" si="62"/>
        <v>13.714036448863869</v>
      </c>
      <c r="AE53" s="1954">
        <f t="shared" si="62"/>
        <v>14.629133800462956</v>
      </c>
      <c r="AF53" s="1956">
        <f t="shared" si="62"/>
        <v>17.36421630879255</v>
      </c>
      <c r="AG53" s="1956">
        <f t="shared" si="62"/>
        <v>18.540125110660799</v>
      </c>
      <c r="AH53" s="1956">
        <f t="shared" si="62"/>
        <v>19.653563919076568</v>
      </c>
      <c r="AI53" s="1956">
        <f t="shared" si="62"/>
        <v>21.016276952701091</v>
      </c>
      <c r="AJ53" s="1956">
        <f t="shared" si="62"/>
        <v>23.908625308988828</v>
      </c>
      <c r="AK53" s="1956">
        <f t="shared" si="62"/>
        <v>25.541020349632802</v>
      </c>
      <c r="AL53" s="1956">
        <f t="shared" si="62"/>
        <v>26.262932750374507</v>
      </c>
      <c r="AM53" s="1956">
        <f t="shared" si="62"/>
        <v>27.120680464307846</v>
      </c>
      <c r="AN53" s="614"/>
      <c r="AO53" s="1923"/>
      <c r="AP53" s="614"/>
      <c r="AQ53" s="1904" t="str">
        <f t="shared" si="48"/>
        <v>Dd</v>
      </c>
      <c r="BD53" s="2212">
        <v>2005</v>
      </c>
      <c r="BE53" s="362">
        <v>1.9727314159078497</v>
      </c>
      <c r="BF53" s="364">
        <v>2.0184759057253379</v>
      </c>
      <c r="BT53" s="2212">
        <v>2005</v>
      </c>
      <c r="BU53" s="362">
        <v>9.215042167890525</v>
      </c>
      <c r="BV53" s="364">
        <v>8.0203113568391942</v>
      </c>
      <c r="CJ53" s="2294" t="s">
        <v>1880</v>
      </c>
      <c r="CK53" s="1243"/>
      <c r="CL53" s="1243"/>
      <c r="CM53" s="1243"/>
      <c r="CN53" s="2295"/>
      <c r="CO53" s="2292"/>
      <c r="DF53" s="2343">
        <v>1995</v>
      </c>
      <c r="DG53" s="1114">
        <f t="array" ref="DG53:DG76">TRANSPOSE(ОТЧЁТ!U198:AR198)</f>
        <v>0.52160205427817563</v>
      </c>
      <c r="DH53" s="2344"/>
      <c r="DW53" s="547">
        <f>DG53</f>
        <v>0.52160205427817563</v>
      </c>
      <c r="DZ53" s="1272">
        <v>1999</v>
      </c>
      <c r="EA53" s="2378">
        <v>0.6764435838720001</v>
      </c>
      <c r="EB53" s="2272">
        <v>0.71891819999999995</v>
      </c>
      <c r="ES53" s="1234">
        <v>1999</v>
      </c>
      <c r="ET53" s="2506">
        <f t="shared" si="54"/>
        <v>171.18012225705328</v>
      </c>
      <c r="EU53" s="2507">
        <f t="shared" si="55"/>
        <v>160.65281675639685</v>
      </c>
      <c r="FL53" s="1218">
        <v>1999</v>
      </c>
      <c r="FM53" s="1259">
        <v>2.7614512511832352</v>
      </c>
      <c r="FN53" s="2394">
        <v>3.4280333525379545</v>
      </c>
      <c r="FO53" s="2394">
        <f t="shared" si="56"/>
        <v>2.7614512511832352</v>
      </c>
      <c r="FP53" s="2270"/>
      <c r="GC53" s="460"/>
      <c r="GD53" s="461"/>
      <c r="GE53" s="24"/>
      <c r="GH53" s="1185">
        <v>1999</v>
      </c>
      <c r="GI53" s="1974">
        <v>171.18012225705328</v>
      </c>
      <c r="GJ53" s="2387">
        <v>191.9324675268</v>
      </c>
      <c r="GK53" s="2388">
        <f t="shared" si="60"/>
        <v>191.68320458196001</v>
      </c>
      <c r="GX53" s="460"/>
      <c r="GY53" s="461"/>
      <c r="GZ53" s="24"/>
      <c r="HC53" s="1185">
        <v>1999</v>
      </c>
      <c r="HD53" s="1190">
        <v>597.30600000000004</v>
      </c>
      <c r="HE53" s="2392">
        <v>670.43899999999996</v>
      </c>
      <c r="HF53" s="2392">
        <f t="shared" si="61"/>
        <v>591.60419999999988</v>
      </c>
      <c r="HT53" s="460"/>
      <c r="HU53" s="461"/>
      <c r="HV53" s="24"/>
      <c r="HZ53" s="1218">
        <v>1999</v>
      </c>
      <c r="IA53" s="1274">
        <f t="shared" si="57"/>
        <v>171.18012225705328</v>
      </c>
      <c r="IB53" s="2581">
        <f t="shared" si="58"/>
        <v>178.49924835193823</v>
      </c>
      <c r="IC53" s="2581"/>
      <c r="IQ53" s="460"/>
      <c r="IR53" s="461"/>
      <c r="IS53" s="24"/>
    </row>
    <row r="54" spans="12:253" ht="23.4">
      <c r="L54" s="1893"/>
      <c r="M54" s="1909"/>
      <c r="N54" s="1909"/>
      <c r="O54" s="546" t="s">
        <v>736</v>
      </c>
      <c r="P54" s="1924">
        <v>719.79349999999999</v>
      </c>
      <c r="Q54" s="1931">
        <f t="shared" ref="Q54:AM54" si="63">$P54*Q52</f>
        <v>684.5236185</v>
      </c>
      <c r="R54" s="1931">
        <f t="shared" si="63"/>
        <v>718.74979942499999</v>
      </c>
      <c r="S54" s="1931">
        <f t="shared" si="63"/>
        <v>694.31230624454997</v>
      </c>
      <c r="T54" s="1931">
        <f t="shared" si="63"/>
        <v>677.64881089468076</v>
      </c>
      <c r="U54" s="1931">
        <f t="shared" si="63"/>
        <v>717.63009073746684</v>
      </c>
      <c r="V54" s="1931">
        <f t="shared" si="63"/>
        <v>776.47575817793916</v>
      </c>
      <c r="W54" s="1931">
        <f t="shared" si="63"/>
        <v>836.26439155764047</v>
      </c>
      <c r="X54" s="1931">
        <f t="shared" si="63"/>
        <v>900.65674970757868</v>
      </c>
      <c r="Y54" s="1931">
        <f t="shared" si="63"/>
        <v>1013.238843421026</v>
      </c>
      <c r="Z54" s="1931">
        <f t="shared" si="63"/>
        <v>1136.8539823183912</v>
      </c>
      <c r="AA54" s="1931">
        <f t="shared" si="63"/>
        <v>1275.5501681612352</v>
      </c>
      <c r="AB54" s="1931">
        <f t="shared" si="63"/>
        <v>1457.9538422082919</v>
      </c>
      <c r="AC54" s="1931">
        <f t="shared" si="63"/>
        <v>1612.4969494823708</v>
      </c>
      <c r="AD54" s="1931">
        <f t="shared" si="63"/>
        <v>1530.2596050587699</v>
      </c>
      <c r="AE54" s="1930">
        <f t="shared" si="63"/>
        <v>1614.4238833370021</v>
      </c>
      <c r="AF54" s="1931">
        <f t="shared" si="63"/>
        <v>1724.2047074039183</v>
      </c>
      <c r="AG54" s="1931">
        <f t="shared" si="63"/>
        <v>1860.4168792888279</v>
      </c>
      <c r="AH54" s="1931">
        <f t="shared" si="63"/>
        <v>1957.1585570118471</v>
      </c>
      <c r="AI54" s="1931">
        <f t="shared" si="63"/>
        <v>1996.301728152084</v>
      </c>
      <c r="AJ54" s="1931">
        <f t="shared" si="63"/>
        <v>1808.6493657057883</v>
      </c>
      <c r="AK54" s="1931">
        <f t="shared" si="63"/>
        <v>1774.2850277573784</v>
      </c>
      <c r="AL54" s="1960">
        <f t="shared" si="63"/>
        <v>1832.8364336733716</v>
      </c>
      <c r="AM54" s="1960">
        <f t="shared" si="63"/>
        <v>1874.991671647859</v>
      </c>
      <c r="AN54" s="1846"/>
      <c r="AO54" s="1923"/>
      <c r="AP54" s="1846"/>
      <c r="AQ54" s="1904" t="str">
        <f t="shared" si="48"/>
        <v>YDS</v>
      </c>
      <c r="BD54" s="2212">
        <v>2006</v>
      </c>
      <c r="BE54" s="362">
        <v>2.1167408092691224</v>
      </c>
      <c r="BF54" s="364">
        <v>2.2752108040676617</v>
      </c>
      <c r="BT54" s="2212">
        <v>2006</v>
      </c>
      <c r="BU54" s="362">
        <v>10.249953881504441</v>
      </c>
      <c r="BV54" s="364">
        <v>8.5777696291926198</v>
      </c>
      <c r="CJ54" s="2296" t="s">
        <v>1887</v>
      </c>
      <c r="CK54" s="1243"/>
      <c r="CL54" s="1243"/>
      <c r="CM54" s="1243"/>
      <c r="CN54" s="2295"/>
      <c r="CO54" s="2292"/>
      <c r="DF54" s="2336">
        <v>1996</v>
      </c>
      <c r="DG54" s="1118">
        <v>0.5075047014598465</v>
      </c>
      <c r="DH54" s="2345"/>
      <c r="DW54" s="547">
        <f>DG54</f>
        <v>0.5075047014598465</v>
      </c>
      <c r="DZ54" s="1272">
        <v>2000</v>
      </c>
      <c r="EA54" s="2378">
        <v>0.7988798725528321</v>
      </c>
      <c r="EB54" s="2272">
        <v>0.84400996679999984</v>
      </c>
      <c r="ES54" s="1234">
        <v>2000</v>
      </c>
      <c r="ET54" s="2506">
        <f t="shared" si="54"/>
        <v>213.79458307210035</v>
      </c>
      <c r="EU54" s="2507">
        <f t="shared" si="55"/>
        <v>187.42368279295744</v>
      </c>
      <c r="FL54" s="1218">
        <v>2000</v>
      </c>
      <c r="FM54" s="1259">
        <v>3.8813756116757316</v>
      </c>
      <c r="FN54" s="2394">
        <v>4.7203345530217637</v>
      </c>
      <c r="FO54" s="2394">
        <f t="shared" si="56"/>
        <v>3.8813756116757316</v>
      </c>
      <c r="FP54" s="2270"/>
      <c r="GC54" s="460"/>
      <c r="GD54" s="461"/>
      <c r="GE54" s="24"/>
      <c r="GH54" s="1185">
        <v>2000</v>
      </c>
      <c r="GI54" s="1974">
        <v>213.79458307210035</v>
      </c>
      <c r="GJ54" s="2387">
        <v>225.32871687646318</v>
      </c>
      <c r="GK54" s="2388">
        <f t="shared" si="60"/>
        <v>214.39587794048421</v>
      </c>
      <c r="GX54" s="460"/>
      <c r="GY54" s="461"/>
      <c r="GZ54" s="24"/>
      <c r="HC54" s="1185">
        <v>2000</v>
      </c>
      <c r="HD54" s="1190">
        <v>843.37800000000004</v>
      </c>
      <c r="HE54" s="2392">
        <v>1165.2339999999999</v>
      </c>
      <c r="HF54" s="2392">
        <f t="shared" si="61"/>
        <v>990.46019999999999</v>
      </c>
      <c r="HT54" s="460"/>
      <c r="HU54" s="461"/>
      <c r="HV54" s="24"/>
      <c r="HZ54" s="1218">
        <v>2000</v>
      </c>
      <c r="IA54" s="1274">
        <f t="shared" si="57"/>
        <v>213.79458307210035</v>
      </c>
      <c r="IB54" s="2581">
        <f t="shared" si="58"/>
        <v>213.2125645116021</v>
      </c>
      <c r="IC54" s="2581"/>
      <c r="IQ54" s="460"/>
      <c r="IR54" s="461"/>
      <c r="IS54" s="24"/>
    </row>
    <row r="55" spans="12:253" ht="23.4">
      <c r="L55" s="554"/>
      <c r="M55" s="1909" t="s">
        <v>1850</v>
      </c>
      <c r="N55" s="1909"/>
      <c r="O55" s="1888" t="s">
        <v>415</v>
      </c>
      <c r="P55" s="1930">
        <f t="shared" ref="P55:AM55" si="64">P40+P45+P50</f>
        <v>1016.5943</v>
      </c>
      <c r="Q55" s="1957">
        <f t="shared" si="64"/>
        <v>1435.8697999999999</v>
      </c>
      <c r="R55" s="1957">
        <f t="shared" si="64"/>
        <v>1776.1376</v>
      </c>
      <c r="S55" s="1957">
        <f t="shared" si="64"/>
        <v>2003.7901000000002</v>
      </c>
      <c r="T55" s="1957">
        <f t="shared" si="64"/>
        <v>3285.6781000000001</v>
      </c>
      <c r="U55" s="1957">
        <f t="shared" si="64"/>
        <v>4476.8508999999995</v>
      </c>
      <c r="V55" s="1957">
        <f t="shared" si="64"/>
        <v>5886.8606</v>
      </c>
      <c r="W55" s="1957">
        <f t="shared" si="64"/>
        <v>7484.1154999999999</v>
      </c>
      <c r="X55" s="1957">
        <f t="shared" si="64"/>
        <v>9058.6875999999993</v>
      </c>
      <c r="Y55" s="1957">
        <f t="shared" si="64"/>
        <v>11477.8496</v>
      </c>
      <c r="Z55" s="1957">
        <f t="shared" si="64"/>
        <v>14438.1492</v>
      </c>
      <c r="AA55" s="1957">
        <f t="shared" si="64"/>
        <v>17809.740699999998</v>
      </c>
      <c r="AB55" s="1957">
        <f t="shared" si="64"/>
        <v>21968.5795</v>
      </c>
      <c r="AC55" s="2189">
        <f t="shared" si="64"/>
        <v>27543.511399999996</v>
      </c>
      <c r="AD55" s="2189">
        <f t="shared" si="64"/>
        <v>29269.732400000001</v>
      </c>
      <c r="AE55" s="2189">
        <f t="shared" si="64"/>
        <v>32514.671999999999</v>
      </c>
      <c r="AF55" s="2189">
        <f t="shared" si="64"/>
        <v>40692.217700000001</v>
      </c>
      <c r="AG55" s="2189">
        <f t="shared" si="64"/>
        <v>46895.780100000004</v>
      </c>
      <c r="AH55" s="2189">
        <f t="shared" si="64"/>
        <v>52274.283599999995</v>
      </c>
      <c r="AI55" s="2189">
        <f t="shared" si="64"/>
        <v>56418.211000000003</v>
      </c>
      <c r="AJ55" s="2189">
        <f t="shared" si="64"/>
        <v>58240.527000000002</v>
      </c>
      <c r="AK55" s="2189">
        <f t="shared" si="64"/>
        <v>61389.769</v>
      </c>
      <c r="AL55" s="2189">
        <f t="shared" si="64"/>
        <v>65165.528000000006</v>
      </c>
      <c r="AM55" s="2189">
        <f t="shared" si="64"/>
        <v>69332.975999999995</v>
      </c>
      <c r="AN55" s="614"/>
      <c r="AO55" s="1923"/>
      <c r="AP55" s="614"/>
      <c r="AQ55" s="1904" t="str">
        <f t="shared" si="48"/>
        <v>Y</v>
      </c>
      <c r="BD55" s="2212">
        <v>2007</v>
      </c>
      <c r="BE55" s="362">
        <v>2.2500954802530773</v>
      </c>
      <c r="BF55" s="364">
        <v>2.5742188048042465</v>
      </c>
      <c r="BT55" s="2212">
        <v>2007</v>
      </c>
      <c r="BU55" s="362">
        <v>10.650833844352405</v>
      </c>
      <c r="BV55" s="364">
        <v>8.5612179305936156</v>
      </c>
      <c r="CJ55" s="2297" t="s">
        <v>1879</v>
      </c>
      <c r="CK55" s="1243"/>
      <c r="CL55" s="1243"/>
      <c r="CM55" s="765"/>
      <c r="CN55" s="1548"/>
      <c r="CO55" s="1549"/>
      <c r="DF55" s="2336">
        <v>1997</v>
      </c>
      <c r="DG55" s="1118">
        <v>0.51667647317297627</v>
      </c>
      <c r="DH55" s="2345"/>
      <c r="DW55" s="547">
        <f t="shared" ref="DW55:DW76" si="65">DG55</f>
        <v>0.51667647317297627</v>
      </c>
      <c r="DZ55" s="1272">
        <v>2001</v>
      </c>
      <c r="EA55" s="2378">
        <v>0.88036561955322101</v>
      </c>
      <c r="EB55" s="2272">
        <v>0.92841096347999985</v>
      </c>
      <c r="ES55" s="1234">
        <v>2001</v>
      </c>
      <c r="ET55" s="2506">
        <f t="shared" si="54"/>
        <v>254.24220689655175</v>
      </c>
      <c r="EU55" s="2507">
        <f t="shared" si="55"/>
        <v>206.53724829158108</v>
      </c>
      <c r="FL55" s="1218">
        <v>2001</v>
      </c>
      <c r="FM55" s="1259">
        <v>4.9244555432757879</v>
      </c>
      <c r="FN55" s="2394">
        <v>5.4982302967459242</v>
      </c>
      <c r="FO55" s="2394">
        <f t="shared" si="56"/>
        <v>4.9244555432757879</v>
      </c>
      <c r="FP55" s="2270"/>
      <c r="GC55" s="460"/>
      <c r="GD55" s="461"/>
      <c r="GE55" s="24"/>
      <c r="GH55" s="1185">
        <v>2001</v>
      </c>
      <c r="GI55" s="1974">
        <v>254.24220689655175</v>
      </c>
      <c r="GJ55" s="2387">
        <v>247.86158856410952</v>
      </c>
      <c r="GK55" s="2388">
        <f t="shared" si="60"/>
        <v>237.76210212284931</v>
      </c>
      <c r="GX55" s="460"/>
      <c r="GY55" s="461"/>
      <c r="GZ55" s="24"/>
      <c r="HC55" s="1185">
        <v>2001</v>
      </c>
      <c r="HD55" s="1190">
        <v>1117.655</v>
      </c>
      <c r="HE55" s="2392">
        <v>1504.7</v>
      </c>
      <c r="HF55" s="2392">
        <f t="shared" si="61"/>
        <v>1353.3806999999999</v>
      </c>
      <c r="HT55" s="460"/>
      <c r="HU55" s="461"/>
      <c r="HV55" s="24"/>
      <c r="HZ55" s="1218">
        <v>2001</v>
      </c>
      <c r="IA55" s="1274">
        <f t="shared" si="57"/>
        <v>254.24220689655175</v>
      </c>
      <c r="IB55" s="2581">
        <f t="shared" si="58"/>
        <v>259.95548630349072</v>
      </c>
      <c r="IC55" s="2581"/>
      <c r="IQ55" s="460"/>
      <c r="IR55" s="461"/>
      <c r="IS55" s="24"/>
    </row>
    <row r="56" spans="12:253" ht="23.4">
      <c r="L56" s="554"/>
      <c r="M56" s="554" t="s">
        <v>1421</v>
      </c>
      <c r="N56" s="554"/>
      <c r="O56" s="1911" t="s">
        <v>415</v>
      </c>
      <c r="P56" s="1924">
        <v>1016.5943</v>
      </c>
      <c r="Q56" s="1958">
        <f>ОТЧЁТ!V60</f>
        <v>1435.8697999999999</v>
      </c>
      <c r="R56" s="1958">
        <f>ОТЧЁТ!W60</f>
        <v>1776.1376</v>
      </c>
      <c r="S56" s="1958">
        <f>ОТЧЁТ!X60</f>
        <v>2003.7901000000002</v>
      </c>
      <c r="T56" s="1958">
        <f>ОТЧЁТ!Y60</f>
        <v>3285.6781000000001</v>
      </c>
      <c r="U56" s="1958">
        <f>ОТЧЁТ!Z60</f>
        <v>4476.8508999999995</v>
      </c>
      <c r="V56" s="1958">
        <f>ОТЧЁТ!AA60</f>
        <v>5886.8606</v>
      </c>
      <c r="W56" s="1958">
        <f>ОТЧЁТ!AB60</f>
        <v>7484.1154999999999</v>
      </c>
      <c r="X56" s="1958">
        <f>ОТЧЁТ!AC60</f>
        <v>9058.6875999999993</v>
      </c>
      <c r="Y56" s="1958">
        <f>ОТЧЁТ!AD60</f>
        <v>11477.8496</v>
      </c>
      <c r="Z56" s="1958">
        <f>ОТЧЁТ!AE60</f>
        <v>14438.1492</v>
      </c>
      <c r="AA56" s="1958">
        <f>ОТЧЁТ!AF60</f>
        <v>17809.740699999998</v>
      </c>
      <c r="AB56" s="1958">
        <f>ОТЧЁТ!AG60</f>
        <v>21968.5795</v>
      </c>
      <c r="AC56" s="2190">
        <f>ОТЧЁТ!AH60</f>
        <v>27543.511399999999</v>
      </c>
      <c r="AD56" s="2190">
        <f>ОТЧЁТ!AI60</f>
        <v>29269.625</v>
      </c>
      <c r="AE56" s="2191">
        <f>ОТЧЁТ!AJ60</f>
        <v>32514.672999999999</v>
      </c>
      <c r="AF56" s="2192">
        <f>ОТЧЁТ!AK60</f>
        <v>40692.217700000001</v>
      </c>
      <c r="AG56" s="2192">
        <f>ОТЧЁТ!AL60</f>
        <v>46895.780100000004</v>
      </c>
      <c r="AH56" s="2192">
        <f>ОТЧЁТ!AM60</f>
        <v>52274.283600000002</v>
      </c>
      <c r="AI56" s="2192">
        <f>ОТЧЁТ!AN60</f>
        <v>56418.22</v>
      </c>
      <c r="AJ56" s="2192">
        <f>ОТЧЁТ!AO60</f>
        <v>58240.53</v>
      </c>
      <c r="AK56" s="2192">
        <f>ОТЧЁТ!AP60</f>
        <v>61389.77</v>
      </c>
      <c r="AL56" s="2192">
        <f>ОТЧЁТ!AQ60</f>
        <v>65165.440000000002</v>
      </c>
      <c r="AM56" s="2192">
        <f>ОТЧЁТ!AR60</f>
        <v>69332.98</v>
      </c>
      <c r="AN56" s="1846"/>
      <c r="AO56" s="1923"/>
      <c r="AP56" s="1846"/>
      <c r="AQ56" s="1904" t="str">
        <f t="shared" si="48"/>
        <v>Y</v>
      </c>
      <c r="BD56" s="2212">
        <v>2008</v>
      </c>
      <c r="BE56" s="362">
        <v>2.2635960531345956</v>
      </c>
      <c r="BF56" s="364">
        <v>2.7497145962121365</v>
      </c>
      <c r="BT56" s="2212">
        <v>2008</v>
      </c>
      <c r="BU56" s="362">
        <v>13.643325842032947</v>
      </c>
      <c r="BV56" s="364">
        <v>10.360928463828227</v>
      </c>
      <c r="CJ56" s="1861" t="s">
        <v>1886</v>
      </c>
      <c r="CK56" s="2301"/>
      <c r="CL56" s="2301"/>
      <c r="CM56" s="2301"/>
      <c r="CN56" s="838"/>
      <c r="CO56" s="1058"/>
      <c r="DF56" s="2336">
        <v>1998</v>
      </c>
      <c r="DG56" s="1118">
        <v>0.49180137717267253</v>
      </c>
      <c r="DH56" s="2346"/>
      <c r="DW56" s="547">
        <f t="shared" si="65"/>
        <v>0.49180137717267253</v>
      </c>
      <c r="DZ56" s="1272">
        <v>2002</v>
      </c>
      <c r="EA56" s="2378">
        <v>0.90501585690071118</v>
      </c>
      <c r="EB56" s="2272">
        <v>0.95440647045743987</v>
      </c>
      <c r="ES56" s="1234">
        <v>2002</v>
      </c>
      <c r="ET56" s="2506">
        <f t="shared" si="54"/>
        <v>274.46601880877739</v>
      </c>
      <c r="EU56" s="2507">
        <f t="shared" si="55"/>
        <v>220.98345966164931</v>
      </c>
      <c r="FL56" s="1218">
        <v>2002</v>
      </c>
      <c r="FM56" s="1259">
        <v>5.5076003782834864</v>
      </c>
      <c r="FN56" s="2394">
        <v>6.3527295286418424</v>
      </c>
      <c r="FO56" s="2394">
        <f t="shared" si="56"/>
        <v>5.5076003782834864</v>
      </c>
      <c r="FP56" s="2270"/>
      <c r="GC56" s="460"/>
      <c r="GD56" s="461"/>
      <c r="GE56" s="24"/>
      <c r="GH56" s="1185">
        <v>2002</v>
      </c>
      <c r="GI56" s="1974">
        <v>274.46601880877739</v>
      </c>
      <c r="GJ56" s="2387">
        <v>254.80171304390458</v>
      </c>
      <c r="GK56" s="2388">
        <f t="shared" si="60"/>
        <v>250.46638853120143</v>
      </c>
      <c r="GX56" s="460"/>
      <c r="GY56" s="461"/>
      <c r="GZ56" s="24"/>
      <c r="HC56" s="1185">
        <v>2002</v>
      </c>
      <c r="HD56" s="1190">
        <v>1615.0630000000001</v>
      </c>
      <c r="HE56" s="2392">
        <v>1762.4</v>
      </c>
      <c r="HF56" s="2392">
        <f t="shared" si="61"/>
        <v>1651.1434000000002</v>
      </c>
      <c r="HT56" s="460"/>
      <c r="HU56" s="461"/>
      <c r="HV56" s="24"/>
      <c r="HZ56" s="1218">
        <v>2002</v>
      </c>
      <c r="IA56" s="1274">
        <f t="shared" si="57"/>
        <v>274.46601880877739</v>
      </c>
      <c r="IB56" s="2581">
        <f t="shared" si="58"/>
        <v>272.61420909135762</v>
      </c>
      <c r="IC56" s="2581"/>
      <c r="IQ56" s="460"/>
      <c r="IR56" s="461"/>
      <c r="IS56" s="24"/>
    </row>
    <row r="57" spans="12:253" ht="24" thickBot="1">
      <c r="N57" s="554" t="s">
        <v>430</v>
      </c>
      <c r="O57" s="1911"/>
      <c r="P57" s="1958"/>
      <c r="Q57" s="1959">
        <f>Q55-Q56</f>
        <v>0</v>
      </c>
      <c r="R57" s="1959">
        <f t="shared" ref="R57:AM57" si="66">R55-R56</f>
        <v>0</v>
      </c>
      <c r="S57" s="1959">
        <f t="shared" si="66"/>
        <v>0</v>
      </c>
      <c r="T57" s="1959">
        <f t="shared" si="66"/>
        <v>0</v>
      </c>
      <c r="U57" s="1959">
        <f t="shared" si="66"/>
        <v>0</v>
      </c>
      <c r="V57" s="1959">
        <f t="shared" si="66"/>
        <v>0</v>
      </c>
      <c r="W57" s="1959">
        <f t="shared" si="66"/>
        <v>0</v>
      </c>
      <c r="X57" s="1959">
        <f t="shared" si="66"/>
        <v>0</v>
      </c>
      <c r="Y57" s="1959">
        <f t="shared" si="66"/>
        <v>0</v>
      </c>
      <c r="Z57" s="1959">
        <f t="shared" si="66"/>
        <v>0</v>
      </c>
      <c r="AA57" s="1959">
        <f t="shared" si="66"/>
        <v>0</v>
      </c>
      <c r="AB57" s="1959">
        <f t="shared" si="66"/>
        <v>0</v>
      </c>
      <c r="AC57" s="1959">
        <f t="shared" si="66"/>
        <v>0</v>
      </c>
      <c r="AD57" s="1959">
        <f t="shared" si="66"/>
        <v>0.10740000000077998</v>
      </c>
      <c r="AE57" s="1959">
        <f t="shared" si="66"/>
        <v>-1.0000000002037268E-3</v>
      </c>
      <c r="AF57" s="1959">
        <f t="shared" si="66"/>
        <v>0</v>
      </c>
      <c r="AG57" s="1959">
        <f t="shared" si="66"/>
        <v>0</v>
      </c>
      <c r="AH57" s="1959">
        <f t="shared" si="66"/>
        <v>0</v>
      </c>
      <c r="AI57" s="1959">
        <f t="shared" si="66"/>
        <v>-8.9999999981955625E-3</v>
      </c>
      <c r="AJ57" s="1959">
        <f t="shared" si="66"/>
        <v>-2.9999999969732016E-3</v>
      </c>
      <c r="AK57" s="1959">
        <f t="shared" si="66"/>
        <v>-9.9999999656574801E-4</v>
      </c>
      <c r="AL57" s="1959">
        <f t="shared" si="66"/>
        <v>8.8000000003376044E-2</v>
      </c>
      <c r="AM57" s="1959">
        <f t="shared" si="66"/>
        <v>-4.0000000008149073E-3</v>
      </c>
      <c r="AN57" s="1846"/>
      <c r="AO57" s="1923"/>
      <c r="AP57" s="1846"/>
      <c r="AQ57" s="1904">
        <f t="shared" si="48"/>
        <v>0</v>
      </c>
      <c r="BD57" s="2212">
        <v>2009</v>
      </c>
      <c r="BE57" s="362">
        <v>2.1572070386372695</v>
      </c>
      <c r="BF57" s="364">
        <v>1.8560462102765105</v>
      </c>
      <c r="BT57" s="2212">
        <v>2009</v>
      </c>
      <c r="BU57" s="362">
        <v>12.010355196687106</v>
      </c>
      <c r="BV57" s="364">
        <v>10.685108713411861</v>
      </c>
      <c r="CJ57" s="1861" t="s">
        <v>1885</v>
      </c>
      <c r="CK57" s="2301"/>
      <c r="CL57" s="2301"/>
      <c r="CM57" s="2301"/>
      <c r="CN57" s="838"/>
      <c r="CO57" s="1058"/>
      <c r="DF57" s="2336">
        <v>1999</v>
      </c>
      <c r="DG57" s="1118">
        <v>0.51928728248372014</v>
      </c>
      <c r="DH57" s="2346"/>
      <c r="DW57" s="547">
        <f t="shared" si="65"/>
        <v>0.51928728248372014</v>
      </c>
      <c r="DZ57" s="1272">
        <v>2003</v>
      </c>
      <c r="EA57" s="2378">
        <v>1.03081306100991</v>
      </c>
      <c r="EB57" s="2272">
        <v>1.0737072792646198</v>
      </c>
      <c r="ES57" s="1234">
        <v>2003</v>
      </c>
      <c r="ET57" s="2506">
        <f t="shared" si="54"/>
        <v>307.69085266457677</v>
      </c>
      <c r="EU57" s="2507">
        <f t="shared" si="55"/>
        <v>237.46825250439923</v>
      </c>
      <c r="FL57" s="1218">
        <v>2003</v>
      </c>
      <c r="FM57" s="1259">
        <v>6.3255097831872691</v>
      </c>
      <c r="FN57" s="2394">
        <v>7.2278602743829534</v>
      </c>
      <c r="FO57" s="2394">
        <f t="shared" si="56"/>
        <v>6.3255097831872691</v>
      </c>
      <c r="FP57" s="2270"/>
      <c r="GC57" s="460"/>
      <c r="GD57" s="461"/>
      <c r="GE57" s="24"/>
      <c r="GH57" s="1185">
        <v>2003</v>
      </c>
      <c r="GI57" s="1974">
        <v>307.69085266457677</v>
      </c>
      <c r="GJ57" s="2387">
        <v>286.65192717439265</v>
      </c>
      <c r="GK57" s="2388">
        <f t="shared" si="60"/>
        <v>276.40285048726673</v>
      </c>
      <c r="GX57" s="460"/>
      <c r="GY57" s="461"/>
      <c r="GZ57" s="24"/>
      <c r="HC57" s="1185">
        <v>2003</v>
      </c>
      <c r="HD57" s="1190">
        <v>1815.6579999999999</v>
      </c>
      <c r="HE57" s="2392">
        <v>2186.4</v>
      </c>
      <c r="HF57" s="2392">
        <f t="shared" si="61"/>
        <v>2033.43</v>
      </c>
      <c r="HT57" s="460"/>
      <c r="HU57" s="461"/>
      <c r="HV57" s="24"/>
      <c r="HZ57" s="1218">
        <v>2003</v>
      </c>
      <c r="IA57" s="1274">
        <f t="shared" si="57"/>
        <v>307.69085266457677</v>
      </c>
      <c r="IB57" s="2581">
        <f t="shared" si="58"/>
        <v>309.29163895094899</v>
      </c>
      <c r="IC57" s="2581"/>
      <c r="IQ57" s="460"/>
      <c r="IR57" s="461"/>
      <c r="IS57" s="24"/>
    </row>
    <row r="58" spans="12:253" ht="23.4">
      <c r="L58" s="1910" t="s">
        <v>697</v>
      </c>
      <c r="M58" s="1909" t="s">
        <v>737</v>
      </c>
      <c r="N58" s="1909"/>
      <c r="O58" s="1888" t="s">
        <v>419</v>
      </c>
      <c r="P58" s="1930">
        <v>418.46850000000001</v>
      </c>
      <c r="Q58" s="1924">
        <f>ОТЧЁТ!V62</f>
        <v>523.46310000000005</v>
      </c>
      <c r="R58" s="1924">
        <f>ОТЧЁТ!W62</f>
        <v>579.28650000000005</v>
      </c>
      <c r="S58" s="1924">
        <f>ОТЧЁТ!X62</f>
        <v>821.04340000000002</v>
      </c>
      <c r="T58" s="1924">
        <f>ОТЧЁТ!Y62</f>
        <v>2084.5850999999998</v>
      </c>
      <c r="U58" s="1924">
        <f>ОТЧЁТ!Z62</f>
        <v>3218.8663000000001</v>
      </c>
      <c r="V58" s="1924">
        <f>ОТЧЁТ!AA62</f>
        <v>3299.5617000000002</v>
      </c>
      <c r="W58" s="1924">
        <f>ОТЧЁТ!AB62</f>
        <v>3813.7</v>
      </c>
      <c r="X58" s="1948">
        <f>ОТЧЁТ!AC62</f>
        <v>4655.8802999999998</v>
      </c>
      <c r="Y58" s="1948">
        <f>ОТЧЁТ!AD62</f>
        <v>5860.3968999999997</v>
      </c>
      <c r="Z58" s="1948">
        <f>ОТЧЁТ!AE62</f>
        <v>7607.2565000000004</v>
      </c>
      <c r="AA58" s="1948">
        <f>ОТЧЁТ!AF62</f>
        <v>9079.2999999999993</v>
      </c>
      <c r="AB58" s="1948">
        <f>ОТЧЁТ!AG62</f>
        <v>10028.7621</v>
      </c>
      <c r="AC58" s="1948">
        <f>ОТЧЁТ!AH62</f>
        <v>12923.5537</v>
      </c>
      <c r="AD58" s="1948">
        <f>ОТЧЁТ!AI62</f>
        <v>10842.0262</v>
      </c>
      <c r="AE58" s="2188">
        <f>ОТЧЁТ!AJ62</f>
        <v>13529.311</v>
      </c>
      <c r="AF58" s="1952">
        <f>ОТЧЁТ!AK62</f>
        <v>16865.192199999998</v>
      </c>
      <c r="AG58" s="1952">
        <f>ОТЧЁТ!AL62</f>
        <v>18324.772300000001</v>
      </c>
      <c r="AH58" s="1952">
        <f>ОТЧЁТ!AM62</f>
        <v>18863.370199999998</v>
      </c>
      <c r="AI58" s="1952">
        <f>ОТЧЁТ!AN62</f>
        <v>21425.934600000001</v>
      </c>
      <c r="AJ58" s="1952">
        <f>ОТЧЁТ!AO62</f>
        <v>23854.05</v>
      </c>
      <c r="AK58" s="1952">
        <f>ОТЧЁТ!AP62</f>
        <v>22137.648000000001</v>
      </c>
      <c r="AL58" s="1952">
        <f>ОТЧЁТ!AQ62</f>
        <v>23994.3</v>
      </c>
      <c r="AM58" s="1952">
        <f>ОТЧЁТ!AR62</f>
        <v>31932.55</v>
      </c>
      <c r="AN58" s="614"/>
      <c r="AO58" s="1923"/>
      <c r="AP58" s="614"/>
      <c r="AQ58" s="1904" t="str">
        <f t="shared" ref="AQ58:AQ64" si="67">O58</f>
        <v>EX</v>
      </c>
      <c r="BD58" s="2212">
        <v>2010</v>
      </c>
      <c r="BE58" s="362">
        <v>2.3082115313418785</v>
      </c>
      <c r="BF58" s="364">
        <v>2.3303852986711466</v>
      </c>
      <c r="BT58" s="2212">
        <v>2010</v>
      </c>
      <c r="BU58" s="362">
        <v>14.006747557636276</v>
      </c>
      <c r="BV58" s="364">
        <v>12.376786544178128</v>
      </c>
      <c r="CJ58" s="2302" t="s">
        <v>695</v>
      </c>
      <c r="CK58" s="2303" t="s">
        <v>1884</v>
      </c>
      <c r="CL58" s="2304" t="s">
        <v>1877</v>
      </c>
      <c r="CM58" s="2304" t="s">
        <v>1878</v>
      </c>
      <c r="CN58" s="2305" t="s">
        <v>1213</v>
      </c>
      <c r="CO58" s="2306" t="s">
        <v>188</v>
      </c>
      <c r="DF58" s="2336">
        <v>2000</v>
      </c>
      <c r="DG58" s="1118">
        <v>0.56527391744994016</v>
      </c>
      <c r="DH58" s="2346"/>
      <c r="DW58" s="547">
        <f t="shared" si="65"/>
        <v>0.56527391744994016</v>
      </c>
      <c r="DZ58" s="1272">
        <v>2004</v>
      </c>
      <c r="EA58" s="2378">
        <v>1.1606955066971585</v>
      </c>
      <c r="EB58" s="2272">
        <v>1.2208051765238728</v>
      </c>
      <c r="ES58" s="1234">
        <v>2004</v>
      </c>
      <c r="ET58" s="2506">
        <f t="shared" si="54"/>
        <v>343.804802507837</v>
      </c>
      <c r="EU58" s="2507">
        <f t="shared" si="55"/>
        <v>256.2534253235163</v>
      </c>
      <c r="FL58" s="1218">
        <v>2004</v>
      </c>
      <c r="FM58" s="1259">
        <v>7.3003121869901326</v>
      </c>
      <c r="FN58" s="2394">
        <v>8.6918699640274202</v>
      </c>
      <c r="FO58" s="2394">
        <f t="shared" si="56"/>
        <v>7.3003121869901326</v>
      </c>
      <c r="FP58" s="2270"/>
      <c r="GC58" s="460"/>
      <c r="GD58" s="461"/>
      <c r="GE58" s="24"/>
      <c r="GH58" s="1185">
        <v>2004</v>
      </c>
      <c r="GI58" s="1974">
        <v>343.804802507837</v>
      </c>
      <c r="GJ58" s="2387">
        <v>325.92324119728443</v>
      </c>
      <c r="GK58" s="2388">
        <f t="shared" si="60"/>
        <v>310.95682557736808</v>
      </c>
      <c r="GX58" s="460"/>
      <c r="GY58" s="461"/>
      <c r="GZ58" s="24"/>
      <c r="HC58" s="1185">
        <v>2004</v>
      </c>
      <c r="HD58" s="1190">
        <v>1972.1120000000001</v>
      </c>
      <c r="HE58" s="2392">
        <v>2865</v>
      </c>
      <c r="HF58" s="2392">
        <f t="shared" si="61"/>
        <v>2619.0199999999995</v>
      </c>
      <c r="HT58" s="460"/>
      <c r="HU58" s="461"/>
      <c r="HV58" s="24"/>
      <c r="HZ58" s="1218">
        <v>2004</v>
      </c>
      <c r="IA58" s="1274">
        <f t="shared" si="57"/>
        <v>343.804802507837</v>
      </c>
      <c r="IB58" s="2581">
        <f t="shared" si="58"/>
        <v>347.25898941084665</v>
      </c>
      <c r="IC58" s="2581"/>
      <c r="IQ58" s="460"/>
      <c r="IR58" s="461"/>
      <c r="IS58" s="24"/>
    </row>
    <row r="59" spans="12:253" ht="24" thickBot="1">
      <c r="L59" s="1910" t="s">
        <v>697</v>
      </c>
      <c r="M59" s="1909"/>
      <c r="N59" s="1909"/>
      <c r="O59" s="546" t="s">
        <v>567</v>
      </c>
      <c r="P59" s="136">
        <v>1.05</v>
      </c>
      <c r="Q59" s="1925">
        <f>ОТЧЁТ!V139</f>
        <v>1.0369999999999999</v>
      </c>
      <c r="R59" s="1925">
        <f>ОТЧЁТ!W139</f>
        <v>0.995</v>
      </c>
      <c r="S59" s="1925">
        <f>ОТЧЁТ!X139</f>
        <v>1.0189999999999999</v>
      </c>
      <c r="T59" s="1925">
        <f>ОТЧЁТ!Y139</f>
        <v>1.1120000000000001</v>
      </c>
      <c r="U59" s="1925">
        <f>ОТЧЁТ!Z139</f>
        <v>1.095</v>
      </c>
      <c r="V59" s="1925">
        <f>ОТЧЁТ!AA139</f>
        <v>1.042</v>
      </c>
      <c r="W59" s="1925">
        <f>ОТЧЁТ!AB139</f>
        <v>1.103</v>
      </c>
      <c r="X59" s="1925">
        <f>ОТЧЁТ!AC139</f>
        <v>1.1259999999999999</v>
      </c>
      <c r="Y59" s="1925">
        <f>ОТЧЁТ!AD139</f>
        <v>1.1180000000000001</v>
      </c>
      <c r="Z59" s="1925">
        <f>ОТЧЁТ!AE139</f>
        <v>1.0649999999999999</v>
      </c>
      <c r="AA59" s="1925">
        <f>ОТЧЁТ!AF139</f>
        <v>1.073</v>
      </c>
      <c r="AB59" s="1925">
        <f>ОТЧЁТ!AG139</f>
        <v>1.0629999999999999</v>
      </c>
      <c r="AC59" s="1925">
        <f>ОТЧЁТ!AH139</f>
        <v>1.006</v>
      </c>
      <c r="AD59" s="1925">
        <f>ОТЧЁТ!AI139</f>
        <v>0.95299999999999996</v>
      </c>
      <c r="AE59" s="1942">
        <f>ОТЧЁТ!AJ139</f>
        <v>1.07</v>
      </c>
      <c r="AF59" s="1955">
        <f>ОТЧЁТ!AK139</f>
        <v>1.0029999999999999</v>
      </c>
      <c r="AG59" s="1955">
        <f>ОТЧЁТ!AL139</f>
        <v>1.014</v>
      </c>
      <c r="AH59" s="1955">
        <f>ОТЧЁТ!AM139</f>
        <v>1.046</v>
      </c>
      <c r="AI59" s="1955">
        <f>ОТЧЁТ!AN139</f>
        <v>1.0049999999999999</v>
      </c>
      <c r="AJ59" s="1955">
        <f>ОТЧЁТ!AO139</f>
        <v>1.0369999999999999</v>
      </c>
      <c r="AK59" s="1955">
        <f>ОТЧЁТ!AP139</f>
        <v>1.032</v>
      </c>
      <c r="AL59" s="1955">
        <f>ОТЧЁТ!AQ139</f>
        <v>1.05</v>
      </c>
      <c r="AM59" s="1955">
        <f>ОТЧЁТ!AR139</f>
        <v>1.0549999999999999</v>
      </c>
      <c r="AN59" s="614"/>
      <c r="AO59" s="1923"/>
      <c r="AP59" s="614"/>
      <c r="AQ59" s="1904" t="str">
        <f t="shared" si="67"/>
        <v>pEX</v>
      </c>
      <c r="BD59" s="2212">
        <v>2011</v>
      </c>
      <c r="BE59" s="362">
        <v>2.315136165935904</v>
      </c>
      <c r="BF59" s="364">
        <v>2.6832129238473335</v>
      </c>
      <c r="BT59" s="2212">
        <v>2011</v>
      </c>
      <c r="BU59" s="362">
        <v>17.408124468926459</v>
      </c>
      <c r="BV59" s="364">
        <v>14.886630426588829</v>
      </c>
      <c r="CJ59" s="2293">
        <v>43916</v>
      </c>
      <c r="CK59" s="2300" t="s">
        <v>1883</v>
      </c>
      <c r="CL59" s="2300" t="s">
        <v>1883</v>
      </c>
      <c r="CM59" s="2299" t="s">
        <v>1882</v>
      </c>
      <c r="CN59" s="1558" t="s">
        <v>82</v>
      </c>
      <c r="CO59" s="1545" t="s">
        <v>82</v>
      </c>
      <c r="DF59" s="2336">
        <v>2001</v>
      </c>
      <c r="DG59" s="1118">
        <v>0.58768319068878805</v>
      </c>
      <c r="DH59" s="2346"/>
      <c r="DW59" s="547">
        <f t="shared" si="65"/>
        <v>0.58768319068878805</v>
      </c>
      <c r="DZ59" s="1272">
        <v>2005</v>
      </c>
      <c r="EA59" s="2378">
        <v>1.2833622609573379</v>
      </c>
      <c r="EB59" s="2272">
        <v>1.3453273045293079</v>
      </c>
      <c r="ES59" s="1234">
        <v>2005</v>
      </c>
      <c r="ET59" s="2506">
        <f t="shared" si="54"/>
        <v>381.3633103448276</v>
      </c>
      <c r="EU59" s="2507">
        <f t="shared" si="55"/>
        <v>275.73257377194318</v>
      </c>
      <c r="FL59" s="1218">
        <v>2005</v>
      </c>
      <c r="FM59" s="1259">
        <v>8.7907908216125801</v>
      </c>
      <c r="FN59" s="2394">
        <v>10.367609749128871</v>
      </c>
      <c r="FO59" s="2394">
        <f t="shared" si="56"/>
        <v>8.7907908216125801</v>
      </c>
      <c r="FP59" s="2270"/>
      <c r="GC59" s="460"/>
      <c r="GD59" s="461"/>
      <c r="GE59" s="24"/>
      <c r="GH59" s="1185">
        <v>2005</v>
      </c>
      <c r="GI59" s="1974">
        <v>381.3633103448276</v>
      </c>
      <c r="GJ59" s="2387">
        <v>359.16741179940749</v>
      </c>
      <c r="GK59" s="2388">
        <f t="shared" si="60"/>
        <v>345.26702921648138</v>
      </c>
      <c r="GX59" s="460"/>
      <c r="GY59" s="461"/>
      <c r="GZ59" s="24"/>
      <c r="HC59" s="1185">
        <v>2005</v>
      </c>
      <c r="HD59" s="1190">
        <v>2943.6860000000001</v>
      </c>
      <c r="HE59" s="2392">
        <v>3611.1</v>
      </c>
      <c r="HF59" s="2392">
        <f t="shared" si="61"/>
        <v>3319.41</v>
      </c>
      <c r="HT59" s="460"/>
      <c r="HU59" s="461"/>
      <c r="HV59" s="24"/>
      <c r="HZ59" s="1218">
        <v>2005</v>
      </c>
      <c r="IA59" s="1274">
        <f t="shared" si="57"/>
        <v>381.3633103448276</v>
      </c>
      <c r="IB59" s="2581">
        <f t="shared" si="58"/>
        <v>386.87086583118975</v>
      </c>
      <c r="IC59" s="2581"/>
      <c r="IQ59" s="460"/>
      <c r="IR59" s="461"/>
      <c r="IS59" s="24"/>
    </row>
    <row r="60" spans="12:253" ht="23.4">
      <c r="L60" s="1893"/>
      <c r="M60" s="1909"/>
      <c r="N60" s="1909"/>
      <c r="O60" s="546" t="s">
        <v>738</v>
      </c>
      <c r="P60" s="136">
        <v>1</v>
      </c>
      <c r="Q60" s="1925">
        <f>P60*Q59</f>
        <v>1.0369999999999999</v>
      </c>
      <c r="R60" s="1925">
        <f t="shared" ref="R60:AI60" si="68">Q60*R59</f>
        <v>1.0318149999999999</v>
      </c>
      <c r="S60" s="1925">
        <f t="shared" si="68"/>
        <v>1.0514194849999998</v>
      </c>
      <c r="T60" s="1925">
        <f t="shared" si="68"/>
        <v>1.1691784673199999</v>
      </c>
      <c r="U60" s="1925">
        <f t="shared" si="68"/>
        <v>1.2802504217153998</v>
      </c>
      <c r="V60" s="1925">
        <f t="shared" si="68"/>
        <v>1.3340209394274467</v>
      </c>
      <c r="W60" s="1925">
        <f t="shared" si="68"/>
        <v>1.4714250961884736</v>
      </c>
      <c r="X60" s="1925">
        <f t="shared" si="68"/>
        <v>1.6568246583082211</v>
      </c>
      <c r="Y60" s="1925">
        <f t="shared" si="68"/>
        <v>1.8523299679885914</v>
      </c>
      <c r="Z60" s="1925">
        <f t="shared" si="68"/>
        <v>1.9727314159078497</v>
      </c>
      <c r="AA60" s="1925">
        <f t="shared" si="68"/>
        <v>2.1167408092691224</v>
      </c>
      <c r="AB60" s="1925">
        <f t="shared" si="68"/>
        <v>2.2500954802530773</v>
      </c>
      <c r="AC60" s="1925">
        <f t="shared" si="68"/>
        <v>2.2635960531345956</v>
      </c>
      <c r="AD60" s="1925">
        <f t="shared" si="68"/>
        <v>2.1572070386372695</v>
      </c>
      <c r="AE60" s="1942">
        <f t="shared" si="68"/>
        <v>2.3082115313418785</v>
      </c>
      <c r="AF60" s="1955">
        <f t="shared" si="68"/>
        <v>2.315136165935904</v>
      </c>
      <c r="AG60" s="1955">
        <f t="shared" si="68"/>
        <v>2.3475480722590065</v>
      </c>
      <c r="AH60" s="1955">
        <f t="shared" si="68"/>
        <v>2.4555352835829209</v>
      </c>
      <c r="AI60" s="1955">
        <f t="shared" si="68"/>
        <v>2.4678129600008352</v>
      </c>
      <c r="AJ60" s="1955">
        <f>AI60*AJ59</f>
        <v>2.559122039520866</v>
      </c>
      <c r="AK60" s="1955">
        <f>AJ60*AK59</f>
        <v>2.6410139447855339</v>
      </c>
      <c r="AL60" s="1955">
        <f>AK60*AL59</f>
        <v>2.7730646420248108</v>
      </c>
      <c r="AM60" s="1955">
        <f>AL60*AM59</f>
        <v>2.9255831973361754</v>
      </c>
      <c r="AN60" s="614"/>
      <c r="AO60" s="1923"/>
      <c r="AP60" s="614"/>
      <c r="AQ60" s="1904" t="str">
        <f t="shared" si="67"/>
        <v>Pe</v>
      </c>
      <c r="BD60" s="2212">
        <v>2012</v>
      </c>
      <c r="BE60" s="362">
        <v>2.3475480722590065</v>
      </c>
      <c r="BF60" s="364">
        <v>2.7827499923033039</v>
      </c>
      <c r="BT60" s="2212">
        <v>2012</v>
      </c>
      <c r="BU60" s="362">
        <v>18.653542469425737</v>
      </c>
      <c r="BV60" s="364">
        <v>15.682710215951941</v>
      </c>
      <c r="CJ60" s="2289">
        <v>1995</v>
      </c>
      <c r="CK60" s="1874">
        <f t="array" ref="CK60:CK83">TRANSPOSE(ОТЧЁТ!U199:AR199)</f>
        <v>1428.5209</v>
      </c>
      <c r="CL60" s="1200">
        <f t="array" ref="CL60:CL83">TRANSPOSE(ОТЧЁТ!U197:AR197)</f>
        <v>5306</v>
      </c>
      <c r="CM60" s="1802">
        <f t="array" ref="CM60:CM83">TRANSPOSE(ОТЧЁТ!U91:AR91)</f>
        <v>64.055000000000007</v>
      </c>
      <c r="CN60" s="1802">
        <v>22.301473733510264</v>
      </c>
      <c r="CO60" s="1804">
        <v>82.842244945749741</v>
      </c>
      <c r="DF60" s="2336">
        <v>2002</v>
      </c>
      <c r="DG60" s="1118">
        <v>0.60746658522682651</v>
      </c>
      <c r="DH60" s="2346"/>
      <c r="DW60" s="547">
        <f t="shared" si="65"/>
        <v>0.60746658522682651</v>
      </c>
      <c r="DZ60" s="1272">
        <v>2006</v>
      </c>
      <c r="EA60" s="2378">
        <v>1.5143674679296586</v>
      </c>
      <c r="EB60" s="2272">
        <v>1.5699969643857024</v>
      </c>
      <c r="ES60" s="1234">
        <v>2006</v>
      </c>
      <c r="ET60" s="2506">
        <f t="shared" si="54"/>
        <v>443.47930407523512</v>
      </c>
      <c r="EU60" s="2507">
        <f t="shared" si="55"/>
        <v>307.51586756858018</v>
      </c>
      <c r="FL60" s="1218">
        <v>2006</v>
      </c>
      <c r="FM60" s="1259">
        <v>10.077706332186347</v>
      </c>
      <c r="FN60" s="2394">
        <v>11.935242035159135</v>
      </c>
      <c r="FO60" s="2394">
        <f t="shared" si="56"/>
        <v>10.077706332186347</v>
      </c>
      <c r="FP60" s="2270"/>
      <c r="GC60" s="460"/>
      <c r="GD60" s="461"/>
      <c r="GE60" s="24"/>
      <c r="GH60" s="1185">
        <v>2006</v>
      </c>
      <c r="GI60" s="1974">
        <v>443.47930407523512</v>
      </c>
      <c r="GJ60" s="2387">
        <v>419.14836956990854</v>
      </c>
      <c r="GK60" s="2388">
        <f t="shared" si="60"/>
        <v>397.82966517854589</v>
      </c>
      <c r="GX60" s="460"/>
      <c r="GY60" s="461"/>
      <c r="GZ60" s="24"/>
      <c r="HC60" s="1185">
        <v>2006</v>
      </c>
      <c r="HD60" s="1190">
        <v>3252.4360000000001</v>
      </c>
      <c r="HE60" s="2392">
        <v>4730</v>
      </c>
      <c r="HF60" s="2392">
        <f t="shared" si="61"/>
        <v>4319.72</v>
      </c>
      <c r="HT60" s="460"/>
      <c r="HU60" s="461"/>
      <c r="HV60" s="24"/>
      <c r="HZ60" s="1218">
        <v>2006</v>
      </c>
      <c r="IA60" s="1274">
        <f t="shared" si="57"/>
        <v>443.47930407523512</v>
      </c>
      <c r="IB60" s="2581">
        <f t="shared" si="58"/>
        <v>453.32981138608096</v>
      </c>
      <c r="IC60" s="2581"/>
      <c r="IQ60" s="460"/>
      <c r="IR60" s="461"/>
      <c r="IS60" s="24"/>
    </row>
    <row r="61" spans="12:253" ht="23.4">
      <c r="L61" s="1893"/>
      <c r="M61" s="1909"/>
      <c r="N61" s="1909"/>
      <c r="O61" s="546" t="s">
        <v>644</v>
      </c>
      <c r="P61" s="136">
        <v>1</v>
      </c>
      <c r="Q61" s="1953">
        <v>1.2062700474653716</v>
      </c>
      <c r="R61" s="1953">
        <v>1.3416177583578945</v>
      </c>
      <c r="S61" s="1953">
        <v>1.8660673788361899</v>
      </c>
      <c r="T61" s="1953">
        <v>4.2606518536034752</v>
      </c>
      <c r="U61" s="1953">
        <v>6.0082118596068304</v>
      </c>
      <c r="V61" s="1953">
        <v>5.9105900050191611</v>
      </c>
      <c r="W61" s="1953">
        <v>6.1936348205467269</v>
      </c>
      <c r="X61" s="1953">
        <v>6.7152546240758211</v>
      </c>
      <c r="Y61" s="1953">
        <v>7.5604196927091616</v>
      </c>
      <c r="Z61" s="1953">
        <v>9.215042167890525</v>
      </c>
      <c r="AA61" s="1953">
        <v>10.249953881504441</v>
      </c>
      <c r="AB61" s="1953">
        <v>10.650833844352405</v>
      </c>
      <c r="AC61" s="1953">
        <f t="shared" ref="AC61:AM61" si="69">AC58/AC62</f>
        <v>13.643325842032947</v>
      </c>
      <c r="AD61" s="1953">
        <f t="shared" si="69"/>
        <v>12.010355196687106</v>
      </c>
      <c r="AE61" s="1954">
        <f t="shared" si="69"/>
        <v>14.006747557636276</v>
      </c>
      <c r="AF61" s="1956">
        <f t="shared" si="69"/>
        <v>17.408124468926459</v>
      </c>
      <c r="AG61" s="1956">
        <f t="shared" si="69"/>
        <v>18.653542469425737</v>
      </c>
      <c r="AH61" s="1956">
        <f t="shared" si="69"/>
        <v>18.357364736075578</v>
      </c>
      <c r="AI61" s="1956">
        <f t="shared" si="69"/>
        <v>20.747451690988555</v>
      </c>
      <c r="AJ61" s="1956">
        <f t="shared" si="69"/>
        <v>22.274520095355602</v>
      </c>
      <c r="AK61" s="1956">
        <f t="shared" si="69"/>
        <v>20.030786917707065</v>
      </c>
      <c r="AL61" s="1956">
        <f t="shared" si="69"/>
        <v>20.67689483369983</v>
      </c>
      <c r="AM61" s="1956">
        <f t="shared" si="69"/>
        <v>26.083050100459737</v>
      </c>
      <c r="AN61" s="614"/>
      <c r="AO61" s="1923"/>
      <c r="AP61" s="614"/>
      <c r="AQ61" s="1904" t="str">
        <f t="shared" si="67"/>
        <v>De</v>
      </c>
      <c r="BD61" s="2212">
        <v>2013</v>
      </c>
      <c r="BE61" s="362">
        <v>2.4555352835829209</v>
      </c>
      <c r="BF61" s="364">
        <v>2.7806353412040012</v>
      </c>
      <c r="BT61" s="2212">
        <v>2013</v>
      </c>
      <c r="BU61" s="362">
        <v>18.357364736075578</v>
      </c>
      <c r="BV61" s="364">
        <v>15.596922733834754</v>
      </c>
      <c r="CJ61" s="2290">
        <v>1996</v>
      </c>
      <c r="CK61" s="2132">
        <v>1377.0941476</v>
      </c>
      <c r="CL61" s="1201">
        <v>5300.6940000000004</v>
      </c>
      <c r="CM61" s="1382">
        <v>62.927999999999997</v>
      </c>
      <c r="CN61" s="1382">
        <f>CK61/CM61</f>
        <v>21.883647145944572</v>
      </c>
      <c r="CO61" s="1035">
        <f>CL61/CM61</f>
        <v>84.234267734553782</v>
      </c>
      <c r="DF61" s="2336">
        <v>2003</v>
      </c>
      <c r="DG61" s="1118">
        <v>0.64524584965850473</v>
      </c>
      <c r="DH61" s="2346"/>
      <c r="DW61" s="547">
        <f t="shared" si="65"/>
        <v>0.64524584965850473</v>
      </c>
      <c r="DZ61" s="1272">
        <v>2007</v>
      </c>
      <c r="EA61" s="2378">
        <v>1.8323846361948868</v>
      </c>
      <c r="EB61" s="2272">
        <v>1.9263862753012568</v>
      </c>
      <c r="ES61" s="1234">
        <v>2007</v>
      </c>
      <c r="ET61" s="2506">
        <f t="shared" si="54"/>
        <v>540.98696865203772</v>
      </c>
      <c r="EU61" s="2507">
        <f t="shared" si="55"/>
        <v>361.15266329923622</v>
      </c>
      <c r="FL61" s="1218">
        <v>2007</v>
      </c>
      <c r="FM61" s="1259">
        <v>11.630372067549995</v>
      </c>
      <c r="FN61" s="2394">
        <v>13.587224630705832</v>
      </c>
      <c r="FO61" s="2394">
        <f t="shared" si="56"/>
        <v>11.630372067549995</v>
      </c>
      <c r="FP61" s="2270"/>
      <c r="GC61" s="460"/>
      <c r="GD61" s="461"/>
      <c r="GE61" s="24"/>
      <c r="GH61" s="1185">
        <v>2007</v>
      </c>
      <c r="GI61" s="1974">
        <v>540.98696865203772</v>
      </c>
      <c r="GJ61" s="2387">
        <v>514.2950494622778</v>
      </c>
      <c r="GK61" s="2388">
        <f t="shared" si="60"/>
        <v>479.75294971751691</v>
      </c>
      <c r="GX61" s="460"/>
      <c r="GY61" s="461"/>
      <c r="GZ61" s="24"/>
      <c r="HC61" s="1185">
        <v>2007</v>
      </c>
      <c r="HD61" s="1190">
        <v>4296.4110000000001</v>
      </c>
      <c r="HE61" s="2392">
        <v>6716.2219999999998</v>
      </c>
      <c r="HF61" s="2392">
        <f t="shared" si="61"/>
        <v>6008.4653999999991</v>
      </c>
      <c r="HT61" s="460"/>
      <c r="HU61" s="461"/>
      <c r="HV61" s="24"/>
      <c r="HZ61" s="1218">
        <v>2007</v>
      </c>
      <c r="IA61" s="1274">
        <f t="shared" si="57"/>
        <v>540.98696865203772</v>
      </c>
      <c r="IB61" s="2581">
        <f t="shared" si="58"/>
        <v>549.45088502798808</v>
      </c>
      <c r="IC61" s="2581"/>
      <c r="IQ61" s="460"/>
      <c r="IR61" s="461"/>
      <c r="IS61" s="24"/>
    </row>
    <row r="62" spans="12:253" ht="24" thickBot="1">
      <c r="L62" s="1893"/>
      <c r="M62" s="1909"/>
      <c r="N62" s="1909"/>
      <c r="O62" s="546" t="s">
        <v>739</v>
      </c>
      <c r="P62" s="1924">
        <v>418.46850000000001</v>
      </c>
      <c r="Q62" s="1924">
        <f t="shared" ref="Q62:AM62" si="70">$P62*Q60</f>
        <v>433.95183449999996</v>
      </c>
      <c r="R62" s="1924">
        <f t="shared" si="70"/>
        <v>431.78207532749997</v>
      </c>
      <c r="S62" s="1924">
        <f t="shared" si="70"/>
        <v>439.98593475872241</v>
      </c>
      <c r="T62" s="1924">
        <f t="shared" si="70"/>
        <v>489.26435945169936</v>
      </c>
      <c r="U62" s="1924">
        <f t="shared" si="70"/>
        <v>535.74447359961084</v>
      </c>
      <c r="V62" s="1924">
        <f t="shared" si="70"/>
        <v>558.24574149079444</v>
      </c>
      <c r="W62" s="1924">
        <f t="shared" si="70"/>
        <v>615.74505286434623</v>
      </c>
      <c r="X62" s="1924">
        <f t="shared" si="70"/>
        <v>693.32892952525378</v>
      </c>
      <c r="Y62" s="1924">
        <f t="shared" si="70"/>
        <v>775.14174320923382</v>
      </c>
      <c r="Z62" s="1924">
        <f t="shared" si="70"/>
        <v>825.52595651783406</v>
      </c>
      <c r="AA62" s="1924">
        <f t="shared" si="70"/>
        <v>885.78935134363576</v>
      </c>
      <c r="AB62" s="1924">
        <f t="shared" si="70"/>
        <v>941.59408047828492</v>
      </c>
      <c r="AC62" s="1924">
        <f t="shared" si="70"/>
        <v>947.24364496115447</v>
      </c>
      <c r="AD62" s="1924">
        <f t="shared" si="70"/>
        <v>902.72319364798022</v>
      </c>
      <c r="AE62" s="1930">
        <f t="shared" si="70"/>
        <v>965.91381720333891</v>
      </c>
      <c r="AF62" s="1931">
        <f t="shared" si="70"/>
        <v>968.81155865494884</v>
      </c>
      <c r="AG62" s="1931">
        <f t="shared" si="70"/>
        <v>982.37492047611806</v>
      </c>
      <c r="AH62" s="1931">
        <f t="shared" si="70"/>
        <v>1027.5641668180197</v>
      </c>
      <c r="AI62" s="1931">
        <f t="shared" si="70"/>
        <v>1032.7019876521094</v>
      </c>
      <c r="AJ62" s="1931">
        <f t="shared" si="70"/>
        <v>1070.9119611952376</v>
      </c>
      <c r="AK62" s="1931">
        <f t="shared" si="70"/>
        <v>1105.1811439534852</v>
      </c>
      <c r="AL62" s="1931">
        <f t="shared" si="70"/>
        <v>1160.4402011511595</v>
      </c>
      <c r="AM62" s="1931">
        <f t="shared" si="70"/>
        <v>1224.2644122144734</v>
      </c>
      <c r="AN62" s="614"/>
      <c r="AO62" s="1923"/>
      <c r="AP62" s="614"/>
      <c r="AQ62" s="1904" t="str">
        <f t="shared" si="67"/>
        <v>EXS</v>
      </c>
      <c r="BD62" s="2212">
        <v>2014</v>
      </c>
      <c r="BE62" s="362">
        <v>2.4678129600008352</v>
      </c>
      <c r="BF62" s="364">
        <v>2.5425873250540896</v>
      </c>
      <c r="BT62" s="2212">
        <v>2014</v>
      </c>
      <c r="BU62" s="362">
        <v>20.747451690988555</v>
      </c>
      <c r="BV62" s="364">
        <v>19.408439246487287</v>
      </c>
      <c r="CJ62" s="2290">
        <v>1997</v>
      </c>
      <c r="CK62" s="2132">
        <v>1396.3734656664001</v>
      </c>
      <c r="CL62" s="1201">
        <v>5279.4912240000003</v>
      </c>
      <c r="CM62" s="1382">
        <v>60.021000000000001</v>
      </c>
      <c r="CN62" s="1382">
        <f t="shared" ref="CN62:CN83" si="71">CK62/CM62</f>
        <v>23.264748432488631</v>
      </c>
      <c r="CO62" s="1035">
        <f t="shared" ref="CO62:CO83" si="72">CL62/CM62</f>
        <v>87.960734143049933</v>
      </c>
      <c r="DF62" s="2336">
        <v>2004</v>
      </c>
      <c r="DG62" s="1118">
        <v>0.68589125751100888</v>
      </c>
      <c r="DH62" s="2346"/>
      <c r="DW62" s="547">
        <f t="shared" si="65"/>
        <v>0.68589125751100888</v>
      </c>
      <c r="DZ62" s="1272">
        <v>2008</v>
      </c>
      <c r="EA62" s="2378">
        <v>2.0266174076315449</v>
      </c>
      <c r="EB62" s="2272">
        <v>2.1093929714548763</v>
      </c>
      <c r="ES62" s="1234">
        <v>2008</v>
      </c>
      <c r="ET62" s="2506">
        <f t="shared" si="54"/>
        <v>616.82626332288407</v>
      </c>
      <c r="EU62" s="2507">
        <f t="shared" si="55"/>
        <v>401.51238985596126</v>
      </c>
      <c r="FL62" s="1218">
        <v>2008</v>
      </c>
      <c r="FM62" s="1259">
        <v>13.808577618030881</v>
      </c>
      <c r="FN62" s="2394">
        <v>16.03475716499792</v>
      </c>
      <c r="FO62" s="2394">
        <f t="shared" si="56"/>
        <v>13.808577618030881</v>
      </c>
      <c r="FP62" s="2270"/>
      <c r="GC62" s="460"/>
      <c r="GD62" s="461"/>
      <c r="GE62" s="24"/>
      <c r="GH62" s="1185">
        <v>2008</v>
      </c>
      <c r="GI62" s="1974">
        <v>616.82626332288407</v>
      </c>
      <c r="GJ62" s="2387">
        <v>563.15307916119423</v>
      </c>
      <c r="GK62" s="2388">
        <f t="shared" si="60"/>
        <v>538.98100226228235</v>
      </c>
      <c r="GX62" s="460"/>
      <c r="GY62" s="461"/>
      <c r="GZ62" s="24"/>
      <c r="HC62" s="1185">
        <v>2008</v>
      </c>
      <c r="HD62" s="1190">
        <v>5744.8469999999998</v>
      </c>
      <c r="HE62" s="2392">
        <v>8781.616</v>
      </c>
      <c r="HF62" s="2392">
        <f t="shared" si="61"/>
        <v>7963.3755999999994</v>
      </c>
      <c r="HT62" s="460"/>
      <c r="HU62" s="461"/>
      <c r="HV62" s="24"/>
      <c r="HZ62" s="1218">
        <v>2008</v>
      </c>
      <c r="IA62" s="1274">
        <f t="shared" si="57"/>
        <v>616.82626332288407</v>
      </c>
      <c r="IB62" s="2581">
        <f t="shared" si="58"/>
        <v>627.18661876602789</v>
      </c>
      <c r="IC62" s="2581"/>
      <c r="IQ62" s="460"/>
      <c r="IR62" s="461"/>
      <c r="IS62" s="24"/>
    </row>
    <row r="63" spans="12:253" ht="24" thickBot="1">
      <c r="L63" s="1912" t="s">
        <v>697</v>
      </c>
      <c r="M63" s="1913" t="s">
        <v>743</v>
      </c>
      <c r="N63" s="1913"/>
      <c r="O63" s="1914" t="s">
        <v>744</v>
      </c>
      <c r="P63" s="2216">
        <f>ОТЧЁТ!U64</f>
        <v>0</v>
      </c>
      <c r="Q63" s="2217">
        <f>ОТЧЁТ!V64</f>
        <v>11.9298</v>
      </c>
      <c r="R63" s="2217">
        <f>ОТЧЁТ!W64</f>
        <v>0</v>
      </c>
      <c r="S63" s="2217">
        <f>ОТЧЁТ!X64</f>
        <v>56.941099999999999</v>
      </c>
      <c r="T63" s="2217">
        <f>ОТЧЁТ!Y64</f>
        <v>0</v>
      </c>
      <c r="U63" s="2217">
        <f>ОТЧЁТ!Z64</f>
        <v>0</v>
      </c>
      <c r="V63" s="2217">
        <f>ОТЧЁТ!AA64</f>
        <v>-40.022599999999997</v>
      </c>
      <c r="W63" s="2217">
        <f>ОТЧЁТ!AB64</f>
        <v>-1.7070000000000001</v>
      </c>
      <c r="X63" s="2217">
        <f>ОТЧЁТ!AC64</f>
        <v>-107.4624</v>
      </c>
      <c r="Y63" s="2217">
        <f>ОТЧЁТ!AD64</f>
        <v>-96.143500000000003</v>
      </c>
      <c r="Z63" s="2217">
        <f>ОТЧЁТ!AE64</f>
        <v>-126.09529999999999</v>
      </c>
      <c r="AA63" s="1939">
        <f>ОТЧЁТ!AF64</f>
        <v>-17.179400000000001</v>
      </c>
      <c r="AB63" s="1939">
        <f>ОТЧЁТ!AG64</f>
        <v>378.2842</v>
      </c>
      <c r="AC63" s="1939">
        <f>ОТЧЁТ!AH64</f>
        <v>-605.34550000000002</v>
      </c>
      <c r="AD63" s="1939">
        <f>ОТЧЁТ!AI64</f>
        <v>-694.86199999999997</v>
      </c>
      <c r="AE63" s="1938">
        <f>ОТЧЁТ!AJ64</f>
        <v>-418.459</v>
      </c>
      <c r="AF63" s="1961">
        <f>ОТЧЁТ!AK64</f>
        <v>0</v>
      </c>
      <c r="AG63" s="2218">
        <f>ОТЧЁТ!AL64</f>
        <v>0</v>
      </c>
      <c r="AH63" s="2218">
        <f>ОТЧЁТ!AM64</f>
        <v>0</v>
      </c>
      <c r="AI63" s="2218">
        <f>ОТЧЁТ!AN64</f>
        <v>-317.8</v>
      </c>
      <c r="AJ63" s="2218">
        <f>ОТЧЁТ!AO64</f>
        <v>-450.2</v>
      </c>
      <c r="AK63" s="1961">
        <f>ОТЧЁТ!AP64</f>
        <v>-67.02</v>
      </c>
      <c r="AL63" s="1961">
        <f>ОТЧЁТ!AQ64</f>
        <v>-174.6</v>
      </c>
      <c r="AM63" s="1961">
        <f>ОТЧЁТ!AR64</f>
        <v>573.33000000000004</v>
      </c>
      <c r="AN63" s="1962"/>
      <c r="AO63" s="1965"/>
      <c r="AP63" s="1962"/>
      <c r="AQ63" s="1903" t="str">
        <f t="shared" si="67"/>
        <v>^STR</v>
      </c>
      <c r="BD63" s="2212">
        <v>2015</v>
      </c>
      <c r="BE63" s="362">
        <v>2.559122039520866</v>
      </c>
      <c r="BF63" s="364">
        <v>2.1845544171454656</v>
      </c>
      <c r="BT63" s="2212">
        <v>2015</v>
      </c>
      <c r="BU63" s="362">
        <v>22.274520095355602</v>
      </c>
      <c r="BV63" s="364">
        <v>25.392886440510974</v>
      </c>
      <c r="CJ63" s="2290">
        <v>1998</v>
      </c>
      <c r="CK63" s="2132">
        <v>1322.3656719860808</v>
      </c>
      <c r="CL63" s="1201">
        <v>5263.6527503280004</v>
      </c>
      <c r="CM63" s="1382">
        <v>58.436999999999998</v>
      </c>
      <c r="CN63" s="1382">
        <f t="shared" si="71"/>
        <v>22.628910997930777</v>
      </c>
      <c r="CO63" s="1035">
        <f t="shared" si="72"/>
        <v>90.073972831048835</v>
      </c>
      <c r="DF63" s="2336">
        <v>2005</v>
      </c>
      <c r="DG63" s="1118">
        <v>0.71146914542604145</v>
      </c>
      <c r="DH63" s="2346"/>
      <c r="DW63" s="547">
        <f t="shared" si="65"/>
        <v>0.71146914542604145</v>
      </c>
      <c r="DZ63" s="1272">
        <v>2009</v>
      </c>
      <c r="EA63" s="2378">
        <v>1.7347845009326024</v>
      </c>
      <c r="EB63" s="2272">
        <v>1.8246249203084679</v>
      </c>
      <c r="ES63" s="1234">
        <v>2009</v>
      </c>
      <c r="ET63" s="2506">
        <f t="shared" si="54"/>
        <v>595.88017241379305</v>
      </c>
      <c r="EU63" s="2507">
        <f t="shared" si="55"/>
        <v>397.6000187144756</v>
      </c>
      <c r="FL63" s="1218">
        <v>2009</v>
      </c>
      <c r="FM63" s="1259">
        <v>13.964756035279709</v>
      </c>
      <c r="FN63" s="2394">
        <v>16.368494611949213</v>
      </c>
      <c r="FO63" s="2394">
        <f t="shared" si="56"/>
        <v>13.964756035279709</v>
      </c>
      <c r="FP63" s="2270"/>
      <c r="GC63" s="460"/>
      <c r="GD63" s="461"/>
      <c r="GE63" s="24"/>
      <c r="GH63" s="1185">
        <v>2009</v>
      </c>
      <c r="GI63" s="1974">
        <v>595.88017241379305</v>
      </c>
      <c r="GJ63" s="2387">
        <v>487.12741347443301</v>
      </c>
      <c r="GK63" s="2388">
        <f t="shared" si="60"/>
        <v>505.04931021056973</v>
      </c>
      <c r="GX63" s="460"/>
      <c r="GY63" s="461"/>
      <c r="GZ63" s="24"/>
      <c r="HC63" s="1185">
        <v>2009</v>
      </c>
      <c r="HD63" s="1190">
        <v>6356.223</v>
      </c>
      <c r="HE63" s="2392">
        <v>7976.0129999999999</v>
      </c>
      <c r="HF63" s="2392">
        <f t="shared" si="61"/>
        <v>8011.1544999999996</v>
      </c>
      <c r="HT63" s="460"/>
      <c r="HU63" s="461"/>
      <c r="HV63" s="24"/>
      <c r="HZ63" s="1218">
        <v>2009</v>
      </c>
      <c r="IA63" s="1274">
        <f t="shared" si="57"/>
        <v>595.88017241379305</v>
      </c>
      <c r="IB63" s="2581">
        <f t="shared" si="58"/>
        <v>589.86573875520446</v>
      </c>
      <c r="IC63" s="2581"/>
      <c r="IQ63" s="460"/>
      <c r="IR63" s="461"/>
      <c r="IS63" s="24"/>
    </row>
    <row r="64" spans="12:253" ht="24" thickBot="1">
      <c r="P64" s="2222">
        <v>1995</v>
      </c>
      <c r="Q64" s="2223">
        <v>1996</v>
      </c>
      <c r="R64" s="2223">
        <v>1997</v>
      </c>
      <c r="S64" s="2223">
        <v>1998</v>
      </c>
      <c r="T64" s="2223">
        <v>1999</v>
      </c>
      <c r="U64" s="2223">
        <v>2000</v>
      </c>
      <c r="V64" s="2223">
        <v>2001</v>
      </c>
      <c r="W64" s="2223">
        <v>2002</v>
      </c>
      <c r="X64" s="2223">
        <v>2003</v>
      </c>
      <c r="Y64" s="2223">
        <v>2004</v>
      </c>
      <c r="Z64" s="2223">
        <v>2005</v>
      </c>
      <c r="AA64" s="2223">
        <v>2006</v>
      </c>
      <c r="AB64" s="2223">
        <v>2007</v>
      </c>
      <c r="AC64" s="2223">
        <v>2008</v>
      </c>
      <c r="AD64" s="2223">
        <v>2009</v>
      </c>
      <c r="AE64" s="2223">
        <v>2010</v>
      </c>
      <c r="AF64" s="2223">
        <v>2011</v>
      </c>
      <c r="AG64" s="2223">
        <v>2012</v>
      </c>
      <c r="AH64" s="2223">
        <v>2013</v>
      </c>
      <c r="AI64" s="2223">
        <v>2014</v>
      </c>
      <c r="AJ64" s="2223">
        <v>2015</v>
      </c>
      <c r="AK64" s="2223">
        <v>2016</v>
      </c>
      <c r="AL64" s="2223">
        <v>2017</v>
      </c>
      <c r="AM64" s="2223">
        <v>2018</v>
      </c>
      <c r="AN64" s="2223">
        <v>2019</v>
      </c>
      <c r="AO64" s="2223">
        <v>2020</v>
      </c>
      <c r="AP64" s="2223">
        <v>2021</v>
      </c>
      <c r="AQ64" s="2224">
        <f t="shared" si="67"/>
        <v>0</v>
      </c>
      <c r="BD64" s="2212">
        <v>2016</v>
      </c>
      <c r="BE64" s="362">
        <v>2.6410139447855339</v>
      </c>
      <c r="BF64" s="364">
        <v>2.1739784910614586</v>
      </c>
      <c r="BT64" s="2212">
        <v>2016</v>
      </c>
      <c r="BU64" s="362">
        <v>20.030786917707065</v>
      </c>
      <c r="BV64" s="364">
        <v>24.68687303788094</v>
      </c>
      <c r="CJ64" s="2290">
        <v>1999</v>
      </c>
      <c r="CK64" s="2132">
        <v>1406.9970749931899</v>
      </c>
      <c r="CL64" s="1201">
        <v>5274.1800558286568</v>
      </c>
      <c r="CM64" s="1382">
        <v>63.082000000000001</v>
      </c>
      <c r="CN64" s="1382">
        <f t="shared" si="71"/>
        <v>22.304255968314099</v>
      </c>
      <c r="CO64" s="1035">
        <f t="shared" si="72"/>
        <v>83.60832021541259</v>
      </c>
      <c r="DF64" s="2336">
        <v>2006</v>
      </c>
      <c r="DG64" s="1118">
        <v>0.75663076110249916</v>
      </c>
      <c r="DH64" s="2346"/>
      <c r="DW64" s="547">
        <f t="shared" si="65"/>
        <v>0.75663076110249916</v>
      </c>
      <c r="DZ64" s="1272">
        <v>2010</v>
      </c>
      <c r="EA64" s="2378">
        <v>1.8371367864876262</v>
      </c>
      <c r="EB64" s="2272">
        <v>1.9395762902879012</v>
      </c>
      <c r="ES64" s="1234">
        <v>2010</v>
      </c>
      <c r="ET64" s="2506">
        <f t="shared" si="54"/>
        <v>556.55208103448274</v>
      </c>
      <c r="EU64" s="2507">
        <f t="shared" si="55"/>
        <v>364.71603233039366</v>
      </c>
      <c r="FL64" s="1218">
        <v>2010</v>
      </c>
      <c r="FM64" s="1259">
        <v>16.223531809175668</v>
      </c>
      <c r="FN64" s="2394">
        <v>18.691365335566658</v>
      </c>
      <c r="FO64" s="2394">
        <f t="shared" si="56"/>
        <v>16.223531809175668</v>
      </c>
      <c r="FP64" s="2270"/>
      <c r="GC64" s="460"/>
      <c r="GD64" s="461"/>
      <c r="GE64" s="24"/>
      <c r="GH64" s="1185">
        <v>2010</v>
      </c>
      <c r="GI64" s="1974">
        <v>556.55208103448274</v>
      </c>
      <c r="GJ64" s="2387">
        <v>517.81644052332229</v>
      </c>
      <c r="GK64" s="2388">
        <f t="shared" si="60"/>
        <v>516.21229897733156</v>
      </c>
      <c r="GX64" s="460"/>
      <c r="GY64" s="461"/>
      <c r="GZ64" s="24"/>
      <c r="HC64" s="1185">
        <v>2010</v>
      </c>
      <c r="HD64" s="1190">
        <v>6275.9309999999996</v>
      </c>
      <c r="HE64" s="2392">
        <v>9152.1</v>
      </c>
      <c r="HF64" s="2392">
        <f t="shared" si="61"/>
        <v>8879.8341999999993</v>
      </c>
      <c r="HT64" s="460"/>
      <c r="HU64" s="461"/>
      <c r="HV64" s="24"/>
      <c r="HZ64" s="1218">
        <v>2010</v>
      </c>
      <c r="IA64" s="1274">
        <f t="shared" si="57"/>
        <v>556.55208103448274</v>
      </c>
      <c r="IB64" s="2581">
        <f t="shared" si="58"/>
        <v>575.74670471065917</v>
      </c>
      <c r="IC64" s="2581"/>
      <c r="IQ64" s="460"/>
      <c r="IR64" s="461"/>
      <c r="IS64" s="24"/>
    </row>
    <row r="65" spans="7:253" ht="24" thickBot="1">
      <c r="L65" s="1916" t="s">
        <v>1868</v>
      </c>
      <c r="M65" s="1913" t="s">
        <v>1422</v>
      </c>
      <c r="N65" s="1913"/>
      <c r="O65" s="1914" t="s">
        <v>1191</v>
      </c>
      <c r="P65" s="2219">
        <f t="shared" ref="P65:AM65" si="73">P58+P50+P45+P40+P35-P15+P63</f>
        <v>1428.5221000000001</v>
      </c>
      <c r="Q65" s="2220">
        <f t="shared" si="73"/>
        <v>2007.8251</v>
      </c>
      <c r="R65" s="2220">
        <f t="shared" si="73"/>
        <v>2342.5144</v>
      </c>
      <c r="S65" s="2220">
        <f t="shared" si="73"/>
        <v>2629.6228000000001</v>
      </c>
      <c r="T65" s="2220">
        <f t="shared" si="73"/>
        <v>4823.2336999999989</v>
      </c>
      <c r="U65" s="2220">
        <f t="shared" si="73"/>
        <v>7305.6470000000008</v>
      </c>
      <c r="V65" s="2220">
        <f t="shared" si="73"/>
        <v>8943.5820999999996</v>
      </c>
      <c r="W65" s="2220">
        <f t="shared" si="73"/>
        <v>10819.2045</v>
      </c>
      <c r="X65" s="2220">
        <f t="shared" si="73"/>
        <v>13208.205500000002</v>
      </c>
      <c r="Y65" s="2221">
        <f t="shared" si="73"/>
        <v>17027.154399999999</v>
      </c>
      <c r="Z65" s="2221">
        <f t="shared" si="73"/>
        <v>21609.740900000001</v>
      </c>
      <c r="AA65" s="2221">
        <f t="shared" si="73"/>
        <v>26917.168699999995</v>
      </c>
      <c r="AB65" s="2221">
        <f t="shared" si="73"/>
        <v>33247.513200000001</v>
      </c>
      <c r="AC65" s="2221">
        <f t="shared" si="73"/>
        <v>41276.849199999997</v>
      </c>
      <c r="AD65" s="2221">
        <f t="shared" si="73"/>
        <v>38807.325499999999</v>
      </c>
      <c r="AE65" s="2221">
        <f t="shared" si="73"/>
        <v>46308.54</v>
      </c>
      <c r="AF65" s="2221">
        <f t="shared" si="73"/>
        <v>60282.540400000005</v>
      </c>
      <c r="AG65" s="2221">
        <f t="shared" si="73"/>
        <v>68163.883100000006</v>
      </c>
      <c r="AH65" s="2221">
        <f t="shared" si="73"/>
        <v>73133.89509999998</v>
      </c>
      <c r="AI65" s="2221">
        <f t="shared" si="73"/>
        <v>79058.470100000006</v>
      </c>
      <c r="AJ65" s="2221">
        <f t="shared" si="73"/>
        <v>83094.346999999994</v>
      </c>
      <c r="AK65" s="2221">
        <f t="shared" si="73"/>
        <v>86014.203000000023</v>
      </c>
      <c r="AL65" s="2221">
        <f t="shared" si="73"/>
        <v>92101.487000000008</v>
      </c>
      <c r="AM65" s="2221">
        <f t="shared" si="73"/>
        <v>103875.77600000001</v>
      </c>
      <c r="AN65" s="2221"/>
      <c r="AO65" s="2220"/>
      <c r="AP65" s="2220"/>
      <c r="BD65" s="2212">
        <v>2017</v>
      </c>
      <c r="BE65" s="1057">
        <v>2.7730646420248108</v>
      </c>
      <c r="BF65" s="364">
        <v>2.4593220931435207</v>
      </c>
      <c r="BT65" s="2212">
        <v>2017</v>
      </c>
      <c r="BU65" s="362">
        <v>20.67689483369983</v>
      </c>
      <c r="BV65" s="364">
        <v>23.816230026937784</v>
      </c>
      <c r="CJ65" s="2290">
        <v>2000</v>
      </c>
      <c r="CK65" s="2132">
        <v>1547.6967824925091</v>
      </c>
      <c r="CL65" s="1201">
        <v>5300.5509561077997</v>
      </c>
      <c r="CM65" s="1382">
        <v>65.069999999999993</v>
      </c>
      <c r="CN65" s="1382">
        <f t="shared" si="71"/>
        <v>23.785105002190093</v>
      </c>
      <c r="CO65" s="1035">
        <f t="shared" si="72"/>
        <v>81.459212480525593</v>
      </c>
      <c r="DF65" s="2336">
        <v>2007</v>
      </c>
      <c r="DG65" s="1118">
        <v>0.79846194770079459</v>
      </c>
      <c r="DH65" s="2346"/>
      <c r="DW65" s="547">
        <f t="shared" si="65"/>
        <v>0.79846194770079459</v>
      </c>
      <c r="DZ65" s="1272">
        <v>2011</v>
      </c>
      <c r="EA65" s="2378">
        <v>2.0043162340580003</v>
      </c>
      <c r="EB65" s="2272">
        <v>2.1490505296389948</v>
      </c>
      <c r="ES65" s="1234">
        <v>2011</v>
      </c>
      <c r="ET65" s="2506">
        <f t="shared" si="54"/>
        <v>717.5262886488664</v>
      </c>
      <c r="EU65" s="2507">
        <f t="shared" si="55"/>
        <v>454.07144842858281</v>
      </c>
      <c r="FL65" s="1218">
        <v>2011</v>
      </c>
      <c r="FM65" s="1259">
        <v>18.09503717757504</v>
      </c>
      <c r="FN65" s="2394">
        <v>23.328518818067689</v>
      </c>
      <c r="FO65" s="2394"/>
      <c r="FP65" s="1260">
        <f t="shared" ref="FP65:FP72" si="74">FM65</f>
        <v>18.09503717757504</v>
      </c>
      <c r="GC65" s="460"/>
      <c r="GD65" s="461"/>
      <c r="GE65" s="24"/>
      <c r="GH65" s="1185">
        <v>2011</v>
      </c>
      <c r="GI65" s="1974">
        <v>717.5262886488664</v>
      </c>
      <c r="GJ65" s="2387">
        <v>573.74061609984119</v>
      </c>
      <c r="GK65" s="2388">
        <f t="shared" si="60"/>
        <v>553.89446072199655</v>
      </c>
      <c r="GX65" s="460"/>
      <c r="GY65" s="461"/>
      <c r="GZ65" s="24"/>
      <c r="HC65" s="1185">
        <v>2011</v>
      </c>
      <c r="HD65" s="1190">
        <v>8813.3140000000003</v>
      </c>
      <c r="HE65" s="2392">
        <v>11035.652</v>
      </c>
      <c r="HF65" s="2392">
        <f t="shared" si="61"/>
        <v>10352.977699999999</v>
      </c>
      <c r="HT65" s="460"/>
      <c r="HU65" s="461"/>
      <c r="HV65" s="24"/>
      <c r="HZ65" s="1218">
        <v>2011</v>
      </c>
      <c r="IA65" s="1274">
        <f t="shared" si="57"/>
        <v>717.5262886488664</v>
      </c>
      <c r="IB65" s="2581">
        <f t="shared" si="58"/>
        <v>732.66347692264128</v>
      </c>
      <c r="IC65" s="2581"/>
      <c r="IQ65" s="460"/>
      <c r="IR65" s="461"/>
      <c r="IS65" s="24"/>
    </row>
    <row r="66" spans="7:253" ht="24" thickBot="1">
      <c r="L66" s="1912" t="s">
        <v>697</v>
      </c>
      <c r="M66" s="1913" t="s">
        <v>740</v>
      </c>
      <c r="N66" s="1913"/>
      <c r="O66" s="1914" t="s">
        <v>741</v>
      </c>
      <c r="P66" s="2194">
        <v>1428.5209000000002</v>
      </c>
      <c r="Q66" s="2193">
        <f>ОТЧЁТ!V65</f>
        <v>2007.8252000000007</v>
      </c>
      <c r="R66" s="2193">
        <f>ОТЧЁТ!W65</f>
        <v>2342.5136999999995</v>
      </c>
      <c r="S66" s="2193">
        <f>ОТЧЁТ!X65</f>
        <v>2629.6228999999998</v>
      </c>
      <c r="T66" s="2193">
        <f>ОТЧЁТ!Y65</f>
        <v>4823.2329000000009</v>
      </c>
      <c r="U66" s="2193">
        <f>ОТЧЁТ!Z65</f>
        <v>7305.6466</v>
      </c>
      <c r="V66" s="2193">
        <f>ОТЧЁТ!AA65</f>
        <v>8943.5826000000015</v>
      </c>
      <c r="W66" s="2193">
        <f>ОТЧЁТ!AB65</f>
        <v>10819.212299999999</v>
      </c>
      <c r="X66" s="2193">
        <f>ОТЧЁТ!AC65</f>
        <v>13208.2338</v>
      </c>
      <c r="Y66" s="2193">
        <f>ОТЧЁТ!AD65</f>
        <v>17027.190900000001</v>
      </c>
      <c r="Z66" s="2193">
        <f>ОТЧЁТ!AE65</f>
        <v>21609.765500000001</v>
      </c>
      <c r="AA66" s="2195">
        <f>ОТЧЁТ!AF65</f>
        <v>26917.201400000002</v>
      </c>
      <c r="AB66" s="2195">
        <f>ОТЧЁТ!AG65</f>
        <v>33247.513200000001</v>
      </c>
      <c r="AC66" s="2195">
        <f>ОТЧЁТ!AH65</f>
        <v>41276.849199999997</v>
      </c>
      <c r="AD66" s="2195">
        <f>ОТЧЁТ!AI65</f>
        <v>38807.218999999997</v>
      </c>
      <c r="AE66" s="2196">
        <f>ОТЧЁТ!AJ65</f>
        <v>46308.540999999997</v>
      </c>
      <c r="AF66" s="2197">
        <f>ОТЧЁТ!AK65</f>
        <v>60282.540399999998</v>
      </c>
      <c r="AG66" s="2197">
        <f>ОТЧЁТ!AL65</f>
        <v>68163.883099999992</v>
      </c>
      <c r="AH66" s="2197">
        <f>ОТЧЁТ!AM65</f>
        <v>73133.895099999994</v>
      </c>
      <c r="AI66" s="2197">
        <f>ОТЧЁТ!AN65</f>
        <v>79058.48</v>
      </c>
      <c r="AJ66" s="2197">
        <f>ОТЧЁТ!AO65</f>
        <v>83094.3</v>
      </c>
      <c r="AK66" s="2197">
        <f>ОТЧЁТ!AP65</f>
        <v>86014.2</v>
      </c>
      <c r="AL66" s="2197">
        <f>ОТЧЁТ!AQ65</f>
        <v>92101.34</v>
      </c>
      <c r="AM66" s="2197">
        <f>ОТЧЁТ!AR65</f>
        <v>103875.8</v>
      </c>
      <c r="AN66" s="1963"/>
      <c r="AO66" s="1964"/>
      <c r="AP66" s="1963"/>
      <c r="AQ66" s="1915" t="str">
        <f>O66</f>
        <v>^WWP</v>
      </c>
      <c r="BD66" s="2212">
        <v>2018</v>
      </c>
      <c r="BE66" s="1057">
        <v>2.9255831973361754</v>
      </c>
      <c r="BF66" s="364">
        <v>2.5430287713640722</v>
      </c>
      <c r="BT66" s="2212">
        <v>2018</v>
      </c>
      <c r="BU66" s="362">
        <v>26.083050100459737</v>
      </c>
      <c r="BV66" s="364">
        <v>28.984145751879609</v>
      </c>
      <c r="CJ66" s="2290">
        <v>2001</v>
      </c>
      <c r="CK66" s="2132">
        <v>1626.629318399627</v>
      </c>
      <c r="CL66" s="1201">
        <v>5348.2559147127704</v>
      </c>
      <c r="CM66" s="1382">
        <v>65.123000000000005</v>
      </c>
      <c r="CN66" s="1382">
        <f t="shared" si="71"/>
        <v>24.977800752416609</v>
      </c>
      <c r="CO66" s="1035">
        <f t="shared" si="72"/>
        <v>82.125453598771088</v>
      </c>
      <c r="DF66" s="2336">
        <v>2008</v>
      </c>
      <c r="DG66" s="1118">
        <v>0.80925197402107563</v>
      </c>
      <c r="DH66" s="2346"/>
      <c r="DW66" s="547">
        <f t="shared" si="65"/>
        <v>0.80925197402107563</v>
      </c>
      <c r="DZ66" s="1272">
        <v>2012</v>
      </c>
      <c r="EA66" s="2378">
        <v>2.1045320457609002</v>
      </c>
      <c r="EB66" s="2272">
        <v>2.2951859656544467</v>
      </c>
      <c r="ES66" s="1234">
        <v>2012</v>
      </c>
      <c r="ET66" s="2506">
        <f t="shared" si="54"/>
        <v>780.3098389056421</v>
      </c>
      <c r="EU66" s="2507">
        <f t="shared" si="55"/>
        <v>485.7673275393671</v>
      </c>
      <c r="FL66" s="1218">
        <v>2012</v>
      </c>
      <c r="FM66" s="1259">
        <v>19.232494464635629</v>
      </c>
      <c r="FN66" s="2394">
        <v>25.448132013167307</v>
      </c>
      <c r="FO66" s="2394"/>
      <c r="FP66" s="1260">
        <f t="shared" si="74"/>
        <v>19.232494464635629</v>
      </c>
      <c r="GC66" s="460"/>
      <c r="GD66" s="461"/>
      <c r="GE66" s="24"/>
      <c r="GH66" s="1185">
        <v>2012</v>
      </c>
      <c r="GI66" s="1974">
        <v>780.3098389056421</v>
      </c>
      <c r="GJ66" s="2387">
        <v>612.75497799463039</v>
      </c>
      <c r="GK66" s="2388">
        <f t="shared" si="60"/>
        <v>595.45825186854177</v>
      </c>
      <c r="GX66" s="460"/>
      <c r="GY66" s="461"/>
      <c r="GZ66" s="24"/>
      <c r="HC66" s="1185">
        <v>2012</v>
      </c>
      <c r="HD66" s="1190">
        <v>10338.4</v>
      </c>
      <c r="HE66" s="2392">
        <v>12586.090400000001</v>
      </c>
      <c r="HF66" s="2392">
        <f t="shared" si="61"/>
        <v>11932.60368</v>
      </c>
      <c r="HT66" s="460"/>
      <c r="HU66" s="461"/>
      <c r="HV66" s="24"/>
      <c r="HZ66" s="1218">
        <v>2012</v>
      </c>
      <c r="IA66" s="1274">
        <f t="shared" si="57"/>
        <v>780.3098389056421</v>
      </c>
      <c r="IB66" s="2581">
        <f t="shared" si="58"/>
        <v>800.77656440350847</v>
      </c>
      <c r="IC66" s="2581"/>
      <c r="IQ66" s="460"/>
      <c r="IR66" s="461"/>
      <c r="IS66" s="24"/>
    </row>
    <row r="67" spans="7:253" ht="24" thickBot="1">
      <c r="L67" s="1916"/>
      <c r="M67" s="1913" t="s">
        <v>742</v>
      </c>
      <c r="N67" s="1913"/>
      <c r="O67" s="1914"/>
      <c r="P67" s="2199">
        <f>P65-P66</f>
        <v>1.199999999926149E-3</v>
      </c>
      <c r="Q67" s="2199">
        <f t="shared" ref="Q67:AM67" si="75">Q65-Q66</f>
        <v>-1.0000000065701897E-4</v>
      </c>
      <c r="R67" s="2199">
        <f t="shared" si="75"/>
        <v>7.0000000050640665E-4</v>
      </c>
      <c r="S67" s="2199">
        <f t="shared" si="75"/>
        <v>-9.9999999747524271E-5</v>
      </c>
      <c r="T67" s="2199">
        <f t="shared" si="75"/>
        <v>7.9999999798019417E-4</v>
      </c>
      <c r="U67" s="2199">
        <f t="shared" si="75"/>
        <v>4.0000000080908649E-4</v>
      </c>
      <c r="V67" s="2199">
        <f t="shared" si="75"/>
        <v>-5.0000000192085281E-4</v>
      </c>
      <c r="W67" s="2199">
        <f t="shared" si="75"/>
        <v>-7.7999999994062819E-3</v>
      </c>
      <c r="X67" s="2199">
        <f t="shared" si="75"/>
        <v>-2.8299999998125713E-2</v>
      </c>
      <c r="Y67" s="2199">
        <f t="shared" si="75"/>
        <v>-3.650000000197906E-2</v>
      </c>
      <c r="Z67" s="2199">
        <f t="shared" si="75"/>
        <v>-2.4600000000646105E-2</v>
      </c>
      <c r="AA67" s="2199">
        <f t="shared" si="75"/>
        <v>-3.2700000007025665E-2</v>
      </c>
      <c r="AB67" s="2199">
        <f t="shared" si="75"/>
        <v>0</v>
      </c>
      <c r="AC67" s="2199">
        <f t="shared" si="75"/>
        <v>0</v>
      </c>
      <c r="AD67" s="2199">
        <f t="shared" si="75"/>
        <v>0.10650000000168802</v>
      </c>
      <c r="AE67" s="2199">
        <f t="shared" si="75"/>
        <v>-9.9999999656574801E-4</v>
      </c>
      <c r="AF67" s="2199">
        <f t="shared" si="75"/>
        <v>0</v>
      </c>
      <c r="AG67" s="2199">
        <f t="shared" si="75"/>
        <v>0</v>
      </c>
      <c r="AH67" s="2199">
        <f t="shared" si="75"/>
        <v>0</v>
      </c>
      <c r="AI67" s="2199">
        <f t="shared" si="75"/>
        <v>-9.8999999900115654E-3</v>
      </c>
      <c r="AJ67" s="2199">
        <f t="shared" si="75"/>
        <v>4.6999999991385266E-2</v>
      </c>
      <c r="AK67" s="2199">
        <f t="shared" si="75"/>
        <v>3.0000000260770321E-3</v>
      </c>
      <c r="AL67" s="2199">
        <f t="shared" si="75"/>
        <v>0.14700000001175795</v>
      </c>
      <c r="AM67" s="2199">
        <f t="shared" si="75"/>
        <v>-2.3999999990337528E-2</v>
      </c>
      <c r="AN67" s="2199"/>
      <c r="AO67" s="2199"/>
      <c r="AP67" s="2199"/>
      <c r="AQ67" s="1915"/>
      <c r="BD67" s="2212">
        <v>2019</v>
      </c>
      <c r="BE67" s="977"/>
      <c r="BF67" s="1160"/>
      <c r="BT67" s="2212">
        <v>2019</v>
      </c>
      <c r="BU67" s="977"/>
      <c r="BV67" s="1160"/>
      <c r="CJ67" s="2290">
        <v>2002</v>
      </c>
      <c r="CK67" s="2132">
        <v>1703.0808963644092</v>
      </c>
      <c r="CL67" s="1201">
        <v>5401.7384738598985</v>
      </c>
      <c r="CM67" s="1382">
        <v>66.659000000000006</v>
      </c>
      <c r="CN67" s="1382">
        <f t="shared" si="71"/>
        <v>25.549151597899893</v>
      </c>
      <c r="CO67" s="1035">
        <f t="shared" si="72"/>
        <v>81.035396178458996</v>
      </c>
      <c r="DF67" s="2336">
        <v>2009</v>
      </c>
      <c r="DG67" s="1118">
        <v>0.7261311317282132</v>
      </c>
      <c r="DH67" s="363"/>
      <c r="DW67" s="547">
        <f t="shared" si="65"/>
        <v>0.7261311317282132</v>
      </c>
      <c r="DZ67" s="1272">
        <v>2013</v>
      </c>
      <c r="EA67" s="2378">
        <v>2.1318909623557918</v>
      </c>
      <c r="EB67" s="2272">
        <v>2.313547453379682</v>
      </c>
      <c r="ES67" s="1234">
        <v>2013</v>
      </c>
      <c r="ET67" s="2506">
        <f t="shared" si="54"/>
        <v>788.24558996731253</v>
      </c>
      <c r="EU67" s="2507">
        <f t="shared" si="55"/>
        <v>495.32648732647453</v>
      </c>
      <c r="FL67" s="1218">
        <v>2013</v>
      </c>
      <c r="FM67" s="1259">
        <v>20.587243519803909</v>
      </c>
      <c r="FN67" s="2394">
        <v>26.82470761987901</v>
      </c>
      <c r="FO67" s="2394"/>
      <c r="FP67" s="1260">
        <f t="shared" si="74"/>
        <v>20.587243519803909</v>
      </c>
      <c r="GC67" s="460"/>
      <c r="GD67" s="461"/>
      <c r="GE67" s="24"/>
      <c r="GH67" s="1185">
        <v>2013</v>
      </c>
      <c r="GI67" s="1974">
        <v>788.24558996731253</v>
      </c>
      <c r="GJ67" s="2387">
        <v>617.65701781858741</v>
      </c>
      <c r="GK67" s="2388">
        <f t="shared" si="60"/>
        <v>612.28496968192132</v>
      </c>
      <c r="GX67" s="460"/>
      <c r="GY67" s="461"/>
      <c r="GZ67" s="24"/>
      <c r="HC67" s="1185">
        <v>2013</v>
      </c>
      <c r="HD67" s="1190">
        <v>11160.485000000001</v>
      </c>
      <c r="HE67" s="2392">
        <v>13450.2382</v>
      </c>
      <c r="HF67" s="2392">
        <f t="shared" si="61"/>
        <v>13035.95002</v>
      </c>
      <c r="HT67" s="460"/>
      <c r="HU67" s="461"/>
      <c r="HV67" s="24"/>
      <c r="HZ67" s="1218">
        <v>2013</v>
      </c>
      <c r="IA67" s="1274">
        <f t="shared" si="57"/>
        <v>788.24558996731253</v>
      </c>
      <c r="IB67" s="2581">
        <f t="shared" si="58"/>
        <v>797.21967588607595</v>
      </c>
      <c r="IC67" s="2581"/>
      <c r="IQ67" s="460"/>
      <c r="IR67" s="461"/>
      <c r="IS67" s="24"/>
    </row>
    <row r="68" spans="7:253" ht="24" thickBot="1">
      <c r="L68" s="1912" t="s">
        <v>697</v>
      </c>
      <c r="M68" s="1913" t="s">
        <v>1852</v>
      </c>
      <c r="N68" s="1913"/>
      <c r="O68" s="2201" t="s">
        <v>973</v>
      </c>
      <c r="P68" s="2194">
        <v>1</v>
      </c>
      <c r="Q68" s="2204">
        <f>ОТЧЁТ!V152</f>
        <v>0.96399999999999997</v>
      </c>
      <c r="R68" s="2204">
        <f>ОТЧЁТ!W152</f>
        <v>0.97749600000000003</v>
      </c>
      <c r="S68" s="2204">
        <f>ОТЧЁТ!X152</f>
        <v>0.92568871200000002</v>
      </c>
      <c r="T68" s="2204">
        <f>ОТЧЁТ!Y152</f>
        <v>0.98493278956800012</v>
      </c>
      <c r="U68" s="2204">
        <f>ОТЧЁТ!Z152</f>
        <v>1.0834260685248003</v>
      </c>
      <c r="V68" s="2204">
        <f>ОТЧЁТ!AA152</f>
        <v>1.138680798019565</v>
      </c>
      <c r="W68" s="2204">
        <f>ОТЧЁТ!AB152</f>
        <v>1.1921987955264846</v>
      </c>
      <c r="X68" s="2204">
        <f>ОТЧЁТ!AC152</f>
        <v>1.2792293075999179</v>
      </c>
      <c r="Y68" s="2204">
        <f>ОТЧЁТ!AD152</f>
        <v>1.3713338177471122</v>
      </c>
      <c r="Z68" s="2204">
        <f>ОТЧЁТ!AE152</f>
        <v>1.4590991820829273</v>
      </c>
      <c r="AA68" s="2204">
        <f>ОТЧЁТ!AF152</f>
        <v>1.5787453150137274</v>
      </c>
      <c r="AB68" s="2204">
        <f>ОТЧЁТ!AG152</f>
        <v>1.7129386667898943</v>
      </c>
      <c r="AC68" s="2204">
        <f>ОТЧЁТ!AH152</f>
        <v>1.8020114774629687</v>
      </c>
      <c r="AD68" s="2204">
        <f>ОТЧЁТ!AI152</f>
        <v>1.6596525707433942</v>
      </c>
      <c r="AE68" s="2204">
        <f>ОТЧЁТ!AJ152</f>
        <v>1.7343369364268468</v>
      </c>
      <c r="AF68" s="2204">
        <f>ОТЧЁТ!AK152</f>
        <v>1.808913424693201</v>
      </c>
      <c r="AG68" s="2204">
        <f>ОТЧЁТ!AL152</f>
        <v>1.8750455190419226</v>
      </c>
      <c r="AH68" s="2204">
        <f>ОТЧЁТ!AM152</f>
        <v>1.9085217286102596</v>
      </c>
      <c r="AI68" s="2204">
        <f>ОТЧЁТ!AN152</f>
        <v>1.9226180848563927</v>
      </c>
      <c r="AJ68" s="2204">
        <f>ОТЧЁТ!AO152</f>
        <v>1.8783978689046956</v>
      </c>
      <c r="AK68" s="2204">
        <f>ОТЧЁТ!AP152</f>
        <v>1.8821546646425049</v>
      </c>
      <c r="AL68" s="2204">
        <f>ОТЧЁТ!AQ152</f>
        <v>1.9160334486060699</v>
      </c>
      <c r="AM68" s="2204">
        <f>ОТЧЁТ!AR152</f>
        <v>1.96968238516704</v>
      </c>
      <c r="AN68" s="1963"/>
      <c r="AO68" s="1964"/>
      <c r="AP68" s="1963"/>
      <c r="AQ68" s="2202" t="str">
        <f>O68</f>
        <v>^Pw</v>
      </c>
      <c r="BD68" s="2213">
        <v>2020</v>
      </c>
      <c r="BE68" s="1161"/>
      <c r="BF68" s="1162"/>
      <c r="BT68" s="2213">
        <v>2020</v>
      </c>
      <c r="BU68" s="1161"/>
      <c r="BV68" s="1162"/>
      <c r="CJ68" s="2290">
        <v>2003</v>
      </c>
      <c r="CK68" s="2132">
        <v>1827.405801799011</v>
      </c>
      <c r="CL68" s="1201">
        <v>5471.9610740200769</v>
      </c>
      <c r="CM68" s="1382">
        <v>66.338999999999999</v>
      </c>
      <c r="CN68" s="1382">
        <f t="shared" si="71"/>
        <v>27.546477966188984</v>
      </c>
      <c r="CO68" s="1035">
        <f t="shared" si="72"/>
        <v>82.484829045057609</v>
      </c>
      <c r="DF68" s="2336">
        <v>2010</v>
      </c>
      <c r="DG68" s="1118">
        <v>0.74023076535400356</v>
      </c>
      <c r="DH68" s="2345"/>
      <c r="DW68" s="547">
        <f t="shared" si="65"/>
        <v>0.74023076535400356</v>
      </c>
      <c r="DZ68" s="1272">
        <v>2014</v>
      </c>
      <c r="EA68" s="2378">
        <v>2.0935169250333874</v>
      </c>
      <c r="EB68" s="2272">
        <v>2.2788442415789869</v>
      </c>
      <c r="ES68" s="1234">
        <v>2014</v>
      </c>
      <c r="ET68" s="2506">
        <f t="shared" si="54"/>
        <v>764.59822226829317</v>
      </c>
      <c r="EU68" s="2507">
        <f t="shared" si="55"/>
        <v>489.41858625811881</v>
      </c>
      <c r="FL68" s="1218">
        <v>2014</v>
      </c>
      <c r="FM68" s="1259">
        <v>22.05840052773225</v>
      </c>
      <c r="FN68" s="2394">
        <v>28.785172632075849</v>
      </c>
      <c r="FO68" s="2394"/>
      <c r="FP68" s="1260">
        <f t="shared" si="74"/>
        <v>22.05840052773225</v>
      </c>
      <c r="GH68" s="1185">
        <v>2014</v>
      </c>
      <c r="GI68" s="1974">
        <v>764.59822226829317</v>
      </c>
      <c r="GJ68" s="2387">
        <v>608.39216255130862</v>
      </c>
      <c r="GK68" s="2388">
        <f t="shared" si="60"/>
        <v>610.68141514909644</v>
      </c>
      <c r="HC68" s="1185">
        <v>2014</v>
      </c>
      <c r="HD68" s="1190">
        <v>10888</v>
      </c>
      <c r="HE68" s="2392">
        <v>13902.6453</v>
      </c>
      <c r="HF68" s="2392">
        <f t="shared" si="61"/>
        <v>13680.508389999999</v>
      </c>
      <c r="HZ68" s="1218">
        <v>2014</v>
      </c>
      <c r="IA68" s="1274">
        <f t="shared" si="57"/>
        <v>764.59822226829317</v>
      </c>
      <c r="IB68" s="2581">
        <f t="shared" si="58"/>
        <v>758.35250449829198</v>
      </c>
      <c r="IC68" s="2581"/>
    </row>
    <row r="69" spans="7:253" ht="24" thickBot="1">
      <c r="L69" s="1912" t="s">
        <v>697</v>
      </c>
      <c r="M69" s="1913" t="s">
        <v>1851</v>
      </c>
      <c r="N69" s="1913"/>
      <c r="O69" s="2200" t="s">
        <v>746</v>
      </c>
      <c r="P69" s="2194">
        <v>1428.5209000000002</v>
      </c>
      <c r="Q69" s="2193">
        <f t="shared" ref="Q69:AM69" si="76">$P69*Q68</f>
        <v>1377.0941476000003</v>
      </c>
      <c r="R69" s="2193">
        <f t="shared" si="76"/>
        <v>1396.3734656664003</v>
      </c>
      <c r="S69" s="2193">
        <f t="shared" si="76"/>
        <v>1322.365671986081</v>
      </c>
      <c r="T69" s="2193">
        <f t="shared" si="76"/>
        <v>1406.9970749931904</v>
      </c>
      <c r="U69" s="2193">
        <f t="shared" si="76"/>
        <v>1547.6967824925096</v>
      </c>
      <c r="V69" s="2193">
        <f t="shared" si="76"/>
        <v>1626.6293183996274</v>
      </c>
      <c r="W69" s="2193">
        <f t="shared" si="76"/>
        <v>1703.0808963644099</v>
      </c>
      <c r="X69" s="2193">
        <f t="shared" si="76"/>
        <v>1827.4058017990119</v>
      </c>
      <c r="Y69" s="2193">
        <f t="shared" si="76"/>
        <v>1958.9790195285409</v>
      </c>
      <c r="Z69" s="2193">
        <f t="shared" si="76"/>
        <v>2084.3536767783676</v>
      </c>
      <c r="AA69" s="2193">
        <f t="shared" si="76"/>
        <v>2255.2706782741939</v>
      </c>
      <c r="AB69" s="2193">
        <f t="shared" si="76"/>
        <v>2446.9686859275002</v>
      </c>
      <c r="AC69" s="2193">
        <f t="shared" si="76"/>
        <v>2574.2110575957304</v>
      </c>
      <c r="AD69" s="2193">
        <f t="shared" si="76"/>
        <v>2370.8483840456674</v>
      </c>
      <c r="AE69" s="2193">
        <f t="shared" si="76"/>
        <v>2477.5365613277222</v>
      </c>
      <c r="AF69" s="2193">
        <f t="shared" si="76"/>
        <v>2584.0706334648144</v>
      </c>
      <c r="AG69" s="2193">
        <f t="shared" si="76"/>
        <v>2678.5417124027349</v>
      </c>
      <c r="AH69" s="2193">
        <f t="shared" si="76"/>
        <v>2726.3631774238843</v>
      </c>
      <c r="AI69" s="2193">
        <f t="shared" si="76"/>
        <v>2746.5001169353309</v>
      </c>
      <c r="AJ69" s="2193">
        <f t="shared" si="76"/>
        <v>2683.3306142458182</v>
      </c>
      <c r="AK69" s="2193">
        <f t="shared" si="76"/>
        <v>2688.6972754743097</v>
      </c>
      <c r="AL69" s="2193">
        <f t="shared" si="76"/>
        <v>2737.093826432847</v>
      </c>
      <c r="AM69" s="2193">
        <f t="shared" si="76"/>
        <v>2813.7324535729672</v>
      </c>
      <c r="AN69" s="2193"/>
      <c r="AO69" s="2193"/>
      <c r="AP69" s="2193"/>
      <c r="AQ69" s="1915" t="str">
        <f>O69</f>
        <v>^WWPS</v>
      </c>
      <c r="CJ69" s="2290">
        <v>2004</v>
      </c>
      <c r="CK69" s="2132">
        <v>1958.97901952854</v>
      </c>
      <c r="CL69" s="1201">
        <v>5559.5124512043985</v>
      </c>
      <c r="CM69" s="1382">
        <v>67.319000000000003</v>
      </c>
      <c r="CN69" s="1382">
        <f t="shared" si="71"/>
        <v>29.099942356965194</v>
      </c>
      <c r="CO69" s="1035">
        <f t="shared" si="72"/>
        <v>82.584596491397647</v>
      </c>
      <c r="DF69" s="2336">
        <v>2011</v>
      </c>
      <c r="DG69" s="1118">
        <v>0.74236604640790949</v>
      </c>
      <c r="DH69" s="2345"/>
      <c r="DW69" s="547">
        <f t="shared" si="65"/>
        <v>0.74236604640790949</v>
      </c>
      <c r="DZ69" s="1272">
        <v>2015</v>
      </c>
      <c r="EA69" s="2378">
        <v>1.869510614054815</v>
      </c>
      <c r="EB69" s="2272">
        <v>2.0486809731795095</v>
      </c>
      <c r="ES69" s="1234">
        <v>2015</v>
      </c>
      <c r="ET69" s="2506">
        <f t="shared" si="54"/>
        <v>722.545320043537</v>
      </c>
      <c r="EU69" s="2507">
        <f t="shared" si="55"/>
        <v>475.74637297970753</v>
      </c>
      <c r="FL69" s="1218">
        <v>2015</v>
      </c>
      <c r="FM69" s="1259">
        <v>24.641576618684894</v>
      </c>
      <c r="FN69" s="2394">
        <v>30.966851255246702</v>
      </c>
      <c r="FO69" s="2394"/>
      <c r="FP69" s="1260">
        <f t="shared" si="74"/>
        <v>24.641576618684894</v>
      </c>
      <c r="GH69" s="1185">
        <v>2015</v>
      </c>
      <c r="GI69" s="1974">
        <v>722.545320043537</v>
      </c>
      <c r="GJ69" s="2387">
        <v>546.94455413362641</v>
      </c>
      <c r="GK69" s="2388">
        <f t="shared" si="60"/>
        <v>566.30532218565895</v>
      </c>
      <c r="HC69" s="1185">
        <v>2015</v>
      </c>
      <c r="HD69" s="1190">
        <v>10721</v>
      </c>
      <c r="HE69" s="2392">
        <v>13897.2</v>
      </c>
      <c r="HF69" s="2392">
        <f t="shared" si="61"/>
        <v>13853.59288</v>
      </c>
      <c r="HZ69" s="1218">
        <v>2015</v>
      </c>
      <c r="IA69" s="1274">
        <f t="shared" si="57"/>
        <v>722.545320043537</v>
      </c>
      <c r="IB69" s="2581">
        <f t="shared" si="58"/>
        <v>696.17041501685037</v>
      </c>
      <c r="IC69" s="2581"/>
    </row>
    <row r="70" spans="7:253" ht="24" thickBot="1">
      <c r="L70" s="1916" t="s">
        <v>1868</v>
      </c>
      <c r="M70" s="1913" t="s">
        <v>1853</v>
      </c>
      <c r="N70" s="1913"/>
      <c r="O70" s="2200" t="s">
        <v>747</v>
      </c>
      <c r="P70" s="2205">
        <f>P69</f>
        <v>1428.5209000000002</v>
      </c>
      <c r="Q70" s="2198">
        <f>Q62+Q54+Q49+Q44+Q39-Q19</f>
        <v>1361.6494802000002</v>
      </c>
      <c r="R70" s="2198">
        <f t="shared" ref="R70:AM70" si="77">R62+R54+R49+R44+R39-R19</f>
        <v>1372.4565742097002</v>
      </c>
      <c r="S70" s="2198">
        <f t="shared" si="77"/>
        <v>1289.0918521979502</v>
      </c>
      <c r="T70" s="2198">
        <f t="shared" si="77"/>
        <v>1371.9396400799292</v>
      </c>
      <c r="U70" s="2198">
        <f t="shared" si="77"/>
        <v>1496.2751897260482</v>
      </c>
      <c r="V70" s="2198">
        <f t="shared" si="77"/>
        <v>1556.7756959437393</v>
      </c>
      <c r="W70" s="2198">
        <f t="shared" si="77"/>
        <v>1615.6942992454237</v>
      </c>
      <c r="X70" s="2198">
        <f t="shared" si="77"/>
        <v>1728.3059725369915</v>
      </c>
      <c r="Y70" s="2198">
        <f t="shared" si="77"/>
        <v>1842.0986257200034</v>
      </c>
      <c r="Z70" s="2198">
        <f t="shared" si="77"/>
        <v>1942.3366117955338</v>
      </c>
      <c r="AA70" s="2198">
        <f t="shared" si="77"/>
        <v>2057.6148391487791</v>
      </c>
      <c r="AB70" s="2198">
        <f t="shared" si="77"/>
        <v>2167.5889384110997</v>
      </c>
      <c r="AC70" s="2198">
        <f t="shared" si="77"/>
        <v>2226.228519016332</v>
      </c>
      <c r="AD70" s="2198">
        <f t="shared" si="77"/>
        <v>2234.1915524469346</v>
      </c>
      <c r="AE70" s="2198">
        <f t="shared" si="77"/>
        <v>2244.1180438797555</v>
      </c>
      <c r="AF70" s="2198">
        <f t="shared" si="77"/>
        <v>2224.8126918138482</v>
      </c>
      <c r="AG70" s="2198">
        <f t="shared" si="77"/>
        <v>2270.1796561355591</v>
      </c>
      <c r="AH70" s="2198">
        <f t="shared" si="77"/>
        <v>2322.7119138691969</v>
      </c>
      <c r="AI70" s="2198">
        <f t="shared" si="77"/>
        <v>2442.1098421222364</v>
      </c>
      <c r="AJ70" s="2198">
        <f t="shared" si="77"/>
        <v>2594.4501249216682</v>
      </c>
      <c r="AK70" s="2198">
        <f t="shared" si="77"/>
        <v>2634.4823325659218</v>
      </c>
      <c r="AL70" s="2198">
        <f t="shared" si="77"/>
        <v>2595.3705926443536</v>
      </c>
      <c r="AM70" s="2198">
        <f t="shared" si="77"/>
        <v>2672.4269773218693</v>
      </c>
      <c r="AN70" s="2203"/>
      <c r="AO70" s="2198"/>
      <c r="AP70" s="2198"/>
      <c r="AQ70" s="203"/>
      <c r="CJ70" s="2290">
        <v>2005</v>
      </c>
      <c r="CK70" s="2132">
        <v>2084.3536767783667</v>
      </c>
      <c r="CL70" s="1201">
        <v>5665.1431877772829</v>
      </c>
      <c r="CM70" s="1382">
        <v>68.338999999999999</v>
      </c>
      <c r="CN70" s="1382">
        <f t="shared" si="71"/>
        <v>30.500207447846275</v>
      </c>
      <c r="CO70" s="1035">
        <f t="shared" si="72"/>
        <v>82.897660015178488</v>
      </c>
      <c r="DF70" s="2336">
        <v>2012</v>
      </c>
      <c r="DG70" s="1118">
        <v>0.73951900500270173</v>
      </c>
      <c r="DH70" s="2345"/>
      <c r="DW70" s="547">
        <f t="shared" si="65"/>
        <v>0.73951900500270173</v>
      </c>
      <c r="DZ70" s="1272">
        <v>2016</v>
      </c>
      <c r="EA70" s="2378">
        <v>1.8882057201953633</v>
      </c>
      <c r="EB70" s="2272">
        <v>2.0445836112331506</v>
      </c>
      <c r="ES70" s="1234">
        <v>2016</v>
      </c>
      <c r="ET70" s="2506">
        <f t="shared" si="54"/>
        <v>843.93293381085118</v>
      </c>
      <c r="EU70" s="2507">
        <f t="shared" si="55"/>
        <v>533.52155814132152</v>
      </c>
      <c r="FL70" s="1218">
        <v>2016</v>
      </c>
      <c r="FM70" s="1259">
        <v>25.837490201740536</v>
      </c>
      <c r="FN70" s="2394">
        <v>31.991031785021747</v>
      </c>
      <c r="FO70" s="2394"/>
      <c r="FP70" s="1260">
        <f t="shared" si="74"/>
        <v>25.837490201740536</v>
      </c>
      <c r="GH70" s="1185">
        <v>2016</v>
      </c>
      <c r="GI70" s="1974">
        <v>843.93293381085118</v>
      </c>
      <c r="GJ70" s="2387">
        <v>545.85066502535915</v>
      </c>
      <c r="GK70" s="2388">
        <f t="shared" si="60"/>
        <v>552.32359259960754</v>
      </c>
      <c r="HC70" s="1185">
        <v>2016</v>
      </c>
      <c r="HD70" s="1190">
        <v>13256</v>
      </c>
      <c r="HE70" s="2392">
        <v>14748.8</v>
      </c>
      <c r="HF70" s="2392">
        <f t="shared" si="61"/>
        <v>14493.864529999999</v>
      </c>
      <c r="HZ70" s="1218">
        <v>2016</v>
      </c>
      <c r="IA70" s="1274">
        <f t="shared" si="57"/>
        <v>843.93293381085118</v>
      </c>
      <c r="IB70" s="2581">
        <f t="shared" si="58"/>
        <v>835.54524609193948</v>
      </c>
      <c r="IC70" s="2581"/>
    </row>
    <row r="71" spans="7:253" ht="24" thickBot="1">
      <c r="L71" s="2206" t="s">
        <v>1868</v>
      </c>
      <c r="M71" s="1913" t="s">
        <v>1852</v>
      </c>
      <c r="N71" s="1913"/>
      <c r="O71" s="2201" t="s">
        <v>1854</v>
      </c>
      <c r="P71" s="2194">
        <v>1</v>
      </c>
      <c r="Q71" s="2204">
        <f t="shared" ref="Q71:AM71" si="78">Q70/$P70</f>
        <v>0.95318835041195404</v>
      </c>
      <c r="R71" s="2204">
        <f t="shared" si="78"/>
        <v>0.96075358380104903</v>
      </c>
      <c r="S71" s="2204">
        <f t="shared" si="78"/>
        <v>0.90239621429266448</v>
      </c>
      <c r="T71" s="2204">
        <f t="shared" si="78"/>
        <v>0.96039171711098448</v>
      </c>
      <c r="U71" s="2204">
        <f t="shared" si="78"/>
        <v>1.0474296803960292</v>
      </c>
      <c r="V71" s="2204">
        <f t="shared" si="78"/>
        <v>1.0897815327334301</v>
      </c>
      <c r="W71" s="2204">
        <f t="shared" si="78"/>
        <v>1.1310260138619068</v>
      </c>
      <c r="X71" s="2204">
        <f t="shared" si="78"/>
        <v>1.2098569734170437</v>
      </c>
      <c r="Y71" s="2204">
        <f t="shared" si="78"/>
        <v>1.2895146481371067</v>
      </c>
      <c r="Z71" s="2204">
        <f t="shared" si="78"/>
        <v>1.3596837202700593</v>
      </c>
      <c r="AA71" s="2204">
        <f t="shared" si="78"/>
        <v>1.4403813336919178</v>
      </c>
      <c r="AB71" s="2204">
        <f t="shared" si="78"/>
        <v>1.5173659261205765</v>
      </c>
      <c r="AC71" s="2204">
        <f t="shared" si="78"/>
        <v>1.5584150844529694</v>
      </c>
      <c r="AD71" s="2204">
        <f t="shared" si="78"/>
        <v>1.5639894050181093</v>
      </c>
      <c r="AE71" s="2204">
        <f t="shared" si="78"/>
        <v>1.5709381947997787</v>
      </c>
      <c r="AF71" s="2204">
        <f t="shared" si="78"/>
        <v>1.557423970355525</v>
      </c>
      <c r="AG71" s="2204">
        <f t="shared" si="78"/>
        <v>1.5891819686611226</v>
      </c>
      <c r="AH71" s="2204">
        <f t="shared" si="78"/>
        <v>1.6259558497668438</v>
      </c>
      <c r="AI71" s="2204">
        <f t="shared" si="78"/>
        <v>1.7095373558218407</v>
      </c>
      <c r="AJ71" s="2204">
        <f t="shared" si="78"/>
        <v>1.8161793257079177</v>
      </c>
      <c r="AK71" s="2204">
        <f t="shared" si="78"/>
        <v>1.8442028622513829</v>
      </c>
      <c r="AL71" s="2204">
        <f t="shared" si="78"/>
        <v>1.816823675904464</v>
      </c>
      <c r="AM71" s="2204">
        <f t="shared" si="78"/>
        <v>1.870765053085236</v>
      </c>
      <c r="AN71" s="1963"/>
      <c r="AO71" s="1964"/>
      <c r="AP71" s="1963"/>
      <c r="AQ71" s="2202" t="str">
        <f>O71</f>
        <v xml:space="preserve"> Pw</v>
      </c>
      <c r="BD71" s="551" t="s">
        <v>368</v>
      </c>
      <c r="BE71" s="2269" t="s">
        <v>1870</v>
      </c>
      <c r="BF71" s="2242" t="s">
        <v>1548</v>
      </c>
      <c r="BG71" s="1280" t="s">
        <v>453</v>
      </c>
      <c r="BH71" s="2242" t="s">
        <v>1548</v>
      </c>
      <c r="BI71" s="1280" t="s">
        <v>455</v>
      </c>
      <c r="BJ71" s="2242" t="s">
        <v>1548</v>
      </c>
      <c r="BZ71" s="1280" t="s">
        <v>1830</v>
      </c>
      <c r="CJ71" s="2290">
        <v>2006</v>
      </c>
      <c r="CK71" s="2132">
        <v>2255.270678274193</v>
      </c>
      <c r="CL71" s="1201">
        <v>5801.1066242839379</v>
      </c>
      <c r="CM71" s="1382">
        <v>69.168999999999997</v>
      </c>
      <c r="CN71" s="1382">
        <f t="shared" si="71"/>
        <v>32.605223124147997</v>
      </c>
      <c r="CO71" s="1035">
        <f t="shared" si="72"/>
        <v>83.868591772093538</v>
      </c>
      <c r="DF71" s="2336">
        <v>2013</v>
      </c>
      <c r="DG71" s="1118">
        <v>0.72531114707757793</v>
      </c>
      <c r="DH71" s="363"/>
      <c r="DW71" s="547">
        <f t="shared" si="65"/>
        <v>0.72531114707757793</v>
      </c>
      <c r="DZ71" s="1272">
        <v>2017</v>
      </c>
      <c r="EA71" s="2378">
        <v>1.9863924176455223</v>
      </c>
      <c r="EB71" s="2379">
        <v>2.142723624572342</v>
      </c>
      <c r="ES71" s="1234">
        <v>2017</v>
      </c>
      <c r="ET71" s="2506">
        <f t="shared" si="54"/>
        <v>844.7768667446619</v>
      </c>
      <c r="EU71" s="2507">
        <f t="shared" si="55"/>
        <v>530.5291248424985</v>
      </c>
      <c r="FL71" s="1218">
        <v>2017</v>
      </c>
      <c r="FM71" s="2394">
        <v>27.279512414925115</v>
      </c>
      <c r="FN71" s="2394">
        <v>33.649317794864295</v>
      </c>
      <c r="FO71" s="2394"/>
      <c r="FP71" s="1260">
        <f t="shared" si="74"/>
        <v>27.279512414925115</v>
      </c>
      <c r="GH71" s="1185">
        <v>2017</v>
      </c>
      <c r="GI71" s="2387">
        <v>844.7768667446619</v>
      </c>
      <c r="GJ71" s="2387">
        <v>572.05149694657644</v>
      </c>
      <c r="GK71" s="2388">
        <f t="shared" si="60"/>
        <v>564.3006362810379</v>
      </c>
      <c r="HC71" s="1185">
        <v>2017</v>
      </c>
      <c r="HD71" s="2392">
        <v>12484.1</v>
      </c>
      <c r="HE71" s="2392">
        <v>16027.3</v>
      </c>
      <c r="HF71" s="2392">
        <f t="shared" si="61"/>
        <v>15558.59</v>
      </c>
      <c r="HZ71" s="1218">
        <v>2017</v>
      </c>
      <c r="IA71" s="1274">
        <f t="shared" si="57"/>
        <v>844.7768667446619</v>
      </c>
      <c r="IB71" s="2581">
        <f t="shared" si="58"/>
        <v>843.95072450763996</v>
      </c>
      <c r="IC71" s="2581"/>
    </row>
    <row r="72" spans="7:253" ht="23.4">
      <c r="BD72" s="2208">
        <v>43911</v>
      </c>
      <c r="BE72" s="1506" t="s">
        <v>688</v>
      </c>
      <c r="BF72" s="1506" t="s">
        <v>688</v>
      </c>
      <c r="BG72" s="1506" t="s">
        <v>688</v>
      </c>
      <c r="BH72" s="1506" t="s">
        <v>688</v>
      </c>
      <c r="BI72" s="1506" t="s">
        <v>688</v>
      </c>
      <c r="BJ72" s="1506" t="s">
        <v>688</v>
      </c>
      <c r="BZ72" s="1506" t="s">
        <v>688</v>
      </c>
      <c r="CJ72" s="2290">
        <v>2007</v>
      </c>
      <c r="CK72" s="2132">
        <v>2446.9686859274993</v>
      </c>
      <c r="CL72" s="1201">
        <v>5980.9409296367394</v>
      </c>
      <c r="CM72" s="1382">
        <v>70.77</v>
      </c>
      <c r="CN72" s="1382">
        <f t="shared" si="71"/>
        <v>34.576355601632038</v>
      </c>
      <c r="CO72" s="1035">
        <f t="shared" si="72"/>
        <v>84.512377132072061</v>
      </c>
      <c r="DF72" s="2336">
        <v>2014</v>
      </c>
      <c r="DG72" s="1118">
        <v>0.70502761451706719</v>
      </c>
      <c r="DH72" s="363"/>
      <c r="DW72" s="547">
        <f t="shared" si="65"/>
        <v>0.70502761451706719</v>
      </c>
      <c r="DZ72" s="1272">
        <v>2018</v>
      </c>
      <c r="EA72" s="2378">
        <v>2.0439977977572421</v>
      </c>
      <c r="EB72" s="2379">
        <v>2.2348607404289527</v>
      </c>
      <c r="ES72" s="1234">
        <v>2018</v>
      </c>
      <c r="ET72" s="2506">
        <f t="shared" si="54"/>
        <v>968.11428928938244</v>
      </c>
      <c r="EU72" s="2507">
        <f t="shared" si="55"/>
        <v>607.58943255341387</v>
      </c>
      <c r="FL72" s="1218">
        <v>2018</v>
      </c>
      <c r="FM72" s="2394">
        <v>29.751686227172179</v>
      </c>
      <c r="FN72" s="2394">
        <v>36.91744034444185</v>
      </c>
      <c r="FO72" s="2394"/>
      <c r="FP72" s="1260">
        <f t="shared" si="74"/>
        <v>29.751686227172179</v>
      </c>
      <c r="GH72" s="1185">
        <v>2018</v>
      </c>
      <c r="GI72" s="2387">
        <v>968.11428928938244</v>
      </c>
      <c r="GJ72" s="2387">
        <v>596.64971131527921</v>
      </c>
      <c r="GK72" s="2388">
        <f t="shared" si="60"/>
        <v>586.65016381254668</v>
      </c>
      <c r="HC72" s="1185">
        <v>2018</v>
      </c>
      <c r="HD72" s="2392">
        <v>14909.4</v>
      </c>
      <c r="HE72" s="2392">
        <v>17595</v>
      </c>
      <c r="HF72" s="2392">
        <f t="shared" si="61"/>
        <v>16996.84</v>
      </c>
      <c r="HZ72" s="1218">
        <v>2018</v>
      </c>
      <c r="IA72" s="1274">
        <f t="shared" si="57"/>
        <v>968.11428928938244</v>
      </c>
      <c r="IB72" s="2581">
        <f t="shared" si="58"/>
        <v>945.34388310850704</v>
      </c>
      <c r="IC72" s="2581"/>
    </row>
    <row r="73" spans="7:253" ht="23.4">
      <c r="BD73" s="813">
        <v>1995</v>
      </c>
      <c r="BE73" s="773">
        <f t="array" ref="BE73:BE96">TRANSPOSE(P100:AM100)</f>
        <v>0.50338504971343634</v>
      </c>
      <c r="BF73" s="555"/>
      <c r="BG73" s="762">
        <f t="array" ref="BG73:BG96">TRANSPOSE(P97:AM97)</f>
        <v>0.50338504971343634</v>
      </c>
      <c r="BH73" s="555"/>
      <c r="BI73" s="762">
        <f t="array" ref="BI73:BI96">TRANSPOSE(P101:AM101)</f>
        <v>1</v>
      </c>
      <c r="BJ73" s="1095"/>
      <c r="BZ73" s="2274">
        <f>BG73</f>
        <v>0.50338504971343634</v>
      </c>
      <c r="CJ73" s="2290">
        <v>2008</v>
      </c>
      <c r="CK73" s="2132">
        <v>2574.2110575957295</v>
      </c>
      <c r="CL73" s="1201">
        <v>6196.2548031036622</v>
      </c>
      <c r="CM73" s="1382">
        <v>71.003</v>
      </c>
      <c r="CN73" s="1382">
        <f t="shared" si="71"/>
        <v>36.254961869156645</v>
      </c>
      <c r="CO73" s="1035">
        <f t="shared" si="72"/>
        <v>87.267507050457894</v>
      </c>
      <c r="DF73" s="2336">
        <v>2015</v>
      </c>
      <c r="DG73" s="1118">
        <v>0.67428513132591583</v>
      </c>
      <c r="DH73" s="363"/>
      <c r="DW73" s="547">
        <f t="shared" si="65"/>
        <v>0.67428513132591583</v>
      </c>
      <c r="DZ73" s="1272">
        <v>2019</v>
      </c>
      <c r="EA73" s="2377"/>
      <c r="EB73" s="2379"/>
      <c r="ES73" s="1234">
        <v>2019</v>
      </c>
      <c r="ET73" s="1230"/>
      <c r="EU73" s="1229"/>
      <c r="FL73" s="1218">
        <v>2019</v>
      </c>
      <c r="FM73" s="1182"/>
      <c r="FN73" s="765"/>
      <c r="FO73" s="765"/>
      <c r="FP73" s="1198"/>
      <c r="GH73" s="1185">
        <v>2019</v>
      </c>
      <c r="GI73" s="1182"/>
      <c r="GJ73" s="765"/>
      <c r="GK73" s="1198"/>
      <c r="HC73" s="1185">
        <v>2019</v>
      </c>
      <c r="HD73" s="1182"/>
      <c r="HE73" s="765"/>
      <c r="HF73" s="1198"/>
      <c r="HZ73" s="1218">
        <v>2019</v>
      </c>
      <c r="IA73" s="1259"/>
      <c r="IB73" s="2581">
        <f t="shared" si="58"/>
        <v>968.35937979637879</v>
      </c>
      <c r="IC73" s="2582"/>
    </row>
    <row r="74" spans="7:253" ht="23.4">
      <c r="P74" s="1038" t="s">
        <v>1869</v>
      </c>
      <c r="BD74" s="2212">
        <v>1996</v>
      </c>
      <c r="BE74" s="762">
        <v>0.4953618002876285</v>
      </c>
      <c r="BF74" s="555"/>
      <c r="BG74" s="762">
        <v>0.50747241555941625</v>
      </c>
      <c r="BH74" s="555"/>
      <c r="BI74" s="762">
        <v>0.9761354215510657</v>
      </c>
      <c r="BJ74" s="787"/>
      <c r="BZ74" s="2275">
        <f>BG74</f>
        <v>0.50747241555941625</v>
      </c>
      <c r="CJ74" s="2290">
        <v>2009</v>
      </c>
      <c r="CK74" s="2132">
        <v>2370.848384045667</v>
      </c>
      <c r="CL74" s="1201">
        <v>6394.5349568029797</v>
      </c>
      <c r="CM74" s="1382">
        <v>69.41</v>
      </c>
      <c r="CN74" s="1382">
        <f t="shared" si="71"/>
        <v>34.157158680963363</v>
      </c>
      <c r="CO74" s="1035">
        <f t="shared" si="72"/>
        <v>92.126998369154009</v>
      </c>
      <c r="DF74" s="2336">
        <v>2016</v>
      </c>
      <c r="DG74" s="1118">
        <v>0.65676280356287475</v>
      </c>
      <c r="DH74" s="2347">
        <f>DG74</f>
        <v>0.65676280356287475</v>
      </c>
      <c r="DW74" s="547">
        <f t="shared" si="65"/>
        <v>0.65676280356287475</v>
      </c>
      <c r="DZ74" s="1272">
        <v>2020</v>
      </c>
      <c r="EA74" s="2377"/>
      <c r="EB74" s="2379"/>
      <c r="ES74" s="1234">
        <v>2020</v>
      </c>
      <c r="ET74" s="1230"/>
      <c r="EU74" s="1229"/>
      <c r="FL74" s="1218">
        <v>2020</v>
      </c>
      <c r="FM74" s="1182"/>
      <c r="FN74" s="765"/>
      <c r="FO74" s="765"/>
      <c r="FP74" s="1198"/>
      <c r="GH74" s="1185">
        <v>2020</v>
      </c>
      <c r="GI74" s="1182"/>
      <c r="GJ74" s="765"/>
      <c r="GK74" s="1198"/>
      <c r="HC74" s="1185">
        <v>2020</v>
      </c>
      <c r="HD74" s="1182"/>
      <c r="HE74" s="765"/>
      <c r="HF74" s="1198"/>
      <c r="HZ74" s="1218">
        <v>2020</v>
      </c>
      <c r="IA74" s="1259"/>
      <c r="IB74" s="2581">
        <f t="shared" si="58"/>
        <v>1001.3440304615528</v>
      </c>
      <c r="IC74" s="2582"/>
    </row>
    <row r="75" spans="7:253" ht="23.4">
      <c r="P75" s="2222">
        <v>1995</v>
      </c>
      <c r="Q75" s="2223">
        <v>1996</v>
      </c>
      <c r="R75" s="2223">
        <v>1997</v>
      </c>
      <c r="S75" s="2223">
        <v>1998</v>
      </c>
      <c r="T75" s="2223">
        <v>1999</v>
      </c>
      <c r="U75" s="2223">
        <v>2000</v>
      </c>
      <c r="V75" s="2223">
        <v>2001</v>
      </c>
      <c r="W75" s="2223">
        <v>2002</v>
      </c>
      <c r="X75" s="2223">
        <v>2003</v>
      </c>
      <c r="Y75" s="2223">
        <v>2004</v>
      </c>
      <c r="Z75" s="2223">
        <v>2005</v>
      </c>
      <c r="AA75" s="2223">
        <v>2006</v>
      </c>
      <c r="AB75" s="2223">
        <v>2007</v>
      </c>
      <c r="AC75" s="2223">
        <v>2008</v>
      </c>
      <c r="AD75" s="2223">
        <v>2009</v>
      </c>
      <c r="AE75" s="2223">
        <v>2010</v>
      </c>
      <c r="AF75" s="2223">
        <v>2011</v>
      </c>
      <c r="AG75" s="2223">
        <v>2012</v>
      </c>
      <c r="AH75" s="2223">
        <v>2013</v>
      </c>
      <c r="AI75" s="2223">
        <v>2014</v>
      </c>
      <c r="AJ75" s="2223">
        <v>2015</v>
      </c>
      <c r="AK75" s="2223">
        <v>2016</v>
      </c>
      <c r="AL75" s="2223">
        <v>2017</v>
      </c>
      <c r="AM75" s="2223">
        <v>2018</v>
      </c>
      <c r="AN75" s="2223">
        <v>2019</v>
      </c>
      <c r="AO75" s="2223">
        <v>2020</v>
      </c>
      <c r="AP75" s="2223">
        <v>2021</v>
      </c>
      <c r="AQ75" s="2224">
        <f>O75</f>
        <v>0</v>
      </c>
      <c r="BD75" s="2212">
        <v>1997</v>
      </c>
      <c r="BE75" s="762">
        <v>0.48426929267941665</v>
      </c>
      <c r="BF75" s="555"/>
      <c r="BG75" s="762">
        <v>0.50747241555941636</v>
      </c>
      <c r="BH75" s="555"/>
      <c r="BI75" s="762">
        <v>0.95427707562307296</v>
      </c>
      <c r="BJ75" s="787"/>
      <c r="BZ75" s="2275">
        <f t="shared" ref="BZ75:BZ96" si="79">BG75</f>
        <v>0.50747241555941636</v>
      </c>
      <c r="CF75" s="2298" t="s">
        <v>1881</v>
      </c>
      <c r="CJ75" s="2290">
        <v>2010</v>
      </c>
      <c r="CK75" s="2132">
        <v>2477.5365613277218</v>
      </c>
      <c r="CL75" s="1201">
        <v>6586.3710055070696</v>
      </c>
      <c r="CM75" s="1382">
        <v>69.933708461473046</v>
      </c>
      <c r="CN75" s="1382">
        <f t="shared" si="71"/>
        <v>35.426929528449264</v>
      </c>
      <c r="CO75" s="1035">
        <f t="shared" si="72"/>
        <v>94.180205088588238</v>
      </c>
      <c r="DF75" s="2336">
        <v>2017</v>
      </c>
      <c r="DG75" s="2340">
        <v>0.64853745053174061</v>
      </c>
      <c r="DH75" s="2347">
        <f t="shared" ref="DH75:DH76" si="80">DG75</f>
        <v>0.64853745053174061</v>
      </c>
      <c r="DW75" s="547">
        <f t="shared" si="65"/>
        <v>0.64853745053174061</v>
      </c>
      <c r="DZ75" s="1272">
        <v>2021</v>
      </c>
      <c r="EA75" s="2377"/>
      <c r="EB75" s="2379"/>
      <c r="ES75" s="1234">
        <v>2021</v>
      </c>
      <c r="ET75" s="1230"/>
      <c r="EU75" s="1229"/>
      <c r="FL75" s="1218">
        <v>2021</v>
      </c>
      <c r="FM75" s="1182"/>
      <c r="FN75" s="765"/>
      <c r="FO75" s="765"/>
      <c r="FP75" s="1198"/>
      <c r="GH75" s="1185">
        <v>2021</v>
      </c>
      <c r="GI75" s="1182"/>
      <c r="GJ75" s="765"/>
      <c r="GK75" s="1198"/>
      <c r="HC75" s="1185">
        <v>2021</v>
      </c>
      <c r="HD75" s="1182"/>
      <c r="HE75" s="765"/>
      <c r="HF75" s="1198"/>
      <c r="HZ75" s="1218">
        <v>2021</v>
      </c>
      <c r="IA75" s="1259"/>
      <c r="IB75" s="2581">
        <f t="shared" si="58"/>
        <v>1029.3921814769699</v>
      </c>
      <c r="IC75" s="2582"/>
    </row>
    <row r="76" spans="7:253" ht="23.4">
      <c r="L76" s="2214" t="s">
        <v>697</v>
      </c>
      <c r="M76" s="2215" t="s">
        <v>953</v>
      </c>
      <c r="N76" s="2215"/>
      <c r="O76" s="1888" t="s">
        <v>439</v>
      </c>
      <c r="P76" s="2233">
        <f>ОТЧЁТ!U79</f>
        <v>266.97399999999999</v>
      </c>
      <c r="Q76" s="1889">
        <f>ОТЧЁТ!V79</f>
        <v>375.95800000000003</v>
      </c>
      <c r="R76" s="1889">
        <f>ОТЧЁТ!W79</f>
        <v>408.79700000000003</v>
      </c>
      <c r="S76" s="1889">
        <f>ОТЧЁТ!X79</f>
        <v>407.08600000000001</v>
      </c>
      <c r="T76" s="1889">
        <f>ОТЧЁТ!Y79</f>
        <v>670.43899999999996</v>
      </c>
      <c r="U76" s="1889">
        <f>ОТЧЁТ!Z79</f>
        <v>1165.2339999999999</v>
      </c>
      <c r="V76" s="1889">
        <f>ОТЧЁТ!AA79</f>
        <v>1504.7</v>
      </c>
      <c r="W76" s="1889">
        <f>ОТЧЁТ!AB79</f>
        <v>1762.4</v>
      </c>
      <c r="X76" s="1889">
        <f>ОТЧЁТ!AC79</f>
        <v>2186.4</v>
      </c>
      <c r="Y76" s="1889">
        <f>ОТЧЁТ!AD79</f>
        <v>2865</v>
      </c>
      <c r="Z76" s="1889">
        <f>ОТЧЁТ!AE79</f>
        <v>3611.1</v>
      </c>
      <c r="AA76" s="2236">
        <f>ОТЧЁТ!AF79</f>
        <v>4730</v>
      </c>
      <c r="AB76" s="2236">
        <f>ОТЧЁТ!AG79</f>
        <v>6716.2219999999998</v>
      </c>
      <c r="AC76" s="2236">
        <f>ОТЧЁТ!AH79</f>
        <v>8781.616</v>
      </c>
      <c r="AD76" s="2236">
        <f>ОТЧЁТ!AI79</f>
        <v>7976.0129999999999</v>
      </c>
      <c r="AE76" s="2236">
        <f>ОТЧЁТ!AJ79</f>
        <v>9152.1</v>
      </c>
      <c r="AF76" s="2236">
        <f>ОТЧЁТ!AK79</f>
        <v>11035.652</v>
      </c>
      <c r="AG76" s="2236">
        <f>ОТЧЁТ!AL79</f>
        <v>12586.090400000001</v>
      </c>
      <c r="AH76" s="2236">
        <f>ОТЧЁТ!AM79</f>
        <v>13450.2382</v>
      </c>
      <c r="AI76" s="2236">
        <f>ОТЧЁТ!AN79</f>
        <v>13902.6453</v>
      </c>
      <c r="AJ76" s="2236">
        <f>ОТЧЁТ!AO79</f>
        <v>13897.2</v>
      </c>
      <c r="AK76" s="2236">
        <f>ОТЧЁТ!AP79</f>
        <v>14748.8</v>
      </c>
      <c r="AL76" s="2236">
        <f>ОТЧЁТ!AQ79</f>
        <v>16027.3</v>
      </c>
      <c r="AM76" s="2236">
        <f>ОТЧЁТ!AR79</f>
        <v>17595</v>
      </c>
      <c r="BD76" s="2212">
        <v>1998</v>
      </c>
      <c r="BE76" s="762">
        <v>0.45447359805696708</v>
      </c>
      <c r="BF76" s="555"/>
      <c r="BG76" s="762">
        <v>0.50851040836118788</v>
      </c>
      <c r="BH76" s="555"/>
      <c r="BI76" s="762">
        <v>0.89373509486586689</v>
      </c>
      <c r="BJ76" s="787"/>
      <c r="BZ76" s="2275">
        <f t="shared" si="79"/>
        <v>0.50851040836118788</v>
      </c>
      <c r="CJ76" s="2290">
        <v>2011</v>
      </c>
      <c r="CK76" s="2132">
        <v>2584.0706334648135</v>
      </c>
      <c r="CL76" s="1201">
        <v>6849.8258457273523</v>
      </c>
      <c r="CM76" s="1382">
        <v>70.85661311334043</v>
      </c>
      <c r="CN76" s="1382">
        <f t="shared" si="71"/>
        <v>36.469011429199981</v>
      </c>
      <c r="CO76" s="1035">
        <f t="shared" si="72"/>
        <v>96.671652013207932</v>
      </c>
      <c r="DF76" s="2336">
        <v>2018</v>
      </c>
      <c r="DG76" s="2340">
        <v>0.63795670517757586</v>
      </c>
      <c r="DH76" s="2347">
        <f t="shared" si="80"/>
        <v>0.63795670517757586</v>
      </c>
      <c r="DW76" s="547">
        <f t="shared" si="65"/>
        <v>0.63795670517757586</v>
      </c>
      <c r="DZ76" s="1272">
        <v>2022</v>
      </c>
      <c r="EA76" s="2377"/>
      <c r="EB76" s="2379"/>
      <c r="ES76" s="1234">
        <v>2022</v>
      </c>
      <c r="ET76" s="1230"/>
      <c r="EU76" s="1229"/>
      <c r="FL76" s="1218">
        <v>2022</v>
      </c>
      <c r="FM76" s="1182"/>
      <c r="FN76" s="765"/>
      <c r="FO76" s="765"/>
      <c r="FP76" s="1198"/>
      <c r="GH76" s="1185">
        <v>2022</v>
      </c>
      <c r="GI76" s="1182"/>
      <c r="GJ76" s="765"/>
      <c r="GK76" s="1198"/>
      <c r="HC76" s="1185">
        <v>2022</v>
      </c>
      <c r="HD76" s="1182"/>
      <c r="HE76" s="765"/>
      <c r="HF76" s="1198"/>
      <c r="HZ76" s="1218">
        <v>2022</v>
      </c>
      <c r="IA76" s="1259"/>
      <c r="IB76" s="2581">
        <f t="shared" si="58"/>
        <v>1088.3255958832835</v>
      </c>
      <c r="IC76" s="2582"/>
    </row>
    <row r="77" spans="7:253" ht="23.4">
      <c r="L77" s="2226" t="s">
        <v>697</v>
      </c>
      <c r="M77" s="2227" t="s">
        <v>953</v>
      </c>
      <c r="N77" s="2227"/>
      <c r="O77" s="1888" t="s">
        <v>660</v>
      </c>
      <c r="P77" s="2233">
        <f>ОТЧЁТ!U195</f>
        <v>266.97399999999999</v>
      </c>
      <c r="Q77" s="1889">
        <f>ОТЧЁТ!V195</f>
        <v>218.65170599999999</v>
      </c>
      <c r="R77" s="1889">
        <f>ОТЧЁТ!W195</f>
        <v>207.71912069999999</v>
      </c>
      <c r="S77" s="1889">
        <f>ОТЧЁТ!X195</f>
        <v>182.79282621599998</v>
      </c>
      <c r="T77" s="1889">
        <f>ОТЧЁТ!Y195</f>
        <v>191.9324675268</v>
      </c>
      <c r="U77" s="1889">
        <f>ОТЧЁТ!Z195</f>
        <v>225.32871687646318</v>
      </c>
      <c r="V77" s="1889">
        <f>ОТЧЁТ!AA195</f>
        <v>247.86158856410952</v>
      </c>
      <c r="W77" s="1889">
        <f>ОТЧЁТ!AB195</f>
        <v>254.80171304390458</v>
      </c>
      <c r="X77" s="1889">
        <f>ОТЧЁТ!AC195</f>
        <v>286.65192717439265</v>
      </c>
      <c r="Y77" s="1889">
        <f>ОТЧЁТ!AD195</f>
        <v>325.92324119728443</v>
      </c>
      <c r="Z77" s="1889">
        <f>ОТЧЁТ!AE195</f>
        <v>359.16741179940749</v>
      </c>
      <c r="AA77" s="1889">
        <f>ОТЧЁТ!AF195</f>
        <v>419.14836956990854</v>
      </c>
      <c r="AB77" s="1889">
        <f>ОТЧЁТ!AG195</f>
        <v>514.2950494622778</v>
      </c>
      <c r="AC77" s="1889">
        <f>ОТЧЁТ!AH195</f>
        <v>563.15307916119423</v>
      </c>
      <c r="AD77" s="1889">
        <f>ОТЧЁТ!AI195</f>
        <v>487.12741347443301</v>
      </c>
      <c r="AE77" s="1889">
        <f>ОТЧЁТ!AJ195</f>
        <v>517.81644052332229</v>
      </c>
      <c r="AF77" s="1889">
        <f>ОТЧЁТ!AK195</f>
        <v>573.74061609984119</v>
      </c>
      <c r="AG77" s="1889">
        <f>ОТЧЁТ!AL195</f>
        <v>612.75497799463039</v>
      </c>
      <c r="AH77" s="1889">
        <f>ОТЧЁТ!AM195</f>
        <v>617.65701781858741</v>
      </c>
      <c r="AI77" s="1889">
        <f>ОТЧЁТ!AN195</f>
        <v>608.39216255130862</v>
      </c>
      <c r="AJ77" s="1889">
        <f>ОТЧЁТ!AO195</f>
        <v>546.94455413362641</v>
      </c>
      <c r="AK77" s="1889">
        <f>ОТЧЁТ!AP195</f>
        <v>545.85066502535915</v>
      </c>
      <c r="AL77" s="1889">
        <f>ОТЧЁТ!AQ195</f>
        <v>572.05149694657644</v>
      </c>
      <c r="AM77" s="1889">
        <f>ОТЧЁТ!AR195</f>
        <v>596.64971131527921</v>
      </c>
      <c r="BD77" s="2212">
        <v>1999</v>
      </c>
      <c r="BE77" s="762">
        <v>0.45181578644747206</v>
      </c>
      <c r="BF77" s="555"/>
      <c r="BG77" s="762">
        <v>0.50572313279423808</v>
      </c>
      <c r="BH77" s="555"/>
      <c r="BI77" s="762">
        <v>0.89340541721135935</v>
      </c>
      <c r="BJ77" s="787"/>
      <c r="BZ77" s="2275">
        <f t="shared" si="79"/>
        <v>0.50572313279423808</v>
      </c>
      <c r="CJ77" s="2290">
        <v>2012</v>
      </c>
      <c r="CK77" s="2132">
        <v>2678.541712402734</v>
      </c>
      <c r="CL77" s="1201">
        <v>7144.3683570936282</v>
      </c>
      <c r="CM77" s="1382">
        <v>71.545415863579535</v>
      </c>
      <c r="CN77" s="1382">
        <f t="shared" si="71"/>
        <v>37.438341507582962</v>
      </c>
      <c r="CO77" s="1035">
        <f t="shared" si="72"/>
        <v>99.857807392108484</v>
      </c>
      <c r="DF77" s="2336">
        <v>2019</v>
      </c>
      <c r="DG77" s="2339"/>
      <c r="DH77" s="2350">
        <f>DH76-0.011</f>
        <v>0.62695670517757585</v>
      </c>
      <c r="DW77" s="547">
        <f>DH77</f>
        <v>0.62695670517757585</v>
      </c>
      <c r="DZ77" s="1272">
        <v>2023</v>
      </c>
      <c r="EA77" s="2377"/>
      <c r="EB77" s="2379"/>
      <c r="ES77" s="1234">
        <v>2023</v>
      </c>
      <c r="ET77" s="1230"/>
      <c r="EU77" s="1229"/>
      <c r="FL77" s="1218">
        <v>2023</v>
      </c>
      <c r="FM77" s="1182"/>
      <c r="FN77" s="765"/>
      <c r="FO77" s="765"/>
      <c r="FP77" s="1198"/>
      <c r="GH77" s="1185">
        <v>2023</v>
      </c>
      <c r="GI77" s="1182"/>
      <c r="GJ77" s="765"/>
      <c r="GK77" s="1198"/>
      <c r="HC77" s="1185">
        <v>2023</v>
      </c>
      <c r="HD77" s="1182"/>
      <c r="HE77" s="765"/>
      <c r="HF77" s="1198"/>
      <c r="HZ77" s="1218">
        <v>2023</v>
      </c>
      <c r="IA77" s="1259"/>
      <c r="IB77" s="2581">
        <f t="shared" si="58"/>
        <v>1141.1534328411099</v>
      </c>
      <c r="IC77" s="2582"/>
    </row>
    <row r="78" spans="7:253" ht="23.4">
      <c r="G78" s="801" t="s">
        <v>1858</v>
      </c>
      <c r="H78" s="801"/>
      <c r="I78" s="669"/>
      <c r="J78" s="669"/>
      <c r="K78" s="669"/>
      <c r="L78" s="2228" t="s">
        <v>1859</v>
      </c>
      <c r="M78" s="2229"/>
      <c r="N78" s="2230"/>
      <c r="O78" s="1888" t="s">
        <v>1707</v>
      </c>
      <c r="P78" s="2234">
        <f>P65-P63+P15-P40-P45-P50-P76</f>
        <v>514.85650000000032</v>
      </c>
      <c r="Q78" s="2231">
        <f>Q66-Q63+Q15-Q40-Q45-Q50-Q76</f>
        <v>622.76160000000073</v>
      </c>
      <c r="R78" s="2231">
        <f t="shared" ref="R78:Y78" si="81">R66-R63+R15-R40-R45-R50-R76</f>
        <v>685.29009999999994</v>
      </c>
      <c r="S78" s="2231">
        <f t="shared" si="81"/>
        <v>807.43969999999968</v>
      </c>
      <c r="T78" s="2231">
        <f t="shared" si="81"/>
        <v>2129.4648000000016</v>
      </c>
      <c r="U78" s="2231">
        <f t="shared" si="81"/>
        <v>3419.3656999999998</v>
      </c>
      <c r="V78" s="2231">
        <f t="shared" si="81"/>
        <v>3757.9726000000019</v>
      </c>
      <c r="W78" s="2232">
        <f t="shared" si="81"/>
        <v>4220.6077999999998</v>
      </c>
      <c r="X78" s="2232">
        <f t="shared" si="81"/>
        <v>5224.508600000001</v>
      </c>
      <c r="Y78" s="2232">
        <f t="shared" si="81"/>
        <v>6554.3848000000016</v>
      </c>
      <c r="Z78" s="2232">
        <f>Z66-Z63+Z15-Z40-Z45-Z50-Z76</f>
        <v>8334.9116000000031</v>
      </c>
      <c r="AA78" s="2232">
        <f t="shared" ref="AA78:AM78" si="82">AA66-AA63+AA15-AA40-AA45-AA50-AA76</f>
        <v>10048.060000000005</v>
      </c>
      <c r="AB78" s="2232">
        <f t="shared" si="82"/>
        <v>11346.638300000004</v>
      </c>
      <c r="AC78" s="2232">
        <f t="shared" si="82"/>
        <v>14668.0538</v>
      </c>
      <c r="AD78" s="2232">
        <f t="shared" si="82"/>
        <v>10210.662700000001</v>
      </c>
      <c r="AE78" s="2232">
        <f t="shared" si="82"/>
        <v>14849.841999999995</v>
      </c>
      <c r="AF78" s="2232">
        <f t="shared" si="82"/>
        <v>20565.42760000001</v>
      </c>
      <c r="AG78" s="2232">
        <f t="shared" si="82"/>
        <v>22468.884299999998</v>
      </c>
      <c r="AH78" s="2232">
        <f t="shared" si="82"/>
        <v>22328.994100000004</v>
      </c>
      <c r="AI78" s="2232">
        <f t="shared" si="82"/>
        <v>25406.959199999987</v>
      </c>
      <c r="AJ78" s="2232">
        <f t="shared" si="82"/>
        <v>28560.193000000003</v>
      </c>
      <c r="AK78" s="2232">
        <f t="shared" si="82"/>
        <v>27631.694999999982</v>
      </c>
      <c r="AL78" s="2232">
        <f t="shared" si="82"/>
        <v>30156.061999999994</v>
      </c>
      <c r="AM78" s="2232">
        <f t="shared" si="82"/>
        <v>37948.793999999994</v>
      </c>
      <c r="AN78" s="2231"/>
      <c r="AO78" s="2231"/>
      <c r="AP78" s="2231"/>
      <c r="AQ78" s="2224" t="str">
        <f>O78</f>
        <v>EXM</v>
      </c>
      <c r="BD78" s="2212">
        <v>2000</v>
      </c>
      <c r="BE78" s="762">
        <v>0.45421840440510231</v>
      </c>
      <c r="BF78" s="555"/>
      <c r="BG78" s="762">
        <v>0.50301229074374942</v>
      </c>
      <c r="BH78" s="555"/>
      <c r="BI78" s="762">
        <v>0.90299663201767688</v>
      </c>
      <c r="BJ78" s="787"/>
      <c r="BZ78" s="2275">
        <f t="shared" si="79"/>
        <v>0.50301229074374942</v>
      </c>
      <c r="CJ78" s="2290">
        <v>2013</v>
      </c>
      <c r="CK78" s="2132">
        <v>2726.3631774238834</v>
      </c>
      <c r="CL78" s="1201">
        <v>7437.2874597344662</v>
      </c>
      <c r="CM78" s="1382">
        <v>71.391459581339006</v>
      </c>
      <c r="CN78" s="1382">
        <f t="shared" si="71"/>
        <v>38.188926146237897</v>
      </c>
      <c r="CO78" s="1035">
        <f t="shared" si="72"/>
        <v>104.1761508077991</v>
      </c>
      <c r="DF78" s="2336">
        <v>2020</v>
      </c>
      <c r="DG78" s="2339"/>
      <c r="DH78" s="2350">
        <f t="shared" ref="DH78:DH88" si="83">DH77-0.011</f>
        <v>0.61595670517757584</v>
      </c>
      <c r="DW78" s="547">
        <f t="shared" ref="DW78:DW88" si="84">DH78</f>
        <v>0.61595670517757584</v>
      </c>
      <c r="DZ78" s="1272">
        <v>2024</v>
      </c>
      <c r="EA78" s="2377"/>
      <c r="EB78" s="2379"/>
      <c r="ES78" s="1234">
        <v>2024</v>
      </c>
      <c r="ET78" s="1230"/>
      <c r="EU78" s="1229"/>
      <c r="FL78" s="1218">
        <v>2024</v>
      </c>
      <c r="FM78" s="1182"/>
      <c r="FN78" s="765"/>
      <c r="FO78" s="765"/>
      <c r="FP78" s="1198"/>
      <c r="GH78" s="1185">
        <v>2024</v>
      </c>
      <c r="GI78" s="1182"/>
      <c r="GJ78" s="765"/>
      <c r="GK78" s="1198"/>
      <c r="HC78" s="1185">
        <v>2024</v>
      </c>
      <c r="HD78" s="1182"/>
      <c r="HE78" s="765"/>
      <c r="HF78" s="1198"/>
      <c r="HZ78" s="1218">
        <v>2024</v>
      </c>
      <c r="IA78" s="1259"/>
      <c r="IB78" s="2581">
        <f t="shared" si="58"/>
        <v>1194.5136999498079</v>
      </c>
      <c r="IC78" s="2582"/>
    </row>
    <row r="79" spans="7:253" ht="23.4">
      <c r="G79" s="801" t="s">
        <v>1860</v>
      </c>
      <c r="H79" s="801"/>
      <c r="I79" s="669"/>
      <c r="J79" s="669"/>
      <c r="K79" s="669"/>
      <c r="L79" s="2228" t="s">
        <v>1859</v>
      </c>
      <c r="M79" s="2229"/>
      <c r="N79" s="2230"/>
      <c r="O79" s="1888" t="s">
        <v>1705</v>
      </c>
      <c r="P79" s="2234">
        <f>P78</f>
        <v>514.85650000000032</v>
      </c>
      <c r="Q79" s="2231">
        <f>Q69+Q19-Q44-Q54-Q49-Q77</f>
        <v>543.23611590000041</v>
      </c>
      <c r="R79" s="2231">
        <f t="shared" ref="R79:AM79" si="85">R69+R19-R44-R54-R49-R77</f>
        <v>547.65902196420029</v>
      </c>
      <c r="S79" s="2231">
        <f t="shared" si="85"/>
        <v>454.69111671309327</v>
      </c>
      <c r="T79" s="2231">
        <f t="shared" si="85"/>
        <v>485.77471878717279</v>
      </c>
      <c r="U79" s="2231">
        <f t="shared" si="85"/>
        <v>630.56855618427778</v>
      </c>
      <c r="V79" s="2231">
        <f t="shared" si="85"/>
        <v>693.8470935952522</v>
      </c>
      <c r="W79" s="2231">
        <f t="shared" si="85"/>
        <v>755.03985015142814</v>
      </c>
      <c r="X79" s="2231">
        <f t="shared" si="85"/>
        <v>856.34626241419744</v>
      </c>
      <c r="Y79" s="2231">
        <f t="shared" si="85"/>
        <v>959.4377971795634</v>
      </c>
      <c r="Z79" s="2231">
        <f t="shared" si="85"/>
        <v>1039.2254401560781</v>
      </c>
      <c r="AA79" s="2231">
        <f t="shared" si="85"/>
        <v>1171.4070713444628</v>
      </c>
      <c r="AB79" s="2231">
        <f t="shared" si="85"/>
        <v>1325.3532840756984</v>
      </c>
      <c r="AC79" s="2231">
        <f t="shared" si="85"/>
        <v>1415.7084330046948</v>
      </c>
      <c r="AD79" s="2231">
        <f t="shared" si="85"/>
        <v>955.59745566122888</v>
      </c>
      <c r="AE79" s="2231">
        <f t="shared" si="85"/>
        <v>1199.8140185252819</v>
      </c>
      <c r="AF79" s="2231">
        <f t="shared" si="85"/>
        <v>1381.4696147268055</v>
      </c>
      <c r="AG79" s="2231">
        <f t="shared" si="85"/>
        <v>1432.7169214123069</v>
      </c>
      <c r="AH79" s="2231">
        <f t="shared" si="85"/>
        <v>1431.6281795485988</v>
      </c>
      <c r="AI79" s="2231">
        <f t="shared" si="85"/>
        <v>1309.0676111217117</v>
      </c>
      <c r="AJ79" s="2231">
        <f t="shared" si="85"/>
        <v>1124.7320412710551</v>
      </c>
      <c r="AK79" s="2231">
        <f t="shared" si="85"/>
        <v>1119.2869569831846</v>
      </c>
      <c r="AL79" s="2231">
        <f t="shared" si="85"/>
        <v>1266.1979652485479</v>
      </c>
      <c r="AM79" s="2231">
        <f t="shared" si="85"/>
        <v>1309.2948926238073</v>
      </c>
      <c r="AN79" s="713"/>
      <c r="AO79" s="713"/>
      <c r="AP79" s="713"/>
      <c r="AQ79" s="2224" t="str">
        <f>O79</f>
        <v>EXMS</v>
      </c>
      <c r="BD79" s="2212">
        <v>2001</v>
      </c>
      <c r="BE79" s="762">
        <v>0.47453367284444886</v>
      </c>
      <c r="BF79" s="555"/>
      <c r="BG79" s="762">
        <v>0.50206474506356591</v>
      </c>
      <c r="BH79" s="555"/>
      <c r="BI79" s="762">
        <v>0.94516429904746357</v>
      </c>
      <c r="BJ79" s="787"/>
      <c r="BZ79" s="2275">
        <f t="shared" si="79"/>
        <v>0.50206474506356591</v>
      </c>
      <c r="CJ79" s="2290">
        <v>2014</v>
      </c>
      <c r="CK79" s="2132">
        <v>2746.5001169353304</v>
      </c>
      <c r="CL79" s="1201">
        <v>7712.4670957446406</v>
      </c>
      <c r="CM79" s="1382">
        <v>71.539043569577998</v>
      </c>
      <c r="CN79" s="1382">
        <f t="shared" si="71"/>
        <v>38.39162476730791</v>
      </c>
      <c r="CO79" s="1035">
        <f t="shared" si="72"/>
        <v>107.80780271745721</v>
      </c>
      <c r="DF79" s="2336">
        <v>2021</v>
      </c>
      <c r="DG79" s="2339"/>
      <c r="DH79" s="2350">
        <f t="shared" si="83"/>
        <v>0.60495670517757583</v>
      </c>
      <c r="DW79" s="547">
        <f t="shared" si="84"/>
        <v>0.60495670517757583</v>
      </c>
      <c r="DZ79" s="1272">
        <v>2025</v>
      </c>
      <c r="EA79" s="2377"/>
      <c r="EB79" s="2379"/>
      <c r="EK79" s="70"/>
      <c r="EL79" s="622"/>
      <c r="EM79" s="622"/>
      <c r="EN79" s="70"/>
      <c r="EO79" s="70"/>
      <c r="ES79" s="1234">
        <v>2025</v>
      </c>
      <c r="ET79" s="1230"/>
      <c r="EU79" s="1229"/>
      <c r="FL79" s="1218">
        <v>2025</v>
      </c>
      <c r="FM79" s="1182"/>
      <c r="FN79" s="765"/>
      <c r="FO79" s="765"/>
      <c r="FP79" s="1198"/>
      <c r="GH79" s="1185">
        <v>2025</v>
      </c>
      <c r="GI79" s="1182"/>
      <c r="GJ79" s="765"/>
      <c r="GK79" s="1198"/>
      <c r="HC79" s="1185">
        <v>2025</v>
      </c>
      <c r="HD79" s="1182"/>
      <c r="HE79" s="765"/>
      <c r="HF79" s="1198"/>
      <c r="HZ79" s="1218">
        <v>2025</v>
      </c>
      <c r="IA79" s="1259"/>
      <c r="IB79" s="2581">
        <f t="shared" si="58"/>
        <v>1246.5475690695528</v>
      </c>
      <c r="IC79" s="2582"/>
    </row>
    <row r="80" spans="7:253" ht="23.4">
      <c r="G80" s="801" t="s">
        <v>1864</v>
      </c>
      <c r="H80" s="801"/>
      <c r="I80" s="669"/>
      <c r="J80" s="669"/>
      <c r="K80" s="669"/>
      <c r="L80" s="2228" t="s">
        <v>1861</v>
      </c>
      <c r="M80" s="2229"/>
      <c r="N80" s="2230"/>
      <c r="O80" s="1888" t="s">
        <v>1863</v>
      </c>
      <c r="P80" s="2238">
        <v>1</v>
      </c>
      <c r="Q80" s="2239">
        <f t="shared" ref="Q80:AM80" si="86">Q79/$P79</f>
        <v>1.0551214093635801</v>
      </c>
      <c r="R80" s="2239">
        <f t="shared" si="86"/>
        <v>1.0637119701590636</v>
      </c>
      <c r="S80" s="2239">
        <f t="shared" si="86"/>
        <v>0.88314145147840806</v>
      </c>
      <c r="T80" s="2239">
        <f t="shared" si="86"/>
        <v>0.94351478283205603</v>
      </c>
      <c r="U80" s="2239">
        <f t="shared" si="86"/>
        <v>1.2247462277047632</v>
      </c>
      <c r="V80" s="2239">
        <f t="shared" si="86"/>
        <v>1.3476514205322294</v>
      </c>
      <c r="W80" s="2239">
        <f t="shared" si="86"/>
        <v>1.4665054246210889</v>
      </c>
      <c r="X80" s="2239">
        <f t="shared" si="86"/>
        <v>1.6632717318596482</v>
      </c>
      <c r="Y80" s="2239">
        <f t="shared" si="86"/>
        <v>1.8635052624946229</v>
      </c>
      <c r="Z80" s="2239">
        <f t="shared" si="86"/>
        <v>2.0184759057253379</v>
      </c>
      <c r="AA80" s="2239">
        <f t="shared" si="86"/>
        <v>2.2752108040676617</v>
      </c>
      <c r="AB80" s="2239">
        <f t="shared" si="86"/>
        <v>2.5742188048042465</v>
      </c>
      <c r="AC80" s="2239">
        <f t="shared" si="86"/>
        <v>2.7497145962121365</v>
      </c>
      <c r="AD80" s="2239">
        <f t="shared" si="86"/>
        <v>1.8560462102765105</v>
      </c>
      <c r="AE80" s="2239">
        <f t="shared" si="86"/>
        <v>2.3303852986711466</v>
      </c>
      <c r="AF80" s="2239">
        <f t="shared" si="86"/>
        <v>2.6832129238473335</v>
      </c>
      <c r="AG80" s="2239">
        <f t="shared" si="86"/>
        <v>2.7827499923033039</v>
      </c>
      <c r="AH80" s="2239">
        <f t="shared" si="86"/>
        <v>2.7806353412040012</v>
      </c>
      <c r="AI80" s="2239">
        <f t="shared" si="86"/>
        <v>2.5425873250540896</v>
      </c>
      <c r="AJ80" s="2239">
        <f t="shared" si="86"/>
        <v>2.1845544171454656</v>
      </c>
      <c r="AK80" s="2239">
        <f t="shared" si="86"/>
        <v>2.1739784910614586</v>
      </c>
      <c r="AL80" s="2239">
        <f t="shared" si="86"/>
        <v>2.4593220931435207</v>
      </c>
      <c r="AM80" s="2239">
        <f t="shared" si="86"/>
        <v>2.5430287713640722</v>
      </c>
      <c r="AN80" s="713"/>
      <c r="AO80" s="713"/>
      <c r="AP80" s="713"/>
      <c r="AQ80" s="2224" t="str">
        <f>O80</f>
        <v>Pem</v>
      </c>
      <c r="BD80" s="2212">
        <v>2002</v>
      </c>
      <c r="BE80" s="762">
        <v>0.46500098778747362</v>
      </c>
      <c r="BF80" s="555"/>
      <c r="BG80" s="762">
        <v>0.50063389662984059</v>
      </c>
      <c r="BH80" s="555"/>
      <c r="BI80" s="762">
        <v>0.92882441823807749</v>
      </c>
      <c r="BJ80" s="787"/>
      <c r="BZ80" s="2275">
        <f t="shared" si="79"/>
        <v>0.50063389662984059</v>
      </c>
      <c r="CJ80" s="2290">
        <v>2015</v>
      </c>
      <c r="CK80" s="2132">
        <v>2683.3306142458177</v>
      </c>
      <c r="CL80" s="1201">
        <v>7959.2660428084691</v>
      </c>
      <c r="CM80" s="1382">
        <v>72.323622532452006</v>
      </c>
      <c r="CN80" s="1382">
        <f t="shared" si="71"/>
        <v>37.101717534154105</v>
      </c>
      <c r="CO80" s="1035">
        <f t="shared" si="72"/>
        <v>110.05071046098531</v>
      </c>
      <c r="DF80" s="2336">
        <v>2022</v>
      </c>
      <c r="DG80" s="2339"/>
      <c r="DH80" s="2350">
        <f t="shared" si="83"/>
        <v>0.59395670517757582</v>
      </c>
      <c r="DW80" s="547">
        <f t="shared" si="84"/>
        <v>0.59395670517757582</v>
      </c>
      <c r="DZ80" s="1272">
        <v>2026</v>
      </c>
      <c r="EA80" s="2377"/>
      <c r="EB80" s="2379"/>
      <c r="EK80" s="70"/>
      <c r="EL80" s="622"/>
      <c r="EM80" s="622"/>
      <c r="EN80" s="70"/>
      <c r="EO80" s="70"/>
      <c r="ES80" s="1234">
        <v>2026</v>
      </c>
      <c r="ET80" s="1230"/>
      <c r="EU80" s="1229"/>
      <c r="FL80" s="1218">
        <v>2026</v>
      </c>
      <c r="FM80" s="1182"/>
      <c r="FN80" s="765"/>
      <c r="FO80" s="765"/>
      <c r="FP80" s="1198"/>
      <c r="GH80" s="1185">
        <v>2026</v>
      </c>
      <c r="GI80" s="1182"/>
      <c r="GJ80" s="765"/>
      <c r="GK80" s="1198"/>
      <c r="HC80" s="1185">
        <v>2026</v>
      </c>
      <c r="HD80" s="1182"/>
      <c r="HE80" s="765"/>
      <c r="HF80" s="1198"/>
      <c r="HZ80" s="1218">
        <v>2026</v>
      </c>
      <c r="IA80" s="1259"/>
      <c r="IB80" s="2581">
        <f t="shared" si="58"/>
        <v>1299.39602393987</v>
      </c>
      <c r="IC80" s="2582"/>
    </row>
    <row r="81" spans="7:246" ht="23.4">
      <c r="G81" s="801" t="s">
        <v>1647</v>
      </c>
      <c r="H81" s="801"/>
      <c r="I81" s="669"/>
      <c r="J81" s="669"/>
      <c r="K81" s="669"/>
      <c r="L81" s="2228" t="s">
        <v>1862</v>
      </c>
      <c r="M81" s="2229"/>
      <c r="N81" s="2230"/>
      <c r="O81" s="1888" t="s">
        <v>1706</v>
      </c>
      <c r="P81" s="2235">
        <v>1</v>
      </c>
      <c r="Q81" s="2240">
        <f>Q78/($P79*Q80)</f>
        <v>1.1463921152743082</v>
      </c>
      <c r="R81" s="2240">
        <f t="shared" ref="R81:W81" si="87">R78/($P79*R80)</f>
        <v>1.2513079717780973</v>
      </c>
      <c r="S81" s="2240">
        <f t="shared" si="87"/>
        <v>1.7757982734232483</v>
      </c>
      <c r="T81" s="2240">
        <f t="shared" si="87"/>
        <v>4.3836468174313552</v>
      </c>
      <c r="U81" s="2240">
        <f t="shared" si="87"/>
        <v>5.4226708047280461</v>
      </c>
      <c r="V81" s="2240">
        <f t="shared" si="87"/>
        <v>5.4161394271000178</v>
      </c>
      <c r="W81" s="2240">
        <f t="shared" si="87"/>
        <v>5.5899139616982199</v>
      </c>
      <c r="X81" s="2240">
        <f t="shared" ref="X81:AM81" si="88">X78/($P79*X80)</f>
        <v>6.1009299967879249</v>
      </c>
      <c r="Y81" s="2240">
        <f t="shared" si="88"/>
        <v>6.8314848750672237</v>
      </c>
      <c r="Z81" s="2240">
        <f t="shared" si="88"/>
        <v>8.0203113568391942</v>
      </c>
      <c r="AA81" s="2240">
        <f t="shared" si="88"/>
        <v>8.5777696291926198</v>
      </c>
      <c r="AB81" s="2240">
        <f t="shared" si="88"/>
        <v>8.5612179305936156</v>
      </c>
      <c r="AC81" s="2240">
        <f t="shared" si="88"/>
        <v>10.360928463828227</v>
      </c>
      <c r="AD81" s="2240">
        <f t="shared" si="88"/>
        <v>10.685108713411861</v>
      </c>
      <c r="AE81" s="2240">
        <f t="shared" si="88"/>
        <v>12.376786544178128</v>
      </c>
      <c r="AF81" s="2240">
        <f t="shared" si="88"/>
        <v>14.886630426588829</v>
      </c>
      <c r="AG81" s="2240">
        <f t="shared" si="88"/>
        <v>15.682710215951941</v>
      </c>
      <c r="AH81" s="2240">
        <f t="shared" si="88"/>
        <v>15.596922733834754</v>
      </c>
      <c r="AI81" s="2240">
        <f t="shared" si="88"/>
        <v>19.408439246487287</v>
      </c>
      <c r="AJ81" s="2240">
        <f t="shared" si="88"/>
        <v>25.392886440510974</v>
      </c>
      <c r="AK81" s="2240">
        <f t="shared" si="88"/>
        <v>24.68687303788094</v>
      </c>
      <c r="AL81" s="2240">
        <f t="shared" si="88"/>
        <v>23.816230026937784</v>
      </c>
      <c r="AM81" s="2240">
        <f t="shared" si="88"/>
        <v>28.984145751879609</v>
      </c>
      <c r="AN81" s="713"/>
      <c r="AO81" s="713"/>
      <c r="AP81" s="713"/>
      <c r="AQ81" s="2224" t="str">
        <f>O81</f>
        <v>Dem</v>
      </c>
      <c r="BD81" s="2212">
        <v>2003</v>
      </c>
      <c r="BE81" s="762">
        <v>0.46872864665390768</v>
      </c>
      <c r="BF81" s="555"/>
      <c r="BG81" s="762">
        <v>0.50202618130466459</v>
      </c>
      <c r="BH81" s="555"/>
      <c r="BI81" s="762">
        <v>0.93367370888063361</v>
      </c>
      <c r="BJ81" s="787"/>
      <c r="BZ81" s="2275">
        <f t="shared" si="79"/>
        <v>0.50202618130466459</v>
      </c>
      <c r="CJ81" s="2290">
        <v>2016</v>
      </c>
      <c r="CK81" s="2132">
        <v>2688.6972754743092</v>
      </c>
      <c r="CL81" s="1201">
        <v>8269.6774184779988</v>
      </c>
      <c r="CM81" s="1382">
        <v>72.393000000000001</v>
      </c>
      <c r="CN81" s="1382">
        <f t="shared" si="71"/>
        <v>37.140293612287223</v>
      </c>
      <c r="CO81" s="1035">
        <f t="shared" si="72"/>
        <v>114.23310842868784</v>
      </c>
      <c r="DF81" s="2336">
        <v>2023</v>
      </c>
      <c r="DG81" s="2339"/>
      <c r="DH81" s="2350">
        <f t="shared" si="83"/>
        <v>0.58295670517757581</v>
      </c>
      <c r="DW81" s="547">
        <f t="shared" si="84"/>
        <v>0.58295670517757581</v>
      </c>
      <c r="DZ81" s="1272">
        <v>2027</v>
      </c>
      <c r="EA81" s="2377"/>
      <c r="EB81" s="2379"/>
      <c r="EK81" s="70"/>
      <c r="EL81" s="622"/>
      <c r="EM81" s="622"/>
      <c r="EN81" s="70"/>
      <c r="EO81" s="70"/>
      <c r="ES81" s="1234">
        <v>2027</v>
      </c>
      <c r="ET81" s="1230"/>
      <c r="EU81" s="1229"/>
      <c r="FL81" s="1218">
        <v>2027</v>
      </c>
      <c r="FM81" s="1182"/>
      <c r="FN81" s="765"/>
      <c r="FO81" s="765"/>
      <c r="FP81" s="1198"/>
      <c r="GH81" s="1185">
        <v>2027</v>
      </c>
      <c r="GI81" s="1182"/>
      <c r="GJ81" s="765"/>
      <c r="GK81" s="1198"/>
      <c r="HC81" s="1185">
        <v>2027</v>
      </c>
      <c r="HD81" s="1182"/>
      <c r="HE81" s="765"/>
      <c r="HF81" s="1198"/>
      <c r="HZ81" s="1218">
        <v>2027</v>
      </c>
      <c r="IA81" s="1259"/>
      <c r="IB81" s="2581">
        <f t="shared" si="58"/>
        <v>1353.1460515098345</v>
      </c>
      <c r="IC81" s="2582"/>
    </row>
    <row r="82" spans="7:246" ht="23.4">
      <c r="BD82" s="2212">
        <v>2004</v>
      </c>
      <c r="BE82" s="762">
        <v>0.46217016187985543</v>
      </c>
      <c r="BF82" s="555"/>
      <c r="BG82" s="762">
        <v>0.5057148762579633</v>
      </c>
      <c r="BH82" s="555"/>
      <c r="BI82" s="762">
        <v>0.91389473313437597</v>
      </c>
      <c r="BJ82" s="787"/>
      <c r="BZ82" s="2275">
        <f t="shared" si="79"/>
        <v>0.5057148762579633</v>
      </c>
      <c r="CJ82" s="2290">
        <v>2017</v>
      </c>
      <c r="CK82" s="2132">
        <v>2737.093826432847</v>
      </c>
      <c r="CL82" s="1201">
        <v>8583.9251603801622</v>
      </c>
      <c r="CM82" s="1382">
        <v>72.141999999999996</v>
      </c>
      <c r="CN82" s="1382">
        <f t="shared" si="71"/>
        <v>37.940365202418107</v>
      </c>
      <c r="CO82" s="1035">
        <f t="shared" si="72"/>
        <v>118.98651493415989</v>
      </c>
      <c r="DF82" s="2336">
        <v>2024</v>
      </c>
      <c r="DG82" s="2339"/>
      <c r="DH82" s="2350">
        <f t="shared" si="83"/>
        <v>0.5719567051775758</v>
      </c>
      <c r="DW82" s="547">
        <f t="shared" si="84"/>
        <v>0.5719567051775758</v>
      </c>
      <c r="DZ82" s="1272">
        <v>2028</v>
      </c>
      <c r="EA82" s="2377"/>
      <c r="EB82" s="2379"/>
      <c r="EK82" s="70"/>
      <c r="EL82" s="622"/>
      <c r="EM82" s="622"/>
      <c r="EN82" s="70"/>
      <c r="EO82" s="70"/>
      <c r="ES82" s="1234">
        <v>2028</v>
      </c>
      <c r="ET82" s="1230"/>
      <c r="EU82" s="1229"/>
      <c r="FL82" s="1218">
        <v>2028</v>
      </c>
      <c r="FM82" s="1182"/>
      <c r="FN82" s="765"/>
      <c r="FO82" s="765"/>
      <c r="FP82" s="1198"/>
      <c r="GH82" s="1185">
        <v>2028</v>
      </c>
      <c r="GI82" s="1182"/>
      <c r="GJ82" s="765"/>
      <c r="GK82" s="1198"/>
      <c r="HC82" s="1185">
        <v>2028</v>
      </c>
      <c r="HD82" s="1182"/>
      <c r="HE82" s="765"/>
      <c r="HF82" s="1198"/>
      <c r="HZ82" s="1218">
        <v>2028</v>
      </c>
      <c r="IA82" s="1259"/>
      <c r="IB82" s="2581">
        <f t="shared" si="58"/>
        <v>1407.8659491860951</v>
      </c>
      <c r="IC82" s="2582"/>
    </row>
    <row r="83" spans="7:246" ht="23.4">
      <c r="BD83" s="2212">
        <v>2005</v>
      </c>
      <c r="BE83" s="762">
        <v>0.46127374316494563</v>
      </c>
      <c r="BF83" s="555"/>
      <c r="BG83" s="762">
        <v>0.502441464842453</v>
      </c>
      <c r="BH83" s="555"/>
      <c r="BI83" s="762">
        <v>0.91806464124051512</v>
      </c>
      <c r="BJ83" s="787"/>
      <c r="BZ83" s="2275">
        <f t="shared" si="79"/>
        <v>0.502441464842453</v>
      </c>
      <c r="CJ83" s="2290">
        <v>2018</v>
      </c>
      <c r="CK83" s="2132">
        <v>2813.7324535729667</v>
      </c>
      <c r="CL83" s="1201">
        <v>8944.4500171161289</v>
      </c>
      <c r="CM83" s="1382">
        <v>72.353999999999999</v>
      </c>
      <c r="CN83" s="1382">
        <f t="shared" si="71"/>
        <v>38.88841603191208</v>
      </c>
      <c r="CO83" s="1035">
        <f t="shared" si="72"/>
        <v>123.62067082837341</v>
      </c>
      <c r="DF83" s="2336">
        <v>2025</v>
      </c>
      <c r="DG83" s="2339"/>
      <c r="DH83" s="2350">
        <f t="shared" si="83"/>
        <v>0.56095670517757579</v>
      </c>
      <c r="DW83" s="547">
        <f t="shared" si="84"/>
        <v>0.56095670517757579</v>
      </c>
      <c r="DZ83" s="1272">
        <v>2029</v>
      </c>
      <c r="EA83" s="2377"/>
      <c r="EB83" s="2379"/>
      <c r="ES83" s="1234">
        <v>2029</v>
      </c>
      <c r="ET83" s="1230"/>
      <c r="EU83" s="1229"/>
      <c r="FL83" s="1218">
        <v>2029</v>
      </c>
      <c r="FM83" s="1182"/>
      <c r="FN83" s="765"/>
      <c r="FO83" s="765"/>
      <c r="FP83" s="1198"/>
      <c r="GH83" s="1185">
        <v>2029</v>
      </c>
      <c r="GI83" s="1182"/>
      <c r="GJ83" s="765"/>
      <c r="GK83" s="1198"/>
      <c r="HC83" s="1185">
        <v>2029</v>
      </c>
      <c r="HD83" s="1182"/>
      <c r="HE83" s="765"/>
      <c r="HF83" s="1198"/>
      <c r="HZ83" s="1218">
        <v>2029</v>
      </c>
      <c r="IA83" s="1259"/>
      <c r="IB83" s="2581">
        <f t="shared" si="58"/>
        <v>1463.6074600641989</v>
      </c>
      <c r="IC83" s="2582"/>
    </row>
    <row r="84" spans="7:246" ht="23.4">
      <c r="K84" s="24"/>
      <c r="L84" s="24"/>
      <c r="M84" s="52"/>
      <c r="AB84" s="373"/>
      <c r="AC84" s="373"/>
      <c r="AD84" s="373"/>
      <c r="AF84" s="274"/>
      <c r="AG84" s="274"/>
      <c r="AH84" s="274"/>
      <c r="AI84" s="274"/>
      <c r="AJ84" s="274"/>
      <c r="AP84" s="1135"/>
      <c r="AR84" s="1135"/>
      <c r="BD84" s="2212">
        <v>2006</v>
      </c>
      <c r="BE84" s="762">
        <v>0.46341299624141757</v>
      </c>
      <c r="BF84" s="555"/>
      <c r="BG84" s="762">
        <v>0.50563972907211574</v>
      </c>
      <c r="BH84" s="555"/>
      <c r="BI84" s="762">
        <v>0.91648849882071715</v>
      </c>
      <c r="BJ84" s="787"/>
      <c r="BZ84" s="2275">
        <f t="shared" si="79"/>
        <v>0.50563972907211574</v>
      </c>
      <c r="CJ84" s="2290">
        <v>2019</v>
      </c>
      <c r="CK84" s="782"/>
      <c r="CL84" s="765"/>
      <c r="CM84" s="765"/>
      <c r="CN84" s="1068"/>
      <c r="CO84" s="859"/>
      <c r="DF84" s="2336">
        <v>2026</v>
      </c>
      <c r="DG84" s="2339"/>
      <c r="DH84" s="2350">
        <f t="shared" si="83"/>
        <v>0.54995670517757578</v>
      </c>
      <c r="DW84" s="547">
        <f t="shared" si="84"/>
        <v>0.54995670517757578</v>
      </c>
      <c r="DZ84" s="1273">
        <v>2030</v>
      </c>
      <c r="EA84" s="2380"/>
      <c r="EB84" s="2381"/>
      <c r="ES84" s="1235">
        <v>2030</v>
      </c>
      <c r="ET84" s="2508"/>
      <c r="EU84" s="1233"/>
      <c r="FL84" s="1214">
        <v>2030</v>
      </c>
      <c r="FM84" s="1021"/>
      <c r="FN84" s="557"/>
      <c r="FO84" s="557"/>
      <c r="FP84" s="1199"/>
      <c r="GH84" s="853">
        <v>2030</v>
      </c>
      <c r="GI84" s="1021"/>
      <c r="GJ84" s="557"/>
      <c r="GK84" s="1199"/>
      <c r="HC84" s="853">
        <v>2030</v>
      </c>
      <c r="HD84" s="1021"/>
      <c r="HE84" s="557"/>
      <c r="HF84" s="1199"/>
      <c r="HZ84" s="1218">
        <v>2030</v>
      </c>
      <c r="IA84" s="1259"/>
      <c r="IB84" s="2581">
        <f t="shared" ref="IB84:IB89" si="89">2.191*(IX40-IX39+70.942)</f>
        <v>1520.4075997303948</v>
      </c>
      <c r="IC84" s="2582"/>
    </row>
    <row r="85" spans="7:246" ht="23.4">
      <c r="K85" s="24"/>
      <c r="L85" s="1919"/>
      <c r="M85" s="1920"/>
      <c r="N85" s="1920"/>
      <c r="O85" s="1920"/>
      <c r="P85" s="1921">
        <v>1995</v>
      </c>
      <c r="Q85" s="1922">
        <v>1996</v>
      </c>
      <c r="R85" s="1922">
        <v>1997</v>
      </c>
      <c r="S85" s="1922">
        <v>1998</v>
      </c>
      <c r="T85" s="1922">
        <v>1999</v>
      </c>
      <c r="U85" s="1921">
        <v>2000</v>
      </c>
      <c r="V85" s="1922">
        <v>2001</v>
      </c>
      <c r="W85" s="1922">
        <v>2002</v>
      </c>
      <c r="X85" s="1922">
        <v>2003</v>
      </c>
      <c r="Y85" s="1922">
        <v>2004</v>
      </c>
      <c r="Z85" s="1921">
        <v>2005</v>
      </c>
      <c r="AA85" s="1922">
        <v>2006</v>
      </c>
      <c r="AB85" s="1922">
        <v>2007</v>
      </c>
      <c r="AC85" s="1922">
        <v>2008</v>
      </c>
      <c r="AD85" s="1922">
        <v>2009</v>
      </c>
      <c r="AE85" s="1923">
        <v>2010</v>
      </c>
      <c r="AF85" s="1922">
        <v>2011</v>
      </c>
      <c r="AG85" s="1923">
        <v>2012</v>
      </c>
      <c r="AH85" s="1922">
        <v>2013</v>
      </c>
      <c r="AI85" s="1923">
        <v>2014</v>
      </c>
      <c r="AJ85" s="1922">
        <v>2015</v>
      </c>
      <c r="AK85" s="1923">
        <v>2016</v>
      </c>
      <c r="AL85" s="1922">
        <v>2017</v>
      </c>
      <c r="AM85" s="1923">
        <v>2018</v>
      </c>
      <c r="AN85" s="1922">
        <v>2019</v>
      </c>
      <c r="AO85" s="379">
        <v>2020</v>
      </c>
      <c r="AP85" s="377">
        <v>2021</v>
      </c>
      <c r="BD85" s="2212">
        <v>2007</v>
      </c>
      <c r="BE85" s="762">
        <v>0.46816891313324255</v>
      </c>
      <c r="BF85" s="555"/>
      <c r="BG85" s="762">
        <v>0.50700285481915963</v>
      </c>
      <c r="BH85" s="555"/>
      <c r="BI85" s="762">
        <v>0.92340488556071609</v>
      </c>
      <c r="BJ85" s="787"/>
      <c r="BZ85" s="2275">
        <f t="shared" si="79"/>
        <v>0.50700285481915963</v>
      </c>
      <c r="CJ85" s="2290">
        <v>2020</v>
      </c>
      <c r="CK85" s="782"/>
      <c r="CL85" s="765"/>
      <c r="CM85" s="765"/>
      <c r="CN85" s="1068"/>
      <c r="CO85" s="859"/>
      <c r="DF85" s="2336">
        <v>2027</v>
      </c>
      <c r="DG85" s="2339"/>
      <c r="DH85" s="2350">
        <f t="shared" si="83"/>
        <v>0.53895670517757577</v>
      </c>
      <c r="DW85" s="547">
        <f t="shared" si="84"/>
        <v>0.53895670517757577</v>
      </c>
      <c r="FC85" s="24"/>
      <c r="FD85" s="24"/>
      <c r="FE85" s="24"/>
      <c r="FF85" s="24"/>
      <c r="FG85" s="24"/>
      <c r="FH85" s="24"/>
      <c r="FI85" s="24"/>
      <c r="HZ85" s="1218">
        <v>2031</v>
      </c>
      <c r="IA85" s="1259"/>
      <c r="IB85" s="2581">
        <f t="shared" si="89"/>
        <v>1578.2902205769249</v>
      </c>
      <c r="IC85" s="2582"/>
    </row>
    <row r="86" spans="7:246" ht="23.4">
      <c r="I86" s="2237" t="s">
        <v>750</v>
      </c>
      <c r="J86" s="2237"/>
      <c r="K86" s="669"/>
      <c r="L86" s="1053" t="s">
        <v>697</v>
      </c>
      <c r="M86" s="1909" t="s">
        <v>751</v>
      </c>
      <c r="N86" s="1909"/>
      <c r="O86" s="1888" t="s">
        <v>752</v>
      </c>
      <c r="P86" s="2244">
        <v>1319.6252999999999</v>
      </c>
      <c r="Q86" s="1948">
        <v>1828.2092000000002</v>
      </c>
      <c r="R86" s="1948">
        <v>2127.9189999999999</v>
      </c>
      <c r="S86" s="1948">
        <v>2383.2595999999999</v>
      </c>
      <c r="T86" s="1948">
        <v>4327.8726999999999</v>
      </c>
      <c r="U86" s="1948">
        <v>6472.1990999999998</v>
      </c>
      <c r="V86" s="1948">
        <v>7846.0933000000005</v>
      </c>
      <c r="W86" s="1948">
        <v>9569.9708999999984</v>
      </c>
      <c r="X86" s="1948">
        <v>11619.750299999998</v>
      </c>
      <c r="Y86" s="1948">
        <v>14858.766999999998</v>
      </c>
      <c r="Z86" s="1948">
        <v>18517.665799999999</v>
      </c>
      <c r="AA86" s="1948">
        <v>22977.343699999998</v>
      </c>
      <c r="AB86" s="1948">
        <v>28484.4712</v>
      </c>
      <c r="AC86" s="1948">
        <v>35373.095099999999</v>
      </c>
      <c r="AD86" s="1948">
        <v>34198.195800000001</v>
      </c>
      <c r="AE86" s="2244">
        <v>34198.195800000001</v>
      </c>
      <c r="AF86" s="1948">
        <v>34198.195800000001</v>
      </c>
      <c r="AG86" s="1948">
        <v>34198.195800000001</v>
      </c>
      <c r="AH86" s="1948">
        <v>34198.195800000001</v>
      </c>
      <c r="AI86" s="1948">
        <f>AI10-AI30</f>
        <v>68766.399999999994</v>
      </c>
      <c r="AJ86" s="1948">
        <f>AJ10-AJ30</f>
        <v>74627.400000000009</v>
      </c>
      <c r="AK86" s="1948">
        <f>AK10-AK30</f>
        <v>77475.259999999995</v>
      </c>
      <c r="AL86" s="1948">
        <f>AL10-AL30</f>
        <v>83155.599999999991</v>
      </c>
      <c r="AM86" s="1948">
        <f>AM10-AM30</f>
        <v>92799.500000000015</v>
      </c>
      <c r="AN86" s="614"/>
      <c r="AO86" s="379"/>
      <c r="AQ86" s="2258" t="str">
        <f t="shared" ref="AQ86:AQ91" si="90">O86</f>
        <v>WDC</v>
      </c>
      <c r="BD86" s="2212">
        <v>2008</v>
      </c>
      <c r="BE86" s="762">
        <v>0.46873776285343211</v>
      </c>
      <c r="BF86" s="555"/>
      <c r="BG86" s="762">
        <v>0.50606381263786271</v>
      </c>
      <c r="BH86" s="555"/>
      <c r="BI86" s="762">
        <v>0.92624240490568122</v>
      </c>
      <c r="BJ86" s="787"/>
      <c r="BZ86" s="2275">
        <f t="shared" si="79"/>
        <v>0.50606381263786271</v>
      </c>
      <c r="CJ86" s="2290">
        <v>2021</v>
      </c>
      <c r="CK86" s="782"/>
      <c r="CL86" s="765"/>
      <c r="CM86" s="765"/>
      <c r="CN86" s="1068"/>
      <c r="CO86" s="859"/>
      <c r="DF86" s="2336">
        <v>2028</v>
      </c>
      <c r="DG86" s="2339"/>
      <c r="DH86" s="2350">
        <f t="shared" si="83"/>
        <v>0.52795670517757576</v>
      </c>
      <c r="DW86" s="547">
        <f t="shared" si="84"/>
        <v>0.52795670517757576</v>
      </c>
      <c r="HZ86" s="1218">
        <v>2032</v>
      </c>
      <c r="IA86" s="1259"/>
      <c r="IB86" s="2581">
        <f t="shared" si="89"/>
        <v>1637.2673530899838</v>
      </c>
      <c r="IC86" s="2582"/>
    </row>
    <row r="87" spans="7:246" ht="23.4">
      <c r="I87" s="2264"/>
      <c r="J87" s="2264"/>
      <c r="K87" s="669"/>
      <c r="L87" s="1053" t="s">
        <v>697</v>
      </c>
      <c r="M87" s="1909" t="s">
        <v>753</v>
      </c>
      <c r="N87" s="1909"/>
      <c r="O87" s="2253" t="s">
        <v>754</v>
      </c>
      <c r="P87" s="2245">
        <v>0.95899999999999996</v>
      </c>
      <c r="Q87" s="1925">
        <f>Q90/P90</f>
        <v>0.97199999999999998</v>
      </c>
      <c r="R87" s="1925">
        <f t="shared" ref="R87:AK87" si="91">R90/Q90</f>
        <v>1.014</v>
      </c>
      <c r="S87" s="1925">
        <f t="shared" si="91"/>
        <v>0.94900000000000007</v>
      </c>
      <c r="T87" s="1925">
        <f t="shared" si="91"/>
        <v>1.0580000000000001</v>
      </c>
      <c r="U87" s="1925">
        <f t="shared" si="91"/>
        <v>1.0940000000000001</v>
      </c>
      <c r="V87" s="1925">
        <f t="shared" si="91"/>
        <v>1.0489999999999997</v>
      </c>
      <c r="W87" s="1925">
        <f t="shared" si="91"/>
        <v>1.044</v>
      </c>
      <c r="X87" s="1925">
        <f t="shared" si="91"/>
        <v>1.0750000000000002</v>
      </c>
      <c r="Y87" s="1925">
        <f t="shared" si="91"/>
        <v>1.0660000000000001</v>
      </c>
      <c r="Z87" s="1925">
        <f t="shared" si="91"/>
        <v>1.06</v>
      </c>
      <c r="AA87" s="1925">
        <f t="shared" si="91"/>
        <v>1.0789999999999997</v>
      </c>
      <c r="AB87" s="1925">
        <f t="shared" si="91"/>
        <v>1.0840000000000001</v>
      </c>
      <c r="AC87" s="1925">
        <f t="shared" si="91"/>
        <v>1.0498516678208065</v>
      </c>
      <c r="AD87" s="1925">
        <f t="shared" si="91"/>
        <v>0.9429122774828308</v>
      </c>
      <c r="AE87" s="2245">
        <f t="shared" si="91"/>
        <v>1.10550486608972</v>
      </c>
      <c r="AF87" s="1925">
        <f t="shared" si="91"/>
        <v>1.086178629331592</v>
      </c>
      <c r="AG87" s="1925">
        <f t="shared" si="91"/>
        <v>1.0750548546915186</v>
      </c>
      <c r="AH87" s="1925">
        <f t="shared" si="91"/>
        <v>1.0390587552732582</v>
      </c>
      <c r="AI87" s="1925">
        <f t="shared" si="91"/>
        <v>1.0146209208896708</v>
      </c>
      <c r="AJ87" s="1925">
        <f t="shared" si="91"/>
        <v>0.97639604316823925</v>
      </c>
      <c r="AK87" s="1925">
        <f t="shared" si="91"/>
        <v>1.0220248950343354</v>
      </c>
      <c r="AL87" s="1925">
        <f>AL90/AK90</f>
        <v>1.0454351166881282</v>
      </c>
      <c r="AM87" s="1925">
        <f>AM90/AL90</f>
        <v>1.0445469966159786</v>
      </c>
      <c r="AN87" s="614"/>
      <c r="AO87" s="379"/>
      <c r="AQ87" s="2259" t="str">
        <f t="shared" si="90"/>
        <v>pWD</v>
      </c>
      <c r="BD87" s="2212">
        <v>2009</v>
      </c>
      <c r="BE87" s="762">
        <v>0.46906554432792302</v>
      </c>
      <c r="BF87" s="555"/>
      <c r="BG87" s="762">
        <v>0.50873085468625434</v>
      </c>
      <c r="BH87" s="555"/>
      <c r="BI87" s="762">
        <v>0.92203085385337247</v>
      </c>
      <c r="BJ87" s="787"/>
      <c r="BZ87" s="2275">
        <f t="shared" si="79"/>
        <v>0.50873085468625434</v>
      </c>
      <c r="CJ87" s="2290">
        <v>2022</v>
      </c>
      <c r="CK87" s="782"/>
      <c r="CL87" s="765"/>
      <c r="CM87" s="765"/>
      <c r="CN87" s="1068"/>
      <c r="CO87" s="859"/>
      <c r="DF87" s="2336">
        <v>2029</v>
      </c>
      <c r="DG87" s="2339"/>
      <c r="DH87" s="2350">
        <f t="shared" si="83"/>
        <v>0.51695670517757575</v>
      </c>
      <c r="DW87" s="547">
        <f t="shared" si="84"/>
        <v>0.51695670517757575</v>
      </c>
      <c r="HZ87" s="1218">
        <v>2033</v>
      </c>
      <c r="IA87" s="1259"/>
      <c r="IB87" s="2581">
        <f t="shared" si="89"/>
        <v>1697.3403579963381</v>
      </c>
      <c r="IC87" s="2582"/>
    </row>
    <row r="88" spans="7:246" ht="23.4">
      <c r="I88" s="2264"/>
      <c r="J88" s="2264"/>
      <c r="K88" s="669"/>
      <c r="L88" s="1919"/>
      <c r="M88" s="1909" t="s">
        <v>755</v>
      </c>
      <c r="N88" s="1909"/>
      <c r="O88" s="2253" t="s">
        <v>756</v>
      </c>
      <c r="P88" s="2248">
        <v>1</v>
      </c>
      <c r="Q88" s="1925">
        <f>P88*Q87</f>
        <v>0.97199999999999998</v>
      </c>
      <c r="R88" s="1925">
        <f>Q88*R87</f>
        <v>0.98560800000000004</v>
      </c>
      <c r="S88" s="1925">
        <f t="shared" ref="S88:AK88" si="92">R88*S87</f>
        <v>0.93534199200000012</v>
      </c>
      <c r="T88" s="1925">
        <f t="shared" si="92"/>
        <v>0.98959182753600017</v>
      </c>
      <c r="U88" s="1925">
        <f t="shared" si="92"/>
        <v>1.0826134593243844</v>
      </c>
      <c r="V88" s="1925">
        <f t="shared" si="92"/>
        <v>1.1356615188312789</v>
      </c>
      <c r="W88" s="1925">
        <f t="shared" si="92"/>
        <v>1.1856306256598552</v>
      </c>
      <c r="X88" s="1925">
        <f t="shared" si="92"/>
        <v>1.2745529225843446</v>
      </c>
      <c r="Y88" s="1925">
        <f t="shared" si="92"/>
        <v>1.3586734154749114</v>
      </c>
      <c r="Z88" s="1925">
        <f t="shared" si="92"/>
        <v>1.4401938204034062</v>
      </c>
      <c r="AA88" s="1925">
        <f t="shared" si="92"/>
        <v>1.5539691322152749</v>
      </c>
      <c r="AB88" s="1925">
        <f t="shared" si="92"/>
        <v>1.6845025393213582</v>
      </c>
      <c r="AC88" s="1925">
        <f t="shared" si="92"/>
        <v>1.7684778003549115</v>
      </c>
      <c r="AD88" s="1925">
        <f t="shared" si="92"/>
        <v>1.6675194304104766</v>
      </c>
      <c r="AE88" s="2245">
        <f t="shared" si="92"/>
        <v>1.8434508446179401</v>
      </c>
      <c r="AF88" s="1925">
        <f t="shared" si="92"/>
        <v>2.0023169116472799</v>
      </c>
      <c r="AG88" s="1925">
        <f t="shared" si="92"/>
        <v>2.152600516497337</v>
      </c>
      <c r="AH88" s="1925">
        <f t="shared" si="92"/>
        <v>2.2366784132722954</v>
      </c>
      <c r="AI88" s="1925">
        <f t="shared" si="92"/>
        <v>2.2693807114083842</v>
      </c>
      <c r="AJ88" s="1925">
        <f t="shared" si="92"/>
        <v>2.2158143470614702</v>
      </c>
      <c r="AK88" s="1925">
        <f t="shared" si="92"/>
        <v>2.2646174254710734</v>
      </c>
      <c r="AL88" s="1925">
        <f>AK88*AL87</f>
        <v>2.3675105824513198</v>
      </c>
      <c r="AM88" s="1925">
        <f>AL88*AM87</f>
        <v>2.4729760683560724</v>
      </c>
      <c r="AN88" s="614"/>
      <c r="AO88" s="379"/>
      <c r="AQ88" s="2259" t="str">
        <f t="shared" si="90"/>
        <v>Pwd</v>
      </c>
      <c r="BD88" s="2212">
        <v>2010</v>
      </c>
      <c r="BE88" s="762">
        <v>0.47569154866767077</v>
      </c>
      <c r="BF88" s="555"/>
      <c r="BG88" s="762">
        <v>0.51107023156870091</v>
      </c>
      <c r="BH88" s="555"/>
      <c r="BI88" s="762">
        <v>0.93077530109230333</v>
      </c>
      <c r="BJ88" s="787"/>
      <c r="BZ88" s="2275">
        <f t="shared" si="79"/>
        <v>0.51107023156870091</v>
      </c>
      <c r="CJ88" s="2290">
        <v>2023</v>
      </c>
      <c r="CK88" s="782"/>
      <c r="CL88" s="765"/>
      <c r="CM88" s="765"/>
      <c r="CN88" s="1068"/>
      <c r="CO88" s="859"/>
      <c r="DF88" s="2348">
        <v>2030</v>
      </c>
      <c r="DG88" s="2349"/>
      <c r="DH88" s="2351">
        <f t="shared" si="83"/>
        <v>0.50595670517757574</v>
      </c>
      <c r="DW88" s="2352">
        <f t="shared" si="84"/>
        <v>0.50595670517757574</v>
      </c>
      <c r="HZ88" s="1218">
        <v>2034</v>
      </c>
      <c r="IA88" s="1259"/>
      <c r="IB88" s="2581">
        <f t="shared" si="89"/>
        <v>1758.5009183609602</v>
      </c>
      <c r="IC88" s="2582"/>
    </row>
    <row r="89" spans="7:246" ht="20.399999999999999">
      <c r="I89" s="2264"/>
      <c r="J89" s="2264"/>
      <c r="K89" s="669"/>
      <c r="L89" s="1919"/>
      <c r="M89" s="1909" t="s">
        <v>757</v>
      </c>
      <c r="N89" s="1909"/>
      <c r="O89" s="2253" t="s">
        <v>758</v>
      </c>
      <c r="P89" s="2248">
        <v>1</v>
      </c>
      <c r="Q89" s="1925">
        <f t="shared" ref="Q89:AK89" si="93">Q86/($P86*Q88)</f>
        <v>1.4253088831742167</v>
      </c>
      <c r="R89" s="1925">
        <f t="shared" si="93"/>
        <v>1.636063814000928</v>
      </c>
      <c r="S89" s="1925">
        <f t="shared" si="93"/>
        <v>1.9308577757139922</v>
      </c>
      <c r="T89" s="1925">
        <f t="shared" si="93"/>
        <v>3.3141162989408333</v>
      </c>
      <c r="U89" s="1925">
        <f t="shared" si="93"/>
        <v>4.5303088781613532</v>
      </c>
      <c r="V89" s="1925">
        <f t="shared" si="93"/>
        <v>5.2354488943913831</v>
      </c>
      <c r="W89" s="1925">
        <f t="shared" si="93"/>
        <v>6.1166069659965165</v>
      </c>
      <c r="X89" s="1925">
        <f t="shared" si="93"/>
        <v>6.9085720148258023</v>
      </c>
      <c r="Y89" s="1925">
        <f t="shared" si="93"/>
        <v>8.2873763458963463</v>
      </c>
      <c r="Z89" s="1925">
        <f t="shared" si="93"/>
        <v>9.7434927297710523</v>
      </c>
      <c r="AA89" s="1925">
        <f t="shared" si="93"/>
        <v>11.204869414258274</v>
      </c>
      <c r="AB89" s="1925">
        <f t="shared" si="93"/>
        <v>12.814033590603865</v>
      </c>
      <c r="AC89" s="1925">
        <f t="shared" si="93"/>
        <v>15.157333834501415</v>
      </c>
      <c r="AD89" s="1925">
        <f t="shared" si="93"/>
        <v>15.541096533729839</v>
      </c>
      <c r="AE89" s="2245">
        <f t="shared" si="93"/>
        <v>14.057917798860746</v>
      </c>
      <c r="AF89" s="1925">
        <f t="shared" si="93"/>
        <v>12.94254685116724</v>
      </c>
      <c r="AG89" s="1925">
        <f t="shared" si="93"/>
        <v>12.038964146514212</v>
      </c>
      <c r="AH89" s="1925">
        <f t="shared" si="93"/>
        <v>11.586413266252812</v>
      </c>
      <c r="AI89" s="1925">
        <f t="shared" si="93"/>
        <v>22.962453855349583</v>
      </c>
      <c r="AJ89" s="1925">
        <f t="shared" si="93"/>
        <v>25.521976699682337</v>
      </c>
      <c r="AK89" s="1925">
        <f t="shared" si="93"/>
        <v>25.924928323100985</v>
      </c>
      <c r="AL89" s="1925">
        <f>AL86/($P86*AL88)</f>
        <v>26.616376997108286</v>
      </c>
      <c r="AM89" s="1925">
        <f>AM86/($P86*AM88)</f>
        <v>28.43643108713918</v>
      </c>
      <c r="AN89" s="614"/>
      <c r="AO89" s="379"/>
      <c r="AQ89" s="2259" t="str">
        <f t="shared" si="90"/>
        <v>Dwd</v>
      </c>
      <c r="BD89" s="2212">
        <v>2011</v>
      </c>
      <c r="BE89" s="762">
        <v>0.44775372911459155</v>
      </c>
      <c r="BF89" s="555"/>
      <c r="BG89" s="762">
        <v>0.51107023156870091</v>
      </c>
      <c r="BH89" s="555"/>
      <c r="BI89" s="762">
        <v>0.8761099775665605</v>
      </c>
      <c r="BJ89" s="787"/>
      <c r="BZ89" s="2275">
        <f t="shared" si="79"/>
        <v>0.51107023156870091</v>
      </c>
      <c r="CJ89" s="2290">
        <v>2024</v>
      </c>
      <c r="CK89" s="782"/>
      <c r="CL89" s="765"/>
      <c r="CM89" s="765"/>
      <c r="CN89" s="1068"/>
      <c r="CO89" s="859"/>
      <c r="HZ89" s="2147">
        <v>2035</v>
      </c>
      <c r="IA89" s="1288"/>
      <c r="IB89" s="2557">
        <f t="shared" si="89"/>
        <v>1820.7318966012951</v>
      </c>
      <c r="IC89" s="2583"/>
    </row>
    <row r="90" spans="7:246" ht="21" thickBot="1">
      <c r="I90" s="2237" t="s">
        <v>761</v>
      </c>
      <c r="J90" s="2237"/>
      <c r="K90" s="669"/>
      <c r="L90" s="1919"/>
      <c r="M90" s="1909" t="s">
        <v>759</v>
      </c>
      <c r="N90" s="1909"/>
      <c r="O90" s="2253" t="s">
        <v>760</v>
      </c>
      <c r="P90" s="2247">
        <v>1319.6252999999999</v>
      </c>
      <c r="Q90" s="1972">
        <f t="shared" ref="Q90:AM90" si="94">Q92-Q94</f>
        <v>1282.6757915999999</v>
      </c>
      <c r="R90" s="1972">
        <f t="shared" si="94"/>
        <v>1300.6332526823999</v>
      </c>
      <c r="S90" s="1972">
        <f t="shared" si="94"/>
        <v>1234.3009567955976</v>
      </c>
      <c r="T90" s="1972">
        <f t="shared" si="94"/>
        <v>1305.8904122897422</v>
      </c>
      <c r="U90" s="1972">
        <f t="shared" si="94"/>
        <v>1428.6441110449782</v>
      </c>
      <c r="V90" s="1972">
        <f t="shared" si="94"/>
        <v>1498.6476724861818</v>
      </c>
      <c r="W90" s="1972">
        <f t="shared" si="94"/>
        <v>1564.588170075574</v>
      </c>
      <c r="X90" s="1972">
        <f t="shared" si="94"/>
        <v>1681.9322828312422</v>
      </c>
      <c r="Y90" s="1972">
        <f t="shared" si="94"/>
        <v>1792.9398134981043</v>
      </c>
      <c r="Z90" s="1972">
        <f t="shared" si="94"/>
        <v>1900.5162023079906</v>
      </c>
      <c r="AA90" s="1972">
        <f t="shared" si="94"/>
        <v>2050.6569822903216</v>
      </c>
      <c r="AB90" s="1972">
        <f t="shared" si="94"/>
        <v>2222.9121688027089</v>
      </c>
      <c r="AC90" s="1972">
        <f t="shared" si="94"/>
        <v>2333.7280478366902</v>
      </c>
      <c r="AD90" s="1972">
        <f t="shared" si="94"/>
        <v>2200.5008286112543</v>
      </c>
      <c r="AE90" s="2263">
        <f t="shared" si="94"/>
        <v>2432.6643738642024</v>
      </c>
      <c r="AF90" s="1972">
        <f t="shared" si="94"/>
        <v>2642.3080552276151</v>
      </c>
      <c r="AG90" s="1972">
        <f t="shared" si="94"/>
        <v>2840.6261023629531</v>
      </c>
      <c r="AH90" s="1972">
        <f t="shared" si="94"/>
        <v>2951.5774221179772</v>
      </c>
      <c r="AI90" s="1972">
        <f t="shared" si="94"/>
        <v>2994.7322021065029</v>
      </c>
      <c r="AJ90" s="1972">
        <f t="shared" si="94"/>
        <v>2924.0446724852973</v>
      </c>
      <c r="AK90" s="1972">
        <f t="shared" si="94"/>
        <v>2988.4464494724934</v>
      </c>
      <c r="AL90" s="1972">
        <f t="shared" si="94"/>
        <v>3124.2268626204987</v>
      </c>
      <c r="AM90" s="1972">
        <f t="shared" si="94"/>
        <v>3263.4017860972035</v>
      </c>
      <c r="AN90" s="614"/>
      <c r="AO90" s="379"/>
      <c r="AQ90" s="2259" t="str">
        <f t="shared" si="90"/>
        <v>WDCS</v>
      </c>
      <c r="BD90" s="2212">
        <v>2012</v>
      </c>
      <c r="BE90" s="762">
        <v>0.44246702013857986</v>
      </c>
      <c r="BF90" s="555"/>
      <c r="BG90" s="762">
        <v>0.51221890324681785</v>
      </c>
      <c r="BH90" s="555"/>
      <c r="BI90" s="762">
        <v>0.86382407469521394</v>
      </c>
      <c r="BJ90" s="787"/>
      <c r="BZ90" s="2275">
        <f t="shared" si="79"/>
        <v>0.51221890324681785</v>
      </c>
      <c r="CJ90" s="2291">
        <v>2025</v>
      </c>
      <c r="CK90" s="1360"/>
      <c r="CL90" s="557"/>
      <c r="CM90" s="557"/>
      <c r="CN90" s="876"/>
      <c r="CO90" s="2090"/>
    </row>
    <row r="91" spans="7:246" ht="21" thickBot="1">
      <c r="I91" s="2264"/>
      <c r="J91" s="2264"/>
      <c r="K91" s="669"/>
      <c r="O91" s="297"/>
      <c r="P91" s="2249"/>
      <c r="AE91" s="2249"/>
      <c r="AO91" s="379"/>
      <c r="AQ91" s="2259">
        <f t="shared" si="90"/>
        <v>0</v>
      </c>
      <c r="BD91" s="2212">
        <v>2013</v>
      </c>
      <c r="BE91" s="762">
        <v>0.44775403162769778</v>
      </c>
      <c r="BF91" s="555"/>
      <c r="BG91" s="762">
        <v>0.51372211702384318</v>
      </c>
      <c r="BH91" s="555"/>
      <c r="BI91" s="762">
        <v>0.87158799823858124</v>
      </c>
      <c r="BJ91" s="787"/>
      <c r="BZ91" s="2275">
        <f t="shared" si="79"/>
        <v>0.51372211702384318</v>
      </c>
      <c r="GI91" s="20"/>
      <c r="GJ91" s="1184"/>
      <c r="GW91" s="551" t="s">
        <v>368</v>
      </c>
      <c r="GX91" s="1282" t="s">
        <v>731</v>
      </c>
      <c r="GY91" s="1283" t="s">
        <v>425</v>
      </c>
      <c r="GZ91" s="1282" t="s">
        <v>731</v>
      </c>
      <c r="HA91" s="1283" t="s">
        <v>194</v>
      </c>
      <c r="HT91" s="1292">
        <f>HR94/HT94</f>
        <v>10.114276793380688</v>
      </c>
      <c r="HU91" s="1010" t="s">
        <v>1258</v>
      </c>
      <c r="HV91" s="1276" t="s">
        <v>1368</v>
      </c>
      <c r="IL91" s="1277" t="s">
        <v>1456</v>
      </c>
    </row>
    <row r="92" spans="7:246" ht="21" thickBot="1">
      <c r="I92" s="2264"/>
      <c r="J92" s="2264"/>
      <c r="K92" s="2265"/>
      <c r="L92" s="1927" t="s">
        <v>407</v>
      </c>
      <c r="M92" s="1891" t="s">
        <v>703</v>
      </c>
      <c r="N92" s="1891"/>
      <c r="O92" s="2253" t="s">
        <v>619</v>
      </c>
      <c r="P92" s="2250">
        <v>2767.6205</v>
      </c>
      <c r="Q92" s="1917">
        <f>ОТЧЁТ!V167</f>
        <v>2690.1271259999999</v>
      </c>
      <c r="R92" s="1917">
        <f>ОТЧЁТ!W167</f>
        <v>2727.788905764</v>
      </c>
      <c r="S92" s="1917">
        <f>ОТЧЁТ!X167</f>
        <v>2588.6716715700359</v>
      </c>
      <c r="T92" s="1917">
        <f>ОТЧЁТ!Y167</f>
        <v>2738.8146285210983</v>
      </c>
      <c r="U92" s="1917">
        <f>ОТЧЁТ!Z167</f>
        <v>2996.2632036020818</v>
      </c>
      <c r="V92" s="1917">
        <f>ОТЧЁТ!AA167</f>
        <v>3143.0801005785834</v>
      </c>
      <c r="W92" s="1917">
        <f>ОТЧЁТ!AB167</f>
        <v>3281.3756250040415</v>
      </c>
      <c r="X92" s="1917">
        <f>ОТЧЁТ!AC167</f>
        <v>3530.7601725043487</v>
      </c>
      <c r="Y92" s="1917">
        <f>ОТЧЁТ!AD167</f>
        <v>3813.2209863046965</v>
      </c>
      <c r="Z92" s="1917">
        <f>ОТЧЁТ!AE167</f>
        <v>4030.5745825240638</v>
      </c>
      <c r="AA92" s="1917">
        <f>ОТЧЁТ!AF167</f>
        <v>4389.2957203687056</v>
      </c>
      <c r="AB92" s="1917">
        <f>ОТЧЁТ!AG167</f>
        <v>4775.553743761152</v>
      </c>
      <c r="AC92" s="1917">
        <f>ОТЧЁТ!AH167</f>
        <v>5014.3314309492098</v>
      </c>
      <c r="AD92" s="1917">
        <f>ОТЧЁТ!AI167</f>
        <v>4643.2709050589683</v>
      </c>
      <c r="AE92" s="2250">
        <f>ОТЧЁТ!AJ167</f>
        <v>4875.4344503119164</v>
      </c>
      <c r="AF92" s="1917">
        <f>ОТЧЁТ!AK167</f>
        <v>5085.0781316753291</v>
      </c>
      <c r="AG92" s="1917">
        <f>ОТЧЁТ!AL167</f>
        <v>5283.3961788106672</v>
      </c>
      <c r="AH92" s="1917">
        <f>ОТЧЁТ!AM167</f>
        <v>5394.3474985656912</v>
      </c>
      <c r="AI92" s="1917">
        <f>ОТЧЁТ!AN167</f>
        <v>5437.5022785542169</v>
      </c>
      <c r="AJ92" s="1917">
        <f>ОТЧЁТ!AO167</f>
        <v>5366.8147489330113</v>
      </c>
      <c r="AK92" s="1917">
        <f>ОТЧЁТ!AP167</f>
        <v>5431.2165259202075</v>
      </c>
      <c r="AL92" s="1917">
        <f>ОТЧЁТ!AQ167</f>
        <v>5566.9969390682127</v>
      </c>
      <c r="AM92" s="1917">
        <f>ОТЧЁТ!AR167</f>
        <v>5706.1718625449175</v>
      </c>
      <c r="AN92" s="614"/>
      <c r="AO92" s="379"/>
      <c r="AQ92" s="2259" t="str">
        <f t="shared" ref="AQ92:AQ101" si="95">O92</f>
        <v>XOS</v>
      </c>
      <c r="BD92" s="2212">
        <v>2014</v>
      </c>
      <c r="BE92" s="762">
        <v>0.44767236568512109</v>
      </c>
      <c r="BF92" s="555"/>
      <c r="BG92" s="762">
        <v>0.51401831827360078</v>
      </c>
      <c r="BH92" s="555"/>
      <c r="BI92" s="762">
        <v>0.87092687122258317</v>
      </c>
      <c r="BJ92" s="787"/>
      <c r="BZ92" s="2275">
        <f t="shared" si="79"/>
        <v>0.51401831827360078</v>
      </c>
      <c r="GI92" s="20"/>
      <c r="GJ92" s="1184"/>
      <c r="GW92" s="59">
        <v>43123</v>
      </c>
      <c r="GX92" s="992" t="s">
        <v>46</v>
      </c>
      <c r="GY92" s="992" t="s">
        <v>46</v>
      </c>
      <c r="GZ92" s="992" t="s">
        <v>46</v>
      </c>
      <c r="HA92" s="992" t="s">
        <v>46</v>
      </c>
      <c r="HQ92" s="1008" t="s">
        <v>695</v>
      </c>
      <c r="HR92" s="1280" t="s">
        <v>461</v>
      </c>
      <c r="HS92" s="1282" t="s">
        <v>590</v>
      </c>
      <c r="HT92" s="1282" t="s">
        <v>468</v>
      </c>
      <c r="HU92" s="1281" t="s">
        <v>1387</v>
      </c>
      <c r="HV92" s="1281" t="s">
        <v>1387</v>
      </c>
      <c r="IL92" s="1281" t="s">
        <v>1387</v>
      </c>
    </row>
    <row r="93" spans="7:246" ht="23.4" thickBot="1">
      <c r="I93" s="2264"/>
      <c r="J93" s="2264"/>
      <c r="K93" s="2265"/>
      <c r="L93" s="1927" t="s">
        <v>407</v>
      </c>
      <c r="M93" s="1909" t="s">
        <v>759</v>
      </c>
      <c r="N93" s="1909"/>
      <c r="O93" s="2253" t="s">
        <v>760</v>
      </c>
      <c r="P93" s="2247">
        <v>1319.6252999999999</v>
      </c>
      <c r="Q93" s="1924">
        <f>Q92-Q94</f>
        <v>1282.6757915999999</v>
      </c>
      <c r="R93" s="1924">
        <f>R92-R94</f>
        <v>1300.6332526823999</v>
      </c>
      <c r="S93" s="1924">
        <f>S92-S94</f>
        <v>1234.3009567955976</v>
      </c>
      <c r="T93" s="1924">
        <f>T92-T94</f>
        <v>1305.8904122897422</v>
      </c>
      <c r="U93" s="1924">
        <v>1428.6441110449782</v>
      </c>
      <c r="V93" s="1924">
        <v>1498.6476724861818</v>
      </c>
      <c r="W93" s="1924">
        <v>1564.588170075574</v>
      </c>
      <c r="X93" s="1924">
        <v>1681.9322828312422</v>
      </c>
      <c r="Y93" s="1924">
        <v>1792.9398134981043</v>
      </c>
      <c r="Z93" s="1924">
        <v>1900.5162023079906</v>
      </c>
      <c r="AA93" s="1924">
        <f>AA92-AA94</f>
        <v>2050.6569822903216</v>
      </c>
      <c r="AB93" s="1924">
        <f t="shared" ref="AB93:AM93" si="96">AB92-AB94</f>
        <v>2222.9121688027089</v>
      </c>
      <c r="AC93" s="1924">
        <f t="shared" si="96"/>
        <v>2333.7280478366902</v>
      </c>
      <c r="AD93" s="1924">
        <f t="shared" si="96"/>
        <v>2200.5008286112543</v>
      </c>
      <c r="AE93" s="2247">
        <f t="shared" si="96"/>
        <v>2432.6643738642024</v>
      </c>
      <c r="AF93" s="1924">
        <f t="shared" si="96"/>
        <v>2642.3080552276151</v>
      </c>
      <c r="AG93" s="1924">
        <f t="shared" si="96"/>
        <v>2840.6261023629531</v>
      </c>
      <c r="AH93" s="1924">
        <f t="shared" si="96"/>
        <v>2951.5774221179772</v>
      </c>
      <c r="AI93" s="1924">
        <f t="shared" si="96"/>
        <v>2994.7322021065029</v>
      </c>
      <c r="AJ93" s="1924">
        <f t="shared" si="96"/>
        <v>2924.0446724852973</v>
      </c>
      <c r="AK93" s="1924">
        <f t="shared" si="96"/>
        <v>2988.4464494724934</v>
      </c>
      <c r="AL93" s="1924">
        <f t="shared" si="96"/>
        <v>3124.2268626204987</v>
      </c>
      <c r="AM93" s="1924">
        <f t="shared" si="96"/>
        <v>3263.4017860972035</v>
      </c>
      <c r="AN93" s="614"/>
      <c r="AO93" s="379"/>
      <c r="AQ93" s="2259" t="str">
        <f t="shared" si="95"/>
        <v>WDCS</v>
      </c>
      <c r="BD93" s="2212">
        <v>2015</v>
      </c>
      <c r="BE93" s="762">
        <v>0.46190475940081643</v>
      </c>
      <c r="BF93" s="555"/>
      <c r="BG93" s="762">
        <v>0.51894214483617829</v>
      </c>
      <c r="BH93" s="555"/>
      <c r="BI93" s="762">
        <v>0.89008912457212808</v>
      </c>
      <c r="BJ93" s="787"/>
      <c r="BZ93" s="2275">
        <f t="shared" si="79"/>
        <v>0.51894214483617829</v>
      </c>
      <c r="CZ93" s="1590" t="s">
        <v>368</v>
      </c>
      <c r="DA93" s="1280" t="s">
        <v>468</v>
      </c>
      <c r="DB93" s="1343" t="s">
        <v>746</v>
      </c>
      <c r="DE93" s="87"/>
      <c r="DF93" s="87"/>
      <c r="DG93" s="552"/>
      <c r="DH93" s="70"/>
      <c r="DR93" s="1562" t="s">
        <v>368</v>
      </c>
      <c r="DS93" s="2315" t="s">
        <v>1352</v>
      </c>
      <c r="DT93" s="1343" t="s">
        <v>1453</v>
      </c>
      <c r="EL93" s="1562" t="s">
        <v>368</v>
      </c>
      <c r="EM93" s="1343" t="s">
        <v>1453</v>
      </c>
      <c r="EN93" s="772" t="s">
        <v>1403</v>
      </c>
      <c r="EO93" s="772" t="s">
        <v>1900</v>
      </c>
      <c r="EP93" s="2315" t="s">
        <v>1191</v>
      </c>
      <c r="FF93" s="2397" t="s">
        <v>368</v>
      </c>
      <c r="FG93" s="2410" t="s">
        <v>735</v>
      </c>
      <c r="FH93" s="772" t="s">
        <v>1403</v>
      </c>
      <c r="FI93" s="772" t="s">
        <v>1404</v>
      </c>
      <c r="FJ93" s="772" t="s">
        <v>1902</v>
      </c>
      <c r="GA93" s="1562" t="s">
        <v>368</v>
      </c>
      <c r="GB93" s="1282" t="s">
        <v>461</v>
      </c>
      <c r="GC93" s="772" t="s">
        <v>1403</v>
      </c>
      <c r="GD93" s="772" t="s">
        <v>1900</v>
      </c>
      <c r="GE93" s="2315" t="s">
        <v>1191</v>
      </c>
      <c r="GW93" s="1284">
        <v>1995</v>
      </c>
      <c r="GX93" s="1205">
        <f t="array" ref="GX93:GX114">TRANSPOSE(ОТЧЁТ!U71:AP71)</f>
        <v>24.299299999999999</v>
      </c>
      <c r="GY93" s="1206">
        <v>1428.5209</v>
      </c>
      <c r="GZ93" s="774"/>
      <c r="HA93" s="1207"/>
      <c r="HQ93" s="1044">
        <v>43124</v>
      </c>
      <c r="HR93" s="1275" t="s">
        <v>46</v>
      </c>
      <c r="HS93" s="1224" t="s">
        <v>1454</v>
      </c>
      <c r="HT93" s="1224" t="s">
        <v>1454</v>
      </c>
      <c r="HU93" s="62" t="s">
        <v>688</v>
      </c>
      <c r="HV93" s="62" t="s">
        <v>688</v>
      </c>
      <c r="IL93" s="1278" t="s">
        <v>688</v>
      </c>
    </row>
    <row r="94" spans="7:246" ht="21.6" thickBot="1">
      <c r="I94" s="2237" t="s">
        <v>762</v>
      </c>
      <c r="J94" s="2237"/>
      <c r="K94" s="2265"/>
      <c r="L94" s="1927" t="s">
        <v>407</v>
      </c>
      <c r="M94" s="1909" t="s">
        <v>763</v>
      </c>
      <c r="N94" s="1909"/>
      <c r="O94" s="2253" t="s">
        <v>582</v>
      </c>
      <c r="P94" s="2247">
        <v>1447.9952000000001</v>
      </c>
      <c r="Q94" s="1924">
        <v>1407.4513344</v>
      </c>
      <c r="R94" s="1924">
        <v>1427.1556530816001</v>
      </c>
      <c r="S94" s="1924">
        <v>1354.3707147744383</v>
      </c>
      <c r="T94" s="1924">
        <v>1432.924216231356</v>
      </c>
      <c r="U94" s="1924">
        <v>1567.6190925571036</v>
      </c>
      <c r="V94" s="1924">
        <v>1644.4324280924016</v>
      </c>
      <c r="W94" s="1924">
        <v>1716.7874549284675</v>
      </c>
      <c r="X94" s="1924">
        <v>1848.8278896731065</v>
      </c>
      <c r="Y94" s="1924">
        <v>2020.2811728065922</v>
      </c>
      <c r="Z94" s="1924">
        <v>2130.0583802160731</v>
      </c>
      <c r="AA94" s="1924">
        <v>2338.638738078384</v>
      </c>
      <c r="AB94" s="2262">
        <v>2552.641574958443</v>
      </c>
      <c r="AC94" s="2262">
        <v>2680.6033831125196</v>
      </c>
      <c r="AD94" s="2262">
        <v>2442.770076447714</v>
      </c>
      <c r="AE94" s="2247">
        <v>2442.770076447714</v>
      </c>
      <c r="AF94" s="2262">
        <v>2442.770076447714</v>
      </c>
      <c r="AG94" s="2262">
        <v>2442.770076447714</v>
      </c>
      <c r="AH94" s="2262">
        <v>2442.770076447714</v>
      </c>
      <c r="AI94" s="2262">
        <v>2442.770076447714</v>
      </c>
      <c r="AJ94" s="2262">
        <v>2442.770076447714</v>
      </c>
      <c r="AK94" s="2262">
        <v>2442.770076447714</v>
      </c>
      <c r="AL94" s="2262">
        <v>2442.770076447714</v>
      </c>
      <c r="AM94" s="2262">
        <v>2442.770076447714</v>
      </c>
      <c r="AN94" s="614"/>
      <c r="AO94" s="379"/>
      <c r="AQ94" s="2259" t="str">
        <f t="shared" si="95"/>
        <v>ZS</v>
      </c>
      <c r="BD94" s="2212">
        <v>2016</v>
      </c>
      <c r="BE94" s="762">
        <v>0.47034109705803279</v>
      </c>
      <c r="BF94" s="555"/>
      <c r="BG94" s="762">
        <v>0.52369568095439789</v>
      </c>
      <c r="BH94" s="555"/>
      <c r="BI94" s="762">
        <v>0.89811910650259674</v>
      </c>
      <c r="BJ94" s="787"/>
      <c r="BZ94" s="2275">
        <f t="shared" si="79"/>
        <v>0.52369568095439789</v>
      </c>
      <c r="CC94" s="2367" t="s">
        <v>368</v>
      </c>
      <c r="CD94" s="2372" t="s">
        <v>808</v>
      </c>
      <c r="CE94" s="2373" t="s">
        <v>780</v>
      </c>
      <c r="CF94" s="2373" t="s">
        <v>1890</v>
      </c>
      <c r="CG94" s="2373" t="s">
        <v>687</v>
      </c>
      <c r="CV94" s="2368" t="s">
        <v>1830</v>
      </c>
      <c r="CW94" s="2369" t="s">
        <v>1830</v>
      </c>
      <c r="CZ94" s="2307">
        <v>43917</v>
      </c>
      <c r="DA94" s="2312" t="s">
        <v>886</v>
      </c>
      <c r="DB94" s="2312" t="s">
        <v>46</v>
      </c>
      <c r="DE94" s="87"/>
      <c r="DF94" s="87"/>
      <c r="DG94" s="552"/>
      <c r="DH94" s="70"/>
      <c r="DR94" s="1563">
        <v>43922</v>
      </c>
      <c r="DS94" s="1202" t="s">
        <v>1452</v>
      </c>
      <c r="DT94" s="1202" t="s">
        <v>1452</v>
      </c>
      <c r="EL94" s="2405">
        <v>43923</v>
      </c>
      <c r="EM94" s="2390" t="s">
        <v>1452</v>
      </c>
      <c r="EN94" s="2390" t="s">
        <v>1452</v>
      </c>
      <c r="EO94" s="2390" t="s">
        <v>1452</v>
      </c>
      <c r="EP94" s="2390" t="s">
        <v>1452</v>
      </c>
      <c r="FF94" s="1561">
        <v>43923</v>
      </c>
      <c r="FG94" s="2411" t="s">
        <v>1901</v>
      </c>
      <c r="FH94" s="1136"/>
      <c r="FI94" s="1202"/>
      <c r="FJ94" s="2414"/>
      <c r="GA94" s="2405">
        <v>43923</v>
      </c>
      <c r="GB94" s="2418" t="s">
        <v>1452</v>
      </c>
      <c r="GC94" s="2390" t="s">
        <v>1452</v>
      </c>
      <c r="GD94" s="2390" t="s">
        <v>1452</v>
      </c>
      <c r="GE94" s="2390" t="s">
        <v>1452</v>
      </c>
      <c r="GW94" s="1254">
        <v>1996</v>
      </c>
      <c r="GX94" s="1208">
        <v>36.661499999999997</v>
      </c>
      <c r="GY94" s="1209">
        <v>2007.8252000000002</v>
      </c>
      <c r="GZ94" s="765"/>
      <c r="HA94" s="1210"/>
      <c r="HQ94" s="1289">
        <v>1995</v>
      </c>
      <c r="HR94" s="1274">
        <v>647.87</v>
      </c>
      <c r="HS94" s="1238">
        <v>1</v>
      </c>
      <c r="HT94" s="1285">
        <f t="array" ref="HT94:HT115">TRANSPOSE(ОТЧЁТ!U91:AP91)</f>
        <v>64.055000000000007</v>
      </c>
      <c r="HU94" s="1259">
        <v>1</v>
      </c>
      <c r="HV94" s="1293"/>
      <c r="IL94" s="1279">
        <v>1</v>
      </c>
    </row>
    <row r="95" spans="7:246" ht="21.6" thickBot="1">
      <c r="I95" s="2237" t="s">
        <v>724</v>
      </c>
      <c r="J95" s="2237"/>
      <c r="K95" s="2265"/>
      <c r="L95" s="1927" t="s">
        <v>407</v>
      </c>
      <c r="M95" s="1909" t="s">
        <v>763</v>
      </c>
      <c r="N95" s="1909"/>
      <c r="O95" s="2253" t="s">
        <v>582</v>
      </c>
      <c r="P95" s="2247">
        <v>1447.9951999999998</v>
      </c>
      <c r="Q95" s="1924">
        <v>1407.4513344</v>
      </c>
      <c r="R95" s="1924">
        <v>1427.1556530816001</v>
      </c>
      <c r="S95" s="1924">
        <v>1354.3707147744383</v>
      </c>
      <c r="T95" s="1924">
        <v>1432.9242162313558</v>
      </c>
      <c r="U95" s="1924">
        <v>1567.6190925571036</v>
      </c>
      <c r="V95" s="1924">
        <v>1644.4324280924018</v>
      </c>
      <c r="W95" s="1924">
        <v>1716.7874549284672</v>
      </c>
      <c r="X95" s="1924">
        <v>1848.8278896731063</v>
      </c>
      <c r="Y95" s="1924">
        <v>2020.2811728065922</v>
      </c>
      <c r="Z95" s="1924">
        <v>2130.0583802160731</v>
      </c>
      <c r="AA95" s="1924">
        <v>2338.638738078384</v>
      </c>
      <c r="AB95" s="2262">
        <v>2552.6415749584426</v>
      </c>
      <c r="AC95" s="2262">
        <v>2680.6033831125196</v>
      </c>
      <c r="AD95" s="2262">
        <v>2442.7700764477136</v>
      </c>
      <c r="AE95" s="2247">
        <v>2442.7700764477136</v>
      </c>
      <c r="AF95" s="2262">
        <v>2442.7700764477136</v>
      </c>
      <c r="AG95" s="2262">
        <v>2442.7700764477136</v>
      </c>
      <c r="AH95" s="2262">
        <v>2442.7700764477136</v>
      </c>
      <c r="AI95" s="2262">
        <v>2442.7700764477136</v>
      </c>
      <c r="AJ95" s="2262">
        <v>2442.7700764477136</v>
      </c>
      <c r="AK95" s="2262">
        <v>2442.7700764477136</v>
      </c>
      <c r="AL95" s="2262">
        <v>2442.7700764477136</v>
      </c>
      <c r="AM95" s="2262">
        <v>2442.7700764477136</v>
      </c>
      <c r="AN95" s="614"/>
      <c r="AO95" s="379"/>
      <c r="AQ95" s="2259" t="str">
        <f t="shared" si="95"/>
        <v>ZS</v>
      </c>
      <c r="BD95" s="2212">
        <v>2017</v>
      </c>
      <c r="BE95" s="762">
        <v>0.47453242920013833</v>
      </c>
      <c r="BF95" s="777"/>
      <c r="BG95" s="763">
        <v>0.5269484909381239</v>
      </c>
      <c r="BH95" s="1248">
        <f>BG95</f>
        <v>0.5269484909381239</v>
      </c>
      <c r="BI95" s="762">
        <v>0.90052905997573029</v>
      </c>
      <c r="BJ95" s="787"/>
      <c r="BZ95" s="2275">
        <f t="shared" si="79"/>
        <v>0.5269484909381239</v>
      </c>
      <c r="CC95" s="1820">
        <v>43918</v>
      </c>
      <c r="CD95" s="2374" t="s">
        <v>809</v>
      </c>
      <c r="CE95" s="1384" t="s">
        <v>809</v>
      </c>
      <c r="CF95" s="1384" t="s">
        <v>809</v>
      </c>
      <c r="CG95" s="1384" t="s">
        <v>809</v>
      </c>
      <c r="CV95" s="2370" t="s">
        <v>808</v>
      </c>
      <c r="CW95" s="2371" t="s">
        <v>1890</v>
      </c>
      <c r="CZ95" s="1218">
        <v>1995</v>
      </c>
      <c r="DA95" s="2313">
        <f t="array" ref="DA95:DA118">TRANSPOSE(ОТЧЁТ!U91:AR91)</f>
        <v>64.055000000000007</v>
      </c>
      <c r="DB95" s="2311">
        <v>1428.5209</v>
      </c>
      <c r="DE95" s="87"/>
      <c r="DF95" s="87"/>
      <c r="DG95" s="552"/>
      <c r="DH95" s="70"/>
      <c r="DR95" s="1218">
        <v>1995</v>
      </c>
      <c r="DS95" s="2399">
        <f t="array" ref="DS95:DS118">TRANSPOSE(НАСТРОЙКА!P50:AM50)</f>
        <v>719.79349999999999</v>
      </c>
      <c r="DT95" s="2400">
        <f t="array" ref="DT95:DT118">TRANSPOSE(ОТЧЁТ!U89:AR89)</f>
        <v>910.9</v>
      </c>
      <c r="EL95" s="1284">
        <v>1995</v>
      </c>
      <c r="EM95" s="2400">
        <f t="shared" ref="EM95:EM118" si="97">DT95</f>
        <v>910.9</v>
      </c>
      <c r="EN95" s="2400">
        <f>EM95</f>
        <v>910.9</v>
      </c>
      <c r="EO95" s="2400"/>
      <c r="EP95" s="2406">
        <f t="array" ref="EP95:EP118">TRANSPOSE(ОТЧЁТ!U67:AR67)</f>
        <v>1428.5209</v>
      </c>
      <c r="FF95" s="1218">
        <v>1995</v>
      </c>
      <c r="FG95" s="2412">
        <f t="array" ref="FG95:FG118">TRANSPOSE(ОТЧЁТ!U159:AR159)</f>
        <v>1</v>
      </c>
      <c r="FH95" s="2327"/>
      <c r="FI95" s="2417"/>
      <c r="FJ95" s="2329"/>
      <c r="GA95" s="1284">
        <v>1995</v>
      </c>
      <c r="GB95" s="2419">
        <f t="array" ref="GB95:GB118">TRANSPOSE(ОТЧЁТ!U88:AR88)</f>
        <v>647.87</v>
      </c>
      <c r="GC95" s="2400">
        <f>GB95</f>
        <v>647.87</v>
      </c>
      <c r="GD95" s="2400"/>
      <c r="GE95" s="2406">
        <v>1428.5209</v>
      </c>
      <c r="GW95" s="1254">
        <v>1997</v>
      </c>
      <c r="GX95" s="1208">
        <v>47.3504</v>
      </c>
      <c r="GY95" s="1209">
        <v>2342.5137</v>
      </c>
      <c r="GZ95" s="765"/>
      <c r="HA95" s="1210"/>
      <c r="HQ95" s="1290">
        <v>1996</v>
      </c>
      <c r="HR95" s="1274">
        <v>1022.64</v>
      </c>
      <c r="HS95" s="1242">
        <v>1.218</v>
      </c>
      <c r="HT95" s="1285">
        <v>62.927999999999997</v>
      </c>
      <c r="HU95" s="1259">
        <f t="shared" ref="HU95:HU115" si="98">(HR95/HT95)/($HT$91*HS95)</f>
        <v>1.3191577216179184</v>
      </c>
      <c r="HV95" s="1294"/>
      <c r="IL95" s="1279">
        <f>HU95</f>
        <v>1.3191577216179184</v>
      </c>
    </row>
    <row r="96" spans="7:246" ht="21">
      <c r="H96" s="6"/>
      <c r="I96" s="2264"/>
      <c r="J96" s="2264"/>
      <c r="K96" s="669"/>
      <c r="L96" s="1919"/>
      <c r="M96" s="614"/>
      <c r="N96" s="1595" t="s">
        <v>764</v>
      </c>
      <c r="O96" s="2257"/>
      <c r="P96" s="2248"/>
      <c r="Q96" s="136"/>
      <c r="R96" s="136"/>
      <c r="S96" s="136"/>
      <c r="T96" s="136"/>
      <c r="U96" s="136"/>
      <c r="V96" s="136"/>
      <c r="W96" s="136"/>
      <c r="X96" s="136"/>
      <c r="Y96" s="136"/>
      <c r="Z96" s="136"/>
      <c r="AA96" s="136"/>
      <c r="AB96" s="136"/>
      <c r="AC96" s="136"/>
      <c r="AD96" s="136"/>
      <c r="AE96" s="2248"/>
      <c r="AF96" s="136"/>
      <c r="AG96" s="136"/>
      <c r="AH96" s="136"/>
      <c r="AI96" s="136"/>
      <c r="AJ96" s="136"/>
      <c r="AK96" s="614"/>
      <c r="AL96" s="614"/>
      <c r="AM96" s="614"/>
      <c r="AN96" s="614"/>
      <c r="AO96" s="379"/>
      <c r="AQ96" s="2259">
        <f t="shared" si="95"/>
        <v>0</v>
      </c>
      <c r="BD96" s="2212">
        <v>2018</v>
      </c>
      <c r="BE96" s="762">
        <v>0.47166714977081331</v>
      </c>
      <c r="BF96" s="777"/>
      <c r="BG96" s="763">
        <v>0.52556394993599154</v>
      </c>
      <c r="BH96" s="2270">
        <f>BG96</f>
        <v>0.52556394993599154</v>
      </c>
      <c r="BI96" s="763">
        <v>0.89744958692135879</v>
      </c>
      <c r="BJ96" s="787"/>
      <c r="BZ96" s="2275">
        <f t="shared" si="79"/>
        <v>0.52556394993599154</v>
      </c>
      <c r="CC96" s="945">
        <v>1995</v>
      </c>
      <c r="CD96" s="1114">
        <f t="array" ref="CD96:CD119">TRANSPOSE(ОТЧЁТ!U148:AR148)</f>
        <v>0.30591082006570569</v>
      </c>
      <c r="CE96" s="1115"/>
      <c r="CF96" s="1116">
        <f t="array" ref="CF96:CF119">TRANSPOSE(ОТЧЁТ!U147:AR147)</f>
        <v>0.34028203577560534</v>
      </c>
      <c r="CG96" s="1117"/>
      <c r="CV96" s="1389">
        <f t="shared" ref="CV96:CV111" si="99">CD96</f>
        <v>0.30591082006570569</v>
      </c>
      <c r="CW96" s="1389">
        <f t="shared" ref="CW96:CW111" si="100">CF96</f>
        <v>0.34028203577560534</v>
      </c>
      <c r="CZ96" s="1216">
        <v>1996</v>
      </c>
      <c r="DA96" s="2314">
        <v>62.927999999999997</v>
      </c>
      <c r="DB96" s="1211">
        <f t="shared" ref="DB96:DB118" si="101">DG12</f>
        <v>1377.0941476</v>
      </c>
      <c r="DR96" s="1218">
        <v>1996</v>
      </c>
      <c r="DS96" s="1274">
        <v>1007.827</v>
      </c>
      <c r="DT96" s="2329">
        <v>1357.1</v>
      </c>
      <c r="EL96" s="1254">
        <v>1996</v>
      </c>
      <c r="EM96" s="2329">
        <f t="shared" si="97"/>
        <v>1357.1</v>
      </c>
      <c r="EN96" s="2329">
        <f>EM96</f>
        <v>1357.1</v>
      </c>
      <c r="EO96" s="2329"/>
      <c r="EP96" s="2407">
        <v>2007.8252000000002</v>
      </c>
      <c r="FF96" s="1218">
        <v>1996</v>
      </c>
      <c r="FG96" s="2413">
        <v>0.95099999999999996</v>
      </c>
      <c r="FH96" s="2327"/>
      <c r="FI96" s="2327"/>
      <c r="FJ96" s="2329"/>
      <c r="GA96" s="1254">
        <v>1996</v>
      </c>
      <c r="GB96" s="2420">
        <v>1022.64</v>
      </c>
      <c r="GC96" s="2329">
        <f>GB96</f>
        <v>1022.64</v>
      </c>
      <c r="GD96" s="2329"/>
      <c r="GE96" s="2407">
        <f t="shared" ref="GE96:GE118" si="102">EP96</f>
        <v>2007.8252000000002</v>
      </c>
      <c r="GW96" s="1254">
        <v>1998</v>
      </c>
      <c r="GX96" s="1208">
        <v>48.8855</v>
      </c>
      <c r="GY96" s="1209">
        <v>2629.6228999999998</v>
      </c>
      <c r="GZ96" s="765"/>
      <c r="HA96" s="1210"/>
      <c r="HQ96" s="1290">
        <v>1997</v>
      </c>
      <c r="HR96" s="1274">
        <v>1202.9000000000001</v>
      </c>
      <c r="HS96" s="1242">
        <v>1.3519800000000002</v>
      </c>
      <c r="HT96" s="1285">
        <v>60.021000000000001</v>
      </c>
      <c r="HU96" s="1259">
        <f t="shared" si="98"/>
        <v>1.465619370714605</v>
      </c>
      <c r="HV96" s="1294"/>
      <c r="IL96" s="1279">
        <f t="shared" ref="IL96:IL115" si="103">HU96</f>
        <v>1.465619370714605</v>
      </c>
    </row>
    <row r="97" spans="7:246" ht="21">
      <c r="H97" s="21"/>
      <c r="I97" s="2237" t="s">
        <v>452</v>
      </c>
      <c r="J97" s="2266"/>
      <c r="K97" s="669"/>
      <c r="L97" s="1926" t="s">
        <v>697</v>
      </c>
      <c r="M97" s="1909" t="s">
        <v>765</v>
      </c>
      <c r="N97" s="1909"/>
      <c r="O97" s="2253" t="s">
        <v>453</v>
      </c>
      <c r="P97" s="2251">
        <f>ОТЧЁТ!U171</f>
        <v>0.50338504971343634</v>
      </c>
      <c r="Q97" s="1933">
        <f>ОТЧЁТ!V171</f>
        <v>0.50747241555941625</v>
      </c>
      <c r="R97" s="1933">
        <f>ОТЧЁТ!W171</f>
        <v>0.50747241555941636</v>
      </c>
      <c r="S97" s="1933">
        <f>ОТЧЁТ!X171</f>
        <v>0.50851040836118788</v>
      </c>
      <c r="T97" s="1933">
        <f>ОТЧЁТ!Y171</f>
        <v>0.50572313279423808</v>
      </c>
      <c r="U97" s="1933">
        <f>ОТЧЁТ!Z171</f>
        <v>0.50301229074374942</v>
      </c>
      <c r="V97" s="1933">
        <f>ОТЧЁТ!AA171</f>
        <v>0.50206474506356591</v>
      </c>
      <c r="W97" s="1933">
        <f>ОТЧЁТ!AB171</f>
        <v>0.50063389662984059</v>
      </c>
      <c r="X97" s="1933">
        <f>ОТЧЁТ!AC171</f>
        <v>0.50202618130466459</v>
      </c>
      <c r="Y97" s="1933">
        <f>ОТЧЁТ!AD171</f>
        <v>0.5057148762579633</v>
      </c>
      <c r="Z97" s="1933">
        <f>ОТЧЁТ!AE171</f>
        <v>0.502441464842453</v>
      </c>
      <c r="AA97" s="1933">
        <f>ОТЧЁТ!AF171</f>
        <v>0.50563972907211574</v>
      </c>
      <c r="AB97" s="1933">
        <f>ОТЧЁТ!AG171</f>
        <v>0.50700285481915963</v>
      </c>
      <c r="AC97" s="1933">
        <f>ОТЧЁТ!AH171</f>
        <v>0.50606381263786271</v>
      </c>
      <c r="AD97" s="1933">
        <f>ОТЧЁТ!AI171</f>
        <v>0.50873085468625434</v>
      </c>
      <c r="AE97" s="1934">
        <f>ОТЧЁТ!AJ171</f>
        <v>0.51107023156870091</v>
      </c>
      <c r="AF97" s="1933">
        <f>ОТЧЁТ!AK171</f>
        <v>0.51107023156870091</v>
      </c>
      <c r="AG97" s="1933">
        <f>ОТЧЁТ!AL171</f>
        <v>0.51221890324681785</v>
      </c>
      <c r="AH97" s="1933">
        <f>ОТЧЁТ!AM171</f>
        <v>0.51372211702384318</v>
      </c>
      <c r="AI97" s="1933">
        <f>ОТЧЁТ!AN171</f>
        <v>0.51401831827360078</v>
      </c>
      <c r="AJ97" s="1933">
        <f>ОТЧЁТ!AO171</f>
        <v>0.51894214483617829</v>
      </c>
      <c r="AK97" s="1933">
        <f>ОТЧЁТ!AP171</f>
        <v>0.52369568095439789</v>
      </c>
      <c r="AL97" s="1933">
        <f>ОТЧЁТ!AQ171</f>
        <v>0.5269484909381239</v>
      </c>
      <c r="AM97" s="1933">
        <f>ОТЧЁТ!AR171</f>
        <v>0.52556394993599154</v>
      </c>
      <c r="AN97" s="614"/>
      <c r="AO97" s="379"/>
      <c r="AQ97" s="2259" t="str">
        <f t="shared" si="95"/>
        <v>aS</v>
      </c>
      <c r="BD97" s="2212">
        <v>2019</v>
      </c>
      <c r="BE97" s="977"/>
      <c r="BF97" s="777"/>
      <c r="BG97" s="765"/>
      <c r="BH97" s="2270">
        <f>BH96+0.001</f>
        <v>0.52656394993599154</v>
      </c>
      <c r="BI97" s="555"/>
      <c r="BJ97" s="1160"/>
      <c r="BZ97" s="2272">
        <f>BH97</f>
        <v>0.52656394993599154</v>
      </c>
      <c r="CC97" s="945">
        <v>1996</v>
      </c>
      <c r="CD97" s="1118">
        <v>0.27816166467080888</v>
      </c>
      <c r="CE97" s="1119"/>
      <c r="CF97" s="1120">
        <v>0.32507809942817723</v>
      </c>
      <c r="CG97" s="1121"/>
      <c r="CV97" s="1389">
        <f t="shared" si="99"/>
        <v>0.27816166467080888</v>
      </c>
      <c r="CW97" s="1389">
        <f t="shared" si="100"/>
        <v>0.32507809942817723</v>
      </c>
      <c r="CZ97" s="1216">
        <v>1997</v>
      </c>
      <c r="DA97" s="2314">
        <v>60.021000000000001</v>
      </c>
      <c r="DB97" s="1211">
        <f t="shared" si="101"/>
        <v>1396.3734656664001</v>
      </c>
      <c r="DR97" s="1218">
        <v>1997</v>
      </c>
      <c r="DS97" s="1274">
        <v>1235.2137</v>
      </c>
      <c r="DT97" s="2329">
        <v>1656.4</v>
      </c>
      <c r="EL97" s="1254">
        <v>1997</v>
      </c>
      <c r="EM97" s="2329">
        <f t="shared" si="97"/>
        <v>1656.4</v>
      </c>
      <c r="EN97" s="2329">
        <f t="shared" ref="EN97:EN114" si="104">EM97</f>
        <v>1656.4</v>
      </c>
      <c r="EO97" s="2329"/>
      <c r="EP97" s="2407">
        <v>2342.5137</v>
      </c>
      <c r="FF97" s="1218">
        <v>1997</v>
      </c>
      <c r="FG97" s="2413">
        <v>0.99855000000000005</v>
      </c>
      <c r="FH97" s="2327"/>
      <c r="FI97" s="2327"/>
      <c r="FJ97" s="2329"/>
      <c r="GA97" s="1254">
        <v>1997</v>
      </c>
      <c r="GB97" s="2420">
        <v>1202.9000000000001</v>
      </c>
      <c r="GC97" s="2329">
        <f t="shared" ref="GC97:GC114" si="105">GB97</f>
        <v>1202.9000000000001</v>
      </c>
      <c r="GD97" s="2329"/>
      <c r="GE97" s="2407">
        <f t="shared" si="102"/>
        <v>2342.5137</v>
      </c>
      <c r="GW97" s="1254">
        <v>1999</v>
      </c>
      <c r="GX97" s="1208">
        <v>56.301099999999998</v>
      </c>
      <c r="GY97" s="1209">
        <v>4823.2329</v>
      </c>
      <c r="GZ97" s="765"/>
      <c r="HA97" s="1210"/>
      <c r="HQ97" s="1290">
        <v>1998</v>
      </c>
      <c r="HR97" s="1274">
        <v>1263.047</v>
      </c>
      <c r="HS97" s="1242">
        <v>2.4930511200000005</v>
      </c>
      <c r="HT97" s="1285">
        <v>58.436999999999998</v>
      </c>
      <c r="HU97" s="1259">
        <f t="shared" si="98"/>
        <v>0.85716727254299341</v>
      </c>
      <c r="HV97" s="1294"/>
      <c r="IL97" s="1279">
        <f t="shared" si="103"/>
        <v>0.85716727254299341</v>
      </c>
    </row>
    <row r="98" spans="7:246" ht="22.8">
      <c r="H98" s="21"/>
      <c r="I98" s="669"/>
      <c r="J98" s="669"/>
      <c r="K98" s="669"/>
      <c r="L98" s="614"/>
      <c r="M98" s="614"/>
      <c r="N98" s="614" t="s">
        <v>430</v>
      </c>
      <c r="O98" s="2253" t="s">
        <v>453</v>
      </c>
      <c r="P98" s="2251">
        <f t="shared" ref="P98:AK98" si="106">P34/P29</f>
        <v>0.50338504971343634</v>
      </c>
      <c r="Q98" s="1933">
        <f t="shared" si="106"/>
        <v>0.50747241555941636</v>
      </c>
      <c r="R98" s="1933">
        <f t="shared" si="106"/>
        <v>0.50747241555941636</v>
      </c>
      <c r="S98" s="1933">
        <f t="shared" si="106"/>
        <v>0.50851040836118799</v>
      </c>
      <c r="T98" s="1933">
        <f t="shared" si="106"/>
        <v>0.50572313279423819</v>
      </c>
      <c r="U98" s="1933">
        <f t="shared" si="106"/>
        <v>0.50301229074374953</v>
      </c>
      <c r="V98" s="1933">
        <f t="shared" si="106"/>
        <v>0.50206474506356602</v>
      </c>
      <c r="W98" s="1933">
        <f t="shared" si="106"/>
        <v>0.5006338966298407</v>
      </c>
      <c r="X98" s="1933">
        <f t="shared" si="106"/>
        <v>0.5020261813046647</v>
      </c>
      <c r="Y98" s="1933">
        <f t="shared" si="106"/>
        <v>0.50571487625796341</v>
      </c>
      <c r="Z98" s="1933">
        <f t="shared" si="106"/>
        <v>0.50244146484245311</v>
      </c>
      <c r="AA98" s="1933">
        <f t="shared" si="106"/>
        <v>0.50563972907211585</v>
      </c>
      <c r="AB98" s="1933">
        <f t="shared" si="106"/>
        <v>0.50700285481915974</v>
      </c>
      <c r="AC98" s="1933">
        <f t="shared" si="106"/>
        <v>0.50606381263786282</v>
      </c>
      <c r="AD98" s="1933">
        <f t="shared" si="106"/>
        <v>0.50873085468625434</v>
      </c>
      <c r="AE98" s="1934">
        <f t="shared" si="106"/>
        <v>0.51107023156870091</v>
      </c>
      <c r="AF98" s="1933">
        <f t="shared" si="106"/>
        <v>0.51107023156870102</v>
      </c>
      <c r="AG98" s="1933">
        <f t="shared" si="106"/>
        <v>0.51221890324681796</v>
      </c>
      <c r="AH98" s="1933">
        <f t="shared" si="106"/>
        <v>0.51372211702384329</v>
      </c>
      <c r="AI98" s="1933">
        <f t="shared" si="106"/>
        <v>0.51401831827360078</v>
      </c>
      <c r="AJ98" s="1933">
        <f t="shared" si="106"/>
        <v>0.51894214483617829</v>
      </c>
      <c r="AK98" s="1933">
        <f t="shared" si="106"/>
        <v>0.52369568095439789</v>
      </c>
      <c r="AL98" s="1933">
        <f>AL34/AL29</f>
        <v>0.5269484909381239</v>
      </c>
      <c r="AM98" s="1933">
        <f>AM34/AM29</f>
        <v>0.52556394993599154</v>
      </c>
      <c r="AN98" s="614"/>
      <c r="AO98" s="379"/>
      <c r="AQ98" s="2259" t="str">
        <f t="shared" si="95"/>
        <v>aS</v>
      </c>
      <c r="BD98" s="2212">
        <v>2020</v>
      </c>
      <c r="BE98" s="977"/>
      <c r="BF98" s="777"/>
      <c r="BG98" s="765"/>
      <c r="BH98" s="2270">
        <f t="shared" ref="BH98:BH113" si="107">BH97+0.001</f>
        <v>0.52756394993599154</v>
      </c>
      <c r="BI98" s="555"/>
      <c r="BJ98" s="1160"/>
      <c r="BZ98" s="2272">
        <f t="shared" ref="BZ98:BZ113" si="108">BH98</f>
        <v>0.52756394993599154</v>
      </c>
      <c r="CC98" s="945">
        <v>1997</v>
      </c>
      <c r="CD98" s="1118">
        <v>0.30377623832039924</v>
      </c>
      <c r="CE98" s="1119"/>
      <c r="CF98" s="1120">
        <v>0.35837570555083637</v>
      </c>
      <c r="CG98" s="1121"/>
      <c r="CV98" s="1389">
        <f t="shared" si="99"/>
        <v>0.30377623832039924</v>
      </c>
      <c r="CW98" s="1389">
        <f t="shared" si="100"/>
        <v>0.35837570555083637</v>
      </c>
      <c r="CZ98" s="1216">
        <v>1998</v>
      </c>
      <c r="DA98" s="2314">
        <v>58.436999999999998</v>
      </c>
      <c r="DB98" s="1211">
        <f t="shared" si="101"/>
        <v>1322.3656719860808</v>
      </c>
      <c r="DR98" s="1218">
        <v>1998</v>
      </c>
      <c r="DS98" s="1274">
        <v>1462.2840000000001</v>
      </c>
      <c r="DT98" s="2329">
        <v>1776</v>
      </c>
      <c r="EG98" s="460"/>
      <c r="EH98" s="461"/>
      <c r="EI98" s="24"/>
      <c r="EL98" s="1254">
        <v>1998</v>
      </c>
      <c r="EM98" s="2329">
        <f t="shared" si="97"/>
        <v>1776</v>
      </c>
      <c r="EN98" s="2329">
        <f t="shared" si="104"/>
        <v>1776</v>
      </c>
      <c r="EO98" s="2329"/>
      <c r="EP98" s="2407">
        <v>2629.6228999999998</v>
      </c>
      <c r="FA98" s="460"/>
      <c r="FB98" s="461"/>
      <c r="FF98" s="1218">
        <v>1998</v>
      </c>
      <c r="FG98" s="2413">
        <v>0.96459930000000005</v>
      </c>
      <c r="FH98" s="2327"/>
      <c r="FI98" s="2327"/>
      <c r="FJ98" s="2329"/>
      <c r="FU98" s="460"/>
      <c r="FV98" s="461"/>
      <c r="GA98" s="1254">
        <v>1998</v>
      </c>
      <c r="GB98" s="2420">
        <v>1263.047</v>
      </c>
      <c r="GC98" s="2329">
        <f t="shared" si="105"/>
        <v>1263.047</v>
      </c>
      <c r="GD98" s="2329"/>
      <c r="GE98" s="2407">
        <f t="shared" si="102"/>
        <v>2629.6228999999998</v>
      </c>
      <c r="GP98" s="460"/>
      <c r="GQ98" s="461"/>
      <c r="GW98" s="1254">
        <v>2000</v>
      </c>
      <c r="GX98" s="1208">
        <v>79.116500000000002</v>
      </c>
      <c r="GY98" s="1209">
        <v>7305.6466</v>
      </c>
      <c r="GZ98" s="765"/>
      <c r="HA98" s="1210"/>
      <c r="HQ98" s="1290">
        <v>1999</v>
      </c>
      <c r="HR98" s="1274">
        <v>1933.606</v>
      </c>
      <c r="HS98" s="1242">
        <v>3.4030147788000007</v>
      </c>
      <c r="HT98" s="1285">
        <v>63.082000000000001</v>
      </c>
      <c r="HU98" s="1259">
        <f t="shared" si="98"/>
        <v>0.8905613871995075</v>
      </c>
      <c r="HV98" s="1294"/>
      <c r="IL98" s="1279">
        <f t="shared" si="103"/>
        <v>0.8905613871995075</v>
      </c>
    </row>
    <row r="99" spans="7:246" ht="22.8">
      <c r="H99" s="21"/>
      <c r="I99" s="669"/>
      <c r="J99" s="669"/>
      <c r="K99" s="669"/>
      <c r="L99" s="614"/>
      <c r="M99" s="614"/>
      <c r="N99" s="614"/>
      <c r="O99" s="2254"/>
      <c r="P99" s="2248"/>
      <c r="Q99" s="136"/>
      <c r="R99" s="136"/>
      <c r="S99" s="136"/>
      <c r="T99" s="136"/>
      <c r="U99" s="136"/>
      <c r="V99" s="136"/>
      <c r="W99" s="136"/>
      <c r="X99" s="136"/>
      <c r="Y99" s="136"/>
      <c r="Z99" s="136"/>
      <c r="AA99" s="136"/>
      <c r="AB99" s="136"/>
      <c r="AC99" s="136"/>
      <c r="AD99" s="136"/>
      <c r="AE99" s="1922"/>
      <c r="AF99" s="136"/>
      <c r="AG99" s="136"/>
      <c r="AH99" s="136"/>
      <c r="AI99" s="136"/>
      <c r="AJ99" s="136"/>
      <c r="AK99" s="614"/>
      <c r="AL99" s="614"/>
      <c r="AM99" s="614"/>
      <c r="AN99" s="614"/>
      <c r="AO99" s="379"/>
      <c r="AQ99" s="2259">
        <f t="shared" si="95"/>
        <v>0</v>
      </c>
      <c r="BD99" s="2212">
        <v>2021</v>
      </c>
      <c r="BE99" s="977"/>
      <c r="BF99" s="777"/>
      <c r="BG99" s="765"/>
      <c r="BH99" s="2270">
        <f t="shared" si="107"/>
        <v>0.52856394993599154</v>
      </c>
      <c r="BI99" s="555"/>
      <c r="BJ99" s="1160"/>
      <c r="BZ99" s="2272">
        <f t="shared" si="108"/>
        <v>0.52856394993599154</v>
      </c>
      <c r="CC99" s="945">
        <v>1998</v>
      </c>
      <c r="CD99" s="1118">
        <v>0.26117813318403943</v>
      </c>
      <c r="CE99" s="1119"/>
      <c r="CF99" s="1120">
        <v>0.32023603080122254</v>
      </c>
      <c r="CG99" s="1121"/>
      <c r="CV99" s="1389">
        <f t="shared" si="99"/>
        <v>0.26117813318403943</v>
      </c>
      <c r="CW99" s="1389">
        <f t="shared" si="100"/>
        <v>0.32023603080122254</v>
      </c>
      <c r="CZ99" s="1216">
        <v>1999</v>
      </c>
      <c r="DA99" s="2314">
        <v>63.082000000000001</v>
      </c>
      <c r="DB99" s="1211">
        <f t="shared" si="101"/>
        <v>1406.9970749931899</v>
      </c>
      <c r="DR99" s="1218">
        <v>1999</v>
      </c>
      <c r="DS99" s="1274">
        <v>2526.1678999999999</v>
      </c>
      <c r="DT99" s="2329">
        <v>2908.1</v>
      </c>
      <c r="EG99" s="460"/>
      <c r="EH99" s="461"/>
      <c r="EI99" s="24"/>
      <c r="EL99" s="1254">
        <v>1999</v>
      </c>
      <c r="EM99" s="2329">
        <f t="shared" si="97"/>
        <v>2908.1</v>
      </c>
      <c r="EN99" s="2329">
        <f t="shared" si="104"/>
        <v>2908.1</v>
      </c>
      <c r="EO99" s="2329"/>
      <c r="EP99" s="2407">
        <v>4823.2329</v>
      </c>
      <c r="FA99" s="460"/>
      <c r="FB99" s="461"/>
      <c r="FF99" s="1218">
        <v>1999</v>
      </c>
      <c r="FG99" s="2413">
        <v>0.94144891679999998</v>
      </c>
      <c r="FH99" s="2415">
        <f>FG99</f>
        <v>0.94144891679999998</v>
      </c>
      <c r="FI99" s="2327"/>
      <c r="FJ99" s="2329"/>
      <c r="FU99" s="460"/>
      <c r="FV99" s="461"/>
      <c r="GA99" s="1254">
        <v>1999</v>
      </c>
      <c r="GB99" s="2420">
        <v>1933.606</v>
      </c>
      <c r="GC99" s="2329">
        <f t="shared" si="105"/>
        <v>1933.606</v>
      </c>
      <c r="GD99" s="2329"/>
      <c r="GE99" s="2407">
        <f t="shared" si="102"/>
        <v>4823.2329</v>
      </c>
      <c r="GP99" s="460"/>
      <c r="GQ99" s="461"/>
      <c r="GW99" s="1254">
        <v>2001</v>
      </c>
      <c r="GX99" s="1208">
        <v>98.781899999999993</v>
      </c>
      <c r="GY99" s="1209">
        <v>8943.5825999999997</v>
      </c>
      <c r="GZ99" s="765"/>
      <c r="HA99" s="1210"/>
      <c r="HQ99" s="1290">
        <v>2000</v>
      </c>
      <c r="HR99" s="1274">
        <v>2937.23</v>
      </c>
      <c r="HS99" s="1242">
        <v>4.0904237641176007</v>
      </c>
      <c r="HT99" s="1285">
        <v>65.069999999999993</v>
      </c>
      <c r="HU99" s="1259">
        <f t="shared" si="98"/>
        <v>1.0910735084339893</v>
      </c>
      <c r="HV99" s="1294"/>
      <c r="IL99" s="1279">
        <f t="shared" si="103"/>
        <v>1.0910735084339893</v>
      </c>
    </row>
    <row r="100" spans="7:246" ht="22.8">
      <c r="H100" s="21"/>
      <c r="I100" s="2267" t="s">
        <v>766</v>
      </c>
      <c r="J100" s="2268"/>
      <c r="K100" s="669"/>
      <c r="L100" s="1927" t="s">
        <v>407</v>
      </c>
      <c r="M100" s="1932"/>
      <c r="N100" s="1932"/>
      <c r="O100" s="2255" t="s">
        <v>768</v>
      </c>
      <c r="P100" s="2251">
        <f t="shared" ref="P100:AK100" si="109">P30/P25</f>
        <v>0.50338504971343634</v>
      </c>
      <c r="Q100" s="1933">
        <f t="shared" si="109"/>
        <v>0.4953618002876285</v>
      </c>
      <c r="R100" s="1933">
        <f t="shared" si="109"/>
        <v>0.48426929267941665</v>
      </c>
      <c r="S100" s="1933">
        <f t="shared" si="109"/>
        <v>0.45447359805696708</v>
      </c>
      <c r="T100" s="1933">
        <f t="shared" si="109"/>
        <v>0.45181578644747206</v>
      </c>
      <c r="U100" s="1933">
        <f t="shared" si="109"/>
        <v>0.45421840440510231</v>
      </c>
      <c r="V100" s="1933">
        <f t="shared" si="109"/>
        <v>0.47453367284444886</v>
      </c>
      <c r="W100" s="1933">
        <f t="shared" si="109"/>
        <v>0.46500098778747362</v>
      </c>
      <c r="X100" s="1933">
        <f t="shared" si="109"/>
        <v>0.46872864665390768</v>
      </c>
      <c r="Y100" s="1933">
        <f t="shared" si="109"/>
        <v>0.46217016187985543</v>
      </c>
      <c r="Z100" s="1933">
        <f t="shared" si="109"/>
        <v>0.46127374316494563</v>
      </c>
      <c r="AA100" s="1933">
        <f t="shared" si="109"/>
        <v>0.46341299624141757</v>
      </c>
      <c r="AB100" s="1933">
        <f t="shared" si="109"/>
        <v>0.46816891313324255</v>
      </c>
      <c r="AC100" s="1933">
        <f t="shared" si="109"/>
        <v>0.46873776285343211</v>
      </c>
      <c r="AD100" s="1933">
        <f t="shared" si="109"/>
        <v>0.46906554432792302</v>
      </c>
      <c r="AE100" s="1934">
        <f t="shared" si="109"/>
        <v>0.47569154866767077</v>
      </c>
      <c r="AF100" s="1935">
        <f t="shared" si="109"/>
        <v>0.44775372911459155</v>
      </c>
      <c r="AG100" s="1935">
        <f t="shared" si="109"/>
        <v>0.44246702013857986</v>
      </c>
      <c r="AH100" s="1935">
        <f t="shared" si="109"/>
        <v>0.44775403162769778</v>
      </c>
      <c r="AI100" s="1935">
        <f t="shared" si="109"/>
        <v>0.44767236568512109</v>
      </c>
      <c r="AJ100" s="1935">
        <f t="shared" si="109"/>
        <v>0.46190475940081643</v>
      </c>
      <c r="AK100" s="1935">
        <f t="shared" si="109"/>
        <v>0.47034109705803279</v>
      </c>
      <c r="AL100" s="1935">
        <f>AL30/AL25</f>
        <v>0.47453242920013833</v>
      </c>
      <c r="AM100" s="1935">
        <f>AM30/AM25</f>
        <v>0.47166714977081331</v>
      </c>
      <c r="AN100" s="614"/>
      <c r="AO100" s="379"/>
      <c r="AQ100" s="2259" t="str">
        <f t="shared" si="95"/>
        <v>a</v>
      </c>
      <c r="BD100" s="2212">
        <v>2022</v>
      </c>
      <c r="BE100" s="977"/>
      <c r="BF100" s="777"/>
      <c r="BG100" s="765"/>
      <c r="BH100" s="2270">
        <f t="shared" si="107"/>
        <v>0.52956394993599154</v>
      </c>
      <c r="BI100" s="555"/>
      <c r="BJ100" s="1160"/>
      <c r="BZ100" s="2272">
        <f t="shared" si="108"/>
        <v>0.52956394993599154</v>
      </c>
      <c r="CC100" s="945">
        <v>1999</v>
      </c>
      <c r="CD100" s="1118">
        <v>0.25161546729373147</v>
      </c>
      <c r="CE100" s="1119"/>
      <c r="CF100" s="1120">
        <v>0.26082091121911194</v>
      </c>
      <c r="CG100" s="1121"/>
      <c r="CV100" s="1389">
        <f t="shared" si="99"/>
        <v>0.25161546729373147</v>
      </c>
      <c r="CW100" s="1389">
        <f t="shared" si="100"/>
        <v>0.26082091121911194</v>
      </c>
      <c r="CZ100" s="1216">
        <v>2000</v>
      </c>
      <c r="DA100" s="2314">
        <v>65.069999999999993</v>
      </c>
      <c r="DB100" s="1211">
        <f t="shared" si="101"/>
        <v>1547.6967824925091</v>
      </c>
      <c r="DR100" s="1218">
        <v>2000</v>
      </c>
      <c r="DS100" s="1274">
        <v>3295.2372999999998</v>
      </c>
      <c r="DT100" s="2329">
        <v>3983.9</v>
      </c>
      <c r="EG100" s="460"/>
      <c r="EH100" s="461"/>
      <c r="EI100" s="24"/>
      <c r="EL100" s="1254">
        <v>2000</v>
      </c>
      <c r="EM100" s="2329">
        <f t="shared" si="97"/>
        <v>3983.9</v>
      </c>
      <c r="EN100" s="2329">
        <f t="shared" si="104"/>
        <v>3983.9</v>
      </c>
      <c r="EO100" s="2329"/>
      <c r="EP100" s="2407">
        <v>7305.6466</v>
      </c>
      <c r="FA100" s="460"/>
      <c r="FB100" s="461"/>
      <c r="FF100" s="1218">
        <v>2000</v>
      </c>
      <c r="FG100" s="2413">
        <v>0.99699440289119989</v>
      </c>
      <c r="FH100" s="2415">
        <f t="shared" ref="FH100:FH108" si="110">FG100</f>
        <v>0.99699440289119989</v>
      </c>
      <c r="FI100" s="2327"/>
      <c r="FJ100" s="2329"/>
      <c r="FU100" s="460"/>
      <c r="FV100" s="461"/>
      <c r="GA100" s="1254">
        <v>2000</v>
      </c>
      <c r="GB100" s="2420">
        <v>2937.23</v>
      </c>
      <c r="GC100" s="2329">
        <f t="shared" si="105"/>
        <v>2937.23</v>
      </c>
      <c r="GD100" s="2329"/>
      <c r="GE100" s="2407">
        <f t="shared" si="102"/>
        <v>7305.6466</v>
      </c>
      <c r="GP100" s="460"/>
      <c r="GQ100" s="461"/>
      <c r="GW100" s="1254">
        <v>2002</v>
      </c>
      <c r="GX100" s="1208">
        <v>132.51599999999999</v>
      </c>
      <c r="GY100" s="1209">
        <v>10819.270899999998</v>
      </c>
      <c r="GZ100" s="765"/>
      <c r="HA100" s="1210"/>
      <c r="HQ100" s="1290">
        <v>2001</v>
      </c>
      <c r="HR100" s="1274">
        <v>3848.4</v>
      </c>
      <c r="HS100" s="1242">
        <v>4.8512425842434741</v>
      </c>
      <c r="HT100" s="1285">
        <v>65.123000000000005</v>
      </c>
      <c r="HU100" s="1259">
        <f t="shared" si="98"/>
        <v>1.2043645968535897</v>
      </c>
      <c r="HV100" s="1294"/>
      <c r="IL100" s="1279">
        <f t="shared" si="103"/>
        <v>1.2043645968535897</v>
      </c>
    </row>
    <row r="101" spans="7:246" ht="22.8">
      <c r="G101" s="11"/>
      <c r="I101" s="2267" t="s">
        <v>767</v>
      </c>
      <c r="J101" s="2268"/>
      <c r="K101" s="669"/>
      <c r="L101" s="1927" t="s">
        <v>407</v>
      </c>
      <c r="M101" s="1932"/>
      <c r="N101" s="1932"/>
      <c r="O101" s="2256" t="s">
        <v>455</v>
      </c>
      <c r="P101" s="2252">
        <v>1</v>
      </c>
      <c r="Q101" s="1936">
        <f>Q100/Q98</f>
        <v>0.9761354215510657</v>
      </c>
      <c r="R101" s="1936">
        <f t="shared" ref="R101:AM101" si="111">R100/R98</f>
        <v>0.95427707562307296</v>
      </c>
      <c r="S101" s="1936">
        <f t="shared" si="111"/>
        <v>0.89373509486586689</v>
      </c>
      <c r="T101" s="1936">
        <f t="shared" si="111"/>
        <v>0.89340541721135935</v>
      </c>
      <c r="U101" s="1936">
        <f t="shared" si="111"/>
        <v>0.90299663201767688</v>
      </c>
      <c r="V101" s="1936">
        <f t="shared" si="111"/>
        <v>0.94516429904746357</v>
      </c>
      <c r="W101" s="1936">
        <f t="shared" si="111"/>
        <v>0.92882441823807749</v>
      </c>
      <c r="X101" s="1936">
        <f t="shared" si="111"/>
        <v>0.93367370888063361</v>
      </c>
      <c r="Y101" s="1936">
        <f t="shared" si="111"/>
        <v>0.91389473313437597</v>
      </c>
      <c r="Z101" s="1936">
        <f t="shared" si="111"/>
        <v>0.91806464124051512</v>
      </c>
      <c r="AA101" s="1936">
        <f t="shared" si="111"/>
        <v>0.91648849882071715</v>
      </c>
      <c r="AB101" s="1936">
        <f t="shared" si="111"/>
        <v>0.92340488556071609</v>
      </c>
      <c r="AC101" s="1936">
        <f t="shared" si="111"/>
        <v>0.92624240490568122</v>
      </c>
      <c r="AD101" s="1936">
        <f t="shared" si="111"/>
        <v>0.92203085385337247</v>
      </c>
      <c r="AE101" s="1937">
        <f t="shared" si="111"/>
        <v>0.93077530109230333</v>
      </c>
      <c r="AF101" s="1936">
        <f t="shared" si="111"/>
        <v>0.8761099775665605</v>
      </c>
      <c r="AG101" s="1936">
        <f t="shared" si="111"/>
        <v>0.86382407469521394</v>
      </c>
      <c r="AH101" s="1936">
        <f t="shared" si="111"/>
        <v>0.87158799823858124</v>
      </c>
      <c r="AI101" s="1936">
        <f t="shared" si="111"/>
        <v>0.87092687122258317</v>
      </c>
      <c r="AJ101" s="1936">
        <f t="shared" si="111"/>
        <v>0.89008912457212808</v>
      </c>
      <c r="AK101" s="1936">
        <f t="shared" si="111"/>
        <v>0.89811910650259674</v>
      </c>
      <c r="AL101" s="1936">
        <f t="shared" si="111"/>
        <v>0.90052905997573029</v>
      </c>
      <c r="AM101" s="1936">
        <f t="shared" si="111"/>
        <v>0.89744958692135879</v>
      </c>
      <c r="AN101" s="614"/>
      <c r="AO101" s="379"/>
      <c r="AQ101" s="2260" t="str">
        <f t="shared" si="95"/>
        <v>Ra</v>
      </c>
      <c r="BD101" s="2212">
        <v>2023</v>
      </c>
      <c r="BE101" s="977"/>
      <c r="BF101" s="777"/>
      <c r="BG101" s="765"/>
      <c r="BH101" s="2270">
        <f t="shared" si="107"/>
        <v>0.53056394993599154</v>
      </c>
      <c r="BI101" s="555"/>
      <c r="BJ101" s="1160"/>
      <c r="BZ101" s="2272">
        <f t="shared" si="108"/>
        <v>0.53056394993599154</v>
      </c>
      <c r="CC101" s="945">
        <v>2000</v>
      </c>
      <c r="CD101" s="1118">
        <v>0.28713406421821713</v>
      </c>
      <c r="CE101" s="1119"/>
      <c r="CF101" s="1120">
        <v>0.26829931795496376</v>
      </c>
      <c r="CG101" s="1121"/>
      <c r="CV101" s="1389">
        <f t="shared" si="99"/>
        <v>0.28713406421821713</v>
      </c>
      <c r="CW101" s="1389">
        <f t="shared" si="100"/>
        <v>0.26829931795496376</v>
      </c>
      <c r="CZ101" s="1216">
        <v>2001</v>
      </c>
      <c r="DA101" s="2314">
        <v>65.123000000000005</v>
      </c>
      <c r="DB101" s="1211">
        <f t="shared" si="101"/>
        <v>1626.629318399627</v>
      </c>
      <c r="DR101" s="1218">
        <v>2001</v>
      </c>
      <c r="DS101" s="1274">
        <v>4318.1211000000003</v>
      </c>
      <c r="DT101" s="2329">
        <v>5325.8</v>
      </c>
      <c r="EG101" s="460"/>
      <c r="EH101" s="461"/>
      <c r="EI101" s="24"/>
      <c r="EL101" s="1254">
        <v>2001</v>
      </c>
      <c r="EM101" s="2329">
        <f t="shared" si="97"/>
        <v>5325.8</v>
      </c>
      <c r="EN101" s="2329">
        <f t="shared" si="104"/>
        <v>5325.8</v>
      </c>
      <c r="EO101" s="2329"/>
      <c r="EP101" s="2407">
        <v>8943.5825999999997</v>
      </c>
      <c r="FA101" s="460"/>
      <c r="FB101" s="461"/>
      <c r="FF101" s="1218">
        <v>2001</v>
      </c>
      <c r="FG101" s="2413">
        <v>1.0787479439282783</v>
      </c>
      <c r="FH101" s="2415">
        <f t="shared" si="110"/>
        <v>1.0787479439282783</v>
      </c>
      <c r="FI101" s="2327"/>
      <c r="FJ101" s="2329"/>
      <c r="FU101" s="460"/>
      <c r="FV101" s="461"/>
      <c r="GA101" s="1254">
        <v>2001</v>
      </c>
      <c r="GB101" s="2420">
        <v>3848.4</v>
      </c>
      <c r="GC101" s="2329">
        <f t="shared" si="105"/>
        <v>3848.4</v>
      </c>
      <c r="GD101" s="2329"/>
      <c r="GE101" s="2407">
        <f t="shared" si="102"/>
        <v>8943.5825999999997</v>
      </c>
      <c r="GP101" s="460"/>
      <c r="GQ101" s="461"/>
      <c r="GW101" s="1254">
        <v>2003</v>
      </c>
      <c r="GX101" s="1208">
        <v>154.91739999999999</v>
      </c>
      <c r="GY101" s="1209">
        <v>13208.250299999998</v>
      </c>
      <c r="GZ101" s="1209">
        <f>GX101</f>
        <v>154.91739999999999</v>
      </c>
      <c r="HA101" s="946">
        <f>GY101</f>
        <v>13208.250299999998</v>
      </c>
      <c r="HQ101" s="1290">
        <v>2002</v>
      </c>
      <c r="HR101" s="1274">
        <v>5065.1000000000004</v>
      </c>
      <c r="HS101" s="1242">
        <v>5.5837802144642392</v>
      </c>
      <c r="HT101" s="1285">
        <v>66.659000000000006</v>
      </c>
      <c r="HU101" s="1259">
        <f t="shared" si="98"/>
        <v>1.3454454046567674</v>
      </c>
      <c r="HV101" s="1294"/>
      <c r="IL101" s="1279">
        <f t="shared" si="103"/>
        <v>1.3454454046567674</v>
      </c>
    </row>
    <row r="102" spans="7:246" ht="22.8">
      <c r="G102" s="21"/>
      <c r="I102" s="52"/>
      <c r="J102" s="24"/>
      <c r="L102" s="816"/>
      <c r="M102" s="1932"/>
      <c r="N102" s="1932"/>
      <c r="O102" s="1932"/>
      <c r="P102" s="1922">
        <v>1995</v>
      </c>
      <c r="Q102" s="1922">
        <v>1996</v>
      </c>
      <c r="R102" s="1922">
        <v>1997</v>
      </c>
      <c r="S102" s="1922">
        <v>1998</v>
      </c>
      <c r="T102" s="1922">
        <v>1999</v>
      </c>
      <c r="U102" s="1922">
        <v>2000</v>
      </c>
      <c r="V102" s="1922">
        <v>2001</v>
      </c>
      <c r="W102" s="1922">
        <v>2002</v>
      </c>
      <c r="X102" s="1922">
        <v>2003</v>
      </c>
      <c r="Y102" s="1922">
        <v>2004</v>
      </c>
      <c r="Z102" s="1922">
        <v>2005</v>
      </c>
      <c r="AA102" s="1922">
        <v>2006</v>
      </c>
      <c r="AB102" s="1922">
        <v>2007</v>
      </c>
      <c r="AC102" s="1922">
        <v>2008</v>
      </c>
      <c r="AD102" s="1922">
        <v>2009</v>
      </c>
      <c r="AE102" s="1922">
        <v>2010</v>
      </c>
      <c r="AF102" s="1922">
        <v>2011</v>
      </c>
      <c r="AG102" s="1922">
        <v>2012</v>
      </c>
      <c r="AH102" s="1922">
        <v>2013</v>
      </c>
      <c r="AI102" s="1922">
        <v>2014</v>
      </c>
      <c r="AJ102" s="1922">
        <v>2015</v>
      </c>
      <c r="AK102" s="1922">
        <v>2016</v>
      </c>
      <c r="AL102" s="1922">
        <v>2017</v>
      </c>
      <c r="AM102" s="1922">
        <v>2018</v>
      </c>
      <c r="AN102" s="1922">
        <v>2019</v>
      </c>
      <c r="AO102" s="1922">
        <v>2020</v>
      </c>
      <c r="AP102" s="1922">
        <v>2021</v>
      </c>
      <c r="AQ102" s="2261"/>
      <c r="BD102" s="2212">
        <v>2024</v>
      </c>
      <c r="BE102" s="977"/>
      <c r="BF102" s="777"/>
      <c r="BG102" s="765"/>
      <c r="BH102" s="2270">
        <f t="shared" si="107"/>
        <v>0.53156394993599154</v>
      </c>
      <c r="BI102" s="555"/>
      <c r="BJ102" s="1160"/>
      <c r="BZ102" s="2272">
        <f t="shared" si="108"/>
        <v>0.53156394993599154</v>
      </c>
      <c r="CC102" s="945">
        <v>2001</v>
      </c>
      <c r="CD102" s="1118">
        <v>0.30006990710858972</v>
      </c>
      <c r="CE102" s="1119"/>
      <c r="CF102" s="1120">
        <v>0.27051799130250104</v>
      </c>
      <c r="CG102" s="1121"/>
      <c r="CV102" s="1389">
        <f t="shared" si="99"/>
        <v>0.30006990710858972</v>
      </c>
      <c r="CW102" s="1389">
        <f t="shared" si="100"/>
        <v>0.27051799130250104</v>
      </c>
      <c r="CZ102" s="1216">
        <v>2002</v>
      </c>
      <c r="DA102" s="2314">
        <v>66.659000000000006</v>
      </c>
      <c r="DB102" s="1211">
        <f t="shared" si="101"/>
        <v>1703.0808963644092</v>
      </c>
      <c r="DR102" s="1218">
        <v>2002</v>
      </c>
      <c r="DS102" s="1274">
        <v>5409.1576999999997</v>
      </c>
      <c r="DT102" s="2329">
        <v>6831</v>
      </c>
      <c r="EG102" s="460"/>
      <c r="EH102" s="461"/>
      <c r="EI102" s="24"/>
      <c r="EL102" s="1254">
        <v>2002</v>
      </c>
      <c r="EM102" s="2329">
        <f t="shared" si="97"/>
        <v>6831</v>
      </c>
      <c r="EN102" s="2329">
        <f t="shared" si="104"/>
        <v>6831</v>
      </c>
      <c r="EO102" s="2329"/>
      <c r="EP102" s="2407">
        <v>10819.270899999998</v>
      </c>
      <c r="FA102" s="460"/>
      <c r="FB102" s="461"/>
      <c r="FF102" s="1218">
        <v>2002</v>
      </c>
      <c r="FG102" s="2413">
        <v>1.1618115356107557</v>
      </c>
      <c r="FH102" s="2415">
        <f t="shared" si="110"/>
        <v>1.1618115356107557</v>
      </c>
      <c r="FI102" s="2327"/>
      <c r="FJ102" s="2329"/>
      <c r="FU102" s="460"/>
      <c r="FV102" s="461"/>
      <c r="GA102" s="1254">
        <v>2002</v>
      </c>
      <c r="GB102" s="2420">
        <v>5065.1000000000004</v>
      </c>
      <c r="GC102" s="2329">
        <f t="shared" si="105"/>
        <v>5065.1000000000004</v>
      </c>
      <c r="GD102" s="2329"/>
      <c r="GE102" s="2407">
        <f t="shared" si="102"/>
        <v>10819.270899999998</v>
      </c>
      <c r="GP102" s="460"/>
      <c r="GQ102" s="461"/>
      <c r="GW102" s="1254">
        <v>2004</v>
      </c>
      <c r="GX102" s="1208">
        <v>149.55099999999999</v>
      </c>
      <c r="GY102" s="1209">
        <v>17027.166999999998</v>
      </c>
      <c r="GZ102" s="1209">
        <f t="shared" ref="GZ102:GZ114" si="112">GX102</f>
        <v>149.55099999999999</v>
      </c>
      <c r="HA102" s="946">
        <f t="shared" ref="HA102:HA114" si="113">GY102</f>
        <v>17027.166999999998</v>
      </c>
      <c r="HQ102" s="1290">
        <v>2003</v>
      </c>
      <c r="HR102" s="1274">
        <v>6231.3869999999997</v>
      </c>
      <c r="HS102" s="1242">
        <v>6.2538338401999489</v>
      </c>
      <c r="HT102" s="1285">
        <v>66.338999999999999</v>
      </c>
      <c r="HU102" s="1259">
        <f t="shared" si="98"/>
        <v>1.4850279596592788</v>
      </c>
      <c r="HV102" s="1294"/>
      <c r="IL102" s="1279">
        <f t="shared" si="103"/>
        <v>1.4850279596592788</v>
      </c>
    </row>
    <row r="103" spans="7:246" ht="22.8">
      <c r="G103" s="21"/>
      <c r="I103" s="52"/>
      <c r="J103" s="55"/>
      <c r="BD103" s="2212">
        <v>2025</v>
      </c>
      <c r="BE103" s="977"/>
      <c r="BF103" s="777"/>
      <c r="BG103" s="765"/>
      <c r="BH103" s="2270">
        <f t="shared" si="107"/>
        <v>0.53256394993599154</v>
      </c>
      <c r="BI103" s="555"/>
      <c r="BJ103" s="1160"/>
      <c r="BZ103" s="2272">
        <f t="shared" si="108"/>
        <v>0.53256394993599154</v>
      </c>
      <c r="CC103" s="945">
        <v>2002</v>
      </c>
      <c r="CD103" s="1118">
        <v>0.32527321790330338</v>
      </c>
      <c r="CE103" s="1119"/>
      <c r="CF103" s="1120">
        <v>0.31631692817415186</v>
      </c>
      <c r="CG103" s="1121"/>
      <c r="CV103" s="1389">
        <f t="shared" si="99"/>
        <v>0.32527321790330338</v>
      </c>
      <c r="CW103" s="1389">
        <f t="shared" si="100"/>
        <v>0.31631692817415186</v>
      </c>
      <c r="CZ103" s="1216">
        <v>2003</v>
      </c>
      <c r="DA103" s="2314">
        <v>66.338999999999999</v>
      </c>
      <c r="DB103" s="1211">
        <f t="shared" si="101"/>
        <v>1827.405801799011</v>
      </c>
      <c r="DR103" s="1218">
        <v>2003</v>
      </c>
      <c r="DS103" s="1274">
        <v>6537.4014999999999</v>
      </c>
      <c r="DT103" s="2329">
        <v>8900.5</v>
      </c>
      <c r="EG103" s="460"/>
      <c r="EH103" s="461"/>
      <c r="EI103" s="24"/>
      <c r="EL103" s="1254">
        <v>2003</v>
      </c>
      <c r="EM103" s="2329">
        <f t="shared" si="97"/>
        <v>8900.5</v>
      </c>
      <c r="EN103" s="2329">
        <f t="shared" si="104"/>
        <v>8900.5</v>
      </c>
      <c r="EO103" s="2329"/>
      <c r="EP103" s="2407">
        <v>13208.250299999998</v>
      </c>
      <c r="FA103" s="460"/>
      <c r="FB103" s="461"/>
      <c r="FF103" s="1218">
        <v>2003</v>
      </c>
      <c r="FG103" s="2413">
        <v>1.2512710238527838</v>
      </c>
      <c r="FH103" s="2415">
        <f t="shared" si="110"/>
        <v>1.2512710238527838</v>
      </c>
      <c r="FI103" s="2327"/>
      <c r="FJ103" s="2329"/>
      <c r="FU103" s="460"/>
      <c r="FV103" s="461"/>
      <c r="GA103" s="1254">
        <v>2003</v>
      </c>
      <c r="GB103" s="2420">
        <v>6231.3869999999997</v>
      </c>
      <c r="GC103" s="2329">
        <f t="shared" si="105"/>
        <v>6231.3869999999997</v>
      </c>
      <c r="GD103" s="2329"/>
      <c r="GE103" s="2407">
        <f t="shared" si="102"/>
        <v>13208.250299999998</v>
      </c>
      <c r="GP103" s="460"/>
      <c r="GQ103" s="461"/>
      <c r="GW103" s="1254">
        <v>2005</v>
      </c>
      <c r="GX103" s="1208">
        <v>139.37289999999999</v>
      </c>
      <c r="GY103" s="1209">
        <v>21609.765799999997</v>
      </c>
      <c r="GZ103" s="1209">
        <f t="shared" si="112"/>
        <v>139.37289999999999</v>
      </c>
      <c r="HA103" s="946">
        <f t="shared" si="113"/>
        <v>21609.765799999997</v>
      </c>
      <c r="HQ103" s="1290">
        <v>2004</v>
      </c>
      <c r="HR103" s="1274">
        <v>7845.0370000000003</v>
      </c>
      <c r="HS103" s="1242">
        <v>6.9855323995033425</v>
      </c>
      <c r="HT103" s="1285">
        <v>67.319000000000003</v>
      </c>
      <c r="HU103" s="1259">
        <f t="shared" si="98"/>
        <v>1.6493886216432383</v>
      </c>
      <c r="HV103" s="1294"/>
      <c r="IL103" s="1279">
        <f t="shared" si="103"/>
        <v>1.6493886216432383</v>
      </c>
    </row>
    <row r="104" spans="7:246" ht="22.8">
      <c r="G104" s="21"/>
      <c r="BD104" s="2212">
        <v>2026</v>
      </c>
      <c r="BE104" s="977"/>
      <c r="BF104" s="777"/>
      <c r="BG104" s="765"/>
      <c r="BH104" s="2270">
        <f t="shared" si="107"/>
        <v>0.53356394993599154</v>
      </c>
      <c r="BI104" s="555"/>
      <c r="BJ104" s="1160"/>
      <c r="BZ104" s="2272">
        <f t="shared" si="108"/>
        <v>0.53356394993599154</v>
      </c>
      <c r="CC104" s="945">
        <v>2003</v>
      </c>
      <c r="CD104" s="1118">
        <v>0.31334242432928466</v>
      </c>
      <c r="CE104" s="1119"/>
      <c r="CF104" s="1120">
        <v>0.30018396555033727</v>
      </c>
      <c r="CG104" s="1121"/>
      <c r="CV104" s="1389">
        <f t="shared" si="99"/>
        <v>0.31334242432928466</v>
      </c>
      <c r="CW104" s="1389">
        <f t="shared" si="100"/>
        <v>0.30018396555033727</v>
      </c>
      <c r="CZ104" s="1216">
        <v>2004</v>
      </c>
      <c r="DA104" s="2314">
        <v>67.319000000000003</v>
      </c>
      <c r="DB104" s="1211">
        <f t="shared" si="101"/>
        <v>1958.97901952854</v>
      </c>
      <c r="DE104" s="1204" t="s">
        <v>196</v>
      </c>
      <c r="DR104" s="1218">
        <v>2004</v>
      </c>
      <c r="DS104" s="1274">
        <v>8438.4840999999997</v>
      </c>
      <c r="DT104" s="2329">
        <v>10976.3</v>
      </c>
      <c r="EG104" s="460"/>
      <c r="EH104" s="461"/>
      <c r="EI104" s="24"/>
      <c r="EL104" s="1254">
        <v>2004</v>
      </c>
      <c r="EM104" s="2329">
        <f t="shared" si="97"/>
        <v>10976.3</v>
      </c>
      <c r="EN104" s="2329">
        <f t="shared" si="104"/>
        <v>10976.3</v>
      </c>
      <c r="EO104" s="2329"/>
      <c r="EP104" s="2407">
        <v>17027.166999999998</v>
      </c>
      <c r="FA104" s="460"/>
      <c r="FB104" s="461"/>
      <c r="FF104" s="1218">
        <v>2004</v>
      </c>
      <c r="FG104" s="2413">
        <v>1.4076799018343817</v>
      </c>
      <c r="FH104" s="2415">
        <f t="shared" si="110"/>
        <v>1.4076799018343817</v>
      </c>
      <c r="FI104" s="2327"/>
      <c r="FJ104" s="2329"/>
      <c r="FU104" s="460"/>
      <c r="FV104" s="461"/>
      <c r="GA104" s="1254">
        <v>2004</v>
      </c>
      <c r="GB104" s="2420">
        <v>7845.0370000000003</v>
      </c>
      <c r="GC104" s="2329">
        <f t="shared" si="105"/>
        <v>7845.0370000000003</v>
      </c>
      <c r="GD104" s="2329"/>
      <c r="GE104" s="2407">
        <f t="shared" si="102"/>
        <v>17027.166999999998</v>
      </c>
      <c r="GP104" s="460"/>
      <c r="GQ104" s="461"/>
      <c r="GW104" s="1254">
        <v>2006</v>
      </c>
      <c r="GX104" s="1208">
        <v>154.58760000000001</v>
      </c>
      <c r="GY104" s="1209">
        <v>26917.203699999998</v>
      </c>
      <c r="GZ104" s="1209">
        <f t="shared" si="112"/>
        <v>154.58760000000001</v>
      </c>
      <c r="HA104" s="946">
        <f t="shared" si="113"/>
        <v>26917.203699999998</v>
      </c>
      <c r="HQ104" s="1290">
        <v>2005</v>
      </c>
      <c r="HR104" s="1274">
        <v>9439.8269999999993</v>
      </c>
      <c r="HS104" s="1242">
        <v>7.7469554310492068</v>
      </c>
      <c r="HT104" s="1285">
        <v>68.338999999999999</v>
      </c>
      <c r="HU104" s="1259">
        <f t="shared" si="98"/>
        <v>1.7629074929087367</v>
      </c>
      <c r="HV104" s="1294"/>
      <c r="IL104" s="1279">
        <f t="shared" si="103"/>
        <v>1.7629074929087367</v>
      </c>
    </row>
    <row r="105" spans="7:246" ht="22.8">
      <c r="G105" s="21"/>
      <c r="BD105" s="2212">
        <v>2027</v>
      </c>
      <c r="BE105" s="977"/>
      <c r="BF105" s="777"/>
      <c r="BG105" s="765"/>
      <c r="BH105" s="2270">
        <f t="shared" si="107"/>
        <v>0.53456394993599154</v>
      </c>
      <c r="BI105" s="555"/>
      <c r="BJ105" s="1160"/>
      <c r="BZ105" s="2272">
        <f t="shared" si="108"/>
        <v>0.53456394993599154</v>
      </c>
      <c r="CC105" s="945">
        <v>2004</v>
      </c>
      <c r="CD105" s="1118">
        <v>0.31889581974440651</v>
      </c>
      <c r="CE105" s="1122"/>
      <c r="CF105" s="1120">
        <v>0.27424958276588063</v>
      </c>
      <c r="CG105" s="1121"/>
      <c r="CV105" s="1389">
        <f t="shared" si="99"/>
        <v>0.31889581974440651</v>
      </c>
      <c r="CW105" s="1389">
        <f t="shared" si="100"/>
        <v>0.27424958276588063</v>
      </c>
      <c r="CZ105" s="1216">
        <v>2005</v>
      </c>
      <c r="DA105" s="2314">
        <v>68.338999999999999</v>
      </c>
      <c r="DB105" s="1211">
        <f t="shared" si="101"/>
        <v>2084.3536767783667</v>
      </c>
      <c r="DR105" s="1218">
        <v>2005</v>
      </c>
      <c r="DS105" s="1274">
        <v>10652.8578</v>
      </c>
      <c r="DT105" s="2329">
        <v>13819</v>
      </c>
      <c r="EG105" s="460"/>
      <c r="EH105" s="461"/>
      <c r="EI105" s="24"/>
      <c r="EL105" s="1254">
        <v>2005</v>
      </c>
      <c r="EM105" s="2329">
        <f t="shared" si="97"/>
        <v>13819</v>
      </c>
      <c r="EN105" s="2329">
        <f t="shared" si="104"/>
        <v>13819</v>
      </c>
      <c r="EO105" s="2329"/>
      <c r="EP105" s="2407">
        <v>21609.765799999997</v>
      </c>
      <c r="FA105" s="460"/>
      <c r="FB105" s="461"/>
      <c r="FF105" s="1218">
        <v>2005</v>
      </c>
      <c r="FG105" s="2413">
        <v>1.5794168498581764</v>
      </c>
      <c r="FH105" s="2415">
        <f t="shared" si="110"/>
        <v>1.5794168498581764</v>
      </c>
      <c r="FI105" s="2327"/>
      <c r="FJ105" s="2329"/>
      <c r="FU105" s="460"/>
      <c r="FV105" s="461"/>
      <c r="GA105" s="1254">
        <v>2005</v>
      </c>
      <c r="GB105" s="2420">
        <v>9439.8269999999993</v>
      </c>
      <c r="GC105" s="2329">
        <f t="shared" si="105"/>
        <v>9439.8269999999993</v>
      </c>
      <c r="GD105" s="2329"/>
      <c r="GE105" s="2407">
        <f t="shared" si="102"/>
        <v>21609.765799999997</v>
      </c>
      <c r="GP105" s="460"/>
      <c r="GQ105" s="461"/>
      <c r="GW105" s="1254">
        <v>2007</v>
      </c>
      <c r="GX105" s="1208">
        <v>185.87559999999999</v>
      </c>
      <c r="GY105" s="1209">
        <v>33247.513200000001</v>
      </c>
      <c r="GZ105" s="1209">
        <f t="shared" si="112"/>
        <v>185.87559999999999</v>
      </c>
      <c r="HA105" s="946">
        <f t="shared" si="113"/>
        <v>33247.513200000001</v>
      </c>
      <c r="HQ105" s="1290">
        <v>2006</v>
      </c>
      <c r="HR105" s="1274">
        <v>11985.905000000001</v>
      </c>
      <c r="HS105" s="1242">
        <v>8.4441814198436358</v>
      </c>
      <c r="HT105" s="1285">
        <v>69.168999999999997</v>
      </c>
      <c r="HU105" s="1259">
        <f t="shared" si="98"/>
        <v>2.0289294415498413</v>
      </c>
      <c r="HV105" s="1294"/>
      <c r="IL105" s="1279">
        <f t="shared" si="103"/>
        <v>2.0289294415498413</v>
      </c>
    </row>
    <row r="106" spans="7:246" ht="22.8">
      <c r="BD106" s="2212">
        <v>2028</v>
      </c>
      <c r="BE106" s="977"/>
      <c r="BF106" s="777"/>
      <c r="BG106" s="765"/>
      <c r="BH106" s="2270">
        <f t="shared" si="107"/>
        <v>0.53556394993599155</v>
      </c>
      <c r="BI106" s="555"/>
      <c r="BJ106" s="1160"/>
      <c r="BZ106" s="2272">
        <f t="shared" si="108"/>
        <v>0.53556394993599155</v>
      </c>
      <c r="CC106" s="945">
        <v>2005</v>
      </c>
      <c r="CD106" s="1118">
        <v>0.39702420648664605</v>
      </c>
      <c r="CE106" s="1122"/>
      <c r="CF106" s="1120">
        <v>0.31562582203865192</v>
      </c>
      <c r="CG106" s="1121"/>
      <c r="CV106" s="1389">
        <f t="shared" si="99"/>
        <v>0.39702420648664605</v>
      </c>
      <c r="CW106" s="1389">
        <f t="shared" si="100"/>
        <v>0.31562582203865192</v>
      </c>
      <c r="CZ106" s="1216">
        <v>2006</v>
      </c>
      <c r="DA106" s="2314">
        <v>69.168999999999997</v>
      </c>
      <c r="DB106" s="1211">
        <f t="shared" si="101"/>
        <v>2255.270678274193</v>
      </c>
      <c r="DR106" s="1218">
        <v>2006</v>
      </c>
      <c r="DS106" s="1274">
        <v>12974.743399999999</v>
      </c>
      <c r="DT106" s="2329">
        <v>17290.099999999999</v>
      </c>
      <c r="EG106" s="460"/>
      <c r="EH106" s="461"/>
      <c r="EI106" s="24"/>
      <c r="EL106" s="1254">
        <v>2006</v>
      </c>
      <c r="EM106" s="2329">
        <f t="shared" si="97"/>
        <v>17290.099999999999</v>
      </c>
      <c r="EN106" s="2329">
        <f t="shared" si="104"/>
        <v>17290.099999999999</v>
      </c>
      <c r="EO106" s="2329"/>
      <c r="EP106" s="2407">
        <v>26917.203699999998</v>
      </c>
      <c r="FA106" s="460"/>
      <c r="FB106" s="461"/>
      <c r="FF106" s="1218">
        <v>2006</v>
      </c>
      <c r="FG106" s="2413">
        <v>1.7721057055408742</v>
      </c>
      <c r="FH106" s="2415">
        <f t="shared" si="110"/>
        <v>1.7721057055408742</v>
      </c>
      <c r="FI106" s="2327"/>
      <c r="FJ106" s="2329"/>
      <c r="FU106" s="460"/>
      <c r="FV106" s="461"/>
      <c r="GA106" s="1254">
        <v>2006</v>
      </c>
      <c r="GB106" s="2420">
        <v>11985.905000000001</v>
      </c>
      <c r="GC106" s="2329">
        <f t="shared" si="105"/>
        <v>11985.905000000001</v>
      </c>
      <c r="GD106" s="2329"/>
      <c r="GE106" s="2407">
        <f t="shared" si="102"/>
        <v>26917.203699999998</v>
      </c>
      <c r="GP106" s="460"/>
      <c r="GQ106" s="461"/>
      <c r="GW106" s="1254">
        <v>2008</v>
      </c>
      <c r="GX106" s="1208">
        <v>216.71250000000001</v>
      </c>
      <c r="GY106" s="1209">
        <v>41276.849199999997</v>
      </c>
      <c r="GZ106" s="1209">
        <f t="shared" si="112"/>
        <v>216.71250000000001</v>
      </c>
      <c r="HA106" s="946">
        <f t="shared" si="113"/>
        <v>41276.849199999997</v>
      </c>
      <c r="HQ106" s="1290">
        <v>2007</v>
      </c>
      <c r="HR106" s="1274">
        <v>15526.11</v>
      </c>
      <c r="HS106" s="1242">
        <v>9.4465057543790749</v>
      </c>
      <c r="HT106" s="1285">
        <v>70.77</v>
      </c>
      <c r="HU106" s="1259">
        <f t="shared" si="98"/>
        <v>2.2961879581752398</v>
      </c>
      <c r="HV106" s="1294"/>
      <c r="IL106" s="1279">
        <f t="shared" si="103"/>
        <v>2.2961879581752398</v>
      </c>
    </row>
    <row r="107" spans="7:246" ht="22.8">
      <c r="BD107" s="2212">
        <v>2029</v>
      </c>
      <c r="BE107" s="977"/>
      <c r="BF107" s="777"/>
      <c r="BG107" s="765"/>
      <c r="BH107" s="2270">
        <f t="shared" si="107"/>
        <v>0.53656394993599155</v>
      </c>
      <c r="BI107" s="555"/>
      <c r="BJ107" s="1160"/>
      <c r="BZ107" s="2272">
        <f t="shared" si="108"/>
        <v>0.53656394993599155</v>
      </c>
      <c r="CC107" s="945">
        <v>2006</v>
      </c>
      <c r="CD107" s="1118">
        <v>0.39475872109052162</v>
      </c>
      <c r="CE107" s="1120"/>
      <c r="CF107" s="1120">
        <v>0.31114675985594847</v>
      </c>
      <c r="CG107" s="1121"/>
      <c r="CV107" s="1389">
        <f t="shared" si="99"/>
        <v>0.39475872109052162</v>
      </c>
      <c r="CW107" s="1389">
        <f t="shared" si="100"/>
        <v>0.31114675985594847</v>
      </c>
      <c r="CZ107" s="1216">
        <v>2007</v>
      </c>
      <c r="DA107" s="2314">
        <v>70.77</v>
      </c>
      <c r="DB107" s="1211">
        <f t="shared" si="101"/>
        <v>2446.9686859274993</v>
      </c>
      <c r="DR107" s="1218">
        <v>2007</v>
      </c>
      <c r="DS107" s="1274">
        <v>16031.739799999999</v>
      </c>
      <c r="DT107" s="2329">
        <v>21311.5</v>
      </c>
      <c r="EG107" s="460"/>
      <c r="EH107" s="461"/>
      <c r="EI107" s="24"/>
      <c r="EL107" s="1254">
        <v>2007</v>
      </c>
      <c r="EM107" s="2329">
        <f t="shared" si="97"/>
        <v>21311.5</v>
      </c>
      <c r="EN107" s="2329">
        <f t="shared" si="104"/>
        <v>21311.5</v>
      </c>
      <c r="EO107" s="2329"/>
      <c r="EP107" s="2407">
        <v>33247.513200000001</v>
      </c>
      <c r="FA107" s="460"/>
      <c r="FB107" s="461"/>
      <c r="FF107" s="1218">
        <v>2007</v>
      </c>
      <c r="FG107" s="2413">
        <v>2.0255168214332193</v>
      </c>
      <c r="FH107" s="2415">
        <f t="shared" si="110"/>
        <v>2.0255168214332193</v>
      </c>
      <c r="FI107" s="2327"/>
      <c r="FJ107" s="2329"/>
      <c r="FU107" s="460"/>
      <c r="FV107" s="461"/>
      <c r="GA107" s="1254">
        <v>2007</v>
      </c>
      <c r="GB107" s="2420">
        <v>15526.11</v>
      </c>
      <c r="GC107" s="2329">
        <f t="shared" si="105"/>
        <v>15526.11</v>
      </c>
      <c r="GD107" s="2329"/>
      <c r="GE107" s="2407">
        <f t="shared" si="102"/>
        <v>33247.513200000001</v>
      </c>
      <c r="GP107" s="460"/>
      <c r="GQ107" s="461"/>
      <c r="GW107" s="1254">
        <v>2009</v>
      </c>
      <c r="GX107" s="1208">
        <v>216.99639999999999</v>
      </c>
      <c r="GY107" s="1209">
        <v>38807.270899999996</v>
      </c>
      <c r="GZ107" s="1209">
        <f t="shared" si="112"/>
        <v>216.99639999999999</v>
      </c>
      <c r="HA107" s="946">
        <f t="shared" si="113"/>
        <v>38807.270899999996</v>
      </c>
      <c r="HQ107" s="1290">
        <v>2008</v>
      </c>
      <c r="HR107" s="1274">
        <v>19559.759999999998</v>
      </c>
      <c r="HS107" s="1242">
        <v>10.701001718560617</v>
      </c>
      <c r="HT107" s="1285">
        <v>71.003</v>
      </c>
      <c r="HU107" s="1259">
        <f t="shared" si="98"/>
        <v>2.5452330528232636</v>
      </c>
      <c r="HV107" s="1294"/>
      <c r="IL107" s="1279">
        <f t="shared" si="103"/>
        <v>2.5452330528232636</v>
      </c>
    </row>
    <row r="108" spans="7:246" ht="22.8">
      <c r="BD108" s="2212">
        <v>2030</v>
      </c>
      <c r="BE108" s="977"/>
      <c r="BF108" s="777"/>
      <c r="BG108" s="765"/>
      <c r="BH108" s="2270">
        <f t="shared" si="107"/>
        <v>0.53756394993599155</v>
      </c>
      <c r="BI108" s="555"/>
      <c r="BJ108" s="1160"/>
      <c r="BZ108" s="2272">
        <f t="shared" si="108"/>
        <v>0.53756394993599155</v>
      </c>
      <c r="CC108" s="945">
        <v>2007</v>
      </c>
      <c r="CD108" s="1118">
        <v>0.40208306466662297</v>
      </c>
      <c r="CE108" s="1120"/>
      <c r="CF108" s="1120">
        <v>0.34223846853003126</v>
      </c>
      <c r="CG108" s="1123"/>
      <c r="CV108" s="1389">
        <f t="shared" si="99"/>
        <v>0.40208306466662297</v>
      </c>
      <c r="CW108" s="1389">
        <f t="shared" si="100"/>
        <v>0.34223846853003126</v>
      </c>
      <c r="CZ108" s="1216">
        <v>2008</v>
      </c>
      <c r="DA108" s="2314">
        <v>71.003</v>
      </c>
      <c r="DB108" s="1211">
        <f t="shared" si="101"/>
        <v>2574.2110575957295</v>
      </c>
      <c r="DR108" s="1218">
        <v>2008</v>
      </c>
      <c r="DS108" s="1274">
        <v>19966.954699999998</v>
      </c>
      <c r="DT108" s="2329">
        <v>25244</v>
      </c>
      <c r="EG108" s="460"/>
      <c r="EH108" s="461"/>
      <c r="EI108" s="24"/>
      <c r="EL108" s="1254">
        <v>2008</v>
      </c>
      <c r="EM108" s="2329">
        <f t="shared" si="97"/>
        <v>25244</v>
      </c>
      <c r="EN108" s="2329">
        <f t="shared" si="104"/>
        <v>25244</v>
      </c>
      <c r="EO108" s="2329"/>
      <c r="EP108" s="2407">
        <v>41276.849199999997</v>
      </c>
      <c r="FA108" s="460"/>
      <c r="FB108" s="461"/>
      <c r="FF108" s="1218">
        <v>2008</v>
      </c>
      <c r="FG108" s="2413">
        <v>2.2402216045051406</v>
      </c>
      <c r="FH108" s="2415">
        <f t="shared" si="110"/>
        <v>2.2402216045051406</v>
      </c>
      <c r="FI108" s="2327"/>
      <c r="FJ108" s="2329"/>
      <c r="FU108" s="460"/>
      <c r="FV108" s="461"/>
      <c r="GA108" s="1254">
        <v>2008</v>
      </c>
      <c r="GB108" s="2420">
        <v>19559.759999999998</v>
      </c>
      <c r="GC108" s="2329">
        <f t="shared" si="105"/>
        <v>19559.759999999998</v>
      </c>
      <c r="GD108" s="2329"/>
      <c r="GE108" s="2407">
        <f t="shared" si="102"/>
        <v>41276.849199999997</v>
      </c>
      <c r="GP108" s="460"/>
      <c r="GQ108" s="461"/>
      <c r="GW108" s="1254">
        <v>2010</v>
      </c>
      <c r="GX108" s="1208">
        <v>225.726</v>
      </c>
      <c r="GY108" s="1209">
        <v>46308.53100000001</v>
      </c>
      <c r="GZ108" s="1209">
        <f t="shared" si="112"/>
        <v>225.726</v>
      </c>
      <c r="HA108" s="946">
        <f t="shared" si="113"/>
        <v>46308.53100000001</v>
      </c>
      <c r="HQ108" s="1290">
        <v>2009</v>
      </c>
      <c r="HR108" s="1274">
        <v>20411.61</v>
      </c>
      <c r="HS108" s="1242">
        <v>11.642689869793951</v>
      </c>
      <c r="HT108" s="1285">
        <v>69.41</v>
      </c>
      <c r="HU108" s="1259">
        <f t="shared" si="98"/>
        <v>2.4972789335593348</v>
      </c>
      <c r="HV108" s="1294"/>
      <c r="IL108" s="1279">
        <f t="shared" si="103"/>
        <v>2.4972789335593348</v>
      </c>
    </row>
    <row r="109" spans="7:246" ht="22.8">
      <c r="I109" s="52"/>
      <c r="J109" s="55"/>
      <c r="BD109" s="2212">
        <v>2031</v>
      </c>
      <c r="BE109" s="977"/>
      <c r="BF109" s="777"/>
      <c r="BG109" s="765"/>
      <c r="BH109" s="2270">
        <f t="shared" si="107"/>
        <v>0.53856394993599155</v>
      </c>
      <c r="BI109" s="555"/>
      <c r="BJ109" s="1160"/>
      <c r="BZ109" s="2272">
        <f t="shared" si="108"/>
        <v>0.53856394993599155</v>
      </c>
      <c r="CC109" s="945">
        <v>2008</v>
      </c>
      <c r="CD109" s="1118">
        <v>0.38772000068261031</v>
      </c>
      <c r="CE109" s="1120"/>
      <c r="CF109" s="1120">
        <v>0.33897422577496544</v>
      </c>
      <c r="CG109" s="1123"/>
      <c r="CV109" s="1389">
        <f t="shared" si="99"/>
        <v>0.38772000068261031</v>
      </c>
      <c r="CW109" s="1389">
        <f t="shared" si="100"/>
        <v>0.33897422577496544</v>
      </c>
      <c r="CZ109" s="1216">
        <v>2009</v>
      </c>
      <c r="DA109" s="2314">
        <v>69.41</v>
      </c>
      <c r="DB109" s="1211">
        <f t="shared" si="101"/>
        <v>2370.848384045667</v>
      </c>
      <c r="DR109" s="1218">
        <v>2009</v>
      </c>
      <c r="DS109" s="1274">
        <v>20986.036</v>
      </c>
      <c r="DT109" s="2329">
        <v>28697.5</v>
      </c>
      <c r="EG109" s="460"/>
      <c r="EH109" s="461"/>
      <c r="EI109" s="24"/>
      <c r="EL109" s="1254">
        <v>2009</v>
      </c>
      <c r="EM109" s="2329">
        <f t="shared" si="97"/>
        <v>28697.5</v>
      </c>
      <c r="EN109" s="2329">
        <f t="shared" si="104"/>
        <v>28697.5</v>
      </c>
      <c r="EO109" s="2329"/>
      <c r="EP109" s="2407">
        <v>38807.270899999996</v>
      </c>
      <c r="FA109" s="460"/>
      <c r="FB109" s="461"/>
      <c r="FF109" s="1218">
        <v>2009</v>
      </c>
      <c r="FG109" s="2413">
        <v>2.1259703026753782</v>
      </c>
      <c r="FH109" s="2327"/>
      <c r="FI109" s="2327"/>
      <c r="FJ109" s="2329"/>
      <c r="FU109" s="460"/>
      <c r="FV109" s="461"/>
      <c r="GA109" s="1254">
        <v>2009</v>
      </c>
      <c r="GB109" s="2420">
        <v>20411.61</v>
      </c>
      <c r="GC109" s="2329">
        <f t="shared" si="105"/>
        <v>20411.61</v>
      </c>
      <c r="GD109" s="2329"/>
      <c r="GE109" s="2407">
        <f t="shared" si="102"/>
        <v>38807.270899999996</v>
      </c>
      <c r="GP109" s="460"/>
      <c r="GQ109" s="461"/>
      <c r="GW109" s="1254">
        <v>2011</v>
      </c>
      <c r="GX109" s="1208">
        <v>225.33240000000001</v>
      </c>
      <c r="GY109" s="1209">
        <v>60282.540400000005</v>
      </c>
      <c r="GZ109" s="1209">
        <f t="shared" si="112"/>
        <v>225.33240000000001</v>
      </c>
      <c r="HA109" s="946">
        <f t="shared" si="113"/>
        <v>60282.540400000005</v>
      </c>
      <c r="HQ109" s="1290">
        <v>2010</v>
      </c>
      <c r="HR109" s="1274">
        <v>22995.63</v>
      </c>
      <c r="HS109" s="1242">
        <v>12.664918040361862</v>
      </c>
      <c r="HT109" s="1285">
        <v>69.933708461473046</v>
      </c>
      <c r="HU109" s="1259">
        <f t="shared" si="98"/>
        <v>2.5669743863224377</v>
      </c>
      <c r="HV109" s="1294"/>
      <c r="IL109" s="1279">
        <f t="shared" si="103"/>
        <v>2.5669743863224377</v>
      </c>
    </row>
    <row r="110" spans="7:246" ht="22.8">
      <c r="I110" s="52"/>
      <c r="J110" s="55"/>
      <c r="BD110" s="2212">
        <v>2032</v>
      </c>
      <c r="BE110" s="977"/>
      <c r="BF110" s="777"/>
      <c r="BG110" s="765"/>
      <c r="BH110" s="2270">
        <f t="shared" si="107"/>
        <v>0.53956394993599155</v>
      </c>
      <c r="BI110" s="555"/>
      <c r="BJ110" s="1160"/>
      <c r="BZ110" s="2272">
        <f t="shared" si="108"/>
        <v>0.53956394993599155</v>
      </c>
      <c r="CC110" s="945">
        <v>2009</v>
      </c>
      <c r="CD110" s="1118">
        <v>0.35044252977777157</v>
      </c>
      <c r="CE110" s="1120"/>
      <c r="CF110" s="1120">
        <v>0.41353903767234651</v>
      </c>
      <c r="CG110" s="1123"/>
      <c r="CV110" s="1389">
        <f t="shared" si="99"/>
        <v>0.35044252977777157</v>
      </c>
      <c r="CW110" s="1389">
        <f t="shared" si="100"/>
        <v>0.41353903767234651</v>
      </c>
      <c r="CZ110" s="1216">
        <v>2010</v>
      </c>
      <c r="DA110" s="2314">
        <v>69.933708461473046</v>
      </c>
      <c r="DB110" s="1211">
        <f t="shared" si="101"/>
        <v>2477.5365613277218</v>
      </c>
      <c r="DR110" s="1218">
        <v>2010</v>
      </c>
      <c r="DS110" s="2401">
        <v>23617.623</v>
      </c>
      <c r="DT110" s="2329">
        <v>32498.3</v>
      </c>
      <c r="EG110" s="460"/>
      <c r="EH110" s="461"/>
      <c r="EI110" s="24"/>
      <c r="EL110" s="1254">
        <v>2010</v>
      </c>
      <c r="EM110" s="2329">
        <f t="shared" si="97"/>
        <v>32498.3</v>
      </c>
      <c r="EN110" s="2329">
        <f t="shared" si="104"/>
        <v>32498.3</v>
      </c>
      <c r="EO110" s="2329"/>
      <c r="EP110" s="2408">
        <v>46308.53100000001</v>
      </c>
      <c r="FA110" s="460"/>
      <c r="FB110" s="461"/>
      <c r="FF110" s="1218">
        <v>2010</v>
      </c>
      <c r="FG110" s="2413">
        <v>2.2428986693225239</v>
      </c>
      <c r="FH110" s="2327"/>
      <c r="FI110" s="2415">
        <f>FG110</f>
        <v>2.2428986693225239</v>
      </c>
      <c r="FJ110" s="2329"/>
      <c r="FU110" s="460"/>
      <c r="FV110" s="461"/>
      <c r="GA110" s="1254">
        <v>2010</v>
      </c>
      <c r="GB110" s="2420">
        <v>22995.63</v>
      </c>
      <c r="GC110" s="2329">
        <f t="shared" si="105"/>
        <v>22995.63</v>
      </c>
      <c r="GD110" s="2329"/>
      <c r="GE110" s="2407">
        <f t="shared" si="102"/>
        <v>46308.53100000001</v>
      </c>
      <c r="GP110" s="460"/>
      <c r="GQ110" s="461"/>
      <c r="GW110" s="1254">
        <v>2012</v>
      </c>
      <c r="GX110" s="1208">
        <v>247.44670000000002</v>
      </c>
      <c r="GY110" s="1209">
        <v>68163.883100000006</v>
      </c>
      <c r="GZ110" s="1209">
        <f t="shared" si="112"/>
        <v>247.44670000000002</v>
      </c>
      <c r="HA110" s="946">
        <f t="shared" si="113"/>
        <v>68163.883100000006</v>
      </c>
      <c r="HQ110" s="1290">
        <v>2011</v>
      </c>
      <c r="HR110" s="1274">
        <v>26386.6754</v>
      </c>
      <c r="HS110" s="1242">
        <v>13.437478040823935</v>
      </c>
      <c r="HT110" s="1285">
        <v>70.85661311334043</v>
      </c>
      <c r="HU110" s="1259">
        <f t="shared" si="98"/>
        <v>2.7400070660747096</v>
      </c>
      <c r="HV110" s="1294"/>
      <c r="IL110" s="1279">
        <f t="shared" si="103"/>
        <v>2.7400070660747096</v>
      </c>
    </row>
    <row r="111" spans="7:246" ht="22.8">
      <c r="I111" s="52"/>
      <c r="BD111" s="2212">
        <v>2033</v>
      </c>
      <c r="BE111" s="977"/>
      <c r="BF111" s="777"/>
      <c r="BG111" s="765"/>
      <c r="BH111" s="2270">
        <f t="shared" si="107"/>
        <v>0.54056394993599155</v>
      </c>
      <c r="BI111" s="555"/>
      <c r="BJ111" s="1160"/>
      <c r="BZ111" s="2272">
        <f t="shared" si="108"/>
        <v>0.54056394993599155</v>
      </c>
      <c r="CC111" s="945">
        <v>2010</v>
      </c>
      <c r="CD111" s="1118">
        <v>0.34619747575290699</v>
      </c>
      <c r="CE111" s="1120"/>
      <c r="CF111" s="1120">
        <v>0.38042010436044621</v>
      </c>
      <c r="CG111" s="1123"/>
      <c r="CV111" s="1389">
        <f t="shared" si="99"/>
        <v>0.34619747575290699</v>
      </c>
      <c r="CW111" s="1389">
        <f t="shared" si="100"/>
        <v>0.38042010436044621</v>
      </c>
      <c r="CZ111" s="1216">
        <v>2011</v>
      </c>
      <c r="DA111" s="2314">
        <v>70.85661311334043</v>
      </c>
      <c r="DB111" s="1211">
        <f t="shared" si="101"/>
        <v>2584.0706334648135</v>
      </c>
      <c r="DR111" s="1218">
        <v>2011</v>
      </c>
      <c r="DS111" s="1274">
        <v>29939.463500000002</v>
      </c>
      <c r="DT111" s="2329">
        <v>35648.699999999997</v>
      </c>
      <c r="EG111" s="460"/>
      <c r="EH111" s="461"/>
      <c r="EI111" s="24"/>
      <c r="EL111" s="1254">
        <v>2011</v>
      </c>
      <c r="EM111" s="2329">
        <f t="shared" si="97"/>
        <v>35648.699999999997</v>
      </c>
      <c r="EN111" s="2329">
        <f t="shared" si="104"/>
        <v>35648.699999999997</v>
      </c>
      <c r="EO111" s="2329"/>
      <c r="EP111" s="2407">
        <v>60282.540400000005</v>
      </c>
      <c r="FA111" s="460"/>
      <c r="FB111" s="461"/>
      <c r="FF111" s="1218">
        <v>2011</v>
      </c>
      <c r="FG111" s="2413">
        <v>2.3954157788364556</v>
      </c>
      <c r="FH111" s="2327"/>
      <c r="FI111" s="2415">
        <f>FG111</f>
        <v>2.3954157788364556</v>
      </c>
      <c r="FJ111" s="2329"/>
      <c r="FU111" s="460"/>
      <c r="FV111" s="461"/>
      <c r="GA111" s="1254">
        <v>2011</v>
      </c>
      <c r="GB111" s="2420">
        <v>26386.6754</v>
      </c>
      <c r="GC111" s="2329">
        <f t="shared" si="105"/>
        <v>26386.6754</v>
      </c>
      <c r="GD111" s="2329"/>
      <c r="GE111" s="2407">
        <f t="shared" si="102"/>
        <v>60282.540400000005</v>
      </c>
      <c r="GP111" s="460"/>
      <c r="GQ111" s="461"/>
      <c r="GW111" s="1254">
        <v>2013</v>
      </c>
      <c r="GX111" s="1208">
        <v>257.19670000000002</v>
      </c>
      <c r="GY111" s="1209">
        <v>73133.89509999998</v>
      </c>
      <c r="GZ111" s="1209">
        <f t="shared" si="112"/>
        <v>257.19670000000002</v>
      </c>
      <c r="HA111" s="946">
        <f t="shared" si="113"/>
        <v>73133.89509999998</v>
      </c>
      <c r="HQ111" s="1290">
        <v>2012</v>
      </c>
      <c r="HR111" s="1274">
        <v>30201.161499999998</v>
      </c>
      <c r="HS111" s="1242">
        <v>14.324351591518315</v>
      </c>
      <c r="HT111" s="1285">
        <v>71.545415863579535</v>
      </c>
      <c r="HU111" s="1259">
        <f t="shared" si="98"/>
        <v>2.9136140751903352</v>
      </c>
      <c r="HV111" s="1294"/>
      <c r="IL111" s="1279">
        <f t="shared" si="103"/>
        <v>2.9136140751903352</v>
      </c>
    </row>
    <row r="112" spans="7:246" ht="22.8">
      <c r="I112" s="52"/>
      <c r="J112" s="70"/>
      <c r="BD112" s="2212">
        <v>2034</v>
      </c>
      <c r="BE112" s="977"/>
      <c r="BF112" s="777"/>
      <c r="BG112" s="765"/>
      <c r="BH112" s="2270">
        <f t="shared" si="107"/>
        <v>0.54156394993599155</v>
      </c>
      <c r="BI112" s="555"/>
      <c r="BJ112" s="1160"/>
      <c r="BZ112" s="2272">
        <f t="shared" si="108"/>
        <v>0.54156394993599155</v>
      </c>
      <c r="CC112" s="945">
        <v>2011</v>
      </c>
      <c r="CD112" s="1118">
        <v>0.34595423254591307</v>
      </c>
      <c r="CE112" s="1120"/>
      <c r="CF112" s="1120">
        <v>0.33168807862649402</v>
      </c>
      <c r="CG112" s="1123"/>
      <c r="CV112" s="1389">
        <f t="shared" ref="CV112:CV117" si="114">CD112</f>
        <v>0.34595423254591307</v>
      </c>
      <c r="CW112" s="1389">
        <f t="shared" ref="CW112:CW117" si="115">CF112</f>
        <v>0.33168807862649402</v>
      </c>
      <c r="CZ112" s="1216">
        <v>2012</v>
      </c>
      <c r="DA112" s="2314">
        <v>71.545415863579535</v>
      </c>
      <c r="DB112" s="1211">
        <f t="shared" si="101"/>
        <v>2678.541712402734</v>
      </c>
      <c r="DR112" s="1218">
        <v>2012</v>
      </c>
      <c r="DS112" s="1274">
        <v>34492.361700000001</v>
      </c>
      <c r="DT112" s="2329">
        <v>39904</v>
      </c>
      <c r="EG112" s="460"/>
      <c r="EH112" s="461"/>
      <c r="EI112" s="24"/>
      <c r="EL112" s="1254">
        <v>2012</v>
      </c>
      <c r="EM112" s="2329">
        <f t="shared" si="97"/>
        <v>39904</v>
      </c>
      <c r="EN112" s="2329">
        <f t="shared" si="104"/>
        <v>39904</v>
      </c>
      <c r="EO112" s="2329"/>
      <c r="EP112" s="2407">
        <v>68163.883100000006</v>
      </c>
      <c r="FA112" s="460"/>
      <c r="FB112" s="461"/>
      <c r="FF112" s="1218">
        <v>2012</v>
      </c>
      <c r="FG112" s="2413">
        <v>2.5846536253645356</v>
      </c>
      <c r="FH112" s="2327"/>
      <c r="FI112" s="2415">
        <f t="shared" ref="FI112:FI113" si="116">FG112</f>
        <v>2.5846536253645356</v>
      </c>
      <c r="FJ112" s="2329"/>
      <c r="FU112" s="460"/>
      <c r="FV112" s="461"/>
      <c r="GA112" s="1254">
        <v>2012</v>
      </c>
      <c r="GB112" s="2420">
        <v>30201.161499999998</v>
      </c>
      <c r="GC112" s="2329">
        <f t="shared" si="105"/>
        <v>30201.161499999998</v>
      </c>
      <c r="GD112" s="2329"/>
      <c r="GE112" s="2407">
        <f t="shared" si="102"/>
        <v>68163.883100000006</v>
      </c>
      <c r="GP112" s="460"/>
      <c r="GQ112" s="461"/>
      <c r="GW112" s="1254">
        <v>2014</v>
      </c>
      <c r="GX112" s="1208">
        <v>290.19099999999997</v>
      </c>
      <c r="GY112" s="1209">
        <v>79199.658500000005</v>
      </c>
      <c r="GZ112" s="1209">
        <f t="shared" si="112"/>
        <v>290.19099999999997</v>
      </c>
      <c r="HA112" s="946">
        <f t="shared" si="113"/>
        <v>79199.658500000005</v>
      </c>
      <c r="HQ112" s="1290">
        <v>2013</v>
      </c>
      <c r="HR112" s="1274">
        <v>33792.282200000001</v>
      </c>
      <c r="HS112" s="1242">
        <v>15.255434444967005</v>
      </c>
      <c r="HT112" s="1285">
        <v>71.391459581339006</v>
      </c>
      <c r="HU112" s="1259">
        <f t="shared" si="98"/>
        <v>3.0676926627762775</v>
      </c>
      <c r="HV112" s="1294"/>
      <c r="IL112" s="1279">
        <f t="shared" si="103"/>
        <v>3.0676926627762775</v>
      </c>
    </row>
    <row r="113" spans="9:246" ht="22.8">
      <c r="I113" s="52"/>
      <c r="J113" s="87"/>
      <c r="BD113" s="2213">
        <v>2035</v>
      </c>
      <c r="BE113" s="1784"/>
      <c r="BF113" s="796"/>
      <c r="BG113" s="1360"/>
      <c r="BH113" s="2271">
        <f t="shared" si="107"/>
        <v>0.54256394993599155</v>
      </c>
      <c r="BI113" s="557"/>
      <c r="BJ113" s="1162"/>
      <c r="BZ113" s="2273">
        <f t="shared" si="108"/>
        <v>0.54256394993599155</v>
      </c>
      <c r="CC113" s="945">
        <v>2012</v>
      </c>
      <c r="CD113" s="1118">
        <v>0.34380377018163161</v>
      </c>
      <c r="CE113" s="1120"/>
      <c r="CF113" s="1120">
        <v>0.33998943349517013</v>
      </c>
      <c r="CG113" s="1123"/>
      <c r="CV113" s="1389">
        <f t="shared" si="114"/>
        <v>0.34380377018163161</v>
      </c>
      <c r="CW113" s="1389">
        <f t="shared" si="115"/>
        <v>0.33998943349517013</v>
      </c>
      <c r="CZ113" s="1216">
        <v>2013</v>
      </c>
      <c r="DA113" s="2314">
        <v>71.391459581339006</v>
      </c>
      <c r="DB113" s="1211">
        <f t="shared" si="101"/>
        <v>2726.3631774238834</v>
      </c>
      <c r="DR113" s="1218">
        <v>2013</v>
      </c>
      <c r="DS113" s="1274">
        <v>38465.140799999994</v>
      </c>
      <c r="DT113" s="2329">
        <v>44650</v>
      </c>
      <c r="EG113" s="460"/>
      <c r="EH113" s="461"/>
      <c r="EI113" s="24"/>
      <c r="EL113" s="1254">
        <v>2013</v>
      </c>
      <c r="EM113" s="2329">
        <f t="shared" si="97"/>
        <v>44650</v>
      </c>
      <c r="EN113" s="2329">
        <f t="shared" si="104"/>
        <v>44650</v>
      </c>
      <c r="EO113" s="2329"/>
      <c r="EP113" s="2407">
        <v>73133.89509999998</v>
      </c>
      <c r="FA113" s="460"/>
      <c r="FB113" s="461"/>
      <c r="FF113" s="1218">
        <v>2013</v>
      </c>
      <c r="FG113" s="2413">
        <v>2.7190556138834916</v>
      </c>
      <c r="FH113" s="2327"/>
      <c r="FI113" s="2415">
        <f t="shared" si="116"/>
        <v>2.7190556138834916</v>
      </c>
      <c r="FJ113" s="2329"/>
      <c r="FU113" s="460"/>
      <c r="FV113" s="461"/>
      <c r="GA113" s="1254">
        <v>2013</v>
      </c>
      <c r="GB113" s="2420">
        <v>33792.282200000001</v>
      </c>
      <c r="GC113" s="2329">
        <f t="shared" si="105"/>
        <v>33792.282200000001</v>
      </c>
      <c r="GD113" s="2329"/>
      <c r="GE113" s="2407">
        <f t="shared" si="102"/>
        <v>73133.89509999998</v>
      </c>
      <c r="GP113" s="460"/>
      <c r="GQ113" s="461"/>
      <c r="GW113" s="1254">
        <v>2015</v>
      </c>
      <c r="GX113" s="1208">
        <v>314.08699999999999</v>
      </c>
      <c r="GY113" s="1209">
        <v>83232.618400000007</v>
      </c>
      <c r="GZ113" s="1209">
        <f t="shared" si="112"/>
        <v>314.08699999999999</v>
      </c>
      <c r="HA113" s="946">
        <f t="shared" si="113"/>
        <v>83232.618400000007</v>
      </c>
      <c r="HQ113" s="1290">
        <v>2014</v>
      </c>
      <c r="HR113" s="1274">
        <v>37387.176399999997</v>
      </c>
      <c r="HS113" s="1242">
        <v>16.994553971693247</v>
      </c>
      <c r="HT113" s="1285">
        <v>71.539043569577998</v>
      </c>
      <c r="HU113" s="1259">
        <f t="shared" si="98"/>
        <v>3.0404294602847233</v>
      </c>
      <c r="HV113" s="1294"/>
      <c r="IL113" s="1279">
        <f t="shared" si="103"/>
        <v>3.0404294602847233</v>
      </c>
    </row>
    <row r="114" spans="9:246" ht="21">
      <c r="I114" s="86"/>
      <c r="J114" s="87"/>
      <c r="CC114" s="945">
        <v>2013</v>
      </c>
      <c r="CD114" s="1118">
        <v>0.33420891867688862</v>
      </c>
      <c r="CE114" s="1120"/>
      <c r="CF114" s="1120">
        <v>0.3458040894091528</v>
      </c>
      <c r="CG114" s="1123"/>
      <c r="CV114" s="1389">
        <f t="shared" si="114"/>
        <v>0.33420891867688862</v>
      </c>
      <c r="CW114" s="1389">
        <f t="shared" si="115"/>
        <v>0.3458040894091528</v>
      </c>
      <c r="CZ114" s="1216">
        <v>2014</v>
      </c>
      <c r="DA114" s="2314">
        <v>71.539043569577998</v>
      </c>
      <c r="DB114" s="1211">
        <f t="shared" si="101"/>
        <v>2746.5001169353304</v>
      </c>
      <c r="DR114" s="1218">
        <v>2014</v>
      </c>
      <c r="DS114" s="1274">
        <v>41954.83</v>
      </c>
      <c r="DT114" s="2329">
        <v>47921</v>
      </c>
      <c r="EL114" s="1254">
        <v>2014</v>
      </c>
      <c r="EM114" s="2329">
        <f t="shared" si="97"/>
        <v>47921</v>
      </c>
      <c r="EN114" s="2329">
        <f t="shared" si="104"/>
        <v>47921</v>
      </c>
      <c r="EO114" s="2329"/>
      <c r="EP114" s="2407">
        <v>79058</v>
      </c>
      <c r="FF114" s="1218">
        <v>2014</v>
      </c>
      <c r="FG114" s="2413">
        <v>2.7734367261611617</v>
      </c>
      <c r="FH114" s="2327"/>
      <c r="FI114" s="2327"/>
      <c r="FJ114" s="2329"/>
      <c r="GA114" s="1254">
        <v>2014</v>
      </c>
      <c r="GB114" s="2420">
        <v>37430.46</v>
      </c>
      <c r="GC114" s="2329">
        <f t="shared" si="105"/>
        <v>37430.46</v>
      </c>
      <c r="GD114" s="2329"/>
      <c r="GE114" s="2407">
        <f t="shared" si="102"/>
        <v>79058</v>
      </c>
      <c r="GW114" s="1254">
        <v>2016</v>
      </c>
      <c r="GX114" s="1212">
        <v>344.22899999999998</v>
      </c>
      <c r="GY114" s="1209">
        <v>86043.648900000015</v>
      </c>
      <c r="GZ114" s="1209">
        <f t="shared" si="112"/>
        <v>344.22899999999998</v>
      </c>
      <c r="HA114" s="946">
        <f t="shared" si="113"/>
        <v>86043.648900000015</v>
      </c>
      <c r="HQ114" s="1290">
        <v>2015</v>
      </c>
      <c r="HR114" s="1274">
        <v>38091.4522</v>
      </c>
      <c r="HS114" s="1242">
        <v>19.186851434041674</v>
      </c>
      <c r="HT114" s="1285">
        <v>72.323622532452006</v>
      </c>
      <c r="HU114" s="1259">
        <f t="shared" si="98"/>
        <v>2.7139935535586104</v>
      </c>
      <c r="HV114" s="1294">
        <f>HU114</f>
        <v>2.7139935535586104</v>
      </c>
      <c r="IL114" s="1279">
        <f t="shared" si="103"/>
        <v>2.7139935535586104</v>
      </c>
    </row>
    <row r="115" spans="9:246" ht="20.399999999999999">
      <c r="I115" s="86"/>
      <c r="J115" s="87"/>
      <c r="CC115" s="945">
        <v>2014</v>
      </c>
      <c r="CD115" s="1118">
        <v>0.33855950683595232</v>
      </c>
      <c r="CE115" s="1120"/>
      <c r="CF115" s="1120">
        <v>0.34926044619122454</v>
      </c>
      <c r="CG115" s="1123"/>
      <c r="CV115" s="1389">
        <f t="shared" si="114"/>
        <v>0.33855950683595232</v>
      </c>
      <c r="CW115" s="1389">
        <f t="shared" si="115"/>
        <v>0.34926044619122454</v>
      </c>
      <c r="CZ115" s="1218">
        <v>2015</v>
      </c>
      <c r="DA115" s="2314">
        <v>72.323622532452006</v>
      </c>
      <c r="DB115" s="1211">
        <f t="shared" si="101"/>
        <v>2683.3306142458177</v>
      </c>
      <c r="DR115" s="2403">
        <v>2015</v>
      </c>
      <c r="DS115" s="2402">
        <v>43242.32</v>
      </c>
      <c r="DT115" s="2329">
        <v>53526</v>
      </c>
      <c r="EL115" s="1254">
        <v>2015</v>
      </c>
      <c r="EM115" s="2329">
        <f t="shared" si="97"/>
        <v>53526</v>
      </c>
      <c r="EN115" s="2329"/>
      <c r="EO115" s="2329">
        <f>EM115</f>
        <v>53526</v>
      </c>
      <c r="EP115" s="2407">
        <v>83094</v>
      </c>
      <c r="FF115" s="1218">
        <v>2015</v>
      </c>
      <c r="FG115" s="2413">
        <v>2.5127336739020127</v>
      </c>
      <c r="FH115" s="2327"/>
      <c r="FI115" s="2327"/>
      <c r="FJ115" s="2329"/>
      <c r="GA115" s="1254">
        <v>2015</v>
      </c>
      <c r="GB115" s="2420">
        <v>37745.49</v>
      </c>
      <c r="GC115" s="2329"/>
      <c r="GD115" s="2329"/>
      <c r="GE115" s="2407">
        <f t="shared" si="102"/>
        <v>83094</v>
      </c>
      <c r="GW115" s="1254">
        <v>2017</v>
      </c>
      <c r="GX115" s="1213"/>
      <c r="GY115" s="1120"/>
      <c r="GZ115" s="765"/>
      <c r="HA115" s="1211"/>
      <c r="HQ115" s="1290">
        <v>2016</v>
      </c>
      <c r="HR115" s="1274">
        <v>40779.2886</v>
      </c>
      <c r="HS115" s="1242">
        <v>20.222941411479926</v>
      </c>
      <c r="HT115" s="1285">
        <v>72.393000000000001</v>
      </c>
      <c r="HU115" s="1259">
        <f t="shared" si="98"/>
        <v>2.7539998517348616</v>
      </c>
      <c r="HV115" s="1294">
        <f>HU115</f>
        <v>2.7539998517348616</v>
      </c>
      <c r="IL115" s="1279">
        <f t="shared" si="103"/>
        <v>2.7539998517348616</v>
      </c>
    </row>
    <row r="116" spans="9:246" ht="20.399999999999999">
      <c r="I116" s="86"/>
      <c r="J116" s="87"/>
      <c r="CC116" s="945">
        <v>2015</v>
      </c>
      <c r="CD116" s="1118">
        <v>0.32399334250363743</v>
      </c>
      <c r="CE116" s="1120"/>
      <c r="CF116" s="1120">
        <v>0.357930688386568</v>
      </c>
      <c r="CG116" s="1123"/>
      <c r="CV116" s="1389">
        <f t="shared" si="114"/>
        <v>0.32399334250363743</v>
      </c>
      <c r="CW116" s="1389">
        <f t="shared" si="115"/>
        <v>0.357930688386568</v>
      </c>
      <c r="CZ116" s="1218">
        <v>2016</v>
      </c>
      <c r="DA116" s="2314">
        <v>72.393000000000001</v>
      </c>
      <c r="DB116" s="1211">
        <f t="shared" si="101"/>
        <v>2688.6972754743092</v>
      </c>
      <c r="DR116" s="1218">
        <v>2016</v>
      </c>
      <c r="DS116" s="1274">
        <v>45317.05</v>
      </c>
      <c r="DT116" s="2329">
        <v>54117</v>
      </c>
      <c r="EL116" s="1254">
        <v>2016</v>
      </c>
      <c r="EM116" s="2329">
        <f t="shared" si="97"/>
        <v>54117</v>
      </c>
      <c r="EN116" s="2329"/>
      <c r="EO116" s="2329">
        <f t="shared" ref="EO116:EO118" si="117">EM116</f>
        <v>54117</v>
      </c>
      <c r="EP116" s="2407">
        <v>86014</v>
      </c>
      <c r="FF116" s="1218">
        <v>2016</v>
      </c>
      <c r="FG116" s="2413">
        <v>2.4649917340978744</v>
      </c>
      <c r="FH116" s="2327"/>
      <c r="FI116" s="2327"/>
      <c r="FJ116" s="2416">
        <f>FG116</f>
        <v>2.4649917340978744</v>
      </c>
      <c r="GA116" s="1254">
        <v>2016</v>
      </c>
      <c r="GB116" s="2420">
        <v>41245.360000000001</v>
      </c>
      <c r="GC116" s="2329"/>
      <c r="GD116" s="2329">
        <f>GB116</f>
        <v>41245.360000000001</v>
      </c>
      <c r="GE116" s="2407">
        <f t="shared" si="102"/>
        <v>86014</v>
      </c>
      <c r="GW116" s="1254">
        <v>2018</v>
      </c>
      <c r="GX116" s="432"/>
      <c r="GY116" s="437"/>
      <c r="GZ116" s="765"/>
      <c r="HA116" s="364"/>
      <c r="HQ116" s="1290">
        <v>2017</v>
      </c>
      <c r="HR116" s="1271"/>
      <c r="HS116" s="1246"/>
      <c r="HT116" s="555"/>
      <c r="HU116" s="1259"/>
      <c r="HV116" s="1294">
        <f>HV115+0.9*(HV115-HV114)</f>
        <v>2.7900055200934877</v>
      </c>
      <c r="IL116" s="1279">
        <f>HV116</f>
        <v>2.7900055200934877</v>
      </c>
    </row>
    <row r="117" spans="9:246" ht="22.8">
      <c r="BE117" s="1038" t="s">
        <v>1874</v>
      </c>
      <c r="CC117" s="945">
        <v>2016</v>
      </c>
      <c r="CD117" s="1118">
        <v>0.32764357513061798</v>
      </c>
      <c r="CE117" s="1120"/>
      <c r="CF117" s="1120">
        <v>0.36417242734339217</v>
      </c>
      <c r="CG117" s="1123"/>
      <c r="CV117" s="1389">
        <f t="shared" si="114"/>
        <v>0.32764357513061798</v>
      </c>
      <c r="CW117" s="1389">
        <f t="shared" si="115"/>
        <v>0.36417242734339217</v>
      </c>
      <c r="CZ117" s="1218">
        <v>2017</v>
      </c>
      <c r="DA117" s="2314">
        <v>72.141999999999996</v>
      </c>
      <c r="DB117" s="1211">
        <f t="shared" si="101"/>
        <v>2737.093826432847</v>
      </c>
      <c r="DR117" s="1218">
        <v>2017</v>
      </c>
      <c r="DS117" s="1274">
        <v>48135.66</v>
      </c>
      <c r="DT117" s="2404">
        <v>55368</v>
      </c>
      <c r="EL117" s="1254">
        <v>2017</v>
      </c>
      <c r="EM117" s="2329">
        <f t="shared" si="97"/>
        <v>55368</v>
      </c>
      <c r="EN117" s="2404"/>
      <c r="EO117" s="2329">
        <f t="shared" si="117"/>
        <v>55368</v>
      </c>
      <c r="EP117" s="2407">
        <v>92101</v>
      </c>
      <c r="FF117" s="1218">
        <v>2017</v>
      </c>
      <c r="FG117" s="2413">
        <v>2.5463364613231039</v>
      </c>
      <c r="FH117" s="2402"/>
      <c r="FI117" s="2402"/>
      <c r="FJ117" s="2416">
        <f t="shared" ref="FJ117:FJ118" si="118">FG117</f>
        <v>2.5463364613231039</v>
      </c>
      <c r="GA117" s="1254">
        <v>2017</v>
      </c>
      <c r="GB117" s="2420">
        <v>43884.32</v>
      </c>
      <c r="GC117" s="2404"/>
      <c r="GD117" s="2329">
        <f t="shared" ref="GD117:GD118" si="119">GB117</f>
        <v>43884.32</v>
      </c>
      <c r="GE117" s="2407">
        <f t="shared" si="102"/>
        <v>92101</v>
      </c>
      <c r="GW117" s="1254">
        <v>2019</v>
      </c>
      <c r="GX117" s="432"/>
      <c r="GY117" s="437"/>
      <c r="GZ117" s="765"/>
      <c r="HA117" s="364"/>
      <c r="HQ117" s="1290">
        <v>2018</v>
      </c>
      <c r="HR117" s="1271"/>
      <c r="HS117" s="1246"/>
      <c r="HT117" s="555"/>
      <c r="HU117" s="1259"/>
      <c r="HV117" s="1294">
        <f>HV116+0.8*(HV116-HV115)</f>
        <v>2.8188100547803887</v>
      </c>
      <c r="IL117" s="1279">
        <f t="shared" ref="IL117:IL129" si="120">HV117</f>
        <v>2.8188100547803887</v>
      </c>
    </row>
    <row r="118" spans="9:246" ht="21">
      <c r="BD118" s="551" t="s">
        <v>368</v>
      </c>
      <c r="BE118" s="1343" t="s">
        <v>1528</v>
      </c>
      <c r="BF118" s="1344" t="s">
        <v>687</v>
      </c>
      <c r="BG118" s="1343" t="s">
        <v>1375</v>
      </c>
      <c r="BH118" s="1344" t="s">
        <v>687</v>
      </c>
      <c r="BZ118" s="1280" t="s">
        <v>1830</v>
      </c>
      <c r="CC118" s="945">
        <v>2017</v>
      </c>
      <c r="CD118" s="2340">
        <v>0.33709607265214603</v>
      </c>
      <c r="CE118" s="1120">
        <f>CD118</f>
        <v>0.33709607265214603</v>
      </c>
      <c r="CF118" s="1119">
        <v>0.35174298224108358</v>
      </c>
      <c r="CG118" s="1123">
        <f t="shared" ref="CG118:CG119" si="121">CF118</f>
        <v>0.35174298224108358</v>
      </c>
      <c r="CV118" s="1389">
        <f>CE118</f>
        <v>0.33709607265214603</v>
      </c>
      <c r="CW118" s="1389">
        <f>CG118</f>
        <v>0.35174298224108358</v>
      </c>
      <c r="CZ118" s="1218">
        <v>2018</v>
      </c>
      <c r="DA118" s="2314">
        <v>72.353999999999999</v>
      </c>
      <c r="DB118" s="1211">
        <f t="shared" si="101"/>
        <v>2813.7324535729667</v>
      </c>
      <c r="DR118" s="1218">
        <v>2018</v>
      </c>
      <c r="DS118" s="1274">
        <v>50851.05</v>
      </c>
      <c r="DT118" s="2404">
        <v>57500</v>
      </c>
      <c r="EL118" s="1254">
        <v>2018</v>
      </c>
      <c r="EM118" s="2329">
        <f t="shared" si="97"/>
        <v>57500</v>
      </c>
      <c r="EN118" s="2404"/>
      <c r="EO118" s="2329">
        <f t="shared" si="117"/>
        <v>57500</v>
      </c>
      <c r="EP118" s="2407">
        <v>103876</v>
      </c>
      <c r="FF118" s="1218">
        <v>2018</v>
      </c>
      <c r="FG118" s="2413">
        <v>2.6049021999335351</v>
      </c>
      <c r="FH118" s="2402"/>
      <c r="FI118" s="2402"/>
      <c r="FJ118" s="2416">
        <f t="shared" si="118"/>
        <v>2.6049021999335351</v>
      </c>
      <c r="GA118" s="1254">
        <v>2018</v>
      </c>
      <c r="GB118" s="2420">
        <v>48244.37</v>
      </c>
      <c r="GC118" s="2404"/>
      <c r="GD118" s="2329">
        <f t="shared" si="119"/>
        <v>48244.37</v>
      </c>
      <c r="GE118" s="2407">
        <f t="shared" si="102"/>
        <v>103876</v>
      </c>
      <c r="GW118" s="1254">
        <v>2020</v>
      </c>
      <c r="GX118" s="432"/>
      <c r="GY118" s="437"/>
      <c r="GZ118" s="765"/>
      <c r="HA118" s="364"/>
      <c r="HQ118" s="1290">
        <v>2019</v>
      </c>
      <c r="HR118" s="1271"/>
      <c r="HS118" s="1246"/>
      <c r="HT118" s="555"/>
      <c r="HU118" s="1259"/>
      <c r="HV118" s="1294">
        <f>HV117+0.7*(HV117-HV116)</f>
        <v>2.8389732290612195</v>
      </c>
      <c r="IL118" s="1279">
        <f t="shared" si="120"/>
        <v>2.8389732290612195</v>
      </c>
    </row>
    <row r="119" spans="9:246" ht="21">
      <c r="BD119" s="59">
        <v>43128</v>
      </c>
      <c r="BE119" s="1330" t="s">
        <v>1376</v>
      </c>
      <c r="BF119" s="1330" t="s">
        <v>1376</v>
      </c>
      <c r="BG119" s="1329" t="s">
        <v>1376</v>
      </c>
      <c r="BH119" s="1329" t="s">
        <v>1376</v>
      </c>
      <c r="BZ119" s="1506" t="s">
        <v>688</v>
      </c>
      <c r="CC119" s="945">
        <v>2018</v>
      </c>
      <c r="CD119" s="2340">
        <v>0.35927521135817964</v>
      </c>
      <c r="CE119" s="1120">
        <f>CD119</f>
        <v>0.35927521135817964</v>
      </c>
      <c r="CF119" s="1122">
        <v>0.33005762651166104</v>
      </c>
      <c r="CG119" s="1123">
        <f t="shared" si="121"/>
        <v>0.33005762651166104</v>
      </c>
      <c r="CV119" s="1389">
        <f t="shared" ref="CV119:CV131" si="122">CE119</f>
        <v>0.35927521135817964</v>
      </c>
      <c r="CW119" s="1389">
        <f t="shared" ref="CW119:CW131" si="123">CG119</f>
        <v>0.33005762651166104</v>
      </c>
      <c r="CZ119" s="1218">
        <v>2019</v>
      </c>
      <c r="DA119" s="1182"/>
      <c r="DB119" s="558"/>
      <c r="DR119" s="1218">
        <v>2019</v>
      </c>
      <c r="DS119" s="1182"/>
      <c r="DT119" s="777"/>
      <c r="EL119" s="1254">
        <v>2019</v>
      </c>
      <c r="EM119" s="777"/>
      <c r="EN119" s="777"/>
      <c r="EO119" s="777"/>
      <c r="EP119" s="1019"/>
      <c r="FF119" s="1218">
        <v>2019</v>
      </c>
      <c r="FG119" s="1274"/>
      <c r="FH119" s="765"/>
      <c r="FI119" s="765"/>
      <c r="FJ119" s="777"/>
      <c r="GA119" s="1254">
        <v>2019</v>
      </c>
      <c r="GB119" s="777"/>
      <c r="GC119" s="777"/>
      <c r="GD119" s="777"/>
      <c r="GE119" s="1019"/>
      <c r="GW119" s="1254">
        <v>2021</v>
      </c>
      <c r="GX119" s="432"/>
      <c r="GY119" s="437"/>
      <c r="GZ119" s="765"/>
      <c r="HA119" s="364"/>
      <c r="HQ119" s="1290">
        <v>2020</v>
      </c>
      <c r="HR119" s="1271"/>
      <c r="HS119" s="1246"/>
      <c r="HT119" s="555"/>
      <c r="HU119" s="1259"/>
      <c r="HV119" s="1294">
        <f t="shared" ref="HV119:HV129" si="124">HV118+0.7*(HV118-HV117)</f>
        <v>2.8530874510578013</v>
      </c>
      <c r="IL119" s="1279">
        <f t="shared" si="120"/>
        <v>2.8530874510578013</v>
      </c>
    </row>
    <row r="120" spans="9:246" ht="21">
      <c r="BD120" s="1220">
        <v>1995</v>
      </c>
      <c r="BE120" s="1345">
        <v>4.6399999999999997</v>
      </c>
      <c r="BF120" s="1239"/>
      <c r="BG120" s="1346">
        <v>1.65</v>
      </c>
      <c r="BH120" s="1241"/>
      <c r="BZ120" s="2274">
        <f>BE120</f>
        <v>4.6399999999999997</v>
      </c>
      <c r="CC120" s="945">
        <v>2019</v>
      </c>
      <c r="CD120" s="1124"/>
      <c r="CE120" s="1120">
        <f>CE119+0.4*(CE119-CE118)</f>
        <v>0.36814686684059306</v>
      </c>
      <c r="CF120" s="1119"/>
      <c r="CG120" s="1123">
        <f>CG119+0.4*(CG119-CG118)</f>
        <v>0.32138348421989205</v>
      </c>
      <c r="CV120" s="1389">
        <f t="shared" si="122"/>
        <v>0.36814686684059306</v>
      </c>
      <c r="CW120" s="1389">
        <f t="shared" si="123"/>
        <v>0.32138348421989205</v>
      </c>
      <c r="CZ120" s="1218">
        <v>2020</v>
      </c>
      <c r="DA120" s="1182"/>
      <c r="DB120" s="558"/>
      <c r="DR120" s="1218">
        <v>2020</v>
      </c>
      <c r="DS120" s="1182"/>
      <c r="DT120" s="777"/>
      <c r="EL120" s="1254">
        <v>2020</v>
      </c>
      <c r="EM120" s="777"/>
      <c r="EN120" s="777"/>
      <c r="EO120" s="777"/>
      <c r="EP120" s="1019"/>
      <c r="FF120" s="1218">
        <v>2020</v>
      </c>
      <c r="FG120" s="1274"/>
      <c r="FH120" s="765"/>
      <c r="FI120" s="765"/>
      <c r="FJ120" s="777"/>
      <c r="GA120" s="1254">
        <v>2020</v>
      </c>
      <c r="GB120" s="777"/>
      <c r="GC120" s="777"/>
      <c r="GD120" s="777"/>
      <c r="GE120" s="1019"/>
      <c r="GW120" s="1254">
        <v>2022</v>
      </c>
      <c r="GX120" s="432"/>
      <c r="GY120" s="437"/>
      <c r="GZ120" s="765"/>
      <c r="HA120" s="364"/>
      <c r="HQ120" s="1290">
        <v>2021</v>
      </c>
      <c r="HR120" s="1271"/>
      <c r="HS120" s="1246"/>
      <c r="HT120" s="555"/>
      <c r="HU120" s="1259"/>
      <c r="HV120" s="1294">
        <f t="shared" si="124"/>
        <v>2.8629674064554083</v>
      </c>
      <c r="IL120" s="1279">
        <f t="shared" si="120"/>
        <v>2.8629674064554083</v>
      </c>
    </row>
    <row r="121" spans="9:246" ht="21">
      <c r="BD121" s="1221">
        <v>1996</v>
      </c>
      <c r="BE121" s="1346">
        <v>5.56</v>
      </c>
      <c r="BF121" s="1243"/>
      <c r="BG121" s="1346">
        <v>2.35</v>
      </c>
      <c r="BH121" s="1245"/>
      <c r="BZ121" s="2275">
        <f>BE121</f>
        <v>5.56</v>
      </c>
      <c r="CC121" s="945">
        <v>2020</v>
      </c>
      <c r="CD121" s="1124"/>
      <c r="CE121" s="1120">
        <f t="shared" ref="CE121:CE131" si="125">CE120+0.4*(CE120-CE119)</f>
        <v>0.3716955290335584</v>
      </c>
      <c r="CF121" s="1119"/>
      <c r="CG121" s="1123">
        <f t="shared" ref="CG121:CG131" si="126">CG120+0.4*(CG120-CG119)</f>
        <v>0.31791382730318446</v>
      </c>
      <c r="CV121" s="1389">
        <f t="shared" si="122"/>
        <v>0.3716955290335584</v>
      </c>
      <c r="CW121" s="1389">
        <f t="shared" si="123"/>
        <v>0.31791382730318446</v>
      </c>
      <c r="CZ121" s="1218">
        <v>2021</v>
      </c>
      <c r="DA121" s="1182"/>
      <c r="DB121" s="558"/>
      <c r="DR121" s="1218">
        <v>2021</v>
      </c>
      <c r="DS121" s="1182"/>
      <c r="DT121" s="777"/>
      <c r="EL121" s="1254">
        <v>2021</v>
      </c>
      <c r="EM121" s="777"/>
      <c r="EN121" s="777"/>
      <c r="EO121" s="777"/>
      <c r="EP121" s="1019"/>
      <c r="FF121" s="1218">
        <v>2021</v>
      </c>
      <c r="FG121" s="1274"/>
      <c r="FH121" s="765"/>
      <c r="FI121" s="765"/>
      <c r="FJ121" s="777"/>
      <c r="GA121" s="1254">
        <v>2021</v>
      </c>
      <c r="GB121" s="777"/>
      <c r="GC121" s="777"/>
      <c r="GD121" s="777"/>
      <c r="GE121" s="1019"/>
      <c r="GW121" s="1254">
        <v>2023</v>
      </c>
      <c r="GX121" s="432"/>
      <c r="GY121" s="437"/>
      <c r="GZ121" s="765"/>
      <c r="HA121" s="364"/>
      <c r="HQ121" s="1290">
        <v>2022</v>
      </c>
      <c r="HR121" s="1271"/>
      <c r="HS121" s="1246"/>
      <c r="HT121" s="555"/>
      <c r="HU121" s="1259"/>
      <c r="HV121" s="1294">
        <f t="shared" si="124"/>
        <v>2.8698833752337332</v>
      </c>
      <c r="IL121" s="1279">
        <f t="shared" si="120"/>
        <v>2.8698833752337332</v>
      </c>
    </row>
    <row r="122" spans="9:246" ht="21">
      <c r="BD122" s="1221">
        <v>1997</v>
      </c>
      <c r="BE122" s="1346">
        <v>5.8</v>
      </c>
      <c r="BF122" s="1243"/>
      <c r="BG122" s="1346">
        <v>2.63</v>
      </c>
      <c r="BH122" s="1245"/>
      <c r="BZ122" s="2275">
        <f t="shared" ref="BZ122:BZ145" si="127">BE122</f>
        <v>5.8</v>
      </c>
      <c r="CC122" s="945">
        <v>2021</v>
      </c>
      <c r="CD122" s="1124"/>
      <c r="CE122" s="1120">
        <f t="shared" si="125"/>
        <v>0.37311499391074454</v>
      </c>
      <c r="CF122" s="1119"/>
      <c r="CG122" s="1123">
        <f t="shared" si="126"/>
        <v>0.31652596453650145</v>
      </c>
      <c r="CV122" s="1389">
        <f t="shared" si="122"/>
        <v>0.37311499391074454</v>
      </c>
      <c r="CW122" s="1389">
        <f t="shared" si="123"/>
        <v>0.31652596453650145</v>
      </c>
      <c r="CZ122" s="1218">
        <v>2022</v>
      </c>
      <c r="DA122" s="1182"/>
      <c r="DB122" s="558"/>
      <c r="DR122" s="1218">
        <v>2022</v>
      </c>
      <c r="DS122" s="1182"/>
      <c r="DT122" s="777"/>
      <c r="EL122" s="1254">
        <v>2022</v>
      </c>
      <c r="EM122" s="777"/>
      <c r="EN122" s="777"/>
      <c r="EO122" s="777"/>
      <c r="EP122" s="1019"/>
      <c r="FF122" s="1218">
        <v>2022</v>
      </c>
      <c r="FG122" s="1274"/>
      <c r="FH122" s="765"/>
      <c r="FI122" s="765"/>
      <c r="FJ122" s="777"/>
      <c r="GA122" s="1254">
        <v>2022</v>
      </c>
      <c r="GB122" s="777"/>
      <c r="GC122" s="777"/>
      <c r="GD122" s="777"/>
      <c r="GE122" s="1019"/>
      <c r="GW122" s="1254">
        <v>2024</v>
      </c>
      <c r="GX122" s="432"/>
      <c r="GY122" s="437"/>
      <c r="GZ122" s="765"/>
      <c r="HA122" s="364"/>
      <c r="HQ122" s="1290">
        <v>2023</v>
      </c>
      <c r="HR122" s="1271"/>
      <c r="HS122" s="1246"/>
      <c r="HT122" s="555"/>
      <c r="HU122" s="1259"/>
      <c r="HV122" s="1294">
        <f t="shared" si="124"/>
        <v>2.8747245533785604</v>
      </c>
      <c r="IL122" s="1279">
        <f t="shared" si="120"/>
        <v>2.8747245533785604</v>
      </c>
    </row>
    <row r="123" spans="9:246" ht="21">
      <c r="BD123" s="1221">
        <v>1998</v>
      </c>
      <c r="BE123" s="1346">
        <v>6</v>
      </c>
      <c r="BF123" s="1243"/>
      <c r="BG123" s="1346">
        <v>3.02</v>
      </c>
      <c r="BH123" s="1245"/>
      <c r="BZ123" s="2275">
        <f t="shared" si="127"/>
        <v>6</v>
      </c>
      <c r="CC123" s="945">
        <v>2022</v>
      </c>
      <c r="CD123" s="1124"/>
      <c r="CE123" s="1120">
        <f t="shared" si="125"/>
        <v>0.37368277986161902</v>
      </c>
      <c r="CF123" s="1119"/>
      <c r="CG123" s="1123">
        <f t="shared" si="126"/>
        <v>0.31597081942982824</v>
      </c>
      <c r="CV123" s="1389">
        <f t="shared" si="122"/>
        <v>0.37368277986161902</v>
      </c>
      <c r="CW123" s="1389">
        <f t="shared" si="123"/>
        <v>0.31597081942982824</v>
      </c>
      <c r="CZ123" s="1218">
        <v>2023</v>
      </c>
      <c r="DA123" s="1182"/>
      <c r="DB123" s="558"/>
      <c r="DR123" s="1218">
        <v>2023</v>
      </c>
      <c r="DS123" s="1182"/>
      <c r="DT123" s="777"/>
      <c r="EL123" s="1254">
        <v>2023</v>
      </c>
      <c r="EM123" s="777"/>
      <c r="EN123" s="777"/>
      <c r="EO123" s="777"/>
      <c r="EP123" s="1019"/>
      <c r="FF123" s="1218">
        <v>2023</v>
      </c>
      <c r="FG123" s="1274"/>
      <c r="FH123" s="765"/>
      <c r="FI123" s="765"/>
      <c r="FJ123" s="777"/>
      <c r="GA123" s="1254">
        <v>2023</v>
      </c>
      <c r="GB123" s="777"/>
      <c r="GC123" s="777"/>
      <c r="GD123" s="777"/>
      <c r="GE123" s="1019"/>
      <c r="GW123" s="1254">
        <v>2025</v>
      </c>
      <c r="GX123" s="432"/>
      <c r="GY123" s="437"/>
      <c r="GZ123" s="765"/>
      <c r="HA123" s="364"/>
      <c r="HQ123" s="1290">
        <v>2024</v>
      </c>
      <c r="HR123" s="1271"/>
      <c r="HS123" s="1246"/>
      <c r="HT123" s="555"/>
      <c r="HU123" s="1259"/>
      <c r="HV123" s="1294">
        <f t="shared" si="124"/>
        <v>2.8781133780799393</v>
      </c>
      <c r="IL123" s="1279">
        <f t="shared" si="120"/>
        <v>2.8781133780799393</v>
      </c>
    </row>
    <row r="124" spans="9:246" ht="21">
      <c r="BD124" s="1221">
        <v>1999</v>
      </c>
      <c r="BE124" s="1346">
        <v>24.62</v>
      </c>
      <c r="BF124" s="1243"/>
      <c r="BG124" s="1346">
        <v>4.55</v>
      </c>
      <c r="BH124" s="1245"/>
      <c r="BZ124" s="2275">
        <f t="shared" si="127"/>
        <v>24.62</v>
      </c>
      <c r="CC124" s="945">
        <v>2023</v>
      </c>
      <c r="CD124" s="1124"/>
      <c r="CE124" s="1120">
        <f t="shared" si="125"/>
        <v>0.3739098942419688</v>
      </c>
      <c r="CF124" s="1119"/>
      <c r="CG124" s="1123">
        <f t="shared" si="126"/>
        <v>0.31574876138715896</v>
      </c>
      <c r="CV124" s="1389">
        <f t="shared" si="122"/>
        <v>0.3739098942419688</v>
      </c>
      <c r="CW124" s="1389">
        <f t="shared" si="123"/>
        <v>0.31574876138715896</v>
      </c>
      <c r="CZ124" s="1218">
        <v>2024</v>
      </c>
      <c r="DA124" s="1182"/>
      <c r="DB124" s="558"/>
      <c r="DR124" s="1218">
        <v>2024</v>
      </c>
      <c r="DS124" s="1182"/>
      <c r="DT124" s="777"/>
      <c r="EL124" s="1254">
        <v>2024</v>
      </c>
      <c r="EM124" s="777"/>
      <c r="EN124" s="777"/>
      <c r="EO124" s="777"/>
      <c r="EP124" s="1019"/>
      <c r="FF124" s="1218">
        <v>2024</v>
      </c>
      <c r="FG124" s="1274"/>
      <c r="FH124" s="765"/>
      <c r="FI124" s="765"/>
      <c r="FJ124" s="777"/>
      <c r="GA124" s="1254">
        <v>2024</v>
      </c>
      <c r="GB124" s="777"/>
      <c r="GC124" s="777"/>
      <c r="GD124" s="777"/>
      <c r="GE124" s="1019"/>
      <c r="GW124" s="1254">
        <v>2026</v>
      </c>
      <c r="GX124" s="432"/>
      <c r="GY124" s="437"/>
      <c r="GZ124" s="765"/>
      <c r="HA124" s="364"/>
      <c r="HQ124" s="1290">
        <v>2025</v>
      </c>
      <c r="HR124" s="1271"/>
      <c r="HS124" s="1246"/>
      <c r="HT124" s="555"/>
      <c r="HU124" s="1259"/>
      <c r="HV124" s="1294">
        <f t="shared" si="124"/>
        <v>2.8804855553709046</v>
      </c>
      <c r="IL124" s="1279">
        <f t="shared" si="120"/>
        <v>2.8804855553709046</v>
      </c>
    </row>
    <row r="125" spans="9:246" ht="21">
      <c r="BD125" s="1221">
        <v>2000</v>
      </c>
      <c r="BE125" s="1346">
        <v>28.16</v>
      </c>
      <c r="BF125" s="1243"/>
      <c r="BG125" s="1346">
        <v>7.04</v>
      </c>
      <c r="BH125" s="1245"/>
      <c r="BZ125" s="2275">
        <f t="shared" si="127"/>
        <v>28.16</v>
      </c>
      <c r="CC125" s="945">
        <v>2024</v>
      </c>
      <c r="CD125" s="1124"/>
      <c r="CE125" s="1120">
        <f t="shared" si="125"/>
        <v>0.37400073999410871</v>
      </c>
      <c r="CF125" s="1119"/>
      <c r="CG125" s="1123">
        <f t="shared" si="126"/>
        <v>0.31565993817009125</v>
      </c>
      <c r="CV125" s="1389">
        <f t="shared" si="122"/>
        <v>0.37400073999410871</v>
      </c>
      <c r="CW125" s="1389">
        <f t="shared" si="123"/>
        <v>0.31565993817009125</v>
      </c>
      <c r="CZ125" s="1218">
        <v>2025</v>
      </c>
      <c r="DA125" s="1182"/>
      <c r="DB125" s="558"/>
      <c r="DR125" s="1218">
        <v>2025</v>
      </c>
      <c r="DS125" s="1182"/>
      <c r="DT125" s="777"/>
      <c r="EL125" s="1254">
        <v>2025</v>
      </c>
      <c r="EM125" s="777"/>
      <c r="EN125" s="777"/>
      <c r="EO125" s="777"/>
      <c r="EP125" s="1019"/>
      <c r="FF125" s="1218">
        <v>2025</v>
      </c>
      <c r="FG125" s="1274"/>
      <c r="FH125" s="765"/>
      <c r="FI125" s="765"/>
      <c r="FJ125" s="777"/>
      <c r="GA125" s="1254">
        <v>2025</v>
      </c>
      <c r="GB125" s="777"/>
      <c r="GC125" s="777"/>
      <c r="GD125" s="777"/>
      <c r="GE125" s="1019"/>
      <c r="GW125" s="1254">
        <v>2027</v>
      </c>
      <c r="GX125" s="432"/>
      <c r="GY125" s="437"/>
      <c r="GZ125" s="765"/>
      <c r="HA125" s="364"/>
      <c r="HQ125" s="1290">
        <v>2026</v>
      </c>
      <c r="HR125" s="1271"/>
      <c r="HS125" s="1246"/>
      <c r="HT125" s="555"/>
      <c r="HU125" s="1259"/>
      <c r="HV125" s="1294">
        <f t="shared" si="124"/>
        <v>2.8821460794745803</v>
      </c>
      <c r="IL125" s="1279">
        <f t="shared" si="120"/>
        <v>2.8821460794745803</v>
      </c>
    </row>
    <row r="126" spans="9:246" ht="21">
      <c r="BD126" s="1221">
        <v>2001</v>
      </c>
      <c r="BE126" s="1346">
        <v>30.14</v>
      </c>
      <c r="BF126" s="1243"/>
      <c r="BG126" s="1346">
        <v>8.1</v>
      </c>
      <c r="BH126" s="1245"/>
      <c r="BZ126" s="2275">
        <f t="shared" si="127"/>
        <v>30.14</v>
      </c>
      <c r="CC126" s="945">
        <v>2025</v>
      </c>
      <c r="CD126" s="1124"/>
      <c r="CE126" s="1120">
        <f t="shared" si="125"/>
        <v>0.37403707829496469</v>
      </c>
      <c r="CF126" s="1119"/>
      <c r="CG126" s="1123">
        <f t="shared" si="126"/>
        <v>0.31562440888326415</v>
      </c>
      <c r="CV126" s="1389">
        <f t="shared" si="122"/>
        <v>0.37403707829496469</v>
      </c>
      <c r="CW126" s="1389">
        <f t="shared" si="123"/>
        <v>0.31562440888326415</v>
      </c>
      <c r="CZ126" s="1218">
        <v>2026</v>
      </c>
      <c r="DA126" s="1182"/>
      <c r="DB126" s="558"/>
      <c r="DR126" s="1218">
        <v>2026</v>
      </c>
      <c r="DS126" s="1182"/>
      <c r="DT126" s="777"/>
      <c r="EL126" s="1254">
        <v>2026</v>
      </c>
      <c r="EM126" s="777"/>
      <c r="EN126" s="777"/>
      <c r="EO126" s="777"/>
      <c r="EP126" s="1019"/>
      <c r="FF126" s="1218">
        <v>2026</v>
      </c>
      <c r="FG126" s="1274"/>
      <c r="FH126" s="765"/>
      <c r="FI126" s="765"/>
      <c r="FJ126" s="777"/>
      <c r="GA126" s="1254">
        <v>2026</v>
      </c>
      <c r="GB126" s="777"/>
      <c r="GC126" s="777"/>
      <c r="GD126" s="777"/>
      <c r="GE126" s="1019"/>
      <c r="GW126" s="1254">
        <v>2028</v>
      </c>
      <c r="GX126" s="432"/>
      <c r="GY126" s="437"/>
      <c r="GZ126" s="765"/>
      <c r="HA126" s="364"/>
      <c r="HQ126" s="1290">
        <v>2027</v>
      </c>
      <c r="HR126" s="1271"/>
      <c r="HS126" s="1246"/>
      <c r="HT126" s="555"/>
      <c r="HU126" s="1259"/>
      <c r="HV126" s="1294">
        <f t="shared" si="124"/>
        <v>2.8833084463471534</v>
      </c>
      <c r="IL126" s="1279">
        <f t="shared" si="120"/>
        <v>2.8833084463471534</v>
      </c>
    </row>
    <row r="127" spans="9:246" ht="21">
      <c r="BD127" s="1221">
        <v>2002</v>
      </c>
      <c r="BE127" s="1346">
        <v>31.4</v>
      </c>
      <c r="BF127" s="1243"/>
      <c r="BG127" s="1346">
        <v>9.17</v>
      </c>
      <c r="BH127" s="1245"/>
      <c r="BZ127" s="2275">
        <f t="shared" si="127"/>
        <v>31.4</v>
      </c>
      <c r="CC127" s="945">
        <v>2026</v>
      </c>
      <c r="CD127" s="1124"/>
      <c r="CE127" s="1120">
        <f t="shared" si="125"/>
        <v>0.37405161361530709</v>
      </c>
      <c r="CF127" s="1119"/>
      <c r="CG127" s="1123">
        <f t="shared" si="126"/>
        <v>0.31561019716853334</v>
      </c>
      <c r="CV127" s="1389">
        <f t="shared" si="122"/>
        <v>0.37405161361530709</v>
      </c>
      <c r="CW127" s="1389">
        <f t="shared" si="123"/>
        <v>0.31561019716853334</v>
      </c>
      <c r="CZ127" s="1218">
        <v>2027</v>
      </c>
      <c r="DA127" s="1182"/>
      <c r="DB127" s="558"/>
      <c r="DR127" s="1218">
        <v>2027</v>
      </c>
      <c r="DS127" s="1182"/>
      <c r="DT127" s="777"/>
      <c r="EL127" s="1254">
        <v>2027</v>
      </c>
      <c r="EM127" s="777"/>
      <c r="EN127" s="777"/>
      <c r="EO127" s="777"/>
      <c r="EP127" s="1019"/>
      <c r="FF127" s="1218">
        <v>2027</v>
      </c>
      <c r="FG127" s="1274"/>
      <c r="FH127" s="765"/>
      <c r="FI127" s="765"/>
      <c r="FJ127" s="777"/>
      <c r="GA127" s="1254">
        <v>2027</v>
      </c>
      <c r="GB127" s="777"/>
      <c r="GC127" s="777"/>
      <c r="GD127" s="777"/>
      <c r="GE127" s="1019"/>
      <c r="GW127" s="1254">
        <v>2029</v>
      </c>
      <c r="GX127" s="432"/>
      <c r="GY127" s="437"/>
      <c r="GZ127" s="765"/>
      <c r="HA127" s="364"/>
      <c r="HQ127" s="1290">
        <v>2028</v>
      </c>
      <c r="HR127" s="1271"/>
      <c r="HS127" s="1246"/>
      <c r="HT127" s="555"/>
      <c r="HU127" s="1259"/>
      <c r="HV127" s="1294">
        <f t="shared" si="124"/>
        <v>2.8841221031579547</v>
      </c>
      <c r="IL127" s="1279">
        <f t="shared" si="120"/>
        <v>2.8841221031579547</v>
      </c>
    </row>
    <row r="128" spans="9:246" ht="21">
      <c r="BD128" s="1221">
        <v>2003</v>
      </c>
      <c r="BE128" s="1346">
        <v>29.45</v>
      </c>
      <c r="BF128" s="1243"/>
      <c r="BG128" s="1346">
        <v>10.14</v>
      </c>
      <c r="BH128" s="1245"/>
      <c r="BZ128" s="2275">
        <f t="shared" si="127"/>
        <v>29.45</v>
      </c>
      <c r="CC128" s="945">
        <v>2027</v>
      </c>
      <c r="CD128" s="1124"/>
      <c r="CE128" s="1120">
        <f t="shared" si="125"/>
        <v>0.37405742774344403</v>
      </c>
      <c r="CF128" s="1119"/>
      <c r="CG128" s="1123">
        <f t="shared" si="126"/>
        <v>0.31560451248264099</v>
      </c>
      <c r="CV128" s="1389">
        <f t="shared" si="122"/>
        <v>0.37405742774344403</v>
      </c>
      <c r="CW128" s="1389">
        <f t="shared" si="123"/>
        <v>0.31560451248264099</v>
      </c>
      <c r="CZ128" s="1218">
        <v>2028</v>
      </c>
      <c r="DA128" s="1182"/>
      <c r="DB128" s="558"/>
      <c r="DR128" s="1218">
        <v>2028</v>
      </c>
      <c r="DS128" s="1182"/>
      <c r="DT128" s="777"/>
      <c r="EL128" s="1254">
        <v>2028</v>
      </c>
      <c r="EM128" s="777"/>
      <c r="EN128" s="777"/>
      <c r="EO128" s="777"/>
      <c r="EP128" s="1019"/>
      <c r="FF128" s="1218">
        <v>2028</v>
      </c>
      <c r="FG128" s="1274"/>
      <c r="FH128" s="765"/>
      <c r="FI128" s="765"/>
      <c r="FJ128" s="777"/>
      <c r="GA128" s="1254">
        <v>2028</v>
      </c>
      <c r="GB128" s="777"/>
      <c r="GC128" s="777"/>
      <c r="GD128" s="777"/>
      <c r="GE128" s="1019"/>
      <c r="GW128" s="1214">
        <v>2030</v>
      </c>
      <c r="GX128" s="436"/>
      <c r="GY128" s="548"/>
      <c r="GZ128" s="557"/>
      <c r="HA128" s="478"/>
      <c r="HQ128" s="1290">
        <v>2029</v>
      </c>
      <c r="HR128" s="1271"/>
      <c r="HS128" s="1246"/>
      <c r="HT128" s="765"/>
      <c r="HU128" s="1259"/>
      <c r="HV128" s="1294">
        <f t="shared" si="124"/>
        <v>2.8846916629255155</v>
      </c>
      <c r="IL128" s="1279">
        <f t="shared" si="120"/>
        <v>2.8846916629255155</v>
      </c>
    </row>
    <row r="129" spans="56:250" ht="21.6" thickBot="1">
      <c r="BD129" s="1221">
        <v>2004</v>
      </c>
      <c r="BE129" s="1346">
        <v>27.75</v>
      </c>
      <c r="BF129" s="1243"/>
      <c r="BG129" s="1346">
        <v>11.55</v>
      </c>
      <c r="BH129" s="1245"/>
      <c r="BZ129" s="2275">
        <f t="shared" si="127"/>
        <v>27.75</v>
      </c>
      <c r="CC129" s="945">
        <v>2028</v>
      </c>
      <c r="CD129" s="1124"/>
      <c r="CE129" s="1120">
        <f t="shared" si="125"/>
        <v>0.37405975339469882</v>
      </c>
      <c r="CF129" s="1119"/>
      <c r="CG129" s="1123">
        <f t="shared" si="126"/>
        <v>0.31560223860828407</v>
      </c>
      <c r="CV129" s="1389">
        <f t="shared" si="122"/>
        <v>0.37405975339469882</v>
      </c>
      <c r="CW129" s="1389">
        <f t="shared" si="123"/>
        <v>0.31560223860828407</v>
      </c>
      <c r="CZ129" s="1218">
        <v>2029</v>
      </c>
      <c r="DA129" s="1182"/>
      <c r="DB129" s="558"/>
      <c r="DR129" s="1218">
        <v>2029</v>
      </c>
      <c r="DS129" s="1182"/>
      <c r="DT129" s="777"/>
      <c r="EL129" s="1254">
        <v>2029</v>
      </c>
      <c r="EM129" s="777"/>
      <c r="EN129" s="777"/>
      <c r="EO129" s="777"/>
      <c r="EP129" s="1019"/>
      <c r="FF129" s="1218">
        <v>2029</v>
      </c>
      <c r="FG129" s="1274"/>
      <c r="FH129" s="765"/>
      <c r="FI129" s="765"/>
      <c r="FJ129" s="777"/>
      <c r="GA129" s="1254">
        <v>2029</v>
      </c>
      <c r="GB129" s="777"/>
      <c r="GC129" s="777"/>
      <c r="GD129" s="777"/>
      <c r="GE129" s="1019"/>
      <c r="HQ129" s="1291">
        <v>2030</v>
      </c>
      <c r="HR129" s="1286"/>
      <c r="HS129" s="1287"/>
      <c r="HT129" s="557"/>
      <c r="HU129" s="1288"/>
      <c r="HV129" s="1295">
        <f t="shared" si="124"/>
        <v>2.885090354762808</v>
      </c>
      <c r="IL129" s="1296">
        <f t="shared" si="120"/>
        <v>2.885090354762808</v>
      </c>
    </row>
    <row r="130" spans="56:250" ht="21">
      <c r="BD130" s="1221">
        <v>2005</v>
      </c>
      <c r="BE130" s="1346">
        <v>28.78</v>
      </c>
      <c r="BF130" s="1243"/>
      <c r="BG130" s="1346">
        <v>12.74</v>
      </c>
      <c r="BH130" s="1245"/>
      <c r="BZ130" s="2275">
        <f t="shared" si="127"/>
        <v>28.78</v>
      </c>
      <c r="CC130" s="945">
        <v>2029</v>
      </c>
      <c r="CD130" s="1124"/>
      <c r="CE130" s="1120">
        <f t="shared" si="125"/>
        <v>0.37406068365520073</v>
      </c>
      <c r="CF130" s="1119"/>
      <c r="CG130" s="1123">
        <f t="shared" si="126"/>
        <v>0.31560132905854132</v>
      </c>
      <c r="CV130" s="1389">
        <f t="shared" si="122"/>
        <v>0.37406068365520073</v>
      </c>
      <c r="CW130" s="1389">
        <f t="shared" si="123"/>
        <v>0.31560132905854132</v>
      </c>
      <c r="CZ130" s="1217">
        <v>2030</v>
      </c>
      <c r="DA130" s="1021"/>
      <c r="DB130" s="1183"/>
      <c r="DR130" s="1496">
        <v>2030</v>
      </c>
      <c r="DS130" s="1497"/>
      <c r="DT130" s="796"/>
      <c r="EL130" s="1496">
        <v>2030</v>
      </c>
      <c r="EM130" s="796"/>
      <c r="EN130" s="796"/>
      <c r="EO130" s="796"/>
      <c r="EP130" s="2409"/>
      <c r="FF130" s="1496">
        <v>2030</v>
      </c>
      <c r="FG130" s="1497"/>
      <c r="FH130" s="557"/>
      <c r="FI130" s="557"/>
      <c r="FJ130" s="796"/>
      <c r="GA130" s="1496">
        <v>2030</v>
      </c>
      <c r="GB130" s="796"/>
      <c r="GC130" s="796"/>
      <c r="GD130" s="796"/>
      <c r="GE130" s="2409"/>
    </row>
    <row r="131" spans="56:250" ht="21">
      <c r="BD131" s="1221">
        <v>2006</v>
      </c>
      <c r="BE131" s="1346">
        <v>26.33</v>
      </c>
      <c r="BF131" s="1243"/>
      <c r="BG131" s="1346">
        <v>12.64</v>
      </c>
      <c r="BH131" s="1245"/>
      <c r="BZ131" s="2275">
        <f t="shared" si="127"/>
        <v>26.33</v>
      </c>
      <c r="CC131" s="921">
        <v>2030</v>
      </c>
      <c r="CD131" s="1125"/>
      <c r="CE131" s="1388">
        <f t="shared" si="125"/>
        <v>0.37406105575940152</v>
      </c>
      <c r="CF131" s="1126"/>
      <c r="CG131" s="1311">
        <f t="shared" si="126"/>
        <v>0.31560096523864423</v>
      </c>
      <c r="CV131" s="1390">
        <f t="shared" si="122"/>
        <v>0.37406105575940152</v>
      </c>
      <c r="CW131" s="1390">
        <f t="shared" si="123"/>
        <v>0.31560096523864423</v>
      </c>
      <c r="HS131" t="s">
        <v>1455</v>
      </c>
      <c r="HT131" t="s">
        <v>1455</v>
      </c>
    </row>
    <row r="132" spans="56:250" ht="21">
      <c r="BD132" s="1221">
        <v>2007</v>
      </c>
      <c r="BE132" s="1346">
        <v>25.58</v>
      </c>
      <c r="BF132" s="1243"/>
      <c r="BG132" s="1346">
        <v>13.98</v>
      </c>
      <c r="BH132" s="1245"/>
      <c r="BZ132" s="2275">
        <f t="shared" si="127"/>
        <v>25.58</v>
      </c>
      <c r="GW132" s="1590" t="s">
        <v>368</v>
      </c>
      <c r="GX132" s="1195" t="s">
        <v>590</v>
      </c>
      <c r="GY132" s="713" t="s">
        <v>1455</v>
      </c>
      <c r="GZ132" s="1196" t="s">
        <v>638</v>
      </c>
      <c r="HA132" s="713" t="s">
        <v>1259</v>
      </c>
      <c r="HB132" s="1195" t="s">
        <v>642</v>
      </c>
      <c r="HC132" s="713" t="s">
        <v>1259</v>
      </c>
      <c r="HS132" s="1196" t="s">
        <v>638</v>
      </c>
      <c r="HT132" s="1195" t="s">
        <v>642</v>
      </c>
      <c r="HW132" s="551" t="s">
        <v>368</v>
      </c>
      <c r="HX132" s="1282" t="s">
        <v>590</v>
      </c>
      <c r="HY132" s="1283" t="s">
        <v>636</v>
      </c>
      <c r="HZ132" s="118" t="s">
        <v>1259</v>
      </c>
      <c r="IP132" s="1283" t="s">
        <v>636</v>
      </c>
    </row>
    <row r="133" spans="56:250" ht="21.6" thickBot="1">
      <c r="BD133" s="1221">
        <v>2008</v>
      </c>
      <c r="BE133" s="1346">
        <v>24.85</v>
      </c>
      <c r="BF133" s="1243"/>
      <c r="BG133" s="1346">
        <v>14.34</v>
      </c>
      <c r="BH133" s="1245"/>
      <c r="BZ133" s="2275">
        <f t="shared" si="127"/>
        <v>24.85</v>
      </c>
      <c r="CH133" s="20"/>
      <c r="CI133" s="20"/>
      <c r="CJ133" s="20"/>
      <c r="CK133" s="20"/>
      <c r="CL133" s="20"/>
      <c r="CM133" s="20"/>
      <c r="CN133" s="20"/>
      <c r="CO133" s="20"/>
      <c r="CP133" s="20"/>
      <c r="GW133" s="59">
        <v>43124</v>
      </c>
      <c r="GX133" s="1224" t="s">
        <v>1454</v>
      </c>
      <c r="GY133" s="1224" t="s">
        <v>1454</v>
      </c>
      <c r="GZ133" s="1224" t="s">
        <v>1454</v>
      </c>
      <c r="HA133" s="1224" t="s">
        <v>1454</v>
      </c>
      <c r="HB133" s="1224" t="s">
        <v>1454</v>
      </c>
      <c r="HC133" s="1224" t="s">
        <v>1454</v>
      </c>
      <c r="HS133" s="1224" t="s">
        <v>1454</v>
      </c>
      <c r="HT133" s="1224" t="s">
        <v>1454</v>
      </c>
      <c r="HW133" s="59">
        <v>43135</v>
      </c>
      <c r="HX133" s="1224" t="s">
        <v>1454</v>
      </c>
      <c r="HY133" s="1224" t="s">
        <v>1454</v>
      </c>
      <c r="HZ133" s="1224" t="s">
        <v>1454</v>
      </c>
      <c r="IP133" s="1425" t="s">
        <v>1550</v>
      </c>
    </row>
    <row r="134" spans="56:250" ht="23.4" thickBot="1">
      <c r="BD134" s="1221">
        <v>2009</v>
      </c>
      <c r="BE134" s="1346">
        <v>31.72</v>
      </c>
      <c r="BF134" s="1243"/>
      <c r="BG134" s="1346">
        <v>14.22</v>
      </c>
      <c r="BH134" s="1245"/>
      <c r="BZ134" s="2275">
        <f t="shared" si="127"/>
        <v>31.72</v>
      </c>
      <c r="CC134" s="2360" t="s">
        <v>368</v>
      </c>
      <c r="CD134" s="2358" t="s">
        <v>1795</v>
      </c>
      <c r="CE134" s="2051" t="s">
        <v>1840</v>
      </c>
      <c r="CF134" s="13"/>
      <c r="CG134" s="13"/>
      <c r="CH134" s="13"/>
      <c r="CI134" s="13"/>
      <c r="CJ134" s="13"/>
      <c r="CK134" s="13"/>
      <c r="CL134" s="13"/>
      <c r="CM134" s="13"/>
      <c r="CN134" s="14"/>
      <c r="CV134" s="2364" t="s">
        <v>1830</v>
      </c>
      <c r="CX134" s="2105" t="s">
        <v>368</v>
      </c>
      <c r="CY134" s="1599" t="s">
        <v>814</v>
      </c>
      <c r="CZ134" s="1868" t="s">
        <v>1278</v>
      </c>
      <c r="DA134" s="1797" t="s">
        <v>1550</v>
      </c>
      <c r="DR134" s="2357" t="s">
        <v>1830</v>
      </c>
      <c r="DT134" s="1562" t="s">
        <v>368</v>
      </c>
      <c r="DU134" s="1343" t="s">
        <v>1453</v>
      </c>
      <c r="DV134" s="1343" t="s">
        <v>1921</v>
      </c>
      <c r="EM134" s="1562" t="s">
        <v>368</v>
      </c>
      <c r="EN134" s="1343" t="s">
        <v>1903</v>
      </c>
      <c r="EO134" s="772" t="s">
        <v>1403</v>
      </c>
      <c r="EP134" s="772" t="s">
        <v>1900</v>
      </c>
      <c r="EQ134" s="2315" t="s">
        <v>1191</v>
      </c>
      <c r="GW134" s="1215">
        <v>1995</v>
      </c>
      <c r="GX134" s="1238">
        <f t="array" ref="GX134:GX155">TRANSPOSE(ОТЧЁТ!U151:AP151)</f>
        <v>1</v>
      </c>
      <c r="GY134" s="1239"/>
      <c r="GZ134" s="1240">
        <f t="array" ref="GZ134:GZ155">TRANSPOSE(ОТЧЁТ!U184:AP184)</f>
        <v>1</v>
      </c>
      <c r="HA134" s="1239"/>
      <c r="HB134" s="1240">
        <f t="array" ref="HB134:HB155">TRANSPOSE(ОТЧЁТ!U186:AP186)</f>
        <v>1</v>
      </c>
      <c r="HC134" s="1241"/>
      <c r="HS134" s="1257">
        <f>GZ134</f>
        <v>1</v>
      </c>
      <c r="HT134" s="1258">
        <f>HB134</f>
        <v>1</v>
      </c>
      <c r="HW134" s="1215">
        <v>1995</v>
      </c>
      <c r="HX134" s="1238">
        <v>1</v>
      </c>
      <c r="HY134" s="1240">
        <f t="array" ref="HY134:HY155">TRANSPOSE(ОТЧЁТ!U183:AP183)</f>
        <v>1</v>
      </c>
      <c r="HZ134" s="1241"/>
      <c r="IP134" s="1293">
        <v>1</v>
      </c>
    </row>
    <row r="135" spans="56:250" ht="23.4" thickBot="1">
      <c r="BD135" s="1221">
        <v>2010</v>
      </c>
      <c r="BE135" s="1346">
        <v>30.37</v>
      </c>
      <c r="BF135" s="1243"/>
      <c r="BG135" s="1346">
        <v>15.82</v>
      </c>
      <c r="BH135" s="1245"/>
      <c r="BZ135" s="2275">
        <f t="shared" si="127"/>
        <v>30.37</v>
      </c>
      <c r="CC135" s="1793">
        <v>43924</v>
      </c>
      <c r="CD135" s="2359" t="s">
        <v>688</v>
      </c>
      <c r="CE135" s="2107" t="s">
        <v>688</v>
      </c>
      <c r="CF135" s="13"/>
      <c r="CG135" s="13"/>
      <c r="CH135" s="13"/>
      <c r="CI135" s="13"/>
      <c r="CJ135" s="13"/>
      <c r="CK135" s="13"/>
      <c r="CL135" s="13"/>
      <c r="CM135" s="13"/>
      <c r="CN135" s="14"/>
      <c r="CV135" s="2365" t="s">
        <v>1795</v>
      </c>
      <c r="CX135" s="2104">
        <v>43850</v>
      </c>
      <c r="CY135" s="2106" t="s">
        <v>688</v>
      </c>
      <c r="CZ135" s="2366" t="s">
        <v>688</v>
      </c>
      <c r="DA135" s="2106" t="s">
        <v>688</v>
      </c>
      <c r="DR135" s="2361" t="s">
        <v>814</v>
      </c>
      <c r="DT135" s="1563">
        <v>43931</v>
      </c>
      <c r="DU135" s="1202" t="s">
        <v>1452</v>
      </c>
      <c r="DV135" s="1202" t="s">
        <v>1452</v>
      </c>
      <c r="EM135" s="2405">
        <v>43923</v>
      </c>
      <c r="EN135" s="2390" t="s">
        <v>1452</v>
      </c>
      <c r="EO135" s="2390" t="s">
        <v>1452</v>
      </c>
      <c r="EP135" s="2390" t="s">
        <v>1452</v>
      </c>
      <c r="EQ135" s="2390" t="s">
        <v>1452</v>
      </c>
      <c r="GW135" s="1218">
        <v>1996</v>
      </c>
      <c r="GX135" s="1242">
        <v>1.218</v>
      </c>
      <c r="GY135" s="1243"/>
      <c r="GZ135" s="1244">
        <v>1.4723042021668387</v>
      </c>
      <c r="HA135" s="1243"/>
      <c r="HB135" s="1244">
        <v>1.4997486735151189</v>
      </c>
      <c r="HC135" s="1245"/>
      <c r="HS135" s="1259">
        <f>GZ135</f>
        <v>1.4723042021668387</v>
      </c>
      <c r="HT135" s="1260">
        <f>HB135</f>
        <v>1.4997486735151189</v>
      </c>
      <c r="HW135" s="1218">
        <v>1996</v>
      </c>
      <c r="HX135" s="1242">
        <f t="shared" ref="HX135:HX157" si="128">DR137</f>
        <v>1.218</v>
      </c>
      <c r="HY135" s="1244">
        <v>1.5208627234830072</v>
      </c>
      <c r="HZ135" s="1245"/>
      <c r="IP135" s="1294">
        <f>HY135</f>
        <v>1.5208627234830072</v>
      </c>
    </row>
    <row r="136" spans="56:250" ht="21">
      <c r="BD136" s="1221">
        <v>2011</v>
      </c>
      <c r="BE136" s="1346">
        <v>29.39</v>
      </c>
      <c r="BF136" s="1243"/>
      <c r="BG136" s="1346">
        <v>17.350000000000001</v>
      </c>
      <c r="BH136" s="1245"/>
      <c r="BZ136" s="2275">
        <f t="shared" si="127"/>
        <v>29.39</v>
      </c>
      <c r="CB136" s="1789"/>
      <c r="CC136" s="2052">
        <v>1995</v>
      </c>
      <c r="CD136" s="2354">
        <f t="array" ref="CD136:CD156">TRANSPOSE(ОТЧЁТ!U126:AO126)</f>
        <v>2.3130000000000002</v>
      </c>
      <c r="CE136" s="1236"/>
      <c r="CF136" s="13"/>
      <c r="CG136" s="13"/>
      <c r="CH136" s="13"/>
      <c r="CI136" s="13"/>
      <c r="CJ136" s="13"/>
      <c r="CK136" s="13"/>
      <c r="CL136" s="13"/>
      <c r="CM136" s="13"/>
      <c r="CN136" s="14"/>
      <c r="CV136" s="1237">
        <f t="shared" ref="CV136:CV160" si="129">CD136</f>
        <v>2.3130000000000002</v>
      </c>
      <c r="CX136" s="1215">
        <v>1995</v>
      </c>
      <c r="CY136" s="2142">
        <v>1</v>
      </c>
      <c r="CZ136" s="774"/>
      <c r="DA136" s="2143"/>
      <c r="DR136" s="1237">
        <v>1</v>
      </c>
      <c r="DT136" s="1218">
        <v>1995</v>
      </c>
      <c r="DU136" s="2399">
        <f>DT95</f>
        <v>910.9</v>
      </c>
      <c r="DV136" s="2400">
        <v>910.9</v>
      </c>
      <c r="EM136" s="1284">
        <v>1995</v>
      </c>
      <c r="EN136" s="2400">
        <f t="shared" ref="EN136:EN159" si="130">EM95-GB95</f>
        <v>263.02999999999997</v>
      </c>
      <c r="EO136" s="2400">
        <f>EN136</f>
        <v>263.02999999999997</v>
      </c>
      <c r="EP136" s="2400"/>
      <c r="EQ136" s="2406">
        <v>1428.5209</v>
      </c>
      <c r="GW136" s="1218">
        <v>1997</v>
      </c>
      <c r="GX136" s="1242">
        <v>1.3519800000000002</v>
      </c>
      <c r="GY136" s="1243"/>
      <c r="GZ136" s="1244">
        <v>1.718558670886825</v>
      </c>
      <c r="HA136" s="1243"/>
      <c r="HB136" s="1244">
        <v>1.9526312539350381</v>
      </c>
      <c r="HC136" s="1245"/>
      <c r="HS136" s="1259">
        <f t="shared" ref="HS136:HS155" si="131">GZ136</f>
        <v>1.718558670886825</v>
      </c>
      <c r="HT136" s="1260">
        <f t="shared" ref="HT136:HT155" si="132">HB136</f>
        <v>1.9526312539350381</v>
      </c>
      <c r="HW136" s="1218">
        <v>1997</v>
      </c>
      <c r="HX136" s="1242">
        <f t="shared" si="128"/>
        <v>1.3519800000000002</v>
      </c>
      <c r="HY136" s="1244">
        <v>1.7178414165358655</v>
      </c>
      <c r="HZ136" s="1245"/>
      <c r="IP136" s="1294">
        <f t="shared" ref="IP136:IP155" si="133">HY136</f>
        <v>1.7178414165358655</v>
      </c>
    </row>
    <row r="137" spans="56:250" ht="21">
      <c r="BD137" s="1221">
        <v>2012</v>
      </c>
      <c r="BE137" s="1346">
        <v>31.1</v>
      </c>
      <c r="BF137" s="1243"/>
      <c r="BG137" s="1346">
        <v>18.46</v>
      </c>
      <c r="BH137" s="1245"/>
      <c r="BZ137" s="2275">
        <f t="shared" si="127"/>
        <v>31.1</v>
      </c>
      <c r="CC137" s="2052">
        <v>1996</v>
      </c>
      <c r="CD137" s="2355">
        <v>1.218</v>
      </c>
      <c r="CE137" s="1237"/>
      <c r="CF137" s="13"/>
      <c r="CG137" s="13"/>
      <c r="CH137" s="13"/>
      <c r="CI137" s="13"/>
      <c r="CJ137" s="13"/>
      <c r="CK137" s="13"/>
      <c r="CL137" s="13"/>
      <c r="CM137" s="13"/>
      <c r="CN137" s="14"/>
      <c r="CV137" s="1237">
        <f t="shared" si="129"/>
        <v>1.218</v>
      </c>
      <c r="CX137" s="1216">
        <v>1996</v>
      </c>
      <c r="CY137" s="2144">
        <f t="shared" ref="CY137:CY161" si="134">CY136*CD137</f>
        <v>1.218</v>
      </c>
      <c r="CZ137" s="765"/>
      <c r="DA137" s="2145"/>
      <c r="DR137" s="2362">
        <f t="shared" ref="DR137:DR160" si="135">CY137</f>
        <v>1.218</v>
      </c>
      <c r="DT137" s="1218">
        <v>1996</v>
      </c>
      <c r="DU137" s="1274">
        <f>DT96</f>
        <v>1357.1</v>
      </c>
      <c r="DV137" s="2329">
        <f>DU137/DR137</f>
        <v>1114.2036124794745</v>
      </c>
      <c r="EM137" s="1254">
        <v>1996</v>
      </c>
      <c r="EN137" s="2329">
        <f t="shared" si="130"/>
        <v>334.45999999999992</v>
      </c>
      <c r="EO137" s="2329">
        <f>EN137</f>
        <v>334.45999999999992</v>
      </c>
      <c r="EP137" s="2329"/>
      <c r="EQ137" s="2407">
        <f t="shared" ref="EQ137:EQ159" si="136">EP96</f>
        <v>2007.8252000000002</v>
      </c>
      <c r="GW137" s="1218">
        <v>1998</v>
      </c>
      <c r="GX137" s="1242">
        <v>2.4930511200000005</v>
      </c>
      <c r="GY137" s="1243"/>
      <c r="GZ137" s="1244">
        <v>2.1060897046594418</v>
      </c>
      <c r="HA137" s="1243"/>
      <c r="HB137" s="1244">
        <v>2.0059060303554479</v>
      </c>
      <c r="HC137" s="1245"/>
      <c r="HS137" s="1259">
        <f t="shared" si="131"/>
        <v>2.1060897046594418</v>
      </c>
      <c r="HT137" s="1260">
        <f t="shared" si="132"/>
        <v>2.0059060303554479</v>
      </c>
      <c r="HW137" s="1218">
        <v>1998</v>
      </c>
      <c r="HX137" s="1242">
        <f t="shared" si="128"/>
        <v>2.4930511200000005</v>
      </c>
      <c r="HY137" s="1244">
        <v>2.3960063610370872</v>
      </c>
      <c r="HZ137" s="1245"/>
      <c r="IP137" s="1294">
        <f t="shared" si="133"/>
        <v>2.3960063610370872</v>
      </c>
    </row>
    <row r="138" spans="56:250" ht="21">
      <c r="BD138" s="1221">
        <v>2013</v>
      </c>
      <c r="BE138" s="1346">
        <v>31.85</v>
      </c>
      <c r="BF138" s="1243"/>
      <c r="BG138" s="1346">
        <v>20.48</v>
      </c>
      <c r="BH138" s="1255"/>
      <c r="BZ138" s="2275">
        <f t="shared" si="127"/>
        <v>31.85</v>
      </c>
      <c r="CC138" s="2052">
        <v>1997</v>
      </c>
      <c r="CD138" s="2355">
        <v>1.1100000000000001</v>
      </c>
      <c r="CE138" s="1237"/>
      <c r="CF138" s="13"/>
      <c r="CG138" s="13"/>
      <c r="CH138" s="13"/>
      <c r="CI138" s="13"/>
      <c r="CJ138" s="13"/>
      <c r="CK138" s="13"/>
      <c r="CL138" s="13"/>
      <c r="CM138" s="13"/>
      <c r="CN138" s="14"/>
      <c r="CV138" s="1237">
        <f t="shared" si="129"/>
        <v>1.1100000000000001</v>
      </c>
      <c r="CX138" s="1216">
        <v>1997</v>
      </c>
      <c r="CY138" s="2144">
        <f t="shared" si="134"/>
        <v>1.3519800000000002</v>
      </c>
      <c r="CZ138" s="765"/>
      <c r="DA138" s="2145"/>
      <c r="DR138" s="2362">
        <f t="shared" si="135"/>
        <v>1.3519800000000002</v>
      </c>
      <c r="DT138" s="1218">
        <v>1997</v>
      </c>
      <c r="DU138" s="1274">
        <f t="shared" ref="DU138:DU159" si="137">DT97</f>
        <v>1656.4</v>
      </c>
      <c r="DV138" s="2329">
        <f t="shared" ref="DV138:DV159" si="138">DU138/DR138</f>
        <v>1225.1660527522595</v>
      </c>
      <c r="EM138" s="1254">
        <v>1997</v>
      </c>
      <c r="EN138" s="2329">
        <f t="shared" si="130"/>
        <v>453.5</v>
      </c>
      <c r="EO138" s="2329">
        <f t="shared" ref="EO138:EO156" si="139">EN138</f>
        <v>453.5</v>
      </c>
      <c r="EP138" s="2329"/>
      <c r="EQ138" s="2407">
        <f t="shared" si="136"/>
        <v>2342.5137</v>
      </c>
      <c r="GW138" s="1218">
        <v>1999</v>
      </c>
      <c r="GX138" s="1242">
        <v>3.4030147788000007</v>
      </c>
      <c r="GY138" s="1243"/>
      <c r="GZ138" s="1244">
        <v>3.7278422973468679</v>
      </c>
      <c r="HA138" s="1243"/>
      <c r="HB138" s="1244">
        <v>2.3429902839701637</v>
      </c>
      <c r="HC138" s="1245"/>
      <c r="HS138" s="1259">
        <f t="shared" si="131"/>
        <v>3.7278422973468679</v>
      </c>
      <c r="HT138" s="1260">
        <f t="shared" si="132"/>
        <v>2.3429902839701637</v>
      </c>
      <c r="HW138" s="1218">
        <v>1999</v>
      </c>
      <c r="HX138" s="1242">
        <f t="shared" si="128"/>
        <v>3.4030147788000007</v>
      </c>
      <c r="HY138" s="1244">
        <v>4.6635438415007853</v>
      </c>
      <c r="HZ138" s="1245"/>
      <c r="IP138" s="1294">
        <f t="shared" si="133"/>
        <v>4.6635438415007853</v>
      </c>
    </row>
    <row r="139" spans="56:250" ht="22.8">
      <c r="BD139" s="1221">
        <v>2014</v>
      </c>
      <c r="BE139" s="1346">
        <v>38.421999999999997</v>
      </c>
      <c r="BF139" s="1243"/>
      <c r="BG139" s="1346">
        <v>21.26</v>
      </c>
      <c r="BH139" s="1348">
        <v>19</v>
      </c>
      <c r="BZ139" s="2275">
        <f t="shared" si="127"/>
        <v>38.421999999999997</v>
      </c>
      <c r="CC139" s="2052">
        <v>1998</v>
      </c>
      <c r="CD139" s="2355">
        <v>1.8440000000000001</v>
      </c>
      <c r="CE139" s="1237"/>
      <c r="CF139" s="13"/>
      <c r="CG139" s="13"/>
      <c r="CH139" s="13"/>
      <c r="CI139" s="13"/>
      <c r="CJ139" s="13"/>
      <c r="CK139" s="13"/>
      <c r="CL139" s="13"/>
      <c r="CM139" s="13"/>
      <c r="CN139" s="14"/>
      <c r="CV139" s="1237">
        <f t="shared" si="129"/>
        <v>1.8440000000000001</v>
      </c>
      <c r="CX139" s="1216">
        <v>1998</v>
      </c>
      <c r="CY139" s="2144">
        <f t="shared" si="134"/>
        <v>2.4930511200000005</v>
      </c>
      <c r="CZ139" s="765"/>
      <c r="DA139" s="2145"/>
      <c r="DR139" s="2362">
        <f t="shared" si="135"/>
        <v>2.4930511200000005</v>
      </c>
      <c r="DT139" s="1218">
        <v>1998</v>
      </c>
      <c r="DU139" s="1274">
        <f t="shared" si="137"/>
        <v>1776</v>
      </c>
      <c r="DV139" s="2329">
        <f t="shared" si="138"/>
        <v>712.38009752483515</v>
      </c>
      <c r="EI139" s="460"/>
      <c r="EJ139" s="461"/>
      <c r="EM139" s="1254">
        <v>1998</v>
      </c>
      <c r="EN139" s="2329">
        <f t="shared" si="130"/>
        <v>512.95299999999997</v>
      </c>
      <c r="EO139" s="2329">
        <f t="shared" si="139"/>
        <v>512.95299999999997</v>
      </c>
      <c r="EP139" s="2329"/>
      <c r="EQ139" s="2407">
        <f t="shared" si="136"/>
        <v>2629.6228999999998</v>
      </c>
      <c r="FB139" s="460"/>
      <c r="FC139" s="461"/>
      <c r="GW139" s="1218">
        <v>2000</v>
      </c>
      <c r="GX139" s="1242">
        <v>4.0904237641176007</v>
      </c>
      <c r="GY139" s="1243"/>
      <c r="GZ139" s="1244">
        <v>4.5918326760987345</v>
      </c>
      <c r="HA139" s="1243"/>
      <c r="HB139" s="1244">
        <v>3.2406114791110681</v>
      </c>
      <c r="HC139" s="1245"/>
      <c r="HS139" s="1259">
        <f t="shared" si="131"/>
        <v>4.5918326760987345</v>
      </c>
      <c r="HT139" s="1260">
        <f t="shared" si="132"/>
        <v>3.2406114791110681</v>
      </c>
      <c r="HW139" s="1218">
        <v>2000</v>
      </c>
      <c r="HX139" s="1242">
        <f t="shared" si="128"/>
        <v>4.0904237641176007</v>
      </c>
      <c r="HY139" s="1244">
        <v>5.0821555739588433</v>
      </c>
      <c r="HZ139" s="1245"/>
      <c r="IP139" s="1294">
        <f t="shared" si="133"/>
        <v>5.0821555739588433</v>
      </c>
    </row>
    <row r="140" spans="56:250" ht="22.8">
      <c r="BD140" s="1221">
        <v>2015</v>
      </c>
      <c r="BE140" s="1346">
        <v>60.957999999999998</v>
      </c>
      <c r="BF140" s="1243"/>
      <c r="BG140" s="1346">
        <v>22.57</v>
      </c>
      <c r="BH140" s="1348">
        <v>20</v>
      </c>
      <c r="BZ140" s="2275">
        <f t="shared" si="127"/>
        <v>60.957999999999998</v>
      </c>
      <c r="CC140" s="2052">
        <v>1999</v>
      </c>
      <c r="CD140" s="2355">
        <v>1.365</v>
      </c>
      <c r="CE140" s="1237"/>
      <c r="CF140" s="13"/>
      <c r="CG140" s="13"/>
      <c r="CH140" s="13"/>
      <c r="CI140" s="13"/>
      <c r="CJ140" s="13"/>
      <c r="CK140" s="13"/>
      <c r="CL140" s="13"/>
      <c r="CM140" s="13"/>
      <c r="CN140" s="14"/>
      <c r="CV140" s="1237">
        <f t="shared" si="129"/>
        <v>1.365</v>
      </c>
      <c r="CX140" s="1216">
        <v>1999</v>
      </c>
      <c r="CY140" s="2144">
        <f t="shared" si="134"/>
        <v>3.4030147788000007</v>
      </c>
      <c r="CZ140" s="765"/>
      <c r="DA140" s="2145"/>
      <c r="DR140" s="2362">
        <f t="shared" si="135"/>
        <v>3.4030147788000007</v>
      </c>
      <c r="DT140" s="1218">
        <v>1999</v>
      </c>
      <c r="DU140" s="1274">
        <f t="shared" si="137"/>
        <v>2908.1</v>
      </c>
      <c r="DV140" s="2329">
        <f t="shared" si="138"/>
        <v>854.56578623072517</v>
      </c>
      <c r="EI140" s="460"/>
      <c r="EJ140" s="461"/>
      <c r="EM140" s="1254">
        <v>1999</v>
      </c>
      <c r="EN140" s="2329">
        <f t="shared" si="130"/>
        <v>974.49399999999991</v>
      </c>
      <c r="EO140" s="2329">
        <f t="shared" si="139"/>
        <v>974.49399999999991</v>
      </c>
      <c r="EP140" s="2329"/>
      <c r="EQ140" s="2407">
        <f t="shared" si="136"/>
        <v>4823.2329</v>
      </c>
      <c r="FB140" s="460"/>
      <c r="FC140" s="461"/>
      <c r="GW140" s="1218">
        <v>2001</v>
      </c>
      <c r="GX140" s="1242">
        <v>4.8512425842434741</v>
      </c>
      <c r="GY140" s="1243"/>
      <c r="GZ140" s="1244">
        <v>5.5611795404054956</v>
      </c>
      <c r="HA140" s="1243"/>
      <c r="HB140" s="1244">
        <v>3.97066356566005</v>
      </c>
      <c r="HC140" s="1245"/>
      <c r="HS140" s="1259">
        <f t="shared" si="131"/>
        <v>5.5611795404054956</v>
      </c>
      <c r="HT140" s="1260">
        <f t="shared" si="132"/>
        <v>3.97066356566005</v>
      </c>
      <c r="HW140" s="1218">
        <v>2001</v>
      </c>
      <c r="HX140" s="1242">
        <f t="shared" si="128"/>
        <v>4.8512425842434741</v>
      </c>
      <c r="HY140" s="1244">
        <v>6.2597323676099617</v>
      </c>
      <c r="HZ140" s="1245"/>
      <c r="IP140" s="1294">
        <f t="shared" si="133"/>
        <v>6.2597323676099617</v>
      </c>
    </row>
    <row r="141" spans="56:250" ht="22.8">
      <c r="BD141" s="1221">
        <v>2016</v>
      </c>
      <c r="BE141" s="1346">
        <v>67.034999999999997</v>
      </c>
      <c r="BF141" s="1243"/>
      <c r="BG141" s="1247"/>
      <c r="BH141" s="1348">
        <v>20.7</v>
      </c>
      <c r="BZ141" s="2275">
        <f t="shared" si="127"/>
        <v>67.034999999999997</v>
      </c>
      <c r="CC141" s="2052">
        <v>2000</v>
      </c>
      <c r="CD141" s="2355">
        <v>1.202</v>
      </c>
      <c r="CE141" s="1237"/>
      <c r="CF141" s="13"/>
      <c r="CG141" s="13"/>
      <c r="CH141" s="13"/>
      <c r="CI141" s="13"/>
      <c r="CJ141" s="13"/>
      <c r="CK141" s="13"/>
      <c r="CL141" s="13"/>
      <c r="CM141" s="13"/>
      <c r="CN141" s="14"/>
      <c r="CV141" s="1237">
        <f t="shared" si="129"/>
        <v>1.202</v>
      </c>
      <c r="CX141" s="1216">
        <v>2000</v>
      </c>
      <c r="CY141" s="2144">
        <f t="shared" si="134"/>
        <v>4.0904237641176007</v>
      </c>
      <c r="CZ141" s="765"/>
      <c r="DA141" s="2145"/>
      <c r="DR141" s="2362">
        <f t="shared" si="135"/>
        <v>4.0904237641176007</v>
      </c>
      <c r="DT141" s="1218">
        <v>2000</v>
      </c>
      <c r="DU141" s="1274">
        <f t="shared" si="137"/>
        <v>3983.9</v>
      </c>
      <c r="DV141" s="2329">
        <f t="shared" si="138"/>
        <v>973.95776812855956</v>
      </c>
      <c r="EI141" s="460"/>
      <c r="EJ141" s="461"/>
      <c r="EM141" s="1254">
        <v>2000</v>
      </c>
      <c r="EN141" s="2329">
        <f t="shared" si="130"/>
        <v>1046.67</v>
      </c>
      <c r="EO141" s="2329">
        <f t="shared" si="139"/>
        <v>1046.67</v>
      </c>
      <c r="EP141" s="2329"/>
      <c r="EQ141" s="2407">
        <f t="shared" si="136"/>
        <v>7305.6466</v>
      </c>
      <c r="FB141" s="460"/>
      <c r="FC141" s="461"/>
      <c r="GW141" s="1218">
        <v>2002</v>
      </c>
      <c r="GX141" s="1242">
        <v>5.5837802144642392</v>
      </c>
      <c r="GY141" s="1243"/>
      <c r="GZ141" s="1244">
        <v>6.4682386989177063</v>
      </c>
      <c r="HA141" s="1243"/>
      <c r="HB141" s="1244">
        <v>5.2843734476785453</v>
      </c>
      <c r="HC141" s="1245"/>
      <c r="HS141" s="1259">
        <f t="shared" si="131"/>
        <v>6.4682386989177063</v>
      </c>
      <c r="HT141" s="1260">
        <f t="shared" si="132"/>
        <v>5.2843734476785453</v>
      </c>
      <c r="HW141" s="1218">
        <v>2002</v>
      </c>
      <c r="HX141" s="1242">
        <f t="shared" si="128"/>
        <v>5.5837802144642392</v>
      </c>
      <c r="HY141" s="1244">
        <v>7.0728069310904971</v>
      </c>
      <c r="HZ141" s="1245"/>
      <c r="IP141" s="1294">
        <f t="shared" si="133"/>
        <v>7.0728069310904971</v>
      </c>
    </row>
    <row r="142" spans="56:250" ht="22.8">
      <c r="BD142" s="1221">
        <v>2017</v>
      </c>
      <c r="BE142" s="1346">
        <v>58.35</v>
      </c>
      <c r="BF142" s="1243"/>
      <c r="BG142" s="1247"/>
      <c r="BH142" s="1348">
        <v>21.4</v>
      </c>
      <c r="BZ142" s="2275">
        <f t="shared" si="127"/>
        <v>58.35</v>
      </c>
      <c r="CC142" s="2052">
        <v>2001</v>
      </c>
      <c r="CD142" s="2355">
        <v>1.1859999999999999</v>
      </c>
      <c r="CE142" s="1237"/>
      <c r="CF142" s="20"/>
      <c r="CG142" s="20"/>
      <c r="CH142" s="20"/>
      <c r="CI142" s="20"/>
      <c r="CJ142" s="20"/>
      <c r="CK142" s="20"/>
      <c r="CL142" s="20"/>
      <c r="CM142" s="20"/>
      <c r="CN142" s="12"/>
      <c r="CV142" s="1237">
        <f t="shared" si="129"/>
        <v>1.1859999999999999</v>
      </c>
      <c r="CX142" s="1216">
        <v>2001</v>
      </c>
      <c r="CY142" s="2144">
        <f t="shared" si="134"/>
        <v>4.8512425842434741</v>
      </c>
      <c r="CZ142" s="765"/>
      <c r="DA142" s="2145"/>
      <c r="DR142" s="2362">
        <f t="shared" si="135"/>
        <v>4.8512425842434741</v>
      </c>
      <c r="DT142" s="1218">
        <v>2001</v>
      </c>
      <c r="DU142" s="1274">
        <f t="shared" si="137"/>
        <v>5325.8</v>
      </c>
      <c r="DV142" s="2329">
        <f t="shared" si="138"/>
        <v>1097.8218276071905</v>
      </c>
      <c r="EI142" s="460"/>
      <c r="EJ142" s="461"/>
      <c r="EM142" s="1254">
        <v>2001</v>
      </c>
      <c r="EN142" s="2329">
        <f t="shared" si="130"/>
        <v>1477.4</v>
      </c>
      <c r="EO142" s="2329">
        <f t="shared" si="139"/>
        <v>1477.4</v>
      </c>
      <c r="EP142" s="2329"/>
      <c r="EQ142" s="2407">
        <f t="shared" si="136"/>
        <v>8943.5825999999997</v>
      </c>
      <c r="FB142" s="460"/>
      <c r="FC142" s="461"/>
      <c r="GW142" s="1218">
        <v>2003</v>
      </c>
      <c r="GX142" s="1242">
        <v>6.2538338401999489</v>
      </c>
      <c r="GY142" s="1243"/>
      <c r="GZ142" s="1244">
        <v>7.2584827706254744</v>
      </c>
      <c r="HA142" s="1243"/>
      <c r="HB142" s="1244">
        <v>6.1715081316356093</v>
      </c>
      <c r="HC142" s="1245"/>
      <c r="HS142" s="1259">
        <f t="shared" si="131"/>
        <v>7.2584827706254744</v>
      </c>
      <c r="HT142" s="1260">
        <f t="shared" si="132"/>
        <v>6.1715081316356093</v>
      </c>
      <c r="HW142" s="1218">
        <v>2003</v>
      </c>
      <c r="HX142" s="1242">
        <f t="shared" si="128"/>
        <v>6.2538338401999489</v>
      </c>
      <c r="HY142" s="1244">
        <v>7.8586429903564081</v>
      </c>
      <c r="HZ142" s="1245"/>
      <c r="IP142" s="1294">
        <f t="shared" si="133"/>
        <v>7.8586429903564081</v>
      </c>
    </row>
    <row r="143" spans="56:250" ht="22.8">
      <c r="BD143" s="1221">
        <v>2018</v>
      </c>
      <c r="BE143" s="1346">
        <v>62</v>
      </c>
      <c r="BF143" s="1243"/>
      <c r="BG143" s="1247"/>
      <c r="BH143" s="1348">
        <v>22.099999999999998</v>
      </c>
      <c r="BZ143" s="2275">
        <f t="shared" si="127"/>
        <v>62</v>
      </c>
      <c r="CC143" s="2052">
        <v>2002</v>
      </c>
      <c r="CD143" s="2355">
        <v>1.151</v>
      </c>
      <c r="CE143" s="1237"/>
      <c r="CF143" s="20"/>
      <c r="CG143" s="20"/>
      <c r="CH143" s="20"/>
      <c r="CI143" s="20"/>
      <c r="CJ143" s="20"/>
      <c r="CK143" s="20"/>
      <c r="CL143" s="20"/>
      <c r="CM143" s="20"/>
      <c r="CN143" s="12"/>
      <c r="CV143" s="1237">
        <f t="shared" si="129"/>
        <v>1.151</v>
      </c>
      <c r="CX143" s="1216">
        <v>2002</v>
      </c>
      <c r="CY143" s="2144">
        <f t="shared" si="134"/>
        <v>5.5837802144642392</v>
      </c>
      <c r="CZ143" s="765"/>
      <c r="DA143" s="2145"/>
      <c r="DR143" s="2362">
        <f t="shared" si="135"/>
        <v>5.5837802144642392</v>
      </c>
      <c r="DT143" s="1218">
        <v>2002</v>
      </c>
      <c r="DU143" s="1274">
        <f t="shared" si="137"/>
        <v>6831</v>
      </c>
      <c r="DV143" s="2329">
        <f t="shared" si="138"/>
        <v>1223.3647703942499</v>
      </c>
      <c r="EI143" s="460"/>
      <c r="EJ143" s="461"/>
      <c r="EM143" s="1254">
        <v>2002</v>
      </c>
      <c r="EN143" s="2329">
        <f t="shared" si="130"/>
        <v>1765.8999999999996</v>
      </c>
      <c r="EO143" s="2329">
        <f t="shared" si="139"/>
        <v>1765.8999999999996</v>
      </c>
      <c r="EP143" s="2329"/>
      <c r="EQ143" s="2407">
        <f t="shared" si="136"/>
        <v>10819.270899999998</v>
      </c>
      <c r="FB143" s="460"/>
      <c r="FC143" s="461"/>
      <c r="GW143" s="1218">
        <v>2004</v>
      </c>
      <c r="GX143" s="1242">
        <v>6.9855323995033425</v>
      </c>
      <c r="GY143" s="1243"/>
      <c r="GZ143" s="1244">
        <v>8.3282279936178867</v>
      </c>
      <c r="HA143" s="1243"/>
      <c r="HB143" s="1244">
        <v>6.7016025302099056</v>
      </c>
      <c r="HC143" s="1245"/>
      <c r="HS143" s="1259">
        <f t="shared" si="131"/>
        <v>8.3282279936178867</v>
      </c>
      <c r="HT143" s="1260">
        <f t="shared" si="132"/>
        <v>6.7016025302099056</v>
      </c>
      <c r="HW143" s="1218">
        <v>2004</v>
      </c>
      <c r="HX143" s="1242">
        <f t="shared" si="128"/>
        <v>6.9855323995033425</v>
      </c>
      <c r="HY143" s="1244">
        <v>9.0480534412004499</v>
      </c>
      <c r="HZ143" s="1245"/>
      <c r="IP143" s="1294">
        <f t="shared" si="133"/>
        <v>9.0480534412004499</v>
      </c>
    </row>
    <row r="144" spans="56:250" ht="22.8">
      <c r="BD144" s="1221">
        <v>2019</v>
      </c>
      <c r="BE144" s="1346">
        <v>64.5</v>
      </c>
      <c r="BF144" s="2278">
        <f>BE144</f>
        <v>64.5</v>
      </c>
      <c r="BG144" s="1247"/>
      <c r="BH144" s="1348">
        <v>22.799999999999997</v>
      </c>
      <c r="BZ144" s="2275">
        <f t="shared" si="127"/>
        <v>64.5</v>
      </c>
      <c r="CC144" s="2052">
        <v>2003</v>
      </c>
      <c r="CD144" s="2355">
        <v>1.1200000000000001</v>
      </c>
      <c r="CE144" s="1237"/>
      <c r="CF144" s="20"/>
      <c r="CG144" s="20"/>
      <c r="CH144" s="20"/>
      <c r="CI144" s="20"/>
      <c r="CJ144" s="20"/>
      <c r="CK144" s="20"/>
      <c r="CL144" s="20"/>
      <c r="CM144" s="20"/>
      <c r="CN144" s="12"/>
      <c r="CV144" s="1237">
        <f t="shared" si="129"/>
        <v>1.1200000000000001</v>
      </c>
      <c r="CX144" s="1216">
        <v>2003</v>
      </c>
      <c r="CY144" s="2144">
        <f t="shared" si="134"/>
        <v>6.2538338401999489</v>
      </c>
      <c r="CZ144" s="765"/>
      <c r="DA144" s="2145"/>
      <c r="DR144" s="2362">
        <f t="shared" si="135"/>
        <v>6.2538338401999489</v>
      </c>
      <c r="DT144" s="1218">
        <v>2003</v>
      </c>
      <c r="DU144" s="1274">
        <f t="shared" si="137"/>
        <v>8900.5</v>
      </c>
      <c r="DV144" s="2329">
        <f t="shared" si="138"/>
        <v>1423.2069842961212</v>
      </c>
      <c r="EI144" s="460"/>
      <c r="EJ144" s="461"/>
      <c r="EM144" s="1254">
        <v>2003</v>
      </c>
      <c r="EN144" s="2329">
        <f t="shared" si="130"/>
        <v>2669.1130000000003</v>
      </c>
      <c r="EO144" s="2329">
        <f t="shared" si="139"/>
        <v>2669.1130000000003</v>
      </c>
      <c r="EP144" s="2329"/>
      <c r="EQ144" s="2407">
        <f t="shared" si="136"/>
        <v>13208.250299999998</v>
      </c>
      <c r="FB144" s="460"/>
      <c r="FC144" s="461"/>
      <c r="GW144" s="1218">
        <v>2005</v>
      </c>
      <c r="GX144" s="1242">
        <v>7.7469554310492068</v>
      </c>
      <c r="GY144" s="1243"/>
      <c r="GZ144" s="1244">
        <v>9.3704714639566831</v>
      </c>
      <c r="HA144" s="1243"/>
      <c r="HB144" s="1244">
        <v>7.6444391008680617</v>
      </c>
      <c r="HC144" s="1245"/>
      <c r="HS144" s="1259">
        <f t="shared" si="131"/>
        <v>9.3704714639566831</v>
      </c>
      <c r="HT144" s="1260">
        <f t="shared" si="132"/>
        <v>7.6444391008680617</v>
      </c>
      <c r="HW144" s="1218">
        <v>2005</v>
      </c>
      <c r="HX144" s="1242">
        <f t="shared" si="128"/>
        <v>7.7469554310492068</v>
      </c>
      <c r="HY144" s="1244">
        <v>10.070168753275144</v>
      </c>
      <c r="HZ144" s="1245"/>
      <c r="IP144" s="1294">
        <f t="shared" si="133"/>
        <v>10.070168753275144</v>
      </c>
    </row>
    <row r="145" spans="56:250" ht="22.8">
      <c r="BD145" s="1221">
        <v>2020</v>
      </c>
      <c r="BE145" s="1346">
        <v>75</v>
      </c>
      <c r="BF145" s="2278">
        <f>BE145</f>
        <v>75</v>
      </c>
      <c r="BG145" s="1247"/>
      <c r="BH145" s="1348">
        <v>23.499999999999996</v>
      </c>
      <c r="BZ145" s="2275">
        <f t="shared" si="127"/>
        <v>75</v>
      </c>
      <c r="CC145" s="2052">
        <v>2004</v>
      </c>
      <c r="CD145" s="2355">
        <v>1.117</v>
      </c>
      <c r="CE145" s="1237"/>
      <c r="CF145" s="20"/>
      <c r="CG145" s="20"/>
      <c r="CH145" s="20"/>
      <c r="CI145" s="20"/>
      <c r="CJ145" s="20"/>
      <c r="CK145" s="20"/>
      <c r="CL145" s="20"/>
      <c r="CM145" s="20"/>
      <c r="CN145" s="12"/>
      <c r="CV145" s="1237">
        <f t="shared" si="129"/>
        <v>1.117</v>
      </c>
      <c r="CX145" s="1216">
        <v>2004</v>
      </c>
      <c r="CY145" s="2144">
        <f t="shared" si="134"/>
        <v>6.9855323995033425</v>
      </c>
      <c r="CZ145" s="765"/>
      <c r="DA145" s="2145"/>
      <c r="DR145" s="2362">
        <f t="shared" si="135"/>
        <v>6.9855323995033425</v>
      </c>
      <c r="DT145" s="1218">
        <v>2004</v>
      </c>
      <c r="DU145" s="1274">
        <f t="shared" si="137"/>
        <v>10976.3</v>
      </c>
      <c r="DV145" s="2329">
        <f t="shared" si="138"/>
        <v>1571.2904002535859</v>
      </c>
      <c r="EI145" s="460"/>
      <c r="EJ145" s="461"/>
      <c r="EM145" s="1254">
        <v>2004</v>
      </c>
      <c r="EN145" s="2329">
        <f t="shared" si="130"/>
        <v>3131.262999999999</v>
      </c>
      <c r="EO145" s="2329">
        <f t="shared" si="139"/>
        <v>3131.262999999999</v>
      </c>
      <c r="EP145" s="2329"/>
      <c r="EQ145" s="2407">
        <f t="shared" si="136"/>
        <v>17027.166999999998</v>
      </c>
      <c r="FB145" s="460"/>
      <c r="FC145" s="461"/>
      <c r="GW145" s="1218">
        <v>2006</v>
      </c>
      <c r="GX145" s="1242">
        <v>8.4441814198436358</v>
      </c>
      <c r="GY145" s="1243"/>
      <c r="GZ145" s="1244">
        <v>10.171880121895711</v>
      </c>
      <c r="HA145" s="1243"/>
      <c r="HB145" s="1244">
        <v>8.6255823418854529</v>
      </c>
      <c r="HC145" s="1245"/>
      <c r="HS145" s="1259">
        <f t="shared" si="131"/>
        <v>10.171880121895711</v>
      </c>
      <c r="HT145" s="1260">
        <f t="shared" si="132"/>
        <v>8.6255823418854529</v>
      </c>
      <c r="HW145" s="1218">
        <v>2006</v>
      </c>
      <c r="HX145" s="1242">
        <f t="shared" si="128"/>
        <v>8.4441814198436358</v>
      </c>
      <c r="HY145" s="1244">
        <v>11.237649593940652</v>
      </c>
      <c r="HZ145" s="1245"/>
      <c r="IP145" s="1294">
        <f t="shared" si="133"/>
        <v>11.237649593940652</v>
      </c>
    </row>
    <row r="146" spans="56:250" ht="22.8">
      <c r="BD146" s="1221">
        <v>2021</v>
      </c>
      <c r="BE146" s="1346"/>
      <c r="BF146" s="1347">
        <v>84</v>
      </c>
      <c r="BG146" s="1247"/>
      <c r="BH146" s="1348">
        <v>24.199999999999996</v>
      </c>
      <c r="BZ146" s="2272">
        <f>BF146</f>
        <v>84</v>
      </c>
      <c r="CC146" s="2052">
        <v>2005</v>
      </c>
      <c r="CD146" s="2355">
        <v>1.109</v>
      </c>
      <c r="CE146" s="1237"/>
      <c r="CF146" s="20"/>
      <c r="CG146" s="20"/>
      <c r="CH146" s="20"/>
      <c r="CI146" s="20"/>
      <c r="CJ146" s="20"/>
      <c r="CK146" s="20"/>
      <c r="CL146" s="20"/>
      <c r="CM146" s="20"/>
      <c r="CN146" s="12"/>
      <c r="CV146" s="1237">
        <f t="shared" si="129"/>
        <v>1.109</v>
      </c>
      <c r="CX146" s="1216">
        <v>2005</v>
      </c>
      <c r="CY146" s="2144">
        <f t="shared" si="134"/>
        <v>7.7469554310492068</v>
      </c>
      <c r="CZ146" s="765"/>
      <c r="DA146" s="2145"/>
      <c r="DR146" s="2362">
        <f t="shared" si="135"/>
        <v>7.7469554310492068</v>
      </c>
      <c r="DT146" s="1218">
        <v>2005</v>
      </c>
      <c r="DU146" s="1274">
        <f t="shared" si="137"/>
        <v>13819</v>
      </c>
      <c r="DV146" s="2329">
        <f t="shared" si="138"/>
        <v>1783.7975347856659</v>
      </c>
      <c r="EI146" s="460"/>
      <c r="EJ146" s="461"/>
      <c r="EM146" s="1254">
        <v>2005</v>
      </c>
      <c r="EN146" s="2329">
        <f t="shared" si="130"/>
        <v>4379.1730000000007</v>
      </c>
      <c r="EO146" s="2329">
        <f t="shared" si="139"/>
        <v>4379.1730000000007</v>
      </c>
      <c r="EP146" s="2329"/>
      <c r="EQ146" s="2407">
        <f t="shared" si="136"/>
        <v>21609.765799999997</v>
      </c>
      <c r="FB146" s="460"/>
      <c r="FC146" s="461"/>
      <c r="GW146" s="1218">
        <v>2007</v>
      </c>
      <c r="GX146" s="1242">
        <v>9.4465057543790749</v>
      </c>
      <c r="GY146" s="1243"/>
      <c r="GZ146" s="1244">
        <v>10.996054426330467</v>
      </c>
      <c r="HA146" s="1243"/>
      <c r="HB146" s="1244">
        <v>10.098705571453516</v>
      </c>
      <c r="HC146" s="1245"/>
      <c r="HS146" s="1259">
        <f t="shared" si="131"/>
        <v>10.996054426330467</v>
      </c>
      <c r="HT146" s="1260">
        <f t="shared" si="132"/>
        <v>10.098705571453516</v>
      </c>
      <c r="HW146" s="1218">
        <v>2007</v>
      </c>
      <c r="HX146" s="1242">
        <f t="shared" si="128"/>
        <v>9.4465057543790749</v>
      </c>
      <c r="HY146" s="1244">
        <v>12.985985567555964</v>
      </c>
      <c r="HZ146" s="1245"/>
      <c r="IP146" s="1294">
        <f t="shared" si="133"/>
        <v>12.985985567555964</v>
      </c>
    </row>
    <row r="147" spans="56:250" ht="22.8">
      <c r="BD147" s="1221">
        <v>2022</v>
      </c>
      <c r="BE147" s="1346"/>
      <c r="BF147" s="1347">
        <v>72</v>
      </c>
      <c r="BG147" s="1247"/>
      <c r="BH147" s="1348">
        <v>24.899999999999995</v>
      </c>
      <c r="BZ147" s="2272">
        <f t="shared" ref="BZ147:BZ160" si="140">BF147</f>
        <v>72</v>
      </c>
      <c r="CC147" s="2052">
        <v>2006</v>
      </c>
      <c r="CD147" s="2355">
        <v>1.0900000000000001</v>
      </c>
      <c r="CE147" s="1237"/>
      <c r="CF147" s="20"/>
      <c r="CG147" s="20"/>
      <c r="CH147" s="20"/>
      <c r="CI147" s="20"/>
      <c r="CJ147" s="20"/>
      <c r="CK147" s="20"/>
      <c r="CL147" s="20"/>
      <c r="CM147" s="20"/>
      <c r="CN147" s="12"/>
      <c r="CV147" s="1237">
        <f t="shared" si="129"/>
        <v>1.0900000000000001</v>
      </c>
      <c r="CX147" s="1216">
        <v>2006</v>
      </c>
      <c r="CY147" s="2144">
        <f t="shared" si="134"/>
        <v>8.4441814198436358</v>
      </c>
      <c r="CZ147" s="765"/>
      <c r="DA147" s="2145"/>
      <c r="DR147" s="2362">
        <f t="shared" si="135"/>
        <v>8.4441814198436358</v>
      </c>
      <c r="DT147" s="1218">
        <v>2006</v>
      </c>
      <c r="DU147" s="1274">
        <f t="shared" si="137"/>
        <v>17290.099999999999</v>
      </c>
      <c r="DV147" s="2329">
        <f t="shared" si="138"/>
        <v>2047.5756192741967</v>
      </c>
      <c r="EI147" s="460"/>
      <c r="EJ147" s="461"/>
      <c r="EM147" s="1254">
        <v>2006</v>
      </c>
      <c r="EN147" s="2329">
        <f t="shared" si="130"/>
        <v>5304.1949999999979</v>
      </c>
      <c r="EO147" s="2329">
        <f t="shared" si="139"/>
        <v>5304.1949999999979</v>
      </c>
      <c r="EP147" s="2329"/>
      <c r="EQ147" s="2407">
        <f t="shared" si="136"/>
        <v>26917.203699999998</v>
      </c>
      <c r="FB147" s="460"/>
      <c r="FC147" s="461"/>
      <c r="GW147" s="1218">
        <v>2008</v>
      </c>
      <c r="GX147" s="1242">
        <v>10.701001718560617</v>
      </c>
      <c r="GY147" s="1243"/>
      <c r="GZ147" s="1244">
        <v>12.382630991276981</v>
      </c>
      <c r="HA147" s="1243"/>
      <c r="HB147" s="1244">
        <v>11.941266045828566</v>
      </c>
      <c r="HC147" s="1245"/>
      <c r="HS147" s="1259">
        <f t="shared" si="131"/>
        <v>12.382630991276981</v>
      </c>
      <c r="HT147" s="1260">
        <f t="shared" si="132"/>
        <v>11.941266045828566</v>
      </c>
      <c r="HW147" s="1218">
        <v>2008</v>
      </c>
      <c r="HX147" s="1242">
        <f t="shared" si="128"/>
        <v>10.701001718560617</v>
      </c>
      <c r="HY147" s="1244">
        <v>15.397267606350976</v>
      </c>
      <c r="HZ147" s="1245"/>
      <c r="IP147" s="1294">
        <f t="shared" si="133"/>
        <v>15.397267606350976</v>
      </c>
    </row>
    <row r="148" spans="56:250" ht="22.8">
      <c r="BD148" s="1221">
        <v>2023</v>
      </c>
      <c r="BE148" s="1346"/>
      <c r="BF148" s="1347">
        <v>70</v>
      </c>
      <c r="BG148" s="1247"/>
      <c r="BH148" s="1348">
        <v>25.599999999999994</v>
      </c>
      <c r="BZ148" s="2272">
        <f t="shared" si="140"/>
        <v>70</v>
      </c>
      <c r="CC148" s="2052">
        <v>2007</v>
      </c>
      <c r="CD148" s="2355">
        <v>1.1187</v>
      </c>
      <c r="CE148" s="1237"/>
      <c r="CF148" s="20"/>
      <c r="CG148" s="20"/>
      <c r="CH148" s="20"/>
      <c r="CI148" s="20"/>
      <c r="CJ148" s="20"/>
      <c r="CK148" s="20"/>
      <c r="CL148" s="20"/>
      <c r="CM148" s="20"/>
      <c r="CN148" s="12"/>
      <c r="CV148" s="1237">
        <f t="shared" si="129"/>
        <v>1.1187</v>
      </c>
      <c r="CX148" s="1216">
        <v>2007</v>
      </c>
      <c r="CY148" s="2144">
        <f t="shared" si="134"/>
        <v>9.4465057543790749</v>
      </c>
      <c r="CZ148" s="765"/>
      <c r="DA148" s="2145"/>
      <c r="DR148" s="2362">
        <f t="shared" si="135"/>
        <v>9.4465057543790749</v>
      </c>
      <c r="DT148" s="1218">
        <v>2007</v>
      </c>
      <c r="DU148" s="1274">
        <f t="shared" si="137"/>
        <v>21311.5</v>
      </c>
      <c r="DV148" s="2329">
        <f t="shared" si="138"/>
        <v>2256.0193741607286</v>
      </c>
      <c r="EI148" s="460"/>
      <c r="EJ148" s="461"/>
      <c r="EM148" s="1254">
        <v>2007</v>
      </c>
      <c r="EN148" s="2329">
        <f t="shared" si="130"/>
        <v>5785.3899999999994</v>
      </c>
      <c r="EO148" s="2329">
        <f t="shared" si="139"/>
        <v>5785.3899999999994</v>
      </c>
      <c r="EP148" s="2329"/>
      <c r="EQ148" s="2407">
        <f t="shared" si="136"/>
        <v>33247.513200000001</v>
      </c>
      <c r="FB148" s="460"/>
      <c r="FC148" s="461"/>
      <c r="GW148" s="1218">
        <v>2009</v>
      </c>
      <c r="GX148" s="1242">
        <v>11.642689869793951</v>
      </c>
      <c r="GY148" s="1243"/>
      <c r="GZ148" s="1244">
        <v>13.714036448863869</v>
      </c>
      <c r="HA148" s="1243"/>
      <c r="HB148" s="1244">
        <v>12.996640727607122</v>
      </c>
      <c r="HC148" s="1245"/>
      <c r="HS148" s="1259">
        <f t="shared" si="131"/>
        <v>13.714036448863869</v>
      </c>
      <c r="HT148" s="1260">
        <f t="shared" si="132"/>
        <v>12.996640727607122</v>
      </c>
      <c r="HW148" s="1218">
        <v>2009</v>
      </c>
      <c r="HX148" s="1242">
        <f t="shared" si="128"/>
        <v>11.642689869793951</v>
      </c>
      <c r="HY148" s="1244">
        <v>18.209619166526906</v>
      </c>
      <c r="HZ148" s="1245"/>
      <c r="IP148" s="1294">
        <f t="shared" si="133"/>
        <v>18.209619166526906</v>
      </c>
    </row>
    <row r="149" spans="56:250" ht="22.8">
      <c r="BD149" s="1221">
        <v>2024</v>
      </c>
      <c r="BE149" s="1346"/>
      <c r="BF149" s="1347">
        <v>68</v>
      </c>
      <c r="BG149" s="1247"/>
      <c r="BH149" s="1348">
        <v>26.299999999999994</v>
      </c>
      <c r="BZ149" s="2272">
        <f t="shared" si="140"/>
        <v>68</v>
      </c>
      <c r="CC149" s="2052">
        <v>2008</v>
      </c>
      <c r="CD149" s="2355">
        <v>1.1328</v>
      </c>
      <c r="CE149" s="1237"/>
      <c r="CF149" s="20"/>
      <c r="CG149" s="20"/>
      <c r="CH149" s="20"/>
      <c r="CI149" s="20"/>
      <c r="CJ149" s="20"/>
      <c r="CK149" s="20"/>
      <c r="CL149" s="20"/>
      <c r="CM149" s="20"/>
      <c r="CN149" s="12"/>
      <c r="CV149" s="1237">
        <f t="shared" si="129"/>
        <v>1.1328</v>
      </c>
      <c r="CX149" s="1216">
        <v>2008</v>
      </c>
      <c r="CY149" s="2144">
        <f t="shared" si="134"/>
        <v>10.701001718560617</v>
      </c>
      <c r="CZ149" s="765"/>
      <c r="DA149" s="2145"/>
      <c r="DR149" s="2362">
        <f t="shared" si="135"/>
        <v>10.701001718560617</v>
      </c>
      <c r="DT149" s="1218">
        <v>2008</v>
      </c>
      <c r="DU149" s="1274">
        <f t="shared" si="137"/>
        <v>25244</v>
      </c>
      <c r="DV149" s="2329">
        <f t="shared" si="138"/>
        <v>2359.0314873246793</v>
      </c>
      <c r="EI149" s="460"/>
      <c r="EJ149" s="461"/>
      <c r="EM149" s="1254">
        <v>2008</v>
      </c>
      <c r="EN149" s="2329">
        <f t="shared" si="130"/>
        <v>5684.2400000000016</v>
      </c>
      <c r="EO149" s="2329">
        <f t="shared" si="139"/>
        <v>5684.2400000000016</v>
      </c>
      <c r="EP149" s="2329"/>
      <c r="EQ149" s="2407">
        <f t="shared" si="136"/>
        <v>41276.849199999997</v>
      </c>
      <c r="FB149" s="460"/>
      <c r="FC149" s="461"/>
      <c r="GW149" s="1218">
        <v>2010</v>
      </c>
      <c r="GX149" s="1242">
        <v>12.664918040361862</v>
      </c>
      <c r="GY149" s="1243"/>
      <c r="GZ149" s="1244">
        <v>14.629133800462956</v>
      </c>
      <c r="HA149" s="1243"/>
      <c r="HB149" s="1244">
        <v>13.587422805401822</v>
      </c>
      <c r="HC149" s="1245"/>
      <c r="HS149" s="1259">
        <f t="shared" si="131"/>
        <v>14.629133800462956</v>
      </c>
      <c r="HT149" s="1260">
        <f t="shared" si="132"/>
        <v>13.587422805401822</v>
      </c>
      <c r="HW149" s="1218">
        <v>2010</v>
      </c>
      <c r="HX149" s="1242">
        <f t="shared" si="128"/>
        <v>12.664918040361862</v>
      </c>
      <c r="HY149" s="1244">
        <v>20.205803391972641</v>
      </c>
      <c r="HZ149" s="1245"/>
      <c r="IP149" s="1294">
        <f t="shared" si="133"/>
        <v>20.205803391972641</v>
      </c>
    </row>
    <row r="150" spans="56:250" ht="22.8">
      <c r="BD150" s="1221">
        <v>2025</v>
      </c>
      <c r="BE150" s="1346"/>
      <c r="BF150" s="1347">
        <f t="shared" ref="BF150:BF160" si="141">BF149+0.8</f>
        <v>68.8</v>
      </c>
      <c r="BG150" s="1247"/>
      <c r="BH150" s="1348">
        <v>26.999999999999993</v>
      </c>
      <c r="BZ150" s="2272">
        <f t="shared" si="140"/>
        <v>68.8</v>
      </c>
      <c r="CC150" s="2052">
        <v>2009</v>
      </c>
      <c r="CD150" s="2355">
        <v>1.0880000000000001</v>
      </c>
      <c r="CE150" s="1237"/>
      <c r="CF150" s="20"/>
      <c r="CG150" s="20"/>
      <c r="CH150" s="20"/>
      <c r="CI150" s="20"/>
      <c r="CJ150" s="20"/>
      <c r="CK150" s="20"/>
      <c r="CL150" s="20"/>
      <c r="CM150" s="20"/>
      <c r="CN150" s="12"/>
      <c r="CV150" s="1237">
        <f t="shared" si="129"/>
        <v>1.0880000000000001</v>
      </c>
      <c r="CX150" s="1216">
        <v>2009</v>
      </c>
      <c r="CY150" s="2144">
        <f t="shared" si="134"/>
        <v>11.642689869793951</v>
      </c>
      <c r="CZ150" s="1247">
        <f>CY150</f>
        <v>11.642689869793951</v>
      </c>
      <c r="DA150" s="2145"/>
      <c r="DR150" s="2362">
        <f t="shared" si="135"/>
        <v>11.642689869793951</v>
      </c>
      <c r="DT150" s="1218">
        <v>2009</v>
      </c>
      <c r="DU150" s="1274">
        <f t="shared" si="137"/>
        <v>28697.5</v>
      </c>
      <c r="DV150" s="2329">
        <f t="shared" si="138"/>
        <v>2464.851363468284</v>
      </c>
      <c r="EI150" s="460"/>
      <c r="EJ150" s="461"/>
      <c r="EM150" s="1254">
        <v>2009</v>
      </c>
      <c r="EN150" s="2329">
        <f t="shared" si="130"/>
        <v>8285.89</v>
      </c>
      <c r="EO150" s="2329">
        <f t="shared" si="139"/>
        <v>8285.89</v>
      </c>
      <c r="EP150" s="2329"/>
      <c r="EQ150" s="2407">
        <f t="shared" si="136"/>
        <v>38807.270899999996</v>
      </c>
      <c r="FB150" s="460"/>
      <c r="FC150" s="461"/>
      <c r="GW150" s="1218">
        <v>2011</v>
      </c>
      <c r="GX150" s="1242">
        <v>13.437478040823935</v>
      </c>
      <c r="GY150" s="1243"/>
      <c r="GZ150" s="1244">
        <v>17.36421630879255</v>
      </c>
      <c r="HA150" s="1243"/>
      <c r="HB150" s="1244">
        <v>14.262597604124318</v>
      </c>
      <c r="HC150" s="1245"/>
      <c r="HS150" s="1259">
        <f t="shared" si="131"/>
        <v>17.36421630879255</v>
      </c>
      <c r="HT150" s="1260">
        <f t="shared" si="132"/>
        <v>14.262597604124318</v>
      </c>
      <c r="HW150" s="1218">
        <v>2011</v>
      </c>
      <c r="HX150" s="1242">
        <f t="shared" si="128"/>
        <v>13.437478040823935</v>
      </c>
      <c r="HY150" s="1244">
        <v>23.496938857350884</v>
      </c>
      <c r="HZ150" s="1245"/>
      <c r="IP150" s="1294">
        <f t="shared" si="133"/>
        <v>23.496938857350884</v>
      </c>
    </row>
    <row r="151" spans="56:250" ht="22.8">
      <c r="BD151" s="1221">
        <v>2026</v>
      </c>
      <c r="BE151" s="1346"/>
      <c r="BF151" s="1347">
        <f t="shared" si="141"/>
        <v>69.599999999999994</v>
      </c>
      <c r="BG151" s="1247"/>
      <c r="BH151" s="1348">
        <v>27.699999999999992</v>
      </c>
      <c r="BZ151" s="2272">
        <f t="shared" si="140"/>
        <v>69.599999999999994</v>
      </c>
      <c r="CC151" s="2052">
        <v>2010</v>
      </c>
      <c r="CD151" s="2355">
        <v>1.0878000000000001</v>
      </c>
      <c r="CE151" s="1237"/>
      <c r="CF151" s="20"/>
      <c r="CG151" s="20"/>
      <c r="CH151" s="20"/>
      <c r="CI151" s="20"/>
      <c r="CJ151" s="20"/>
      <c r="CK151" s="20"/>
      <c r="CL151" s="20"/>
      <c r="CM151" s="20"/>
      <c r="CN151" s="12"/>
      <c r="CV151" s="1237">
        <f t="shared" si="129"/>
        <v>1.0878000000000001</v>
      </c>
      <c r="CX151" s="1216">
        <v>2010</v>
      </c>
      <c r="CY151" s="2144">
        <f t="shared" si="134"/>
        <v>12.664918040361862</v>
      </c>
      <c r="CZ151" s="1247">
        <f t="shared" ref="CZ151:CZ154" si="142">CY151</f>
        <v>12.664918040361862</v>
      </c>
      <c r="DA151" s="2145"/>
      <c r="DR151" s="2362">
        <f t="shared" si="135"/>
        <v>12.664918040361862</v>
      </c>
      <c r="DT151" s="1218">
        <v>2010</v>
      </c>
      <c r="DU151" s="1274">
        <f t="shared" si="137"/>
        <v>32498.3</v>
      </c>
      <c r="DV151" s="2329">
        <f t="shared" si="138"/>
        <v>2566.0094993454422</v>
      </c>
      <c r="EI151" s="460"/>
      <c r="EJ151" s="461"/>
      <c r="EM151" s="1254">
        <v>2010</v>
      </c>
      <c r="EN151" s="2329">
        <f t="shared" si="130"/>
        <v>9502.6699999999983</v>
      </c>
      <c r="EO151" s="2329">
        <f t="shared" si="139"/>
        <v>9502.6699999999983</v>
      </c>
      <c r="EP151" s="2329"/>
      <c r="EQ151" s="2407">
        <f t="shared" si="136"/>
        <v>46308.53100000001</v>
      </c>
      <c r="FB151" s="460"/>
      <c r="FC151" s="461"/>
      <c r="GW151" s="1218">
        <v>2012</v>
      </c>
      <c r="GX151" s="1242">
        <v>14.321664095910151</v>
      </c>
      <c r="GY151" s="1243"/>
      <c r="GZ151" s="1244">
        <v>18.540125110660799</v>
      </c>
      <c r="HA151" s="1243"/>
      <c r="HB151" s="1244">
        <v>15.820545673088896</v>
      </c>
      <c r="HC151" s="1245"/>
      <c r="HS151" s="1259">
        <f t="shared" si="131"/>
        <v>18.540125110660799</v>
      </c>
      <c r="HT151" s="1260">
        <f t="shared" si="132"/>
        <v>15.820545673088896</v>
      </c>
      <c r="HW151" s="1218">
        <v>2012</v>
      </c>
      <c r="HX151" s="1242">
        <f t="shared" si="128"/>
        <v>14.321664095910151</v>
      </c>
      <c r="HY151" s="1244">
        <v>25.552634846384674</v>
      </c>
      <c r="HZ151" s="1245"/>
      <c r="IP151" s="1294">
        <f t="shared" si="133"/>
        <v>25.552634846384674</v>
      </c>
    </row>
    <row r="152" spans="56:250" ht="22.8">
      <c r="BD152" s="1221">
        <v>2027</v>
      </c>
      <c r="BE152" s="1346"/>
      <c r="BF152" s="1347">
        <f t="shared" si="141"/>
        <v>70.399999999999991</v>
      </c>
      <c r="BG152" s="1247"/>
      <c r="BH152" s="1348">
        <v>28.399999999999991</v>
      </c>
      <c r="BZ152" s="2272">
        <f t="shared" si="140"/>
        <v>70.399999999999991</v>
      </c>
      <c r="CC152" s="2052">
        <v>2011</v>
      </c>
      <c r="CD152" s="2355">
        <v>1.0609999999999999</v>
      </c>
      <c r="CE152" s="1237"/>
      <c r="CF152" s="20"/>
      <c r="CG152" s="20"/>
      <c r="CH152" s="20"/>
      <c r="CI152" s="20"/>
      <c r="CJ152" s="20"/>
      <c r="CK152" s="20"/>
      <c r="CL152" s="20"/>
      <c r="CM152" s="20"/>
      <c r="CN152" s="12"/>
      <c r="CV152" s="1237">
        <f t="shared" si="129"/>
        <v>1.0609999999999999</v>
      </c>
      <c r="CX152" s="1216">
        <v>2011</v>
      </c>
      <c r="CY152" s="2144">
        <f t="shared" si="134"/>
        <v>13.437478040823935</v>
      </c>
      <c r="CZ152" s="1247">
        <f t="shared" si="142"/>
        <v>13.437478040823935</v>
      </c>
      <c r="DA152" s="2145"/>
      <c r="DR152" s="2362">
        <f t="shared" si="135"/>
        <v>13.437478040823935</v>
      </c>
      <c r="DT152" s="1218">
        <v>2011</v>
      </c>
      <c r="DU152" s="1274">
        <f t="shared" si="137"/>
        <v>35648.699999999997</v>
      </c>
      <c r="DV152" s="2329">
        <f t="shared" si="138"/>
        <v>2652.9308469712041</v>
      </c>
      <c r="EI152" s="460"/>
      <c r="EJ152" s="461"/>
      <c r="EM152" s="1254">
        <v>2011</v>
      </c>
      <c r="EN152" s="2329">
        <f t="shared" si="130"/>
        <v>9262.024599999997</v>
      </c>
      <c r="EO152" s="2329">
        <f t="shared" si="139"/>
        <v>9262.024599999997</v>
      </c>
      <c r="EP152" s="2329"/>
      <c r="EQ152" s="2407">
        <f t="shared" si="136"/>
        <v>60282.540400000005</v>
      </c>
      <c r="FB152" s="460"/>
      <c r="FC152" s="461"/>
      <c r="GW152" s="1218">
        <v>2013</v>
      </c>
      <c r="GX152" s="1242">
        <v>15.245411430096356</v>
      </c>
      <c r="GY152" s="1243"/>
      <c r="GZ152" s="1244">
        <v>19.653563919076568</v>
      </c>
      <c r="HA152" s="1243"/>
      <c r="HB152" s="1244">
        <v>16.643637181160418</v>
      </c>
      <c r="HC152" s="1245"/>
      <c r="HS152" s="1259">
        <f t="shared" si="131"/>
        <v>19.653563919076568</v>
      </c>
      <c r="HT152" s="1260">
        <f t="shared" si="132"/>
        <v>16.643637181160418</v>
      </c>
      <c r="HW152" s="1218">
        <v>2013</v>
      </c>
      <c r="HX152" s="1242">
        <f t="shared" si="128"/>
        <v>15.245411430096356</v>
      </c>
      <c r="HY152" s="1244">
        <v>27.368855432385324</v>
      </c>
      <c r="HZ152" s="1245"/>
      <c r="IP152" s="1294">
        <f t="shared" si="133"/>
        <v>27.368855432385324</v>
      </c>
    </row>
    <row r="153" spans="56:250" ht="22.8">
      <c r="BD153" s="1221">
        <v>2028</v>
      </c>
      <c r="BE153" s="1346"/>
      <c r="BF153" s="1347">
        <f t="shared" si="141"/>
        <v>71.199999999999989</v>
      </c>
      <c r="BG153" s="1247"/>
      <c r="BH153" s="1348">
        <v>29.099999999999991</v>
      </c>
      <c r="BZ153" s="2272">
        <f t="shared" si="140"/>
        <v>71.199999999999989</v>
      </c>
      <c r="CC153" s="2052">
        <v>2012</v>
      </c>
      <c r="CD153" s="2355">
        <v>1.0658000000000001</v>
      </c>
      <c r="CE153" s="1237"/>
      <c r="CF153" s="20"/>
      <c r="CG153" s="20"/>
      <c r="CH153" s="20"/>
      <c r="CI153" s="20"/>
      <c r="CJ153" s="20"/>
      <c r="CK153" s="20"/>
      <c r="CL153" s="20"/>
      <c r="CM153" s="20"/>
      <c r="CN153" s="12"/>
      <c r="CV153" s="1237">
        <f t="shared" si="129"/>
        <v>1.0658000000000001</v>
      </c>
      <c r="CX153" s="1216">
        <v>2012</v>
      </c>
      <c r="CY153" s="2144">
        <f t="shared" si="134"/>
        <v>14.321664095910151</v>
      </c>
      <c r="CZ153" s="1247">
        <f t="shared" si="142"/>
        <v>14.321664095910151</v>
      </c>
      <c r="DA153" s="2145"/>
      <c r="DR153" s="2362">
        <f t="shared" si="135"/>
        <v>14.321664095910151</v>
      </c>
      <c r="DT153" s="1218">
        <v>2012</v>
      </c>
      <c r="DU153" s="1274">
        <f t="shared" si="137"/>
        <v>39904</v>
      </c>
      <c r="DV153" s="2329">
        <f t="shared" si="138"/>
        <v>2786.2683926091672</v>
      </c>
      <c r="EI153" s="460"/>
      <c r="EJ153" s="461"/>
      <c r="EM153" s="1254">
        <v>2012</v>
      </c>
      <c r="EN153" s="2329">
        <f t="shared" si="130"/>
        <v>9702.8385000000017</v>
      </c>
      <c r="EO153" s="2329">
        <f t="shared" si="139"/>
        <v>9702.8385000000017</v>
      </c>
      <c r="EP153" s="2329"/>
      <c r="EQ153" s="2407">
        <f t="shared" si="136"/>
        <v>68163.883100000006</v>
      </c>
      <c r="FB153" s="460"/>
      <c r="FC153" s="461"/>
      <c r="GW153" s="1218">
        <v>2014</v>
      </c>
      <c r="GX153" s="1242">
        <v>17.318787384589459</v>
      </c>
      <c r="GY153" s="1243"/>
      <c r="GZ153" s="1244">
        <v>21.016276952701091</v>
      </c>
      <c r="HA153" s="1243"/>
      <c r="HB153" s="1244">
        <v>18.778754615584578</v>
      </c>
      <c r="HC153" s="1245"/>
      <c r="HS153" s="1259">
        <f t="shared" si="131"/>
        <v>21.016276952701091</v>
      </c>
      <c r="HT153" s="1260">
        <f t="shared" si="132"/>
        <v>18.778754615584578</v>
      </c>
      <c r="HW153" s="1218">
        <v>2014</v>
      </c>
      <c r="HX153" s="1242">
        <f t="shared" si="128"/>
        <v>17.318787384589459</v>
      </c>
      <c r="HY153" s="1244">
        <v>30.814371333057377</v>
      </c>
      <c r="HZ153" s="1245"/>
      <c r="IP153" s="1294">
        <f t="shared" si="133"/>
        <v>30.814371333057377</v>
      </c>
    </row>
    <row r="154" spans="56:250" ht="22.8">
      <c r="BD154" s="1221">
        <v>2029</v>
      </c>
      <c r="BE154" s="1346"/>
      <c r="BF154" s="1347">
        <f t="shared" si="141"/>
        <v>71.999999999999986</v>
      </c>
      <c r="BG154" s="1247"/>
      <c r="BH154" s="1348">
        <v>29.79999999999999</v>
      </c>
      <c r="BZ154" s="2272">
        <f t="shared" si="140"/>
        <v>71.999999999999986</v>
      </c>
      <c r="CC154" s="2052">
        <v>2013</v>
      </c>
      <c r="CD154" s="2355">
        <v>1.0645</v>
      </c>
      <c r="CE154" s="1237"/>
      <c r="CF154" s="20"/>
      <c r="CG154" s="20"/>
      <c r="CH154" s="20"/>
      <c r="CI154" s="20"/>
      <c r="CJ154" s="20"/>
      <c r="CK154" s="20"/>
      <c r="CL154" s="20"/>
      <c r="CM154" s="20"/>
      <c r="CN154" s="12"/>
      <c r="CV154" s="1237">
        <f t="shared" si="129"/>
        <v>1.0645</v>
      </c>
      <c r="CX154" s="1216">
        <v>2013</v>
      </c>
      <c r="CY154" s="2144">
        <f t="shared" si="134"/>
        <v>15.245411430096356</v>
      </c>
      <c r="CZ154" s="1247">
        <f t="shared" si="142"/>
        <v>15.245411430096356</v>
      </c>
      <c r="DA154" s="2145"/>
      <c r="DR154" s="2362">
        <f t="shared" si="135"/>
        <v>15.245411430096356</v>
      </c>
      <c r="DT154" s="1218">
        <v>2013</v>
      </c>
      <c r="DU154" s="1274">
        <f t="shared" si="137"/>
        <v>44650</v>
      </c>
      <c r="DV154" s="2329">
        <f t="shared" si="138"/>
        <v>2928.7500835730348</v>
      </c>
      <c r="EI154" s="460"/>
      <c r="EJ154" s="461"/>
      <c r="EM154" s="1254">
        <v>2013</v>
      </c>
      <c r="EN154" s="2329">
        <f t="shared" si="130"/>
        <v>10857.717799999999</v>
      </c>
      <c r="EO154" s="2329">
        <f t="shared" si="139"/>
        <v>10857.717799999999</v>
      </c>
      <c r="EP154" s="2329"/>
      <c r="EQ154" s="2407">
        <f t="shared" si="136"/>
        <v>73133.89509999998</v>
      </c>
      <c r="FB154" s="460"/>
      <c r="FC154" s="461"/>
      <c r="GW154" s="1218">
        <v>2015</v>
      </c>
      <c r="GX154" s="1242">
        <v>19.552910957201501</v>
      </c>
      <c r="GY154" s="1243"/>
      <c r="GZ154" s="1244">
        <v>23.908625308988828</v>
      </c>
      <c r="HA154" s="1243"/>
      <c r="HB154" s="1244">
        <v>20.932137525435952</v>
      </c>
      <c r="HC154" s="1245"/>
      <c r="HS154" s="1259">
        <f t="shared" si="131"/>
        <v>23.908625308988828</v>
      </c>
      <c r="HT154" s="1260">
        <f t="shared" si="132"/>
        <v>20.932137525435952</v>
      </c>
      <c r="HW154" s="1218">
        <v>2015</v>
      </c>
      <c r="HX154" s="1242">
        <f t="shared" si="128"/>
        <v>19.552910957201501</v>
      </c>
      <c r="HY154" s="1244">
        <v>36.34296976353653</v>
      </c>
      <c r="HZ154" s="1245"/>
      <c r="IP154" s="1294">
        <f t="shared" si="133"/>
        <v>36.34296976353653</v>
      </c>
    </row>
    <row r="155" spans="56:250" ht="21">
      <c r="BD155" s="1221">
        <v>2030</v>
      </c>
      <c r="BE155" s="555"/>
      <c r="BF155" s="1347">
        <f t="shared" si="141"/>
        <v>72.799999999999983</v>
      </c>
      <c r="BG155" s="555"/>
      <c r="BH155" s="1348">
        <f t="shared" ref="BH155:BH160" si="143">BH154+0.7</f>
        <v>30.499999999999989</v>
      </c>
      <c r="BZ155" s="2272">
        <f t="shared" si="140"/>
        <v>72.799999999999983</v>
      </c>
      <c r="CC155" s="2052">
        <v>2014</v>
      </c>
      <c r="CD155" s="2355">
        <v>1.1359999999999999</v>
      </c>
      <c r="CE155" s="1237"/>
      <c r="CF155" s="20"/>
      <c r="CG155" s="20"/>
      <c r="CH155" s="20"/>
      <c r="CI155" s="20"/>
      <c r="CJ155" s="20"/>
      <c r="CK155" s="20"/>
      <c r="CL155" s="20"/>
      <c r="CM155" s="20"/>
      <c r="CN155" s="12"/>
      <c r="CV155" s="1237">
        <f t="shared" si="129"/>
        <v>1.1359999999999999</v>
      </c>
      <c r="CX155" s="1216">
        <v>2014</v>
      </c>
      <c r="CY155" s="2144">
        <f t="shared" si="134"/>
        <v>17.318787384589459</v>
      </c>
      <c r="CZ155" s="765"/>
      <c r="DA155" s="2145"/>
      <c r="DR155" s="2362">
        <f t="shared" si="135"/>
        <v>17.318787384589459</v>
      </c>
      <c r="DT155" s="1218">
        <v>2014</v>
      </c>
      <c r="DU155" s="1274">
        <f t="shared" si="137"/>
        <v>47921</v>
      </c>
      <c r="DV155" s="2329">
        <f t="shared" si="138"/>
        <v>2766.9951097523658</v>
      </c>
      <c r="EM155" s="1254">
        <v>2014</v>
      </c>
      <c r="EN155" s="2329">
        <f t="shared" si="130"/>
        <v>10490.54</v>
      </c>
      <c r="EO155" s="2329">
        <f t="shared" si="139"/>
        <v>10490.54</v>
      </c>
      <c r="EP155" s="2329"/>
      <c r="EQ155" s="2407">
        <f t="shared" si="136"/>
        <v>79058</v>
      </c>
      <c r="GW155" s="1218">
        <v>2016</v>
      </c>
      <c r="GX155" s="1242">
        <v>20.608768148890384</v>
      </c>
      <c r="GY155" s="1243"/>
      <c r="GZ155" s="1244">
        <v>25.541020349632802</v>
      </c>
      <c r="HA155" s="1243"/>
      <c r="HB155" s="1244">
        <v>22.713794876355891</v>
      </c>
      <c r="HC155" s="1245"/>
      <c r="HS155" s="1259">
        <f t="shared" si="131"/>
        <v>25.541020349632802</v>
      </c>
      <c r="HT155" s="1260">
        <f t="shared" si="132"/>
        <v>22.713794876355891</v>
      </c>
      <c r="HW155" s="1218">
        <v>2016</v>
      </c>
      <c r="HX155" s="1242">
        <f t="shared" si="128"/>
        <v>20.606812857794662</v>
      </c>
      <c r="HY155" s="1244">
        <v>40.026077735793137</v>
      </c>
      <c r="HZ155" s="1245"/>
      <c r="IP155" s="1294">
        <f t="shared" si="133"/>
        <v>40.026077735793137</v>
      </c>
    </row>
    <row r="156" spans="56:250" ht="21">
      <c r="BD156" s="1221">
        <v>2031</v>
      </c>
      <c r="BE156" s="555"/>
      <c r="BF156" s="1347">
        <f t="shared" si="141"/>
        <v>73.59999999999998</v>
      </c>
      <c r="BG156" s="555"/>
      <c r="BH156" s="1348">
        <f t="shared" si="143"/>
        <v>31.199999999999989</v>
      </c>
      <c r="BZ156" s="2272">
        <f t="shared" si="140"/>
        <v>73.59999999999998</v>
      </c>
      <c r="CC156" s="2052">
        <v>2015</v>
      </c>
      <c r="CD156" s="2355">
        <v>1.129</v>
      </c>
      <c r="CE156" s="1237"/>
      <c r="CF156" s="20"/>
      <c r="CG156" s="20"/>
      <c r="CH156" s="20"/>
      <c r="CI156" s="20"/>
      <c r="CJ156" s="20"/>
      <c r="CK156" s="20"/>
      <c r="CL156" s="20"/>
      <c r="CM156" s="20"/>
      <c r="CN156" s="12"/>
      <c r="CV156" s="1237">
        <f t="shared" si="129"/>
        <v>1.129</v>
      </c>
      <c r="CX156" s="1216">
        <v>2015</v>
      </c>
      <c r="CY156" s="2144">
        <f t="shared" si="134"/>
        <v>19.552910957201501</v>
      </c>
      <c r="CZ156" s="765"/>
      <c r="DA156" s="2145"/>
      <c r="DR156" s="2362">
        <f t="shared" si="135"/>
        <v>19.552910957201501</v>
      </c>
      <c r="DT156" s="2403">
        <v>2015</v>
      </c>
      <c r="DU156" s="1274">
        <f t="shared" si="137"/>
        <v>53526</v>
      </c>
      <c r="DV156" s="2329">
        <f t="shared" si="138"/>
        <v>2737.4952055558729</v>
      </c>
      <c r="EM156" s="1254">
        <v>2015</v>
      </c>
      <c r="EN156" s="2329">
        <f t="shared" si="130"/>
        <v>15780.510000000002</v>
      </c>
      <c r="EO156" s="2329">
        <f t="shared" si="139"/>
        <v>15780.510000000002</v>
      </c>
      <c r="EP156" s="2329"/>
      <c r="EQ156" s="2407">
        <f t="shared" si="136"/>
        <v>83094</v>
      </c>
      <c r="GW156" s="1254">
        <v>2017</v>
      </c>
      <c r="GX156" s="1246"/>
      <c r="GY156" s="1247"/>
      <c r="GZ156" s="1248"/>
      <c r="HA156" s="1247"/>
      <c r="HB156" s="1249"/>
      <c r="HC156" s="1255"/>
      <c r="HS156" s="1259"/>
      <c r="HT156" s="1260"/>
      <c r="HW156" s="1254">
        <v>2017</v>
      </c>
      <c r="HX156" s="1242">
        <f t="shared" si="128"/>
        <v>21.124043860525305</v>
      </c>
      <c r="HY156" s="1248"/>
      <c r="HZ156" s="1255">
        <f>1.9662*HX156-3.1783</f>
        <v>38.35579503856485</v>
      </c>
      <c r="IP156" s="1294">
        <f>HZ156</f>
        <v>38.35579503856485</v>
      </c>
    </row>
    <row r="157" spans="56:250" ht="21">
      <c r="BD157" s="1221">
        <v>2032</v>
      </c>
      <c r="BE157" s="555"/>
      <c r="BF157" s="1347">
        <f t="shared" si="141"/>
        <v>74.399999999999977</v>
      </c>
      <c r="BG157" s="555"/>
      <c r="BH157" s="1348">
        <f t="shared" si="143"/>
        <v>31.899999999999988</v>
      </c>
      <c r="BZ157" s="2272">
        <f t="shared" si="140"/>
        <v>74.399999999999977</v>
      </c>
      <c r="CC157" s="2052">
        <v>2016</v>
      </c>
      <c r="CD157" s="2355">
        <v>1.0539000000000001</v>
      </c>
      <c r="CE157" s="1237"/>
      <c r="CF157" s="20"/>
      <c r="CG157" s="20"/>
      <c r="CH157" s="20"/>
      <c r="CI157" s="20"/>
      <c r="CJ157" s="20"/>
      <c r="CK157" s="20"/>
      <c r="CL157" s="20"/>
      <c r="CM157" s="20"/>
      <c r="CN157" s="12"/>
      <c r="CV157" s="1237">
        <f t="shared" si="129"/>
        <v>1.0539000000000001</v>
      </c>
      <c r="CX157" s="1216">
        <v>2016</v>
      </c>
      <c r="CY157" s="2144">
        <f t="shared" si="134"/>
        <v>20.606812857794662</v>
      </c>
      <c r="CZ157" s="765"/>
      <c r="DA157" s="2145"/>
      <c r="DR157" s="2362">
        <f t="shared" si="135"/>
        <v>20.606812857794662</v>
      </c>
      <c r="DT157" s="1218">
        <v>2016</v>
      </c>
      <c r="DU157" s="1274">
        <f t="shared" si="137"/>
        <v>54117</v>
      </c>
      <c r="DV157" s="2329">
        <f t="shared" si="138"/>
        <v>2626.1703046199059</v>
      </c>
      <c r="EM157" s="1254">
        <v>2016</v>
      </c>
      <c r="EN157" s="2329">
        <f t="shared" si="130"/>
        <v>12871.64</v>
      </c>
      <c r="EO157" s="2329"/>
      <c r="EP157" s="2329">
        <f>EN157</f>
        <v>12871.64</v>
      </c>
      <c r="EQ157" s="2407">
        <f t="shared" si="136"/>
        <v>86014</v>
      </c>
      <c r="GW157" s="1254">
        <v>2018</v>
      </c>
      <c r="GX157" s="1246"/>
      <c r="GY157" s="1247"/>
      <c r="GZ157" s="1248"/>
      <c r="HA157" s="1247"/>
      <c r="HB157" s="1243"/>
      <c r="HC157" s="1255"/>
      <c r="HS157" s="1259"/>
      <c r="HT157" s="1260"/>
      <c r="HW157" s="1254">
        <v>2018</v>
      </c>
      <c r="HX157" s="1242">
        <f t="shared" si="128"/>
        <v>22.02392812898368</v>
      </c>
      <c r="HY157" s="1248"/>
      <c r="HZ157" s="1255">
        <f t="shared" ref="HZ157:HZ169" si="144">1.9662*HX157-3.1783</f>
        <v>40.125147487207713</v>
      </c>
      <c r="IP157" s="1294">
        <f t="shared" ref="IP157:IP169" si="145">HZ157</f>
        <v>40.125147487207713</v>
      </c>
    </row>
    <row r="158" spans="56:250" ht="21">
      <c r="BD158" s="1221">
        <v>2033</v>
      </c>
      <c r="BE158" s="555"/>
      <c r="BF158" s="1347">
        <f t="shared" si="141"/>
        <v>75.199999999999974</v>
      </c>
      <c r="BG158" s="555"/>
      <c r="BH158" s="1348">
        <f t="shared" si="143"/>
        <v>32.599999999999987</v>
      </c>
      <c r="BZ158" s="2272">
        <f t="shared" si="140"/>
        <v>75.199999999999974</v>
      </c>
      <c r="CC158" s="2052">
        <v>2017</v>
      </c>
      <c r="CD158" s="2355">
        <v>1.0250999999999999</v>
      </c>
      <c r="CE158" s="1237"/>
      <c r="CF158" s="20"/>
      <c r="CG158" s="20"/>
      <c r="CH158" s="20"/>
      <c r="CI158" s="20"/>
      <c r="CJ158" s="20"/>
      <c r="CK158" s="20"/>
      <c r="CL158" s="20"/>
      <c r="CM158" s="20"/>
      <c r="CN158" s="12"/>
      <c r="CV158" s="1237">
        <f t="shared" si="129"/>
        <v>1.0250999999999999</v>
      </c>
      <c r="CX158" s="1216">
        <v>2017</v>
      </c>
      <c r="CY158" s="2144">
        <f t="shared" si="134"/>
        <v>21.124043860525305</v>
      </c>
      <c r="CZ158" s="765"/>
      <c r="DA158" s="2145"/>
      <c r="DR158" s="2362">
        <f t="shared" si="135"/>
        <v>21.124043860525305</v>
      </c>
      <c r="DT158" s="1218">
        <v>2017</v>
      </c>
      <c r="DU158" s="1274">
        <f t="shared" si="137"/>
        <v>55368</v>
      </c>
      <c r="DV158" s="2329">
        <f t="shared" si="138"/>
        <v>2621.0890474179846</v>
      </c>
      <c r="EM158" s="1254">
        <v>2017</v>
      </c>
      <c r="EN158" s="2329">
        <f t="shared" si="130"/>
        <v>11483.68</v>
      </c>
      <c r="EO158" s="2404"/>
      <c r="EP158" s="2329">
        <f t="shared" ref="EP158:EP159" si="146">EN158</f>
        <v>11483.68</v>
      </c>
      <c r="EQ158" s="2407">
        <f t="shared" si="136"/>
        <v>92101</v>
      </c>
      <c r="GW158" s="1254">
        <v>2019</v>
      </c>
      <c r="GX158" s="1246"/>
      <c r="GY158" s="1247"/>
      <c r="GZ158" s="1248"/>
      <c r="HA158" s="1247"/>
      <c r="HB158" s="1243"/>
      <c r="HC158" s="1255"/>
      <c r="HS158" s="1259"/>
      <c r="HT158" s="1260"/>
      <c r="HW158" s="1254">
        <v>2019</v>
      </c>
      <c r="HX158" s="1242"/>
      <c r="HY158" s="1248"/>
      <c r="HZ158" s="1255">
        <f t="shared" si="144"/>
        <v>-3.1783000000000001</v>
      </c>
      <c r="IP158" s="1294">
        <f t="shared" si="145"/>
        <v>-3.1783000000000001</v>
      </c>
    </row>
    <row r="159" spans="56:250" ht="21">
      <c r="BD159" s="1221">
        <v>2034</v>
      </c>
      <c r="BE159" s="555"/>
      <c r="BF159" s="1347">
        <f t="shared" si="141"/>
        <v>75.999999999999972</v>
      </c>
      <c r="BG159" s="555"/>
      <c r="BH159" s="1348">
        <f t="shared" si="143"/>
        <v>33.29999999999999</v>
      </c>
      <c r="BZ159" s="2272">
        <f t="shared" si="140"/>
        <v>75.999999999999972</v>
      </c>
      <c r="CC159" s="2052">
        <v>2018</v>
      </c>
      <c r="CD159" s="2355">
        <v>1.0426</v>
      </c>
      <c r="CE159" s="1237"/>
      <c r="CF159" s="20"/>
      <c r="CG159" s="20"/>
      <c r="CH159" s="20"/>
      <c r="CI159" s="20"/>
      <c r="CJ159" s="20"/>
      <c r="CK159" s="20"/>
      <c r="CL159" s="20"/>
      <c r="CM159" s="20"/>
      <c r="CN159" s="12"/>
      <c r="CV159" s="1237">
        <f t="shared" si="129"/>
        <v>1.0426</v>
      </c>
      <c r="CX159" s="1216">
        <v>2018</v>
      </c>
      <c r="CY159" s="2144">
        <f t="shared" si="134"/>
        <v>22.02392812898368</v>
      </c>
      <c r="CZ159" s="765"/>
      <c r="DA159" s="2726">
        <f>CY159</f>
        <v>22.02392812898368</v>
      </c>
      <c r="DR159" s="2362">
        <f t="shared" si="135"/>
        <v>22.02392812898368</v>
      </c>
      <c r="DT159" s="1218">
        <v>2018</v>
      </c>
      <c r="DU159" s="1274">
        <f t="shared" si="137"/>
        <v>57500</v>
      </c>
      <c r="DV159" s="2329">
        <f t="shared" si="138"/>
        <v>2610.7967508452548</v>
      </c>
      <c r="EM159" s="1254">
        <v>2018</v>
      </c>
      <c r="EN159" s="2329">
        <f t="shared" si="130"/>
        <v>9255.6299999999974</v>
      </c>
      <c r="EO159" s="2404"/>
      <c r="EP159" s="2329">
        <f t="shared" si="146"/>
        <v>9255.6299999999974</v>
      </c>
      <c r="EQ159" s="2407">
        <f t="shared" si="136"/>
        <v>103876</v>
      </c>
      <c r="GW159" s="1254">
        <v>2020</v>
      </c>
      <c r="GX159" s="1246"/>
      <c r="GY159" s="1247"/>
      <c r="GZ159" s="1248"/>
      <c r="HA159" s="1247"/>
      <c r="HB159" s="1243"/>
      <c r="HC159" s="1255"/>
      <c r="HS159" s="1259"/>
      <c r="HT159" s="1260"/>
      <c r="HW159" s="1254">
        <v>2020</v>
      </c>
      <c r="HX159" s="1242"/>
      <c r="HY159" s="1248"/>
      <c r="HZ159" s="1255">
        <f t="shared" si="144"/>
        <v>-3.1783000000000001</v>
      </c>
      <c r="IP159" s="1294">
        <f t="shared" si="145"/>
        <v>-3.1783000000000001</v>
      </c>
    </row>
    <row r="160" spans="56:250" ht="21">
      <c r="BD160" s="2277">
        <v>2035</v>
      </c>
      <c r="BE160" s="1360"/>
      <c r="BF160" s="1350">
        <f t="shared" si="141"/>
        <v>76.799999999999969</v>
      </c>
      <c r="BG160" s="557"/>
      <c r="BH160" s="1351">
        <f t="shared" si="143"/>
        <v>33.999999999999993</v>
      </c>
      <c r="BZ160" s="2273">
        <f t="shared" si="140"/>
        <v>76.799999999999969</v>
      </c>
      <c r="CC160" s="2052">
        <v>2019</v>
      </c>
      <c r="CD160" s="2355">
        <v>1.0304</v>
      </c>
      <c r="CE160" s="1237">
        <f>CD160</f>
        <v>1.0304</v>
      </c>
      <c r="CF160" s="20"/>
      <c r="CG160" s="20"/>
      <c r="CH160" s="20"/>
      <c r="CI160" s="20"/>
      <c r="CJ160" s="20"/>
      <c r="CK160" s="20"/>
      <c r="CL160" s="20"/>
      <c r="CM160" s="20"/>
      <c r="CN160" s="12"/>
      <c r="CV160" s="1237">
        <f t="shared" si="129"/>
        <v>1.0304</v>
      </c>
      <c r="CX160" s="1216">
        <v>2019</v>
      </c>
      <c r="CY160" s="2144">
        <f t="shared" si="134"/>
        <v>22.693455544104783</v>
      </c>
      <c r="CZ160" s="765"/>
      <c r="DA160" s="1237">
        <f>CY160</f>
        <v>22.693455544104783</v>
      </c>
      <c r="DR160" s="2362">
        <f t="shared" si="135"/>
        <v>22.693455544104783</v>
      </c>
      <c r="DT160" s="1218">
        <v>2019</v>
      </c>
      <c r="DU160" s="1182"/>
      <c r="DV160" s="777"/>
      <c r="EM160" s="1254">
        <v>2019</v>
      </c>
      <c r="EN160" s="777"/>
      <c r="EO160" s="777"/>
      <c r="EP160" s="777"/>
      <c r="EQ160" s="1019"/>
      <c r="GW160" s="1254">
        <v>2021</v>
      </c>
      <c r="GX160" s="1246"/>
      <c r="GY160" s="1247"/>
      <c r="GZ160" s="1248"/>
      <c r="HA160" s="1247"/>
      <c r="HB160" s="1243"/>
      <c r="HC160" s="1255"/>
      <c r="HS160" s="1259"/>
      <c r="HT160" s="1260"/>
      <c r="HW160" s="1254">
        <v>2021</v>
      </c>
      <c r="HX160" s="1242"/>
      <c r="HY160" s="1248"/>
      <c r="HZ160" s="1255">
        <f t="shared" si="144"/>
        <v>-3.1783000000000001</v>
      </c>
      <c r="IP160" s="1294">
        <f t="shared" si="145"/>
        <v>-3.1783000000000001</v>
      </c>
    </row>
    <row r="161" spans="56:250" ht="21">
      <c r="CC161" s="2052">
        <v>2020</v>
      </c>
      <c r="CD161" s="2355">
        <v>1.0490999999999999</v>
      </c>
      <c r="CE161" s="1237">
        <f>CD161</f>
        <v>1.0490999999999999</v>
      </c>
      <c r="CF161" s="20"/>
      <c r="CG161" s="20"/>
      <c r="CH161" s="20"/>
      <c r="CI161" s="20"/>
      <c r="CJ161" s="20"/>
      <c r="CK161" s="20"/>
      <c r="CL161" s="20"/>
      <c r="CM161" s="20"/>
      <c r="CN161" s="12"/>
      <c r="CV161" s="1237">
        <f t="shared" ref="CV161:CV170" si="147">CE161</f>
        <v>1.0490999999999999</v>
      </c>
      <c r="CX161" s="1216">
        <v>2020</v>
      </c>
      <c r="CY161" s="2144">
        <f t="shared" si="134"/>
        <v>23.807704211320324</v>
      </c>
      <c r="CZ161" s="765"/>
      <c r="DA161" s="1237">
        <f>CY161</f>
        <v>23.807704211320324</v>
      </c>
      <c r="DR161" s="2362">
        <f t="shared" ref="DR161:DR170" si="148">DA161</f>
        <v>23.807704211320324</v>
      </c>
      <c r="DT161" s="1218">
        <v>2020</v>
      </c>
      <c r="DU161" s="1182"/>
      <c r="DV161" s="777"/>
      <c r="EM161" s="1254">
        <v>2020</v>
      </c>
      <c r="EN161" s="777"/>
      <c r="EO161" s="777"/>
      <c r="EP161" s="777"/>
      <c r="EQ161" s="1019"/>
      <c r="GW161" s="1254">
        <v>2022</v>
      </c>
      <c r="GX161" s="1246"/>
      <c r="GY161" s="1247"/>
      <c r="GZ161" s="1248"/>
      <c r="HA161" s="1247"/>
      <c r="HB161" s="1243"/>
      <c r="HC161" s="1255"/>
      <c r="HS161" s="1259"/>
      <c r="HT161" s="1260"/>
      <c r="HW161" s="1254">
        <v>2022</v>
      </c>
      <c r="HX161" s="1242"/>
      <c r="HY161" s="1248"/>
      <c r="HZ161" s="1255">
        <f t="shared" si="144"/>
        <v>-3.1783000000000001</v>
      </c>
      <c r="IP161" s="1294">
        <f t="shared" si="145"/>
        <v>-3.1783000000000001</v>
      </c>
    </row>
    <row r="162" spans="56:250" ht="21">
      <c r="CC162" s="2052">
        <v>2021</v>
      </c>
      <c r="CD162" s="2355"/>
      <c r="CE162" s="1237">
        <v>1.05</v>
      </c>
      <c r="CF162" s="20"/>
      <c r="CG162" s="20"/>
      <c r="CH162" s="20"/>
      <c r="CI162" s="20"/>
      <c r="CJ162" s="20"/>
      <c r="CK162" s="20"/>
      <c r="CL162" s="20"/>
      <c r="CM162" s="20"/>
      <c r="CN162" s="12"/>
      <c r="CV162" s="1237">
        <f t="shared" si="147"/>
        <v>1.05</v>
      </c>
      <c r="CX162" s="1216">
        <v>2021</v>
      </c>
      <c r="CY162" s="2144"/>
      <c r="CZ162" s="765"/>
      <c r="DA162" s="1237">
        <f>CE162*DA161</f>
        <v>24.998089421886341</v>
      </c>
      <c r="DR162" s="2362">
        <f t="shared" si="148"/>
        <v>24.998089421886341</v>
      </c>
      <c r="DT162" s="1218">
        <v>2021</v>
      </c>
      <c r="DU162" s="1182"/>
      <c r="DV162" s="777"/>
      <c r="EM162" s="1254">
        <v>2021</v>
      </c>
      <c r="EN162" s="777"/>
      <c r="EO162" s="777"/>
      <c r="EP162" s="777"/>
      <c r="EQ162" s="1019"/>
      <c r="GW162" s="1254">
        <v>2023</v>
      </c>
      <c r="GX162" s="1246"/>
      <c r="GY162" s="1247"/>
      <c r="GZ162" s="1248"/>
      <c r="HA162" s="1247"/>
      <c r="HB162" s="1243"/>
      <c r="HC162" s="1255"/>
      <c r="HS162" s="1259"/>
      <c r="HT162" s="1260"/>
      <c r="HW162" s="1254">
        <v>2023</v>
      </c>
      <c r="HX162" s="1242"/>
      <c r="HY162" s="1248"/>
      <c r="HZ162" s="1255">
        <f t="shared" si="144"/>
        <v>-3.1783000000000001</v>
      </c>
      <c r="IP162" s="1294">
        <f t="shared" si="145"/>
        <v>-3.1783000000000001</v>
      </c>
    </row>
    <row r="163" spans="56:250" ht="21">
      <c r="BD163" s="2280" t="s">
        <v>351</v>
      </c>
      <c r="BE163" s="2050" t="s">
        <v>1785</v>
      </c>
      <c r="BF163" s="2050" t="s">
        <v>1538</v>
      </c>
      <c r="BG163" s="2050" t="s">
        <v>1607</v>
      </c>
      <c r="BH163" s="2050" t="s">
        <v>1876</v>
      </c>
      <c r="BI163" s="739"/>
      <c r="BJ163" s="739"/>
      <c r="BK163" s="739"/>
      <c r="BL163" s="739"/>
      <c r="BM163" s="739"/>
      <c r="BN163" s="739"/>
      <c r="BO163" s="739"/>
      <c r="BP163" s="739"/>
      <c r="BQ163" s="739"/>
      <c r="BR163" s="739"/>
      <c r="BS163" s="739"/>
      <c r="BT163" s="739"/>
      <c r="BU163" s="739"/>
      <c r="BV163" s="739"/>
      <c r="BY163" s="1282" t="s">
        <v>1830</v>
      </c>
      <c r="CC163" s="2052">
        <v>2022</v>
      </c>
      <c r="CD163" s="2355"/>
      <c r="CE163" s="1237">
        <v>1.05</v>
      </c>
      <c r="CF163" s="20"/>
      <c r="CG163" s="20"/>
      <c r="CH163" s="20"/>
      <c r="CI163" s="20"/>
      <c r="CJ163" s="20"/>
      <c r="CK163" s="20"/>
      <c r="CL163" s="20"/>
      <c r="CM163" s="20"/>
      <c r="CN163" s="12"/>
      <c r="CV163" s="1237">
        <f t="shared" si="147"/>
        <v>1.05</v>
      </c>
      <c r="CX163" s="1216">
        <v>2022</v>
      </c>
      <c r="CY163" s="2144"/>
      <c r="CZ163" s="765"/>
      <c r="DA163" s="1237">
        <f t="shared" ref="DA163:DA176" si="149">CE163*DA162</f>
        <v>26.247993892980659</v>
      </c>
      <c r="DR163" s="2362">
        <f t="shared" si="148"/>
        <v>26.247993892980659</v>
      </c>
      <c r="DT163" s="1218">
        <v>2022</v>
      </c>
      <c r="DU163" s="1182"/>
      <c r="DV163" s="777"/>
      <c r="EM163" s="1254">
        <v>2022</v>
      </c>
      <c r="EN163" s="777"/>
      <c r="EO163" s="777"/>
      <c r="EP163" s="777"/>
      <c r="EQ163" s="1019"/>
      <c r="GW163" s="1254">
        <v>2024</v>
      </c>
      <c r="GX163" s="1246"/>
      <c r="GY163" s="1247"/>
      <c r="GZ163" s="1248"/>
      <c r="HA163" s="1247"/>
      <c r="HB163" s="1243"/>
      <c r="HC163" s="1255"/>
      <c r="HS163" s="1259"/>
      <c r="HT163" s="1260"/>
      <c r="HW163" s="1254">
        <v>2024</v>
      </c>
      <c r="HX163" s="1242"/>
      <c r="HY163" s="1248"/>
      <c r="HZ163" s="1255">
        <f t="shared" si="144"/>
        <v>-3.1783000000000001</v>
      </c>
      <c r="IP163" s="1294">
        <f t="shared" si="145"/>
        <v>-3.1783000000000001</v>
      </c>
    </row>
    <row r="164" spans="56:250" ht="21.6" thickBot="1">
      <c r="BD164" s="1563">
        <v>43912</v>
      </c>
      <c r="BE164" s="1605" t="s">
        <v>46</v>
      </c>
      <c r="BF164" s="1605" t="s">
        <v>46</v>
      </c>
      <c r="BG164" s="1605" t="s">
        <v>46</v>
      </c>
      <c r="BH164" s="1605" t="s">
        <v>46</v>
      </c>
      <c r="BI164" s="739"/>
      <c r="BJ164" s="739"/>
      <c r="BK164" s="739"/>
      <c r="BL164" s="739"/>
      <c r="BM164" s="739"/>
      <c r="BN164" s="739"/>
      <c r="BO164" s="739"/>
      <c r="BP164" s="739"/>
      <c r="BQ164" s="739"/>
      <c r="BR164" s="739"/>
      <c r="BS164" s="739"/>
      <c r="BT164" s="739"/>
      <c r="BU164" s="739"/>
      <c r="BV164" s="739"/>
      <c r="BY164" s="1507" t="s">
        <v>46</v>
      </c>
      <c r="CC164" s="2052">
        <v>2023</v>
      </c>
      <c r="CD164" s="2355"/>
      <c r="CE164" s="1237">
        <v>1.05</v>
      </c>
      <c r="CF164" s="20"/>
      <c r="CG164" s="20"/>
      <c r="CH164" s="20"/>
      <c r="CI164" s="20"/>
      <c r="CJ164" s="20"/>
      <c r="CK164" s="20"/>
      <c r="CL164" s="20"/>
      <c r="CM164" s="20"/>
      <c r="CN164" s="12"/>
      <c r="CV164" s="1237">
        <f t="shared" si="147"/>
        <v>1.05</v>
      </c>
      <c r="CX164" s="1216">
        <v>2023</v>
      </c>
      <c r="CY164" s="2144"/>
      <c r="CZ164" s="765"/>
      <c r="DA164" s="1237">
        <f t="shared" si="149"/>
        <v>27.560393587629694</v>
      </c>
      <c r="DR164" s="2362">
        <f t="shared" si="148"/>
        <v>27.560393587629694</v>
      </c>
      <c r="DT164" s="1218">
        <v>2023</v>
      </c>
      <c r="DU164" s="1182"/>
      <c r="DV164" s="777"/>
      <c r="EM164" s="1254">
        <v>2023</v>
      </c>
      <c r="EN164" s="777"/>
      <c r="EO164" s="777"/>
      <c r="EP164" s="777"/>
      <c r="EQ164" s="1019"/>
      <c r="GW164" s="1254">
        <v>2025</v>
      </c>
      <c r="GX164" s="1246"/>
      <c r="GY164" s="1247"/>
      <c r="GZ164" s="1248"/>
      <c r="HA164" s="1247"/>
      <c r="HB164" s="1243"/>
      <c r="HC164" s="1255"/>
      <c r="HS164" s="1259"/>
      <c r="HT164" s="1260"/>
      <c r="HW164" s="1254">
        <v>2025</v>
      </c>
      <c r="HX164" s="1242"/>
      <c r="HY164" s="1248"/>
      <c r="HZ164" s="1255">
        <f t="shared" si="144"/>
        <v>-3.1783000000000001</v>
      </c>
      <c r="IP164" s="1294">
        <f t="shared" si="145"/>
        <v>-3.1783000000000001</v>
      </c>
    </row>
    <row r="165" spans="56:250" ht="21">
      <c r="BD165" s="2281">
        <v>1995</v>
      </c>
      <c r="BE165" s="2326">
        <f t="array" ref="BE165:BE188">TRANSPOSE(ОТЧЁТ!U195:AR195)</f>
        <v>266.97399999999999</v>
      </c>
      <c r="BF165" s="2327">
        <f t="array" ref="BF165:BF188">TRANSPOSE(ОТЧЁТ!U79:AR79)</f>
        <v>266.97399999999999</v>
      </c>
      <c r="BG165" s="1247"/>
      <c r="BH165" s="2328"/>
      <c r="BI165" s="739"/>
      <c r="BJ165" s="739"/>
      <c r="BK165" s="739"/>
      <c r="BL165" s="739"/>
      <c r="BM165" s="739"/>
      <c r="BN165" s="739"/>
      <c r="BO165" s="739"/>
      <c r="BP165" s="739"/>
      <c r="BQ165" s="739"/>
      <c r="BR165" s="739"/>
      <c r="BS165" s="739"/>
      <c r="BT165" s="739"/>
      <c r="BU165" s="739"/>
      <c r="BV165" s="739"/>
      <c r="BY165" s="2282">
        <f>BE165</f>
        <v>266.97399999999999</v>
      </c>
      <c r="CC165" s="2052">
        <v>2024</v>
      </c>
      <c r="CD165" s="2355"/>
      <c r="CE165" s="1237">
        <v>1.05</v>
      </c>
      <c r="CF165" s="20"/>
      <c r="CG165" s="20"/>
      <c r="CH165" s="20"/>
      <c r="CI165" s="20"/>
      <c r="CJ165" s="20"/>
      <c r="CK165" s="20"/>
      <c r="CL165" s="20"/>
      <c r="CM165" s="20"/>
      <c r="CN165" s="12"/>
      <c r="CV165" s="1237">
        <f t="shared" si="147"/>
        <v>1.05</v>
      </c>
      <c r="CX165" s="1216">
        <v>2024</v>
      </c>
      <c r="CY165" s="2144"/>
      <c r="CZ165" s="765"/>
      <c r="DA165" s="1237">
        <f t="shared" si="149"/>
        <v>28.938413267011178</v>
      </c>
      <c r="DR165" s="2362">
        <f t="shared" si="148"/>
        <v>28.938413267011178</v>
      </c>
      <c r="DT165" s="1218">
        <v>2024</v>
      </c>
      <c r="DU165" s="1182"/>
      <c r="DV165" s="777"/>
      <c r="EM165" s="1254">
        <v>2024</v>
      </c>
      <c r="EN165" s="777"/>
      <c r="EO165" s="777"/>
      <c r="EP165" s="777"/>
      <c r="EQ165" s="1019"/>
      <c r="GW165" s="1254">
        <v>2026</v>
      </c>
      <c r="GX165" s="1246"/>
      <c r="GY165" s="1247"/>
      <c r="GZ165" s="1248"/>
      <c r="HA165" s="1247"/>
      <c r="HB165" s="1243"/>
      <c r="HC165" s="1255"/>
      <c r="HS165" s="1259"/>
      <c r="HT165" s="1260"/>
      <c r="HW165" s="1254">
        <v>2026</v>
      </c>
      <c r="HX165" s="1242"/>
      <c r="HY165" s="1248"/>
      <c r="HZ165" s="1255">
        <f t="shared" si="144"/>
        <v>-3.1783000000000001</v>
      </c>
      <c r="IP165" s="1294">
        <f t="shared" si="145"/>
        <v>-3.1783000000000001</v>
      </c>
    </row>
    <row r="166" spans="56:250" ht="21">
      <c r="BD166" s="2281">
        <v>1996</v>
      </c>
      <c r="BE166" s="2326">
        <v>218.65170599999999</v>
      </c>
      <c r="BF166" s="2327">
        <v>375.95800000000003</v>
      </c>
      <c r="BG166" s="1247"/>
      <c r="BH166" s="1245"/>
      <c r="BI166" s="739"/>
      <c r="BJ166" s="739"/>
      <c r="BK166" s="739"/>
      <c r="BL166" s="739"/>
      <c r="BM166" s="739"/>
      <c r="BN166" s="739"/>
      <c r="BO166" s="739"/>
      <c r="BP166" s="739"/>
      <c r="BQ166" s="739"/>
      <c r="BR166" s="739"/>
      <c r="BS166" s="739"/>
      <c r="BT166" s="739"/>
      <c r="BU166" s="739"/>
      <c r="BV166" s="739"/>
      <c r="BY166" s="2283">
        <f>BE166</f>
        <v>218.65170599999999</v>
      </c>
      <c r="CC166" s="2052">
        <v>2025</v>
      </c>
      <c r="CD166" s="2355"/>
      <c r="CE166" s="1237">
        <v>1.05</v>
      </c>
      <c r="CF166" s="3"/>
      <c r="CG166" s="3"/>
      <c r="CH166" s="3"/>
      <c r="CI166" s="3"/>
      <c r="CJ166" s="3"/>
      <c r="CK166" s="3"/>
      <c r="CL166" s="3"/>
      <c r="CM166" s="3"/>
      <c r="CN166" s="81"/>
      <c r="CV166" s="1237">
        <f t="shared" si="147"/>
        <v>1.05</v>
      </c>
      <c r="CX166" s="1216">
        <v>2025</v>
      </c>
      <c r="CY166" s="2144"/>
      <c r="CZ166" s="765"/>
      <c r="DA166" s="1237">
        <f t="shared" si="149"/>
        <v>30.385333930361739</v>
      </c>
      <c r="DR166" s="2362">
        <f t="shared" si="148"/>
        <v>30.385333930361739</v>
      </c>
      <c r="DT166" s="1218">
        <v>2025</v>
      </c>
      <c r="DU166" s="1182"/>
      <c r="DV166" s="777"/>
      <c r="EM166" s="1254">
        <v>2025</v>
      </c>
      <c r="EN166" s="777"/>
      <c r="EO166" s="777"/>
      <c r="EP166" s="777"/>
      <c r="EQ166" s="1019"/>
      <c r="GW166" s="1254">
        <v>2027</v>
      </c>
      <c r="GX166" s="1246"/>
      <c r="GY166" s="1247"/>
      <c r="GZ166" s="1248"/>
      <c r="HA166" s="1247"/>
      <c r="HB166" s="1243"/>
      <c r="HC166" s="1255"/>
      <c r="HS166" s="1259"/>
      <c r="HT166" s="1260"/>
      <c r="HW166" s="1254">
        <v>2027</v>
      </c>
      <c r="HX166" s="1242"/>
      <c r="HY166" s="1248"/>
      <c r="HZ166" s="1255">
        <f t="shared" si="144"/>
        <v>-3.1783000000000001</v>
      </c>
      <c r="IP166" s="1294">
        <f t="shared" si="145"/>
        <v>-3.1783000000000001</v>
      </c>
    </row>
    <row r="167" spans="56:250" ht="15.75" customHeight="1">
      <c r="BD167" s="2281">
        <v>1997</v>
      </c>
      <c r="BE167" s="2326">
        <v>207.71912069999999</v>
      </c>
      <c r="BF167" s="2327">
        <v>408.79700000000003</v>
      </c>
      <c r="BG167" s="1247"/>
      <c r="BH167" s="1245"/>
      <c r="BI167" s="739"/>
      <c r="BJ167" s="739"/>
      <c r="BK167" s="739"/>
      <c r="BL167" s="739"/>
      <c r="BM167" s="739"/>
      <c r="BN167" s="739"/>
      <c r="BO167" s="739"/>
      <c r="BP167" s="739"/>
      <c r="BQ167" s="739"/>
      <c r="BR167" s="739"/>
      <c r="BS167" s="739"/>
      <c r="BT167" s="739"/>
      <c r="BU167" s="739"/>
      <c r="BV167" s="739"/>
      <c r="BY167" s="2283">
        <f t="shared" ref="BY167:BY188" si="150">BE167</f>
        <v>207.71912069999999</v>
      </c>
      <c r="CC167" s="2052">
        <v>2026</v>
      </c>
      <c r="CD167" s="2355"/>
      <c r="CE167" s="1237">
        <v>1.05</v>
      </c>
      <c r="CV167" s="1237">
        <f t="shared" si="147"/>
        <v>1.05</v>
      </c>
      <c r="CX167" s="1216">
        <v>2026</v>
      </c>
      <c r="CY167" s="2144"/>
      <c r="CZ167" s="765"/>
      <c r="DA167" s="1237">
        <f t="shared" si="149"/>
        <v>31.904600626879827</v>
      </c>
      <c r="DR167" s="2362">
        <f t="shared" si="148"/>
        <v>31.904600626879827</v>
      </c>
      <c r="DT167" s="1218">
        <v>2026</v>
      </c>
      <c r="DU167" s="1182"/>
      <c r="DV167" s="777"/>
      <c r="EM167" s="1254">
        <v>2026</v>
      </c>
      <c r="EN167" s="777"/>
      <c r="EO167" s="777"/>
      <c r="EP167" s="777"/>
      <c r="EQ167" s="1019"/>
      <c r="GW167" s="1254">
        <v>2028</v>
      </c>
      <c r="GX167" s="1246"/>
      <c r="GY167" s="1247"/>
      <c r="GZ167" s="1248"/>
      <c r="HA167" s="1247"/>
      <c r="HB167" s="1243"/>
      <c r="HC167" s="1255"/>
      <c r="HS167" s="1259"/>
      <c r="HT167" s="1260"/>
      <c r="HW167" s="1254">
        <v>2028</v>
      </c>
      <c r="HX167" s="1242"/>
      <c r="HY167" s="1248"/>
      <c r="HZ167" s="1255">
        <f t="shared" si="144"/>
        <v>-3.1783000000000001</v>
      </c>
      <c r="IP167" s="1294">
        <f t="shared" si="145"/>
        <v>-3.1783000000000001</v>
      </c>
    </row>
    <row r="168" spans="56:250" ht="15.75" customHeight="1">
      <c r="BD168" s="2281">
        <v>1998</v>
      </c>
      <c r="BE168" s="2326">
        <v>182.79282621599998</v>
      </c>
      <c r="BF168" s="2327">
        <v>407.08600000000001</v>
      </c>
      <c r="BG168" s="2327"/>
      <c r="BH168" s="1245"/>
      <c r="BI168" s="739"/>
      <c r="BJ168" s="739"/>
      <c r="BK168" s="739"/>
      <c r="BL168" s="739"/>
      <c r="BM168" s="739"/>
      <c r="BN168" s="739"/>
      <c r="BO168" s="739"/>
      <c r="BP168" s="739"/>
      <c r="BQ168" s="739"/>
      <c r="BR168" s="739"/>
      <c r="BS168" s="739"/>
      <c r="BT168" s="739"/>
      <c r="BU168" s="739"/>
      <c r="BV168" s="739"/>
      <c r="BY168" s="2283">
        <f t="shared" si="150"/>
        <v>182.79282621599998</v>
      </c>
      <c r="CC168" s="2052">
        <v>2027</v>
      </c>
      <c r="CD168" s="2355"/>
      <c r="CE168" s="1237">
        <v>1.05</v>
      </c>
      <c r="CV168" s="1237">
        <f t="shared" si="147"/>
        <v>1.05</v>
      </c>
      <c r="CX168" s="1216">
        <v>2027</v>
      </c>
      <c r="CY168" s="2144"/>
      <c r="CZ168" s="765"/>
      <c r="DA168" s="1237">
        <f t="shared" si="149"/>
        <v>33.499830658223821</v>
      </c>
      <c r="DR168" s="2362">
        <f t="shared" si="148"/>
        <v>33.499830658223821</v>
      </c>
      <c r="DT168" s="1218">
        <v>2027</v>
      </c>
      <c r="DU168" s="1182"/>
      <c r="DV168" s="777"/>
      <c r="EM168" s="1254">
        <v>2027</v>
      </c>
      <c r="EN168" s="777"/>
      <c r="EO168" s="777"/>
      <c r="EP168" s="777"/>
      <c r="EQ168" s="1019"/>
      <c r="GW168" s="1254">
        <v>2029</v>
      </c>
      <c r="GX168" s="1246"/>
      <c r="GY168" s="1247"/>
      <c r="GZ168" s="1248"/>
      <c r="HA168" s="1247"/>
      <c r="HB168" s="1243"/>
      <c r="HC168" s="1255"/>
      <c r="HS168" s="1259"/>
      <c r="HT168" s="1260"/>
      <c r="HW168" s="1254">
        <v>2029</v>
      </c>
      <c r="HX168" s="1242"/>
      <c r="HY168" s="1248"/>
      <c r="HZ168" s="1255">
        <f t="shared" si="144"/>
        <v>-3.1783000000000001</v>
      </c>
      <c r="IP168" s="1294">
        <f t="shared" si="145"/>
        <v>-3.1783000000000001</v>
      </c>
    </row>
    <row r="169" spans="56:250" ht="16.5" customHeight="1">
      <c r="BD169" s="2281">
        <v>1999</v>
      </c>
      <c r="BE169" s="2326">
        <v>191.9324675268</v>
      </c>
      <c r="BF169" s="2327">
        <v>670.43899999999996</v>
      </c>
      <c r="BG169" s="2327"/>
      <c r="BH169" s="1245"/>
      <c r="BI169" s="739"/>
      <c r="BJ169" s="739"/>
      <c r="BK169" s="739"/>
      <c r="BL169" s="739"/>
      <c r="BM169" s="739"/>
      <c r="BN169" s="739"/>
      <c r="BO169" s="739"/>
      <c r="BP169" s="739"/>
      <c r="BQ169" s="739"/>
      <c r="BR169" s="739"/>
      <c r="BS169" s="739"/>
      <c r="BT169" s="739"/>
      <c r="BU169" s="739"/>
      <c r="BV169" s="739"/>
      <c r="BY169" s="2283">
        <f t="shared" si="150"/>
        <v>191.9324675268</v>
      </c>
      <c r="CC169" s="2052">
        <v>2028</v>
      </c>
      <c r="CD169" s="2355"/>
      <c r="CE169" s="1237">
        <v>1.05</v>
      </c>
      <c r="CV169" s="1237">
        <f t="shared" si="147"/>
        <v>1.05</v>
      </c>
      <c r="CX169" s="1216">
        <v>2028</v>
      </c>
      <c r="CY169" s="2144"/>
      <c r="CZ169" s="765"/>
      <c r="DA169" s="1237">
        <f t="shared" si="149"/>
        <v>35.174822191135014</v>
      </c>
      <c r="DR169" s="2362">
        <f t="shared" si="148"/>
        <v>35.174822191135014</v>
      </c>
      <c r="DT169" s="1218">
        <v>2028</v>
      </c>
      <c r="DU169" s="1182"/>
      <c r="DV169" s="777"/>
      <c r="EM169" s="1254">
        <v>2028</v>
      </c>
      <c r="EN169" s="777"/>
      <c r="EO169" s="777"/>
      <c r="EP169" s="777"/>
      <c r="EQ169" s="1019"/>
      <c r="GW169" s="1214">
        <v>2030</v>
      </c>
      <c r="GX169" s="1250"/>
      <c r="GY169" s="1251"/>
      <c r="GZ169" s="1252"/>
      <c r="HA169" s="1251"/>
      <c r="HB169" s="1253"/>
      <c r="HC169" s="1256"/>
      <c r="HS169" s="1261"/>
      <c r="HT169" s="1262"/>
      <c r="HW169" s="1214">
        <v>2030</v>
      </c>
      <c r="HX169" s="1352"/>
      <c r="HY169" s="1252"/>
      <c r="HZ169" s="1256">
        <f t="shared" si="144"/>
        <v>-3.1783000000000001</v>
      </c>
      <c r="IP169" s="1295">
        <f t="shared" si="145"/>
        <v>-3.1783000000000001</v>
      </c>
    </row>
    <row r="170" spans="56:250" ht="16.5" customHeight="1">
      <c r="BD170" s="2281">
        <v>2000</v>
      </c>
      <c r="BE170" s="2326">
        <v>225.32871687646318</v>
      </c>
      <c r="BF170" s="2327">
        <v>1165.2339999999999</v>
      </c>
      <c r="BG170" s="2327"/>
      <c r="BH170" s="1245"/>
      <c r="BI170" s="739"/>
      <c r="BJ170" s="739"/>
      <c r="BK170" s="739"/>
      <c r="BL170" s="2141" t="s">
        <v>1839</v>
      </c>
      <c r="BM170" s="739"/>
      <c r="BN170" s="739"/>
      <c r="BO170" s="739"/>
      <c r="BP170" s="739"/>
      <c r="BQ170" s="739"/>
      <c r="BR170" s="739"/>
      <c r="BS170" s="739"/>
      <c r="BT170" s="739"/>
      <c r="BU170" s="739"/>
      <c r="BV170" s="739"/>
      <c r="BY170" s="2283">
        <f t="shared" si="150"/>
        <v>225.32871687646318</v>
      </c>
      <c r="CC170" s="2052">
        <v>2029</v>
      </c>
      <c r="CD170" s="2355"/>
      <c r="CE170" s="1237">
        <v>1.05</v>
      </c>
      <c r="CV170" s="1237">
        <f t="shared" si="147"/>
        <v>1.05</v>
      </c>
      <c r="CX170" s="1216">
        <v>2029</v>
      </c>
      <c r="CY170" s="2144"/>
      <c r="CZ170" s="765"/>
      <c r="DA170" s="1237">
        <f t="shared" si="149"/>
        <v>36.933563300691766</v>
      </c>
      <c r="DR170" s="2362">
        <f t="shared" si="148"/>
        <v>36.933563300691766</v>
      </c>
      <c r="DT170" s="1218">
        <v>2029</v>
      </c>
      <c r="DU170" s="1182"/>
      <c r="DV170" s="777"/>
      <c r="EM170" s="1254">
        <v>2029</v>
      </c>
      <c r="EN170" s="777"/>
      <c r="EO170" s="777"/>
      <c r="EP170" s="777"/>
      <c r="EQ170" s="1019"/>
    </row>
    <row r="171" spans="56:250" ht="21">
      <c r="BD171" s="2281">
        <v>2001</v>
      </c>
      <c r="BE171" s="2326">
        <v>247.86158856410952</v>
      </c>
      <c r="BF171" s="2327">
        <v>1504.7</v>
      </c>
      <c r="BG171" s="2327"/>
      <c r="BH171" s="1245"/>
      <c r="BI171" s="739"/>
      <c r="BJ171" s="739"/>
      <c r="BK171" s="739"/>
      <c r="BL171" s="739"/>
      <c r="BM171" s="739"/>
      <c r="BN171" s="739"/>
      <c r="BO171" s="739"/>
      <c r="BP171" s="739"/>
      <c r="BQ171" s="739"/>
      <c r="BR171" s="739"/>
      <c r="BS171" s="739"/>
      <c r="BT171" s="739"/>
      <c r="BU171" s="739"/>
      <c r="BV171" s="739"/>
      <c r="BY171" s="2283">
        <f t="shared" si="150"/>
        <v>247.86158856410952</v>
      </c>
      <c r="CC171" s="2052">
        <v>2030</v>
      </c>
      <c r="CD171" s="2355"/>
      <c r="CE171" s="1237">
        <v>1.05</v>
      </c>
      <c r="CV171" s="1237">
        <f t="shared" ref="CV171:CV176" si="151">CE171</f>
        <v>1.05</v>
      </c>
      <c r="CX171" s="1216">
        <v>2030</v>
      </c>
      <c r="CY171" s="2144"/>
      <c r="CZ171" s="765"/>
      <c r="DA171" s="1237">
        <f t="shared" si="149"/>
        <v>38.780241465726355</v>
      </c>
      <c r="DR171" s="2362">
        <f t="shared" ref="DR171:DR176" si="152">DA171</f>
        <v>38.780241465726355</v>
      </c>
      <c r="DT171" s="1496">
        <v>2030</v>
      </c>
      <c r="DU171" s="1497"/>
      <c r="DV171" s="796"/>
      <c r="EM171" s="1496">
        <v>2030</v>
      </c>
      <c r="EN171" s="796"/>
      <c r="EO171" s="796"/>
      <c r="EP171" s="796"/>
      <c r="EQ171" s="2409"/>
    </row>
    <row r="172" spans="56:250" ht="21">
      <c r="BD172" s="2281">
        <v>2002</v>
      </c>
      <c r="BE172" s="2326">
        <v>254.80171304390458</v>
      </c>
      <c r="BF172" s="2327">
        <v>1762.4</v>
      </c>
      <c r="BG172" s="2327"/>
      <c r="BH172" s="1245"/>
      <c r="BI172" s="739"/>
      <c r="BJ172" s="739"/>
      <c r="BK172" s="739"/>
      <c r="BL172" s="739"/>
      <c r="BM172" s="739"/>
      <c r="BN172" s="739"/>
      <c r="BO172" s="739"/>
      <c r="BP172" s="739"/>
      <c r="BQ172" s="739"/>
      <c r="BR172" s="739"/>
      <c r="BS172" s="739"/>
      <c r="BT172" s="739"/>
      <c r="BU172" s="739"/>
      <c r="BV172" s="739"/>
      <c r="BY172" s="2283">
        <f t="shared" si="150"/>
        <v>254.80171304390458</v>
      </c>
      <c r="CC172" s="2052">
        <v>2031</v>
      </c>
      <c r="CD172" s="2355"/>
      <c r="CE172" s="1237">
        <v>1.05</v>
      </c>
      <c r="CV172" s="1237">
        <f t="shared" si="151"/>
        <v>1.05</v>
      </c>
      <c r="CX172" s="1216">
        <v>2031</v>
      </c>
      <c r="CY172" s="2144"/>
      <c r="CZ172" s="765"/>
      <c r="DA172" s="1237">
        <f t="shared" si="149"/>
        <v>40.719253539012676</v>
      </c>
      <c r="DR172" s="2362">
        <f t="shared" si="152"/>
        <v>40.719253539012676</v>
      </c>
      <c r="EZ172" s="838"/>
      <c r="FA172" s="765"/>
    </row>
    <row r="173" spans="56:250" ht="21">
      <c r="BD173" s="2281">
        <v>2003</v>
      </c>
      <c r="BE173" s="2326">
        <v>286.65192717439265</v>
      </c>
      <c r="BF173" s="2327">
        <v>2186.4</v>
      </c>
      <c r="BG173" s="2327"/>
      <c r="BH173" s="1245"/>
      <c r="BI173" s="739"/>
      <c r="BJ173" s="739"/>
      <c r="BK173" s="739"/>
      <c r="BL173" s="739"/>
      <c r="BM173" s="739"/>
      <c r="BN173" s="739"/>
      <c r="BO173" s="739"/>
      <c r="BP173" s="739"/>
      <c r="BQ173" s="739"/>
      <c r="BR173" s="739"/>
      <c r="BS173" s="739"/>
      <c r="BT173" s="739"/>
      <c r="BU173" s="739"/>
      <c r="BV173" s="739"/>
      <c r="BY173" s="2283">
        <f t="shared" si="150"/>
        <v>286.65192717439265</v>
      </c>
      <c r="CC173" s="2052">
        <v>2032</v>
      </c>
      <c r="CD173" s="2355"/>
      <c r="CE173" s="1237">
        <v>1.05</v>
      </c>
      <c r="CV173" s="1237">
        <f t="shared" si="151"/>
        <v>1.05</v>
      </c>
      <c r="CX173" s="1216">
        <v>2032</v>
      </c>
      <c r="CY173" s="2144"/>
      <c r="CZ173" s="765"/>
      <c r="DA173" s="1237">
        <f t="shared" si="149"/>
        <v>42.755216215963316</v>
      </c>
      <c r="DR173" s="2362">
        <f t="shared" si="152"/>
        <v>42.755216215963316</v>
      </c>
      <c r="EZ173" s="838"/>
      <c r="FA173" s="765"/>
    </row>
    <row r="174" spans="56:250" ht="21">
      <c r="BD174" s="2281">
        <v>2004</v>
      </c>
      <c r="BE174" s="2326">
        <v>325.92324119728443</v>
      </c>
      <c r="BF174" s="2327">
        <v>2865</v>
      </c>
      <c r="BG174" s="2327"/>
      <c r="BH174" s="1245"/>
      <c r="BI174" s="739"/>
      <c r="BJ174" s="739"/>
      <c r="BK174" s="739"/>
      <c r="BL174" s="739"/>
      <c r="BM174" s="739"/>
      <c r="BN174" s="739"/>
      <c r="BO174" s="739"/>
      <c r="BP174" s="739"/>
      <c r="BQ174" s="739"/>
      <c r="BR174" s="739"/>
      <c r="BS174" s="739"/>
      <c r="BT174" s="739"/>
      <c r="BU174" s="739"/>
      <c r="BV174" s="739"/>
      <c r="BY174" s="2283">
        <f t="shared" si="150"/>
        <v>325.92324119728443</v>
      </c>
      <c r="CC174" s="2052">
        <v>2033</v>
      </c>
      <c r="CD174" s="2355"/>
      <c r="CE174" s="1237">
        <v>1.05</v>
      </c>
      <c r="CV174" s="1237">
        <f t="shared" si="151"/>
        <v>1.05</v>
      </c>
      <c r="CX174" s="1216">
        <v>2033</v>
      </c>
      <c r="CY174" s="2144"/>
      <c r="CZ174" s="765"/>
      <c r="DA174" s="1237">
        <f t="shared" si="149"/>
        <v>44.892977026761486</v>
      </c>
      <c r="DR174" s="2362">
        <f t="shared" si="152"/>
        <v>44.892977026761486</v>
      </c>
      <c r="EZ174" s="838"/>
      <c r="FA174" s="765"/>
    </row>
    <row r="175" spans="56:250" ht="21">
      <c r="BD175" s="2281">
        <v>2005</v>
      </c>
      <c r="BE175" s="2326">
        <v>359.16741179940749</v>
      </c>
      <c r="BF175" s="2327">
        <v>3611.1</v>
      </c>
      <c r="BG175" s="2327"/>
      <c r="BH175" s="1245"/>
      <c r="BI175" s="739"/>
      <c r="BJ175" s="739"/>
      <c r="BK175" s="739"/>
      <c r="BL175" s="739"/>
      <c r="BM175" s="739"/>
      <c r="BN175" s="739"/>
      <c r="BO175" s="739"/>
      <c r="BP175" s="739"/>
      <c r="BQ175" s="739"/>
      <c r="BR175" s="739"/>
      <c r="BS175" s="739"/>
      <c r="BT175" s="739"/>
      <c r="BU175" s="739"/>
      <c r="BV175" s="739"/>
      <c r="BY175" s="2283">
        <f t="shared" si="150"/>
        <v>359.16741179940749</v>
      </c>
      <c r="CC175" s="2052">
        <v>2034</v>
      </c>
      <c r="CD175" s="2355"/>
      <c r="CE175" s="1237">
        <v>1.05</v>
      </c>
      <c r="CV175" s="1237">
        <f t="shared" si="151"/>
        <v>1.05</v>
      </c>
      <c r="CX175" s="1216">
        <v>2034</v>
      </c>
      <c r="CY175" s="2144"/>
      <c r="CZ175" s="765"/>
      <c r="DA175" s="1237">
        <f t="shared" si="149"/>
        <v>47.137625878099563</v>
      </c>
      <c r="DR175" s="2362">
        <f t="shared" si="152"/>
        <v>47.137625878099563</v>
      </c>
      <c r="EZ175" s="838"/>
      <c r="FA175" s="765"/>
    </row>
    <row r="176" spans="56:250" ht="21">
      <c r="BD176" s="2281">
        <v>2006</v>
      </c>
      <c r="BE176" s="2326">
        <v>419.14836956990854</v>
      </c>
      <c r="BF176" s="2327">
        <v>4730</v>
      </c>
      <c r="BG176" s="2327"/>
      <c r="BH176" s="1245"/>
      <c r="BI176" s="739"/>
      <c r="BJ176" s="739"/>
      <c r="BK176" s="739"/>
      <c r="BL176" s="739"/>
      <c r="BM176" s="739"/>
      <c r="BN176" s="739"/>
      <c r="BO176" s="739"/>
      <c r="BP176" s="739"/>
      <c r="BQ176" s="739"/>
      <c r="BR176" s="739"/>
      <c r="BS176" s="739"/>
      <c r="BT176" s="739"/>
      <c r="BU176" s="739"/>
      <c r="BV176" s="739"/>
      <c r="BY176" s="2283">
        <f t="shared" si="150"/>
        <v>419.14836956990854</v>
      </c>
      <c r="CC176" s="2422">
        <v>2035</v>
      </c>
      <c r="CD176" s="2356"/>
      <c r="CE176" s="1237">
        <v>1.05</v>
      </c>
      <c r="CV176" s="2110">
        <f t="shared" si="151"/>
        <v>1.05</v>
      </c>
      <c r="CX176" s="2147">
        <v>2035</v>
      </c>
      <c r="CY176" s="2146"/>
      <c r="CZ176" s="557"/>
      <c r="DA176" s="1237">
        <f t="shared" si="149"/>
        <v>49.494507172004546</v>
      </c>
      <c r="DR176" s="2363">
        <f t="shared" si="152"/>
        <v>49.494507172004546</v>
      </c>
      <c r="EZ176" s="838"/>
      <c r="FA176" s="765"/>
    </row>
    <row r="177" spans="55:157" ht="21">
      <c r="BD177" s="2281">
        <v>2007</v>
      </c>
      <c r="BE177" s="2326">
        <v>514.2950494622778</v>
      </c>
      <c r="BF177" s="2327">
        <v>6716.2219999999998</v>
      </c>
      <c r="BG177" s="2327"/>
      <c r="BH177" s="1245"/>
      <c r="BI177" s="739"/>
      <c r="BJ177" s="739"/>
      <c r="BK177" s="739"/>
      <c r="BL177" s="739"/>
      <c r="BM177" s="739"/>
      <c r="BN177" s="739"/>
      <c r="BO177" s="739"/>
      <c r="BP177" s="739"/>
      <c r="BQ177" s="739"/>
      <c r="BR177" s="739"/>
      <c r="BS177" s="739"/>
      <c r="BT177" s="739"/>
      <c r="BU177" s="739"/>
      <c r="BV177" s="739"/>
      <c r="BY177" s="2283">
        <f t="shared" si="150"/>
        <v>514.2950494622778</v>
      </c>
      <c r="EZ177" s="838"/>
      <c r="FA177" s="765"/>
    </row>
    <row r="178" spans="55:157" ht="21">
      <c r="BD178" s="2281">
        <v>2008</v>
      </c>
      <c r="BE178" s="2326">
        <v>563.15307916119423</v>
      </c>
      <c r="BF178" s="2327">
        <v>8781.616</v>
      </c>
      <c r="BG178" s="2327"/>
      <c r="BH178" s="1245"/>
      <c r="BI178" s="739"/>
      <c r="BJ178" s="739"/>
      <c r="BK178" s="739"/>
      <c r="BL178" s="739"/>
      <c r="BM178" s="739"/>
      <c r="BN178" s="739"/>
      <c r="BO178" s="739"/>
      <c r="BP178" s="739"/>
      <c r="BQ178" s="739"/>
      <c r="BR178" s="739"/>
      <c r="BS178" s="739"/>
      <c r="BT178" s="739"/>
      <c r="BU178" s="739"/>
      <c r="BV178" s="739"/>
      <c r="BY178" s="2283">
        <f t="shared" si="150"/>
        <v>563.15307916119423</v>
      </c>
      <c r="EZ178" s="838"/>
      <c r="FA178" s="765"/>
    </row>
    <row r="179" spans="55:157" ht="21">
      <c r="BD179" s="2281">
        <v>2009</v>
      </c>
      <c r="BE179" s="2326">
        <v>487.12741347443301</v>
      </c>
      <c r="BF179" s="2327">
        <v>7976.0129999999999</v>
      </c>
      <c r="BG179" s="2327"/>
      <c r="BH179" s="1245"/>
      <c r="BI179" s="739"/>
      <c r="BJ179" s="739"/>
      <c r="BK179" s="739"/>
      <c r="BL179" s="739"/>
      <c r="BM179" s="739"/>
      <c r="BN179" s="739"/>
      <c r="BO179" s="739"/>
      <c r="BP179" s="739"/>
      <c r="BQ179" s="739"/>
      <c r="BR179" s="739"/>
      <c r="BS179" s="739"/>
      <c r="BT179" s="739"/>
      <c r="BU179" s="739"/>
      <c r="BV179" s="739"/>
      <c r="BY179" s="2283">
        <f t="shared" si="150"/>
        <v>487.12741347443301</v>
      </c>
      <c r="EZ179" s="838"/>
      <c r="FA179" s="765"/>
    </row>
    <row r="180" spans="55:157" ht="21">
      <c r="BD180" s="2281">
        <v>2010</v>
      </c>
      <c r="BE180" s="2326">
        <v>517.81644052332229</v>
      </c>
      <c r="BF180" s="2327">
        <v>9152.1</v>
      </c>
      <c r="BG180" s="2327"/>
      <c r="BH180" s="1245"/>
      <c r="BI180" s="739"/>
      <c r="BJ180" s="739"/>
      <c r="BK180" s="739"/>
      <c r="BL180" s="739"/>
      <c r="BM180" s="739"/>
      <c r="BN180" s="739"/>
      <c r="BO180" s="739"/>
      <c r="BP180" s="739"/>
      <c r="BQ180" s="739"/>
      <c r="BR180" s="739"/>
      <c r="BS180" s="739"/>
      <c r="BT180" s="739"/>
      <c r="BU180" s="739"/>
      <c r="BV180" s="739"/>
      <c r="BY180" s="2283">
        <f t="shared" si="150"/>
        <v>517.81644052332229</v>
      </c>
      <c r="EZ180" s="838"/>
      <c r="FA180" s="765"/>
    </row>
    <row r="181" spans="55:157" ht="21">
      <c r="BD181" s="2281">
        <v>2011</v>
      </c>
      <c r="BE181" s="2326">
        <v>573.74061609984119</v>
      </c>
      <c r="BF181" s="2327">
        <v>11035.652</v>
      </c>
      <c r="BG181" s="2327">
        <v>573.74061609984119</v>
      </c>
      <c r="BH181" s="1245"/>
      <c r="BI181" s="739"/>
      <c r="BJ181" s="739"/>
      <c r="BK181" s="739"/>
      <c r="BL181" s="739"/>
      <c r="BM181" s="739"/>
      <c r="BN181" s="739"/>
      <c r="BO181" s="739"/>
      <c r="BP181" s="739"/>
      <c r="BQ181" s="739"/>
      <c r="BR181" s="739"/>
      <c r="BS181" s="739"/>
      <c r="BT181" s="739"/>
      <c r="BU181" s="739"/>
      <c r="BV181" s="739"/>
      <c r="BY181" s="2283">
        <f t="shared" si="150"/>
        <v>573.74061609984119</v>
      </c>
      <c r="EZ181" s="838"/>
      <c r="FA181" s="765"/>
    </row>
    <row r="182" spans="55:157" ht="21">
      <c r="BD182" s="2281">
        <v>2012</v>
      </c>
      <c r="BE182" s="2326">
        <v>612.75497799463039</v>
      </c>
      <c r="BF182" s="2327">
        <v>12586.090400000001</v>
      </c>
      <c r="BG182" s="2327">
        <v>573.74061609984119</v>
      </c>
      <c r="BH182" s="1245"/>
      <c r="BI182" s="739"/>
      <c r="BJ182" s="739"/>
      <c r="BK182" s="739"/>
      <c r="BL182" s="739"/>
      <c r="BM182" s="739"/>
      <c r="BN182" s="739"/>
      <c r="BO182" s="739"/>
      <c r="BP182" s="739"/>
      <c r="BQ182" s="739"/>
      <c r="BR182" s="739"/>
      <c r="BS182" s="739"/>
      <c r="BT182" s="739"/>
      <c r="BU182" s="739"/>
      <c r="BV182" s="739"/>
      <c r="BY182" s="2283">
        <f t="shared" si="150"/>
        <v>612.75497799463039</v>
      </c>
      <c r="EZ182" s="838"/>
      <c r="FA182" s="765"/>
    </row>
    <row r="183" spans="55:157" ht="21">
      <c r="BD183" s="2281">
        <v>2013</v>
      </c>
      <c r="BE183" s="2326">
        <v>617.65701781858741</v>
      </c>
      <c r="BF183" s="2327">
        <v>13450.2382</v>
      </c>
      <c r="BG183" s="2327">
        <v>573.74061609984119</v>
      </c>
      <c r="BH183" s="1245"/>
      <c r="BI183" s="739"/>
      <c r="BJ183" s="739"/>
      <c r="BK183" s="739"/>
      <c r="BL183" s="739"/>
      <c r="BM183" s="739"/>
      <c r="BN183" s="739"/>
      <c r="BO183" s="739"/>
      <c r="BP183" s="739"/>
      <c r="BQ183" s="739"/>
      <c r="BR183" s="739"/>
      <c r="BS183" s="739"/>
      <c r="BT183" s="739"/>
      <c r="BU183" s="739"/>
      <c r="BV183" s="739"/>
      <c r="BY183" s="2283">
        <f t="shared" si="150"/>
        <v>617.65701781858741</v>
      </c>
      <c r="EZ183" s="838"/>
      <c r="FA183" s="765"/>
    </row>
    <row r="184" spans="55:157" ht="20.399999999999999">
      <c r="BD184" s="2281">
        <v>2014</v>
      </c>
      <c r="BE184" s="2326">
        <v>608.39216255130862</v>
      </c>
      <c r="BF184" s="2327">
        <v>13902.6453</v>
      </c>
      <c r="BG184" s="2327">
        <v>573.74061609984119</v>
      </c>
      <c r="BH184" s="2329">
        <f>BE184</f>
        <v>608.39216255130862</v>
      </c>
      <c r="BI184" s="739"/>
      <c r="BJ184" s="739"/>
      <c r="BK184" s="739"/>
      <c r="BL184" s="739"/>
      <c r="BM184" s="739"/>
      <c r="BN184" s="739"/>
      <c r="BO184" s="739"/>
      <c r="BP184" s="739"/>
      <c r="BQ184" s="739"/>
      <c r="BR184" s="739"/>
      <c r="BS184" s="739"/>
      <c r="BT184" s="739"/>
      <c r="BU184" s="739"/>
      <c r="BV184" s="739"/>
      <c r="BY184" s="2283">
        <f t="shared" si="150"/>
        <v>608.39216255130862</v>
      </c>
      <c r="EZ184" s="838"/>
      <c r="FA184" s="765"/>
    </row>
    <row r="185" spans="55:157" ht="20.399999999999999">
      <c r="BD185" s="2281">
        <v>2015</v>
      </c>
      <c r="BE185" s="2326">
        <v>546.94455413362641</v>
      </c>
      <c r="BF185" s="2327">
        <v>13897.2</v>
      </c>
      <c r="BG185" s="2327">
        <v>573.74061609984119</v>
      </c>
      <c r="BH185" s="2329">
        <f>BE185</f>
        <v>546.94455413362641</v>
      </c>
      <c r="BI185" s="739"/>
      <c r="BJ185" s="739"/>
      <c r="BK185" s="739"/>
      <c r="BL185" s="739"/>
      <c r="BM185" s="739"/>
      <c r="BN185" s="739"/>
      <c r="BO185" s="739"/>
      <c r="BP185" s="739"/>
      <c r="BQ185" s="739"/>
      <c r="BR185" s="739"/>
      <c r="BS185" s="739"/>
      <c r="BT185" s="739"/>
      <c r="BU185" s="739"/>
      <c r="BV185" s="739"/>
      <c r="BY185" s="2283">
        <f t="shared" si="150"/>
        <v>546.94455413362641</v>
      </c>
      <c r="EZ185" s="838"/>
      <c r="FA185" s="765"/>
    </row>
    <row r="186" spans="55:157" ht="20.399999999999999">
      <c r="BD186" s="2281">
        <v>2016</v>
      </c>
      <c r="BE186" s="2326">
        <v>545.85066502535915</v>
      </c>
      <c r="BF186" s="2327">
        <v>14748.8</v>
      </c>
      <c r="BG186" s="2327">
        <v>573.74061609984119</v>
      </c>
      <c r="BH186" s="2329">
        <f>BE186</f>
        <v>545.85066502535915</v>
      </c>
      <c r="BI186" s="739"/>
      <c r="BJ186" s="739"/>
      <c r="BK186" s="739"/>
      <c r="BL186" s="739"/>
      <c r="BM186" s="739"/>
      <c r="BN186" s="739"/>
      <c r="BO186" s="739"/>
      <c r="BP186" s="739"/>
      <c r="BQ186" s="739"/>
      <c r="BR186" s="739"/>
      <c r="BS186" s="739"/>
      <c r="BT186" s="739"/>
      <c r="BU186" s="739"/>
      <c r="BV186" s="739"/>
      <c r="BY186" s="2283">
        <f t="shared" si="150"/>
        <v>545.85066502535915</v>
      </c>
      <c r="EZ186" s="838"/>
      <c r="FA186" s="765"/>
    </row>
    <row r="187" spans="55:157" ht="20.399999999999999">
      <c r="BD187" s="2281">
        <v>2017</v>
      </c>
      <c r="BE187" s="2326">
        <v>572.05149694657644</v>
      </c>
      <c r="BF187" s="2327">
        <v>16027.3</v>
      </c>
      <c r="BG187" s="2327">
        <v>573.74061609984119</v>
      </c>
      <c r="BH187" s="2329">
        <f>BE187</f>
        <v>572.05149694657644</v>
      </c>
      <c r="BI187" s="739"/>
      <c r="BJ187" s="739"/>
      <c r="BK187" s="739"/>
      <c r="BL187" s="739"/>
      <c r="BM187" s="739"/>
      <c r="BN187" s="739"/>
      <c r="BO187" s="739"/>
      <c r="BP187" s="739"/>
      <c r="BQ187" s="739"/>
      <c r="BR187" s="739"/>
      <c r="BS187" s="739"/>
      <c r="BT187" s="739"/>
      <c r="BU187" s="739"/>
      <c r="BV187" s="739"/>
      <c r="BY187" s="2283">
        <f t="shared" si="150"/>
        <v>572.05149694657644</v>
      </c>
      <c r="EZ187" s="838"/>
      <c r="FA187" s="765"/>
    </row>
    <row r="188" spans="55:157" ht="20.399999999999999">
      <c r="BD188" s="2281">
        <v>2018</v>
      </c>
      <c r="BE188" s="2326">
        <v>596.64971131527921</v>
      </c>
      <c r="BF188" s="2327">
        <v>17595</v>
      </c>
      <c r="BG188" s="2327">
        <v>573.74061609984119</v>
      </c>
      <c r="BH188" s="2329">
        <f>BE188</f>
        <v>596.64971131527921</v>
      </c>
      <c r="BI188" s="739"/>
      <c r="BJ188" s="739"/>
      <c r="BK188" s="739"/>
      <c r="BL188" s="739"/>
      <c r="BM188" s="739"/>
      <c r="BN188" s="739"/>
      <c r="BO188" s="739"/>
      <c r="BP188" s="739"/>
      <c r="BQ188" s="739"/>
      <c r="BR188" s="739"/>
      <c r="BS188" s="739"/>
      <c r="BT188" s="739"/>
      <c r="BU188" s="739"/>
      <c r="BV188" s="739"/>
      <c r="BY188" s="2283">
        <f t="shared" si="150"/>
        <v>596.64971131527921</v>
      </c>
      <c r="EZ188" s="838"/>
      <c r="FA188" s="765"/>
    </row>
    <row r="189" spans="55:157" ht="20.399999999999999">
      <c r="BD189" s="2281">
        <v>2019</v>
      </c>
      <c r="BE189" s="2326"/>
      <c r="BF189" s="2327"/>
      <c r="BG189" s="2327">
        <v>573.74061609984119</v>
      </c>
      <c r="BH189" s="2330">
        <v>601.42290900580144</v>
      </c>
      <c r="BI189" s="739"/>
      <c r="BJ189" s="739"/>
      <c r="BK189" s="739"/>
      <c r="BL189" s="739"/>
      <c r="BM189" s="739"/>
      <c r="BN189" s="739"/>
      <c r="BO189" s="739"/>
      <c r="BP189" s="739"/>
      <c r="BQ189" s="739"/>
      <c r="BR189" s="739"/>
      <c r="BS189" s="739"/>
      <c r="BT189" s="739"/>
      <c r="BU189" s="739"/>
      <c r="BV189" s="739"/>
      <c r="BY189" s="2283">
        <f>BH189</f>
        <v>601.42290900580144</v>
      </c>
      <c r="EZ189" s="838"/>
      <c r="FA189" s="765"/>
    </row>
    <row r="190" spans="55:157" ht="21">
      <c r="BD190" s="2281">
        <v>2020</v>
      </c>
      <c r="BE190" s="2331"/>
      <c r="BF190" s="1243"/>
      <c r="BG190" s="2327">
        <v>573.74061609984119</v>
      </c>
      <c r="BH190" s="2329">
        <v>596.64971131527921</v>
      </c>
      <c r="BI190" s="739"/>
      <c r="BJ190" s="739"/>
      <c r="BK190" s="739"/>
      <c r="BL190" s="739"/>
      <c r="BM190" s="739"/>
      <c r="BN190" s="739"/>
      <c r="BO190" s="739"/>
      <c r="BP190" s="739"/>
      <c r="BQ190" s="739"/>
      <c r="BR190" s="739"/>
      <c r="BS190" s="739"/>
      <c r="BT190" s="739"/>
      <c r="BU190" s="739"/>
      <c r="BV190" s="739"/>
      <c r="BY190" s="2283">
        <f>BH190</f>
        <v>596.64971131527921</v>
      </c>
      <c r="EZ190" s="838"/>
      <c r="FA190" s="765"/>
    </row>
    <row r="191" spans="55:157" ht="21">
      <c r="BC191" s="943">
        <v>0.8</v>
      </c>
      <c r="BD191" s="2281">
        <v>2021</v>
      </c>
      <c r="BE191" s="2331"/>
      <c r="BF191" s="1243"/>
      <c r="BG191" s="2327">
        <v>573.74061609984119</v>
      </c>
      <c r="BH191" s="2329">
        <f>BG191+BC191*(BH185-BG185)</f>
        <v>552.30376652686937</v>
      </c>
      <c r="BI191" s="739"/>
      <c r="BJ191" s="739"/>
      <c r="BK191" s="739"/>
      <c r="BL191" s="739"/>
      <c r="BM191" s="739"/>
      <c r="BN191" s="739"/>
      <c r="BO191" s="739"/>
      <c r="BP191" s="739"/>
      <c r="BQ191" s="739"/>
      <c r="BR191" s="739"/>
      <c r="BS191" s="739"/>
      <c r="BT191" s="739"/>
      <c r="BU191" s="739"/>
      <c r="BV191" s="739"/>
      <c r="BY191" s="2283">
        <f t="shared" ref="BY191:BY205" si="153">BH191</f>
        <v>552.30376652686937</v>
      </c>
      <c r="EZ191" s="838"/>
      <c r="FA191" s="765"/>
    </row>
    <row r="192" spans="55:157" ht="21">
      <c r="BC192" s="943">
        <v>0.7</v>
      </c>
      <c r="BD192" s="2281">
        <v>2022</v>
      </c>
      <c r="BE192" s="2331"/>
      <c r="BF192" s="1243"/>
      <c r="BG192" s="2327">
        <v>573.74061609984119</v>
      </c>
      <c r="BH192" s="2329">
        <f t="shared" ref="BH192:BH205" si="154">BG192+BC192*(BH186-BG186)</f>
        <v>554.21765034770374</v>
      </c>
      <c r="BI192" s="739"/>
      <c r="BJ192" s="739"/>
      <c r="BK192" s="739"/>
      <c r="BL192" s="739"/>
      <c r="BM192" s="739"/>
      <c r="BN192" s="739"/>
      <c r="BO192" s="739"/>
      <c r="BP192" s="739"/>
      <c r="BQ192" s="739"/>
      <c r="BR192" s="739"/>
      <c r="BS192" s="739"/>
      <c r="BT192" s="739"/>
      <c r="BU192" s="739"/>
      <c r="BV192" s="739"/>
      <c r="BY192" s="2283">
        <f t="shared" si="153"/>
        <v>554.21765034770374</v>
      </c>
      <c r="EZ192" s="838"/>
      <c r="FA192" s="765"/>
    </row>
    <row r="193" spans="55:157" ht="21">
      <c r="BC193" s="943">
        <v>0.6</v>
      </c>
      <c r="BD193" s="2281">
        <v>2023</v>
      </c>
      <c r="BE193" s="2331"/>
      <c r="BF193" s="1243"/>
      <c r="BG193" s="2327">
        <v>573.74061609984119</v>
      </c>
      <c r="BH193" s="2329">
        <f t="shared" si="154"/>
        <v>572.72714460788234</v>
      </c>
      <c r="BI193" s="739"/>
      <c r="BJ193" s="739"/>
      <c r="BK193" s="739"/>
      <c r="BL193" s="739"/>
      <c r="BM193" s="739"/>
      <c r="BN193" s="739"/>
      <c r="BO193" s="739"/>
      <c r="BP193" s="739"/>
      <c r="BQ193" s="739"/>
      <c r="BR193" s="739"/>
      <c r="BS193" s="739"/>
      <c r="BT193" s="739"/>
      <c r="BU193" s="739"/>
      <c r="BV193" s="739"/>
      <c r="BY193" s="2283">
        <f t="shared" si="153"/>
        <v>572.72714460788234</v>
      </c>
      <c r="EZ193" s="838"/>
      <c r="FA193" s="765"/>
    </row>
    <row r="194" spans="55:157" ht="21">
      <c r="BC194" s="943">
        <v>0.5</v>
      </c>
      <c r="BD194" s="2281">
        <v>2024</v>
      </c>
      <c r="BE194" s="2331"/>
      <c r="BF194" s="1243"/>
      <c r="BG194" s="2327">
        <v>573.74061609984119</v>
      </c>
      <c r="BH194" s="2329">
        <f t="shared" si="154"/>
        <v>585.19516370756014</v>
      </c>
      <c r="BI194" s="739"/>
      <c r="BJ194" s="739"/>
      <c r="BK194" s="739"/>
      <c r="BL194" s="739"/>
      <c r="BM194" s="739"/>
      <c r="BN194" s="739"/>
      <c r="BO194" s="739"/>
      <c r="BP194" s="739"/>
      <c r="BQ194" s="739"/>
      <c r="BR194" s="739"/>
      <c r="BS194" s="739"/>
      <c r="BT194" s="739"/>
      <c r="BU194" s="739"/>
      <c r="BV194" s="739"/>
      <c r="BY194" s="2283">
        <f t="shared" si="153"/>
        <v>585.19516370756014</v>
      </c>
      <c r="EZ194" s="838"/>
      <c r="FA194" s="765"/>
    </row>
    <row r="195" spans="55:157" ht="21">
      <c r="BC195" s="943">
        <v>0.4</v>
      </c>
      <c r="BD195" s="2281">
        <v>2025</v>
      </c>
      <c r="BE195" s="2331"/>
      <c r="BF195" s="1243"/>
      <c r="BG195" s="2327">
        <v>573.74061609984119</v>
      </c>
      <c r="BH195" s="2329">
        <f t="shared" si="154"/>
        <v>584.81353326222529</v>
      </c>
      <c r="BI195" s="739"/>
      <c r="BJ195" s="739"/>
      <c r="BK195" s="739"/>
      <c r="BL195" s="739"/>
      <c r="BM195" s="739"/>
      <c r="BN195" s="739"/>
      <c r="BO195" s="739"/>
      <c r="BP195" s="739"/>
      <c r="BQ195" s="739"/>
      <c r="BR195" s="739"/>
      <c r="BS195" s="739"/>
      <c r="BT195" s="739"/>
      <c r="BU195" s="739"/>
      <c r="BV195" s="739"/>
      <c r="BY195" s="2283">
        <f t="shared" si="153"/>
        <v>584.81353326222529</v>
      </c>
      <c r="EZ195" s="838"/>
      <c r="FA195" s="765"/>
    </row>
    <row r="196" spans="55:157" ht="21">
      <c r="BC196" s="943">
        <v>0.3</v>
      </c>
      <c r="BD196" s="2281">
        <v>2026</v>
      </c>
      <c r="BE196" s="2331"/>
      <c r="BF196" s="1243"/>
      <c r="BG196" s="2327">
        <v>573.74061609984119</v>
      </c>
      <c r="BH196" s="2329">
        <f t="shared" si="154"/>
        <v>580.61334466447261</v>
      </c>
      <c r="BI196" s="739"/>
      <c r="BJ196" s="739"/>
      <c r="BK196" s="739"/>
      <c r="BL196" s="739"/>
      <c r="BM196" s="739"/>
      <c r="BN196" s="739"/>
      <c r="BO196" s="739"/>
      <c r="BP196" s="739"/>
      <c r="BQ196" s="739"/>
      <c r="BR196" s="739"/>
      <c r="BS196" s="739"/>
      <c r="BT196" s="739"/>
      <c r="BU196" s="739"/>
      <c r="BV196" s="739"/>
      <c r="BY196" s="2283">
        <f t="shared" si="153"/>
        <v>580.61334466447261</v>
      </c>
      <c r="EZ196" s="838"/>
      <c r="FA196" s="765"/>
    </row>
    <row r="197" spans="55:157" ht="21">
      <c r="BC197" s="943">
        <v>0.2</v>
      </c>
      <c r="BD197" s="2281">
        <v>2027</v>
      </c>
      <c r="BE197" s="2331"/>
      <c r="BF197" s="1243"/>
      <c r="BG197" s="2327">
        <v>573.74061609984119</v>
      </c>
      <c r="BH197" s="2329">
        <f t="shared" si="154"/>
        <v>569.45324618524683</v>
      </c>
      <c r="BI197" s="739"/>
      <c r="BJ197" s="739"/>
      <c r="BK197" s="739"/>
      <c r="BL197" s="739"/>
      <c r="BM197" s="739"/>
      <c r="BN197" s="739"/>
      <c r="BO197" s="739"/>
      <c r="BP197" s="739"/>
      <c r="BQ197" s="739"/>
      <c r="BR197" s="739"/>
      <c r="BS197" s="739"/>
      <c r="BT197" s="739"/>
      <c r="BU197" s="739"/>
      <c r="BV197" s="739"/>
      <c r="BY197" s="2283">
        <f t="shared" si="153"/>
        <v>569.45324618524683</v>
      </c>
      <c r="EZ197" s="838"/>
      <c r="FA197" s="765"/>
    </row>
    <row r="198" spans="55:157" ht="21">
      <c r="BC198" s="943">
        <v>0.1</v>
      </c>
      <c r="BD198" s="2281">
        <v>2028</v>
      </c>
      <c r="BE198" s="2331"/>
      <c r="BF198" s="1243"/>
      <c r="BG198" s="2327">
        <v>573.74061609984119</v>
      </c>
      <c r="BH198" s="2329">
        <f t="shared" si="154"/>
        <v>571.78831952462747</v>
      </c>
      <c r="BI198" s="739"/>
      <c r="BJ198" s="739"/>
      <c r="BK198" s="739"/>
      <c r="BL198" s="739"/>
      <c r="BM198" s="739"/>
      <c r="BN198" s="739"/>
      <c r="BO198" s="739"/>
      <c r="BP198" s="739"/>
      <c r="BQ198" s="739"/>
      <c r="BR198" s="739"/>
      <c r="BS198" s="739"/>
      <c r="BT198" s="739"/>
      <c r="BU198" s="739"/>
      <c r="BV198" s="739"/>
      <c r="BY198" s="2283">
        <f t="shared" si="153"/>
        <v>571.78831952462747</v>
      </c>
      <c r="EZ198" s="838"/>
      <c r="FA198" s="765"/>
    </row>
    <row r="199" spans="55:157" ht="21">
      <c r="BC199" s="943">
        <v>0</v>
      </c>
      <c r="BD199" s="2281">
        <v>2029</v>
      </c>
      <c r="BE199" s="2331"/>
      <c r="BF199" s="1243"/>
      <c r="BG199" s="2327">
        <v>573.74061609984119</v>
      </c>
      <c r="BH199" s="2329">
        <f t="shared" si="154"/>
        <v>573.74061609984119</v>
      </c>
      <c r="BI199" s="739"/>
      <c r="BJ199" s="739"/>
      <c r="BK199" s="739"/>
      <c r="BL199" s="739"/>
      <c r="BM199" s="739"/>
      <c r="BN199" s="739"/>
      <c r="BO199" s="739"/>
      <c r="BP199" s="739"/>
      <c r="BQ199" s="739"/>
      <c r="BR199" s="739"/>
      <c r="BS199" s="739"/>
      <c r="BT199" s="739"/>
      <c r="BU199" s="739"/>
      <c r="BV199" s="739"/>
      <c r="BY199" s="2283">
        <f t="shared" si="153"/>
        <v>573.74061609984119</v>
      </c>
      <c r="EZ199" s="838"/>
      <c r="FA199" s="765"/>
    </row>
    <row r="200" spans="55:157" ht="21">
      <c r="BC200" s="943">
        <v>0</v>
      </c>
      <c r="BD200" s="2281">
        <v>2030</v>
      </c>
      <c r="BE200" s="2331"/>
      <c r="BF200" s="1243"/>
      <c r="BG200" s="2327">
        <v>573.74061609984119</v>
      </c>
      <c r="BH200" s="2329">
        <f t="shared" si="154"/>
        <v>573.74061609984119</v>
      </c>
      <c r="BI200" s="739"/>
      <c r="BJ200" s="739"/>
      <c r="BK200" s="739"/>
      <c r="BL200" s="739"/>
      <c r="BM200" s="739"/>
      <c r="BN200" s="739"/>
      <c r="BO200" s="739"/>
      <c r="BP200" s="739"/>
      <c r="BQ200" s="739"/>
      <c r="BR200" s="739"/>
      <c r="BS200" s="739"/>
      <c r="BT200" s="739"/>
      <c r="BU200" s="739"/>
      <c r="BV200" s="739"/>
      <c r="BY200" s="2283">
        <f t="shared" si="153"/>
        <v>573.74061609984119</v>
      </c>
      <c r="EZ200" s="838"/>
      <c r="FA200" s="765"/>
    </row>
    <row r="201" spans="55:157" ht="21">
      <c r="BC201" s="943">
        <v>0</v>
      </c>
      <c r="BD201" s="2281">
        <v>2031</v>
      </c>
      <c r="BE201" s="2331"/>
      <c r="BF201" s="1243"/>
      <c r="BG201" s="2327">
        <v>573.74061609984119</v>
      </c>
      <c r="BH201" s="2329">
        <f t="shared" si="154"/>
        <v>573.74061609984119</v>
      </c>
      <c r="BY201" s="2283">
        <f t="shared" si="153"/>
        <v>573.74061609984119</v>
      </c>
      <c r="EZ201" s="838"/>
      <c r="FA201" s="765"/>
    </row>
    <row r="202" spans="55:157" ht="21">
      <c r="BC202" s="943">
        <v>0</v>
      </c>
      <c r="BD202" s="2281">
        <v>2032</v>
      </c>
      <c r="BE202" s="2331"/>
      <c r="BF202" s="1243"/>
      <c r="BG202" s="2327">
        <v>573.74061609984119</v>
      </c>
      <c r="BH202" s="2329">
        <f t="shared" si="154"/>
        <v>573.74061609984119</v>
      </c>
      <c r="BY202" s="2283">
        <f t="shared" si="153"/>
        <v>573.74061609984119</v>
      </c>
      <c r="EZ202" s="838"/>
      <c r="FA202" s="765"/>
    </row>
    <row r="203" spans="55:157" ht="21">
      <c r="BC203" s="943">
        <v>0</v>
      </c>
      <c r="BD203" s="2281">
        <v>2033</v>
      </c>
      <c r="BE203" s="2331"/>
      <c r="BF203" s="1243"/>
      <c r="BG203" s="2327">
        <v>573.74061609984119</v>
      </c>
      <c r="BH203" s="2329">
        <f t="shared" si="154"/>
        <v>573.74061609984119</v>
      </c>
      <c r="BY203" s="2283">
        <f t="shared" si="153"/>
        <v>573.74061609984119</v>
      </c>
      <c r="EZ203" s="838"/>
      <c r="FA203" s="765"/>
    </row>
    <row r="204" spans="55:157" ht="21">
      <c r="BC204" s="943">
        <v>0</v>
      </c>
      <c r="BD204" s="2281">
        <v>2034</v>
      </c>
      <c r="BE204" s="2331"/>
      <c r="BF204" s="1243"/>
      <c r="BG204" s="2327">
        <v>573.74061609984119</v>
      </c>
      <c r="BH204" s="2329">
        <f t="shared" si="154"/>
        <v>573.74061609984119</v>
      </c>
      <c r="BY204" s="2283">
        <f t="shared" si="153"/>
        <v>573.74061609984119</v>
      </c>
      <c r="EZ204" s="838"/>
      <c r="FA204" s="765"/>
    </row>
    <row r="205" spans="55:157" ht="21">
      <c r="BC205" s="943">
        <v>0</v>
      </c>
      <c r="BD205" s="1596">
        <v>2035</v>
      </c>
      <c r="BE205" s="2332"/>
      <c r="BF205" s="1253"/>
      <c r="BG205" s="2333">
        <v>573.74061609984119</v>
      </c>
      <c r="BH205" s="2334">
        <f t="shared" si="154"/>
        <v>573.74061609984119</v>
      </c>
      <c r="BY205" s="2284">
        <f t="shared" si="153"/>
        <v>573.74061609984119</v>
      </c>
      <c r="EZ205" s="838"/>
      <c r="FA205" s="765"/>
    </row>
    <row r="206" spans="55:157" ht="17.399999999999999">
      <c r="EZ206" s="838"/>
      <c r="FA206" s="765"/>
    </row>
    <row r="207" spans="55:157" ht="17.399999999999999">
      <c r="EZ207" s="838"/>
      <c r="FA207" s="765"/>
    </row>
    <row r="208" spans="55:157" ht="18" thickBot="1">
      <c r="EZ208" s="838"/>
      <c r="FA208" s="765"/>
    </row>
    <row r="209" spans="56:157" ht="20.399999999999999">
      <c r="BD209" s="1187" t="s">
        <v>368</v>
      </c>
      <c r="BE209" s="2315" t="s">
        <v>786</v>
      </c>
      <c r="BF209" s="1343" t="s">
        <v>1548</v>
      </c>
      <c r="BG209" s="1343" t="s">
        <v>787</v>
      </c>
      <c r="BH209" s="1343" t="s">
        <v>134</v>
      </c>
      <c r="BW209" s="77" t="s">
        <v>782</v>
      </c>
      <c r="BX209" s="77" t="s">
        <v>782</v>
      </c>
      <c r="EZ209" s="838"/>
      <c r="FA209" s="765"/>
    </row>
    <row r="210" spans="56:157" ht="21" thickBot="1">
      <c r="BD210" s="1189">
        <v>43917</v>
      </c>
      <c r="BE210" s="2316" t="s">
        <v>688</v>
      </c>
      <c r="BF210" s="2317" t="s">
        <v>688</v>
      </c>
      <c r="BG210" s="2317" t="s">
        <v>688</v>
      </c>
      <c r="BH210" s="2317" t="s">
        <v>688</v>
      </c>
      <c r="BW210" s="2315" t="s">
        <v>786</v>
      </c>
      <c r="BX210" s="1343" t="s">
        <v>787</v>
      </c>
      <c r="EZ210" s="838"/>
      <c r="FA210" s="765"/>
    </row>
    <row r="211" spans="56:157" ht="20.399999999999999">
      <c r="BD211" s="1254">
        <v>1995</v>
      </c>
      <c r="BE211" s="1114">
        <f t="array" ref="BE211:BE234">TRANSPOSE(ОТЧЁТ!U124:AR124)</f>
        <v>3.9346290432521365E-2</v>
      </c>
      <c r="BF211" s="2323"/>
      <c r="BG211" s="1116">
        <f t="array" ref="BG211:BG234">TRANSPOSE(ОТЧЁТ!U125:AR125)</f>
        <v>5.4136428377645138E-2</v>
      </c>
      <c r="BH211" s="1207"/>
      <c r="BW211" s="2318">
        <f t="shared" ref="BW211:BW232" si="155">BE211</f>
        <v>3.9346290432521365E-2</v>
      </c>
      <c r="BX211" s="2319">
        <f t="shared" ref="BX211:BX232" si="156">BG211</f>
        <v>5.4136428377645138E-2</v>
      </c>
      <c r="EZ211" s="838"/>
      <c r="FA211" s="765"/>
    </row>
    <row r="212" spans="56:157" ht="20.399999999999999">
      <c r="BD212" s="1254">
        <v>1996</v>
      </c>
      <c r="BE212" s="1118">
        <v>4.7278242416808509E-2</v>
      </c>
      <c r="BF212" s="1309"/>
      <c r="BG212" s="1120">
        <v>6.7443827250803473E-2</v>
      </c>
      <c r="BH212" s="1210"/>
      <c r="BW212" s="2320">
        <f t="shared" si="155"/>
        <v>4.7278242416808509E-2</v>
      </c>
      <c r="BX212" s="2321">
        <f t="shared" si="156"/>
        <v>6.7443827250803473E-2</v>
      </c>
      <c r="EZ212" s="838"/>
      <c r="FA212" s="765"/>
    </row>
    <row r="213" spans="56:157" ht="20.399999999999999">
      <c r="BD213" s="1254">
        <v>1997</v>
      </c>
      <c r="BE213" s="1118">
        <v>4.9588252516273142E-2</v>
      </c>
      <c r="BF213" s="1309"/>
      <c r="BG213" s="1120">
        <v>7.3378422743912652E-2</v>
      </c>
      <c r="BH213" s="1210"/>
      <c r="BW213" s="2320">
        <f t="shared" si="155"/>
        <v>4.9588252516273142E-2</v>
      </c>
      <c r="BX213" s="2321">
        <f t="shared" si="156"/>
        <v>7.3378422743912652E-2</v>
      </c>
      <c r="EZ213" s="838"/>
      <c r="FA213" s="765"/>
    </row>
    <row r="214" spans="56:157" ht="20.399999999999999">
      <c r="BD214" s="1254">
        <v>1998</v>
      </c>
      <c r="BE214" s="1118">
        <v>5.3861945523556415E-2</v>
      </c>
      <c r="BF214" s="1309"/>
      <c r="BG214" s="1120">
        <v>8.0444251496902736E-2</v>
      </c>
      <c r="BH214" s="1210"/>
      <c r="BW214" s="2320">
        <f t="shared" si="155"/>
        <v>5.3861945523556415E-2</v>
      </c>
      <c r="BX214" s="2321">
        <f t="shared" si="156"/>
        <v>8.0444251496902736E-2</v>
      </c>
    </row>
    <row r="215" spans="56:157" ht="20.399999999999999">
      <c r="BD215" s="1254">
        <v>1999</v>
      </c>
      <c r="BE215" s="1118">
        <v>5.9658936395862713E-2</v>
      </c>
      <c r="BF215" s="1309"/>
      <c r="BG215" s="1120">
        <v>7.9254765355388307E-2</v>
      </c>
      <c r="BH215" s="1210"/>
      <c r="BW215" s="2320">
        <f t="shared" si="155"/>
        <v>5.9658936395862713E-2</v>
      </c>
      <c r="BX215" s="2321">
        <f t="shared" si="156"/>
        <v>7.9254765355388307E-2</v>
      </c>
    </row>
    <row r="216" spans="56:157" ht="20.399999999999999">
      <c r="BD216" s="1254">
        <v>2000</v>
      </c>
      <c r="BE216" s="1118">
        <v>6.6398456303956632E-2</v>
      </c>
      <c r="BF216" s="1309"/>
      <c r="BG216" s="1120">
        <v>8.725766032131918E-2</v>
      </c>
      <c r="BH216" s="1210"/>
      <c r="BW216" s="2320">
        <f t="shared" si="155"/>
        <v>6.6398456303956632E-2</v>
      </c>
      <c r="BX216" s="2321">
        <f t="shared" si="156"/>
        <v>8.725766032131918E-2</v>
      </c>
    </row>
    <row r="217" spans="56:157" ht="20.399999999999999">
      <c r="BD217" s="1254">
        <v>2001</v>
      </c>
      <c r="BE217" s="1118">
        <v>6.8925699444092325E-2</v>
      </c>
      <c r="BF217" s="1309"/>
      <c r="BG217" s="1120">
        <v>7.7539085692981194E-2</v>
      </c>
      <c r="BH217" s="1210"/>
      <c r="BW217" s="2320">
        <f t="shared" si="155"/>
        <v>6.8925699444092325E-2</v>
      </c>
      <c r="BX217" s="2321">
        <f t="shared" si="156"/>
        <v>7.7539085692981194E-2</v>
      </c>
    </row>
    <row r="218" spans="56:157" ht="20.399999999999999">
      <c r="BD218" s="1254">
        <v>2002</v>
      </c>
      <c r="BE218" s="1118">
        <v>6.5843864838066993E-2</v>
      </c>
      <c r="BF218" s="1309"/>
      <c r="BG218" s="1120">
        <v>8.5441880577529258E-2</v>
      </c>
      <c r="BH218" s="1210"/>
      <c r="BW218" s="2320">
        <f t="shared" si="155"/>
        <v>6.5843864838066993E-2</v>
      </c>
      <c r="BX218" s="2321">
        <f t="shared" si="156"/>
        <v>8.5441880577529258E-2</v>
      </c>
      <c r="CS218" s="24"/>
    </row>
    <row r="219" spans="56:157" ht="20.399999999999999">
      <c r="BD219" s="1254">
        <v>2003</v>
      </c>
      <c r="BE219" s="1118">
        <v>6.8254797026411129E-2</v>
      </c>
      <c r="BF219" s="2324"/>
      <c r="BG219" s="1120">
        <v>7.9938087537364033E-2</v>
      </c>
      <c r="BH219" s="2321"/>
      <c r="BW219" s="2320">
        <f t="shared" si="155"/>
        <v>6.8254797026411129E-2</v>
      </c>
      <c r="BX219" s="2321">
        <f t="shared" si="156"/>
        <v>7.9938087537364033E-2</v>
      </c>
      <c r="CS219" s="24"/>
    </row>
    <row r="220" spans="56:157" ht="20.399999999999999">
      <c r="BD220" s="1254">
        <v>2004</v>
      </c>
      <c r="BE220" s="1118">
        <v>7.3528457822385887E-2</v>
      </c>
      <c r="BF220" s="2324"/>
      <c r="BG220" s="1120">
        <v>8.6441962043970547E-2</v>
      </c>
      <c r="BH220" s="2321"/>
      <c r="BW220" s="2320">
        <f t="shared" si="155"/>
        <v>7.3528457822385887E-2</v>
      </c>
      <c r="BX220" s="2321">
        <f t="shared" si="156"/>
        <v>8.6441962043970547E-2</v>
      </c>
      <c r="CS220" s="24"/>
    </row>
    <row r="221" spans="56:157" ht="20.399999999999999">
      <c r="BD221" s="1254">
        <v>2005</v>
      </c>
      <c r="BE221" s="1118">
        <v>8.3523763335885251E-2</v>
      </c>
      <c r="BF221" s="2324"/>
      <c r="BG221" s="1120">
        <v>0.10195514871018198</v>
      </c>
      <c r="BH221" s="2321"/>
      <c r="BW221" s="2320">
        <f t="shared" si="155"/>
        <v>8.3523763335885251E-2</v>
      </c>
      <c r="BX221" s="2321">
        <f t="shared" si="156"/>
        <v>0.10195514871018198</v>
      </c>
      <c r="CS221" s="24"/>
    </row>
    <row r="222" spans="56:157" ht="20.399999999999999">
      <c r="BD222" s="1254">
        <v>2006</v>
      </c>
      <c r="BE222" s="1118">
        <v>8.5234323701588219E-2</v>
      </c>
      <c r="BF222" s="2324"/>
      <c r="BG222" s="1120">
        <v>0.10383564125667144</v>
      </c>
      <c r="BH222" s="2321"/>
      <c r="BW222" s="2320">
        <f t="shared" si="155"/>
        <v>8.5234323701588219E-2</v>
      </c>
      <c r="BX222" s="2321">
        <f t="shared" si="156"/>
        <v>0.10383564125667144</v>
      </c>
      <c r="CS222" s="24"/>
    </row>
    <row r="223" spans="56:157" ht="19.5" customHeight="1">
      <c r="BD223" s="1254">
        <v>2007</v>
      </c>
      <c r="BE223" s="1118">
        <v>8.2473872285148936E-2</v>
      </c>
      <c r="BF223" s="2324"/>
      <c r="BG223" s="1120">
        <v>9.757961920258694E-2</v>
      </c>
      <c r="BH223" s="2321"/>
      <c r="BW223" s="2320">
        <f t="shared" si="155"/>
        <v>8.2473872285148936E-2</v>
      </c>
      <c r="BX223" s="2321">
        <f t="shared" si="156"/>
        <v>9.757961920258694E-2</v>
      </c>
      <c r="CS223" s="24"/>
    </row>
    <row r="224" spans="56:157" ht="18" customHeight="1">
      <c r="BD224" s="1254">
        <v>2008</v>
      </c>
      <c r="BE224" s="1118">
        <v>8.5111867102295305E-2</v>
      </c>
      <c r="BF224" s="2324"/>
      <c r="BG224" s="1120">
        <v>0.10182322919675864</v>
      </c>
      <c r="BH224" s="2321"/>
      <c r="BW224" s="2320">
        <f t="shared" si="155"/>
        <v>8.5111867102295305E-2</v>
      </c>
      <c r="BX224" s="2321">
        <f t="shared" si="156"/>
        <v>0.10182322919675864</v>
      </c>
      <c r="CS224" s="24"/>
    </row>
    <row r="225" spans="56:97" ht="20.399999999999999">
      <c r="BD225" s="1254">
        <v>2009</v>
      </c>
      <c r="BE225" s="1118">
        <v>7.304977354972729E-2</v>
      </c>
      <c r="BF225" s="2324"/>
      <c r="BG225" s="1120">
        <v>8.5111435576858616E-2</v>
      </c>
      <c r="BH225" s="2321"/>
      <c r="BW225" s="2320">
        <f t="shared" si="155"/>
        <v>7.304977354972729E-2</v>
      </c>
      <c r="BX225" s="2321">
        <f t="shared" si="156"/>
        <v>8.5111435576858616E-2</v>
      </c>
      <c r="CS225" s="24"/>
    </row>
    <row r="226" spans="56:97" ht="20.399999999999999">
      <c r="BD226" s="1254">
        <v>2010</v>
      </c>
      <c r="BE226" s="1118">
        <v>7.6393864573101322E-2</v>
      </c>
      <c r="BF226" s="2324"/>
      <c r="BG226" s="1120">
        <v>8.949031890021944E-2</v>
      </c>
      <c r="BH226" s="2321"/>
      <c r="BW226" s="2320">
        <f t="shared" si="155"/>
        <v>7.6393864573101322E-2</v>
      </c>
      <c r="BX226" s="2321">
        <f t="shared" si="156"/>
        <v>8.949031890021944E-2</v>
      </c>
      <c r="CS226" s="24"/>
    </row>
    <row r="227" spans="56:97" ht="20.399999999999999">
      <c r="BD227" s="1254">
        <v>2011</v>
      </c>
      <c r="BE227" s="1118">
        <v>8.1204218240015197E-2</v>
      </c>
      <c r="BF227" s="2324"/>
      <c r="BG227" s="1120">
        <v>7.7426878329772769E-2</v>
      </c>
      <c r="BH227" s="2321"/>
      <c r="BW227" s="2320">
        <f t="shared" si="155"/>
        <v>8.1204218240015197E-2</v>
      </c>
      <c r="BX227" s="2321">
        <f t="shared" si="156"/>
        <v>7.7426878329772769E-2</v>
      </c>
      <c r="CS227" s="24"/>
    </row>
    <row r="228" spans="56:97" ht="20.399999999999999">
      <c r="BD228" s="1254">
        <v>2012</v>
      </c>
      <c r="BE228" s="1118">
        <v>8.1063522765026014E-2</v>
      </c>
      <c r="BF228" s="2324"/>
      <c r="BG228" s="1120">
        <v>7.7480791741336263E-2</v>
      </c>
      <c r="BH228" s="2321"/>
      <c r="BW228" s="2320">
        <f t="shared" si="155"/>
        <v>8.1063522765026014E-2</v>
      </c>
      <c r="BX228" s="2321">
        <f t="shared" si="156"/>
        <v>7.7480791741336263E-2</v>
      </c>
      <c r="CS228" s="24"/>
    </row>
    <row r="229" spans="56:97" ht="20.399999999999999">
      <c r="BD229" s="1254">
        <v>2013</v>
      </c>
      <c r="BE229" s="1118">
        <v>7.5219491828234591E-2</v>
      </c>
      <c r="BF229" s="2324"/>
      <c r="BG229" s="1120">
        <v>7.2870418821904245E-2</v>
      </c>
      <c r="BH229" s="2321"/>
      <c r="BW229" s="2320">
        <f t="shared" si="155"/>
        <v>7.5219491828234591E-2</v>
      </c>
      <c r="BX229" s="2321">
        <f t="shared" si="156"/>
        <v>7.2870418821904245E-2</v>
      </c>
      <c r="CS229" s="24"/>
    </row>
    <row r="230" spans="56:97" ht="18.75" customHeight="1">
      <c r="BD230" s="1254">
        <v>2014</v>
      </c>
      <c r="BE230" s="1118">
        <v>7.7474904945541753E-2</v>
      </c>
      <c r="BF230" s="2324"/>
      <c r="BG230" s="1120">
        <v>7.3756723229490298E-2</v>
      </c>
      <c r="BH230" s="2321"/>
      <c r="BW230" s="2320">
        <f t="shared" si="155"/>
        <v>7.7474904945541753E-2</v>
      </c>
      <c r="BX230" s="2321">
        <f t="shared" si="156"/>
        <v>7.3756723229490298E-2</v>
      </c>
      <c r="CS230" s="24"/>
    </row>
    <row r="231" spans="56:97" ht="20.399999999999999">
      <c r="BD231" s="1254">
        <v>2015</v>
      </c>
      <c r="BE231" s="1118">
        <v>5.8009631663219277E-2</v>
      </c>
      <c r="BF231" s="2324"/>
      <c r="BG231" s="1120">
        <v>5.6839240897772238E-2</v>
      </c>
      <c r="BH231" s="2321"/>
      <c r="BW231" s="2320">
        <f t="shared" si="155"/>
        <v>5.8009631663219277E-2</v>
      </c>
      <c r="BX231" s="2321">
        <f t="shared" si="156"/>
        <v>5.6839240897772238E-2</v>
      </c>
      <c r="CS231" s="24"/>
    </row>
    <row r="232" spans="56:97" ht="20.399999999999999">
      <c r="BD232" s="1254">
        <v>2016</v>
      </c>
      <c r="BE232" s="1118">
        <v>5.5499247675593819E-2</v>
      </c>
      <c r="BF232" s="2324"/>
      <c r="BG232" s="1120">
        <v>5.4905885518075605E-2</v>
      </c>
      <c r="BH232" s="2321"/>
      <c r="BW232" s="2320">
        <f t="shared" si="155"/>
        <v>5.5499247675593819E-2</v>
      </c>
      <c r="BX232" s="2321">
        <f t="shared" si="156"/>
        <v>5.4905885518075605E-2</v>
      </c>
      <c r="CS232" s="24"/>
    </row>
    <row r="233" spans="56:97" ht="17.25" customHeight="1">
      <c r="BD233" s="1254">
        <v>2017</v>
      </c>
      <c r="BE233" s="1118">
        <v>5.3783428415799264E-2</v>
      </c>
      <c r="BF233" s="1120">
        <f>BE233</f>
        <v>5.3783428415799264E-2</v>
      </c>
      <c r="BG233" s="1120">
        <v>5.3859001171776499E-2</v>
      </c>
      <c r="BH233" s="1123">
        <f>BG233</f>
        <v>5.3859001171776499E-2</v>
      </c>
      <c r="BW233" s="2320">
        <f>BF233</f>
        <v>5.3783428415799264E-2</v>
      </c>
      <c r="BX233" s="2321">
        <f t="shared" ref="BX233:BX245" si="157">BH233</f>
        <v>5.3859001171776499E-2</v>
      </c>
      <c r="CS233" s="24"/>
    </row>
    <row r="234" spans="56:97" ht="20.399999999999999">
      <c r="BD234" s="1254">
        <v>2018</v>
      </c>
      <c r="BE234" s="1118">
        <v>5.9699343840650398E-2</v>
      </c>
      <c r="BF234" s="1120">
        <f>BE234</f>
        <v>5.9699343840650398E-2</v>
      </c>
      <c r="BG234" s="1120">
        <v>5.9026548886211824E-2</v>
      </c>
      <c r="BH234" s="1123">
        <f>BG234</f>
        <v>5.9026548886211824E-2</v>
      </c>
      <c r="BW234" s="2320">
        <f>BF234</f>
        <v>5.9699343840650398E-2</v>
      </c>
      <c r="BX234" s="2321">
        <f t="shared" si="157"/>
        <v>5.9026548886211824E-2</v>
      </c>
      <c r="CS234" s="24"/>
    </row>
    <row r="235" spans="56:97" ht="20.399999999999999">
      <c r="BD235" s="1254">
        <v>2019</v>
      </c>
      <c r="BE235" s="1213"/>
      <c r="BF235" s="1120">
        <f t="shared" ref="BF235:BF251" si="158">BF234+0.5*(BF234-BF233)</f>
        <v>6.2657301553075972E-2</v>
      </c>
      <c r="BG235" s="1120"/>
      <c r="BH235" s="1123">
        <f>BH234+0.7*(BH234-BH233)</f>
        <v>6.264383228631655E-2</v>
      </c>
      <c r="BW235" s="2320">
        <f>BF235</f>
        <v>6.2657301553075972E-2</v>
      </c>
      <c r="BX235" s="2321">
        <f t="shared" si="157"/>
        <v>6.264383228631655E-2</v>
      </c>
    </row>
    <row r="236" spans="56:97" ht="20.399999999999999">
      <c r="BD236" s="1254">
        <v>2020</v>
      </c>
      <c r="BE236" s="1213"/>
      <c r="BF236" s="1120">
        <f t="shared" si="158"/>
        <v>6.413628040928876E-2</v>
      </c>
      <c r="BG236" s="1120"/>
      <c r="BH236" s="1123">
        <f t="shared" ref="BH236:BH251" si="159">BH235+0.7*(BH235-BH234)</f>
        <v>6.5175930666389853E-2</v>
      </c>
      <c r="BW236" s="2320">
        <f t="shared" ref="BW236:BW251" si="160">BF236</f>
        <v>6.413628040928876E-2</v>
      </c>
      <c r="BX236" s="2321">
        <f t="shared" si="157"/>
        <v>6.5175930666389853E-2</v>
      </c>
    </row>
    <row r="237" spans="56:97" ht="20.399999999999999">
      <c r="BD237" s="1254">
        <v>2021</v>
      </c>
      <c r="BE237" s="1213"/>
      <c r="BF237" s="1120">
        <f t="shared" si="158"/>
        <v>6.4875769837395153E-2</v>
      </c>
      <c r="BG237" s="1120"/>
      <c r="BH237" s="1123">
        <f t="shared" si="159"/>
        <v>6.6948399532441166E-2</v>
      </c>
      <c r="BW237" s="2320">
        <f t="shared" si="160"/>
        <v>6.4875769837395153E-2</v>
      </c>
      <c r="BX237" s="2321">
        <f t="shared" si="157"/>
        <v>6.6948399532441166E-2</v>
      </c>
    </row>
    <row r="238" spans="56:97" ht="20.399999999999999">
      <c r="BD238" s="1254">
        <v>2022</v>
      </c>
      <c r="BE238" s="1213"/>
      <c r="BF238" s="1120">
        <f t="shared" si="158"/>
        <v>6.524551455144835E-2</v>
      </c>
      <c r="BG238" s="1120"/>
      <c r="BH238" s="1123">
        <f t="shared" si="159"/>
        <v>6.818912773867708E-2</v>
      </c>
      <c r="BW238" s="2320">
        <f t="shared" si="160"/>
        <v>6.524551455144835E-2</v>
      </c>
      <c r="BX238" s="2321">
        <f t="shared" si="157"/>
        <v>6.818912773867708E-2</v>
      </c>
    </row>
    <row r="239" spans="56:97" ht="20.399999999999999">
      <c r="BD239" s="1254">
        <v>2023</v>
      </c>
      <c r="BE239" s="1213"/>
      <c r="BF239" s="1120">
        <f t="shared" si="158"/>
        <v>6.5430386908474941E-2</v>
      </c>
      <c r="BG239" s="1120"/>
      <c r="BH239" s="1123">
        <f t="shared" si="159"/>
        <v>6.9057637483042222E-2</v>
      </c>
      <c r="BW239" s="2320">
        <f t="shared" si="160"/>
        <v>6.5430386908474941E-2</v>
      </c>
      <c r="BX239" s="2321">
        <f t="shared" si="157"/>
        <v>6.9057637483042222E-2</v>
      </c>
    </row>
    <row r="240" spans="56:97" ht="20.399999999999999">
      <c r="BD240" s="1254">
        <v>2024</v>
      </c>
      <c r="BE240" s="1213"/>
      <c r="BF240" s="1120">
        <f t="shared" si="158"/>
        <v>6.552282308698823E-2</v>
      </c>
      <c r="BG240" s="1120"/>
      <c r="BH240" s="1123">
        <f t="shared" si="159"/>
        <v>6.9665594304097828E-2</v>
      </c>
      <c r="BW240" s="2320">
        <f t="shared" si="160"/>
        <v>6.552282308698823E-2</v>
      </c>
      <c r="BX240" s="2321">
        <f t="shared" si="157"/>
        <v>6.9665594304097828E-2</v>
      </c>
    </row>
    <row r="241" spans="56:76" ht="20.399999999999999">
      <c r="BD241" s="1254">
        <v>2025</v>
      </c>
      <c r="BE241" s="1213"/>
      <c r="BF241" s="1120">
        <f t="shared" si="158"/>
        <v>6.5569041176244874E-2</v>
      </c>
      <c r="BG241" s="1120"/>
      <c r="BH241" s="1123">
        <f t="shared" si="159"/>
        <v>7.0091164078836754E-2</v>
      </c>
      <c r="BW241" s="2320">
        <f t="shared" si="160"/>
        <v>6.5569041176244874E-2</v>
      </c>
      <c r="BX241" s="2321">
        <f t="shared" si="157"/>
        <v>7.0091164078836754E-2</v>
      </c>
    </row>
    <row r="242" spans="56:76" ht="20.399999999999999">
      <c r="BD242" s="1254">
        <v>2026</v>
      </c>
      <c r="BE242" s="1213"/>
      <c r="BF242" s="1120">
        <f t="shared" si="158"/>
        <v>6.5592150220873197E-2</v>
      </c>
      <c r="BG242" s="1120"/>
      <c r="BH242" s="1123">
        <f t="shared" si="159"/>
        <v>7.0389062921154003E-2</v>
      </c>
      <c r="BW242" s="2320">
        <f t="shared" si="160"/>
        <v>6.5592150220873197E-2</v>
      </c>
      <c r="BX242" s="2321">
        <f t="shared" si="157"/>
        <v>7.0389062921154003E-2</v>
      </c>
    </row>
    <row r="243" spans="56:76" ht="20.399999999999999">
      <c r="BD243" s="1254">
        <v>2027</v>
      </c>
      <c r="BE243" s="1213"/>
      <c r="BF243" s="1120">
        <f t="shared" si="158"/>
        <v>6.5603704743187358E-2</v>
      </c>
      <c r="BG243" s="1120"/>
      <c r="BH243" s="1123">
        <f t="shared" si="159"/>
        <v>7.059759211077607E-2</v>
      </c>
      <c r="BW243" s="2320">
        <f t="shared" si="160"/>
        <v>6.5603704743187358E-2</v>
      </c>
      <c r="BX243" s="2321">
        <f t="shared" si="157"/>
        <v>7.059759211077607E-2</v>
      </c>
    </row>
    <row r="244" spans="56:76" ht="20.399999999999999">
      <c r="BD244" s="1254">
        <v>2028</v>
      </c>
      <c r="BE244" s="1213"/>
      <c r="BF244" s="1120">
        <f t="shared" si="158"/>
        <v>6.5609482004344438E-2</v>
      </c>
      <c r="BG244" s="1120"/>
      <c r="BH244" s="1123">
        <f t="shared" si="159"/>
        <v>7.0743562543511523E-2</v>
      </c>
      <c r="BW244" s="2320">
        <f t="shared" si="160"/>
        <v>6.5609482004344438E-2</v>
      </c>
      <c r="BX244" s="2321">
        <f t="shared" si="157"/>
        <v>7.0743562543511523E-2</v>
      </c>
    </row>
    <row r="245" spans="56:76" ht="20.399999999999999">
      <c r="BD245" s="1254">
        <v>2029</v>
      </c>
      <c r="BE245" s="1213"/>
      <c r="BF245" s="1120">
        <f t="shared" si="158"/>
        <v>6.5612370634922978E-2</v>
      </c>
      <c r="BG245" s="1120"/>
      <c r="BH245" s="1123">
        <f t="shared" si="159"/>
        <v>7.0845741846426336E-2</v>
      </c>
      <c r="BW245" s="2320">
        <f t="shared" si="160"/>
        <v>6.5612370634922978E-2</v>
      </c>
      <c r="BX245" s="2321">
        <f t="shared" si="157"/>
        <v>7.0845741846426336E-2</v>
      </c>
    </row>
    <row r="246" spans="56:76" ht="20.399999999999999">
      <c r="BD246" s="1254">
        <v>2030</v>
      </c>
      <c r="BE246" s="1213"/>
      <c r="BF246" s="1120">
        <f t="shared" si="158"/>
        <v>6.5613814950212249E-2</v>
      </c>
      <c r="BG246" s="1120"/>
      <c r="BH246" s="1123">
        <f t="shared" si="159"/>
        <v>7.0917267358466707E-2</v>
      </c>
      <c r="BW246" s="2320">
        <f t="shared" si="160"/>
        <v>6.5613814950212249E-2</v>
      </c>
      <c r="BX246" s="2321">
        <f t="shared" ref="BX246:BX250" si="161">BH246</f>
        <v>7.0917267358466707E-2</v>
      </c>
    </row>
    <row r="247" spans="56:76" ht="20.399999999999999">
      <c r="BD247" s="1254">
        <v>2031</v>
      </c>
      <c r="BE247" s="1213"/>
      <c r="BF247" s="1120">
        <f t="shared" si="158"/>
        <v>6.5614537107856891E-2</v>
      </c>
      <c r="BG247" s="1120"/>
      <c r="BH247" s="1123">
        <f t="shared" si="159"/>
        <v>7.0967335216894967E-2</v>
      </c>
      <c r="BW247" s="2320">
        <f t="shared" si="160"/>
        <v>6.5614537107856891E-2</v>
      </c>
      <c r="BX247" s="2321">
        <f t="shared" si="161"/>
        <v>7.0967335216894967E-2</v>
      </c>
    </row>
    <row r="248" spans="56:76" ht="20.399999999999999">
      <c r="BD248" s="1254">
        <v>2032</v>
      </c>
      <c r="BE248" s="1213"/>
      <c r="BF248" s="1120">
        <f t="shared" si="158"/>
        <v>6.5614898186679205E-2</v>
      </c>
      <c r="BG248" s="1120"/>
      <c r="BH248" s="1123">
        <f t="shared" si="159"/>
        <v>7.1002382717794743E-2</v>
      </c>
      <c r="BW248" s="2320">
        <f t="shared" si="160"/>
        <v>6.5614898186679205E-2</v>
      </c>
      <c r="BX248" s="2321">
        <f t="shared" si="161"/>
        <v>7.1002382717794743E-2</v>
      </c>
    </row>
    <row r="249" spans="56:76" ht="20.399999999999999">
      <c r="BD249" s="1254">
        <v>2033</v>
      </c>
      <c r="BE249" s="1213"/>
      <c r="BF249" s="1120">
        <f t="shared" si="158"/>
        <v>6.5615078726090362E-2</v>
      </c>
      <c r="BG249" s="1120"/>
      <c r="BH249" s="1123">
        <f t="shared" si="159"/>
        <v>7.1026915968424587E-2</v>
      </c>
      <c r="BW249" s="2320">
        <f t="shared" si="160"/>
        <v>6.5615078726090362E-2</v>
      </c>
      <c r="BX249" s="2321">
        <f t="shared" si="161"/>
        <v>7.1026915968424587E-2</v>
      </c>
    </row>
    <row r="250" spans="56:76" ht="20.399999999999999">
      <c r="BD250" s="1254">
        <v>2034</v>
      </c>
      <c r="BE250" s="1213"/>
      <c r="BF250" s="1120">
        <f t="shared" si="158"/>
        <v>6.5615168995795947E-2</v>
      </c>
      <c r="BG250" s="1120"/>
      <c r="BH250" s="1123">
        <f t="shared" si="159"/>
        <v>7.1044089243865474E-2</v>
      </c>
      <c r="BT250" s="24"/>
      <c r="BW250" s="2320">
        <f t="shared" si="160"/>
        <v>6.5615168995795947E-2</v>
      </c>
      <c r="BX250" s="2321">
        <f t="shared" si="161"/>
        <v>7.1044089243865474E-2</v>
      </c>
    </row>
    <row r="251" spans="56:76" ht="20.399999999999999">
      <c r="BD251" s="1496">
        <v>2035</v>
      </c>
      <c r="BE251" s="1250"/>
      <c r="BF251" s="1388">
        <f t="shared" si="158"/>
        <v>6.5615214130648747E-2</v>
      </c>
      <c r="BG251" s="1388"/>
      <c r="BH251" s="1311">
        <f t="shared" si="159"/>
        <v>7.10561105366741E-2</v>
      </c>
      <c r="BT251" s="24"/>
      <c r="BW251" s="2325">
        <f t="shared" si="160"/>
        <v>6.5615214130648747E-2</v>
      </c>
      <c r="BX251" s="2322">
        <f>BH251</f>
        <v>7.10561105366741E-2</v>
      </c>
    </row>
    <row r="272" spans="55:77" s="2285" customFormat="1"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</row>
  </sheetData>
  <phoneticPr fontId="46" type="noConversion"/>
  <pageMargins left="0.70866141732283472" right="0.70866141732283472" top="0.74803149606299213" bottom="0.74803149606299213" header="0.31496062992125984" footer="0.31496062992125984"/>
  <pageSetup paperSize="9" scale="60" orientation="landscape" verticalDpi="18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CR277"/>
  <sheetViews>
    <sheetView topLeftCell="A132" zoomScale="80" zoomScaleNormal="80" zoomScaleSheetLayoutView="100" workbookViewId="0">
      <selection activeCell="BB85" sqref="BB85:BC85"/>
    </sheetView>
  </sheetViews>
  <sheetFormatPr defaultRowHeight="14.4"/>
  <cols>
    <col min="6" max="6" width="11.5546875" customWidth="1"/>
    <col min="8" max="8" width="11.44140625" customWidth="1"/>
    <col min="10" max="11" width="0" hidden="1" customWidth="1"/>
    <col min="15" max="15" width="10.6640625" customWidth="1"/>
    <col min="16" max="16" width="10.109375" customWidth="1"/>
    <col min="17" max="17" width="10.33203125" customWidth="1"/>
    <col min="18" max="18" width="12.33203125" bestFit="1" customWidth="1"/>
    <col min="19" max="19" width="11.109375" customWidth="1"/>
    <col min="20" max="21" width="12.33203125" bestFit="1" customWidth="1"/>
    <col min="22" max="22" width="11.109375" customWidth="1"/>
    <col min="23" max="24" width="13" bestFit="1" customWidth="1"/>
    <col min="25" max="25" width="11" customWidth="1"/>
    <col min="26" max="26" width="12.6640625" customWidth="1"/>
    <col min="27" max="27" width="12" customWidth="1"/>
    <col min="28" max="28" width="10.88671875" customWidth="1"/>
    <col min="29" max="29" width="14.44140625" bestFit="1" customWidth="1"/>
    <col min="30" max="30" width="13.33203125" customWidth="1"/>
    <col min="31" max="31" width="13.109375" customWidth="1"/>
    <col min="32" max="33" width="14.44140625" bestFit="1" customWidth="1"/>
    <col min="34" max="34" width="11.44140625" customWidth="1"/>
    <col min="35" max="35" width="14.44140625" bestFit="1" customWidth="1"/>
    <col min="36" max="38" width="13.109375" bestFit="1" customWidth="1"/>
    <col min="39" max="39" width="15.109375" bestFit="1" customWidth="1"/>
    <col min="40" max="49" width="12.33203125" bestFit="1" customWidth="1"/>
    <col min="50" max="55" width="14.33203125" customWidth="1"/>
    <col min="56" max="56" width="9.88671875" customWidth="1"/>
    <col min="62" max="62" width="8.5546875" customWidth="1"/>
    <col min="77" max="77" width="9.88671875" customWidth="1"/>
    <col min="89" max="89" width="10.33203125" bestFit="1" customWidth="1"/>
  </cols>
  <sheetData>
    <row r="2" spans="1:96" ht="21">
      <c r="BD2" s="599"/>
      <c r="BF2" s="3"/>
    </row>
    <row r="3" spans="1:96" ht="15" thickBot="1">
      <c r="BQ3" s="1127"/>
      <c r="BR3" s="1127"/>
    </row>
    <row r="4" spans="1:96" ht="21" thickBot="1">
      <c r="E4" s="188" t="s">
        <v>695</v>
      </c>
      <c r="F4" s="189">
        <v>43973</v>
      </c>
      <c r="G4" s="270" t="s">
        <v>1554</v>
      </c>
      <c r="H4" s="190"/>
      <c r="I4" s="190"/>
      <c r="J4" s="190"/>
      <c r="K4" s="190"/>
      <c r="L4" s="190"/>
      <c r="M4" s="190"/>
      <c r="N4" s="191"/>
      <c r="O4" s="1386" t="s">
        <v>889</v>
      </c>
      <c r="P4" s="193" t="s">
        <v>1553</v>
      </c>
      <c r="Q4" s="193" t="s">
        <v>891</v>
      </c>
      <c r="R4" s="193" t="s">
        <v>892</v>
      </c>
      <c r="S4" s="193" t="s">
        <v>893</v>
      </c>
      <c r="T4" s="193" t="s">
        <v>891</v>
      </c>
      <c r="U4" s="193"/>
      <c r="V4" s="193"/>
      <c r="W4" s="193"/>
      <c r="X4" s="193"/>
      <c r="Y4" s="193"/>
      <c r="Z4" s="193"/>
      <c r="AA4" s="193"/>
      <c r="AB4" s="193"/>
      <c r="AC4" s="193"/>
      <c r="AD4" s="193"/>
      <c r="AE4" s="193"/>
      <c r="AF4" s="193"/>
      <c r="AG4" s="193"/>
      <c r="AH4" s="193"/>
      <c r="AI4" s="193"/>
      <c r="AJ4" s="193"/>
      <c r="AK4" s="195"/>
      <c r="AL4" s="2548"/>
      <c r="AM4" s="195"/>
      <c r="AN4" s="195"/>
      <c r="AO4" s="195"/>
      <c r="AP4" s="195"/>
      <c r="AQ4" s="195"/>
      <c r="AR4" s="195"/>
      <c r="AS4" s="195"/>
      <c r="AT4" s="195"/>
      <c r="AU4" s="195"/>
      <c r="AV4" s="195"/>
      <c r="AW4" s="195"/>
      <c r="AX4" s="195"/>
      <c r="AY4" s="195"/>
      <c r="AZ4" s="195"/>
      <c r="BA4" s="195"/>
      <c r="BB4" s="195"/>
      <c r="BC4" s="195"/>
      <c r="BD4" s="196"/>
      <c r="BH4" s="2075" t="s">
        <v>648</v>
      </c>
      <c r="BI4" s="2075" t="s">
        <v>650</v>
      </c>
      <c r="BJ4" s="2075" t="s">
        <v>702</v>
      </c>
      <c r="BK4" s="2075" t="s">
        <v>630</v>
      </c>
      <c r="BL4" s="2075"/>
      <c r="BM4" s="2075" t="s">
        <v>644</v>
      </c>
      <c r="BN4" s="2075" t="s">
        <v>646</v>
      </c>
      <c r="BO4" s="2075" t="s">
        <v>590</v>
      </c>
      <c r="BP4" s="2075"/>
      <c r="BQ4" s="2111" t="s">
        <v>640</v>
      </c>
      <c r="BR4" s="2111" t="s">
        <v>638</v>
      </c>
      <c r="BS4" s="2075" t="s">
        <v>642</v>
      </c>
      <c r="BT4" s="2075" t="s">
        <v>1706</v>
      </c>
      <c r="BU4" s="2075" t="s">
        <v>654</v>
      </c>
      <c r="BY4" s="2075" t="s">
        <v>468</v>
      </c>
      <c r="BZ4" s="2075" t="s">
        <v>2202</v>
      </c>
      <c r="CA4" s="2075" t="s">
        <v>470</v>
      </c>
      <c r="CB4" s="2075" t="s">
        <v>625</v>
      </c>
      <c r="CC4" s="2075" t="s">
        <v>2203</v>
      </c>
      <c r="CD4" s="2075" t="s">
        <v>664</v>
      </c>
      <c r="CE4" s="2075" t="s">
        <v>619</v>
      </c>
      <c r="CF4" s="2075" t="s">
        <v>701</v>
      </c>
      <c r="CG4" s="2075" t="s">
        <v>614</v>
      </c>
      <c r="CH4" s="2075" t="s">
        <v>1355</v>
      </c>
      <c r="CI4" s="2075" t="s">
        <v>728</v>
      </c>
      <c r="CJ4" s="2075" t="s">
        <v>735</v>
      </c>
      <c r="CK4" s="2075" t="s">
        <v>732</v>
      </c>
      <c r="CL4" s="2075" t="s">
        <v>1705</v>
      </c>
      <c r="CM4" s="2075" t="s">
        <v>1863</v>
      </c>
      <c r="CN4" s="2075" t="s">
        <v>705</v>
      </c>
      <c r="CO4" s="2075" t="s">
        <v>971</v>
      </c>
      <c r="CP4" s="2075" t="s">
        <v>723</v>
      </c>
      <c r="CQ4" s="2075" t="s">
        <v>425</v>
      </c>
      <c r="CR4" s="2075" t="s">
        <v>494</v>
      </c>
    </row>
    <row r="5" spans="1:96" ht="18" thickBot="1">
      <c r="D5" s="197"/>
      <c r="E5" s="105"/>
      <c r="F5" s="198" t="s">
        <v>899</v>
      </c>
      <c r="G5" s="1391"/>
      <c r="H5" s="1392"/>
      <c r="I5" s="1395" t="s">
        <v>1555</v>
      </c>
      <c r="J5" s="1396"/>
      <c r="K5" s="1393"/>
      <c r="L5" s="1393"/>
      <c r="M5" s="1393"/>
      <c r="N5" s="1394"/>
      <c r="O5" s="1987">
        <v>1995</v>
      </c>
      <c r="P5" s="1986">
        <v>1996</v>
      </c>
      <c r="Q5" s="1986">
        <v>1997</v>
      </c>
      <c r="R5" s="1986">
        <v>1998</v>
      </c>
      <c r="S5" s="1986">
        <v>1999</v>
      </c>
      <c r="T5" s="1986">
        <v>2000</v>
      </c>
      <c r="U5" s="1986">
        <v>2001</v>
      </c>
      <c r="V5" s="1986">
        <v>2002</v>
      </c>
      <c r="W5" s="1986">
        <v>2003</v>
      </c>
      <c r="X5" s="1986">
        <v>2004</v>
      </c>
      <c r="Y5" s="1986">
        <v>2005</v>
      </c>
      <c r="Z5" s="1986">
        <v>2006</v>
      </c>
      <c r="AA5" s="1986">
        <v>2007</v>
      </c>
      <c r="AB5" s="1986">
        <v>2008</v>
      </c>
      <c r="AC5" s="1986">
        <v>2009</v>
      </c>
      <c r="AD5" s="1986">
        <v>2010</v>
      </c>
      <c r="AE5" s="1986">
        <v>2011</v>
      </c>
      <c r="AF5" s="1986">
        <v>2012</v>
      </c>
      <c r="AG5" s="1986">
        <v>2013</v>
      </c>
      <c r="AH5" s="1986">
        <v>2014</v>
      </c>
      <c r="AI5" s="1986">
        <v>2015</v>
      </c>
      <c r="AJ5" s="1986">
        <v>2016</v>
      </c>
      <c r="AK5" s="1986">
        <v>2017</v>
      </c>
      <c r="AL5" s="2549">
        <v>2018</v>
      </c>
      <c r="AM5" s="1986">
        <v>2019</v>
      </c>
      <c r="AN5" s="1986">
        <v>2020</v>
      </c>
      <c r="AO5" s="1986">
        <v>2021</v>
      </c>
      <c r="AP5" s="1986">
        <v>2022</v>
      </c>
      <c r="AQ5" s="1986">
        <v>2023</v>
      </c>
      <c r="AR5" s="1986">
        <v>2024</v>
      </c>
      <c r="AS5" s="1986">
        <v>2025</v>
      </c>
      <c r="AT5" s="1986">
        <v>2026</v>
      </c>
      <c r="AU5" s="1986">
        <v>2027</v>
      </c>
      <c r="AV5" s="1986">
        <v>2028</v>
      </c>
      <c r="AW5" s="1986">
        <v>2029</v>
      </c>
      <c r="AX5" s="1986">
        <v>2030</v>
      </c>
      <c r="AY5" s="1986">
        <v>2031</v>
      </c>
      <c r="AZ5" s="1986">
        <v>2032</v>
      </c>
      <c r="BA5" s="1986">
        <v>2033</v>
      </c>
      <c r="BB5" s="1986">
        <v>2034</v>
      </c>
      <c r="BC5" s="1986">
        <v>2035</v>
      </c>
      <c r="BD5" s="16"/>
      <c r="BH5" s="2091" t="s">
        <v>1454</v>
      </c>
      <c r="BI5" s="2091" t="s">
        <v>1454</v>
      </c>
      <c r="BJ5" s="2091" t="s">
        <v>1454</v>
      </c>
      <c r="BK5" s="2091" t="s">
        <v>1454</v>
      </c>
      <c r="BL5" s="2091" t="s">
        <v>1454</v>
      </c>
      <c r="BM5" s="2091" t="s">
        <v>1454</v>
      </c>
      <c r="BN5" s="2091" t="s">
        <v>1454</v>
      </c>
      <c r="BO5" s="2091" t="s">
        <v>1454</v>
      </c>
      <c r="BP5" s="2091" t="s">
        <v>1454</v>
      </c>
      <c r="BQ5" s="2091" t="s">
        <v>1454</v>
      </c>
      <c r="BR5" s="2091" t="s">
        <v>1454</v>
      </c>
      <c r="BS5" s="2091" t="s">
        <v>1454</v>
      </c>
      <c r="BT5" s="2091" t="s">
        <v>1454</v>
      </c>
      <c r="BU5" s="2091" t="s">
        <v>1454</v>
      </c>
      <c r="BY5" s="2099" t="s">
        <v>886</v>
      </c>
      <c r="BZ5" s="2099" t="s">
        <v>886</v>
      </c>
      <c r="CA5" s="2099" t="s">
        <v>886</v>
      </c>
      <c r="CB5" s="2094" t="s">
        <v>815</v>
      </c>
      <c r="CC5" s="2094" t="s">
        <v>1454</v>
      </c>
      <c r="CD5" s="2094" t="s">
        <v>46</v>
      </c>
      <c r="CE5" s="2094" t="s">
        <v>46</v>
      </c>
      <c r="CF5" s="2091" t="s">
        <v>1454</v>
      </c>
      <c r="CG5" s="2091" t="s">
        <v>1454</v>
      </c>
      <c r="CH5" s="2091" t="s">
        <v>1454</v>
      </c>
      <c r="CI5" s="2091" t="s">
        <v>1454</v>
      </c>
      <c r="CJ5" s="2091" t="s">
        <v>1454</v>
      </c>
      <c r="CK5" s="2091" t="s">
        <v>1454</v>
      </c>
      <c r="CL5" s="2094" t="s">
        <v>46</v>
      </c>
      <c r="CM5" s="2091" t="s">
        <v>1454</v>
      </c>
      <c r="CN5" s="2091" t="s">
        <v>1454</v>
      </c>
      <c r="CO5" s="2091" t="s">
        <v>1454</v>
      </c>
      <c r="CP5" s="2091" t="s">
        <v>1454</v>
      </c>
      <c r="CQ5" s="2094" t="s">
        <v>46</v>
      </c>
      <c r="CR5" s="2094" t="s">
        <v>46</v>
      </c>
    </row>
    <row r="6" spans="1:96" ht="17.399999999999999">
      <c r="A6" s="2546" t="s">
        <v>2067</v>
      </c>
      <c r="E6" s="105">
        <v>1</v>
      </c>
      <c r="F6" s="517">
        <v>43938</v>
      </c>
      <c r="G6" s="205" t="s">
        <v>458</v>
      </c>
      <c r="H6" s="21" t="s">
        <v>901</v>
      </c>
      <c r="I6" s="546" t="s">
        <v>2245</v>
      </c>
      <c r="J6" s="546"/>
      <c r="K6" s="546"/>
      <c r="L6" s="546"/>
      <c r="M6" s="546"/>
      <c r="N6" s="546"/>
      <c r="O6" s="2538">
        <f t="array" ref="O6:BC6">TRANSPOSE(ДЕМО!AB62:AB102)</f>
        <v>148.459937</v>
      </c>
      <c r="P6" s="206">
        <v>148.29163800000001</v>
      </c>
      <c r="Q6" s="206">
        <v>148.02861300000001</v>
      </c>
      <c r="R6" s="206">
        <v>147.802133</v>
      </c>
      <c r="S6" s="206">
        <v>147.53942599999999</v>
      </c>
      <c r="T6" s="206">
        <v>146.890128</v>
      </c>
      <c r="U6" s="206">
        <v>146.30361099999999</v>
      </c>
      <c r="V6" s="206">
        <v>145.166731</v>
      </c>
      <c r="W6" s="206">
        <v>144.96365</v>
      </c>
      <c r="X6" s="206">
        <v>144.168205</v>
      </c>
      <c r="Y6" s="206">
        <v>143.47421900000001</v>
      </c>
      <c r="Z6" s="206">
        <v>142.75355099999999</v>
      </c>
      <c r="AA6" s="206">
        <v>142.220968</v>
      </c>
      <c r="AB6" s="206">
        <v>142.008838</v>
      </c>
      <c r="AC6" s="206">
        <v>141.90397899999999</v>
      </c>
      <c r="AD6" s="515">
        <v>142.85653600000001</v>
      </c>
      <c r="AE6" s="206">
        <v>142.865433</v>
      </c>
      <c r="AF6" s="206">
        <v>143.05638300000001</v>
      </c>
      <c r="AG6" s="206">
        <v>143.347059</v>
      </c>
      <c r="AH6" s="206">
        <v>143.66693100000001</v>
      </c>
      <c r="AI6" s="206">
        <v>146.26728800000001</v>
      </c>
      <c r="AJ6" s="206">
        <v>146.54471000000001</v>
      </c>
      <c r="AK6" s="206">
        <v>146.804372</v>
      </c>
      <c r="AL6" s="206">
        <v>146.88043200000001</v>
      </c>
      <c r="AM6" s="206">
        <v>146.74509800000001</v>
      </c>
      <c r="AN6" s="206">
        <v>146.69999999999999</v>
      </c>
      <c r="AO6" s="206">
        <v>146.63999999999999</v>
      </c>
      <c r="AP6" s="206">
        <v>146.55999999999997</v>
      </c>
      <c r="AQ6" s="206">
        <v>146.43999999999997</v>
      </c>
      <c r="AR6" s="206">
        <v>146.31999999999996</v>
      </c>
      <c r="AS6" s="206">
        <v>146.15999999999997</v>
      </c>
      <c r="AT6" s="271">
        <v>145.99999999999997</v>
      </c>
      <c r="AU6" s="271">
        <v>145.83999999999997</v>
      </c>
      <c r="AV6" s="271">
        <v>145.67999999999998</v>
      </c>
      <c r="AW6" s="271">
        <v>145.49999999999997</v>
      </c>
      <c r="AX6" s="271">
        <v>145.31999999999996</v>
      </c>
      <c r="AY6" s="271">
        <v>145.13999999999996</v>
      </c>
      <c r="AZ6" s="271">
        <v>144.95999999999995</v>
      </c>
      <c r="BA6" s="271">
        <v>144.75999999999996</v>
      </c>
      <c r="BB6" s="271">
        <v>144.57999999999996</v>
      </c>
      <c r="BC6" s="271">
        <v>144.39999999999995</v>
      </c>
      <c r="BD6" s="44" t="str">
        <f>G6</f>
        <v>N</v>
      </c>
      <c r="BG6" s="1622">
        <v>1995</v>
      </c>
      <c r="BH6" s="1078">
        <f t="array" ref="BH6:BH46">TRANSPOSE(O24:BC24)</f>
        <v>1</v>
      </c>
      <c r="BI6" s="2610">
        <f t="array" ref="BI6:BI46">TRANSPOSE(O25:BC25)</f>
        <v>1</v>
      </c>
      <c r="BJ6" s="2608">
        <f t="array" ref="BJ6:BJ46">TRANSPOSE(O142:BC142)</f>
        <v>1</v>
      </c>
      <c r="BK6" s="2608">
        <f t="array" ref="BK6:BK46">TRANSPOSE(O130:BC130)</f>
        <v>1</v>
      </c>
      <c r="BL6" s="2609"/>
      <c r="BM6" s="294"/>
      <c r="BN6" s="2608">
        <f t="array" ref="BN6:BN46">TRANSPOSE(O27:BC27)</f>
        <v>1</v>
      </c>
      <c r="BO6" s="2608">
        <f t="array" ref="BO6:BO46">TRANSPOSE(O14:BC14)</f>
        <v>1</v>
      </c>
      <c r="BP6" s="2608"/>
      <c r="BQ6" s="2608">
        <f t="array" ref="BQ6:BQ46">TRANSPOSE(O108:BC108)</f>
        <v>0</v>
      </c>
      <c r="BR6" s="2608">
        <f t="array" ref="BR6:BR46">TRANSPOSE(O18:BC18)</f>
        <v>1</v>
      </c>
      <c r="BS6" s="2608">
        <f t="array" ref="BS6:BS46">TRANSPOSE(O20:BC20)</f>
        <v>1</v>
      </c>
      <c r="BT6" s="2608">
        <f t="array" ref="BT6:BT46">TRANSPOSE(O22:BC22)</f>
        <v>1</v>
      </c>
      <c r="BU6" s="2617">
        <f t="array" ref="BU6:BU46">TRANSPOSE(O137:BC137)</f>
        <v>1</v>
      </c>
      <c r="BX6" s="1622">
        <v>1995</v>
      </c>
      <c r="BY6" s="1135">
        <f t="array" ref="BY6:BY46">TRANSPOSE(O6:BC6)</f>
        <v>148.459937</v>
      </c>
      <c r="BZ6" s="1039">
        <f t="array" ref="BZ6:BZ46">TRANSPOSE(O8:BC8)</f>
        <v>146.434</v>
      </c>
      <c r="CA6" s="1135">
        <f t="array" ref="CA6:CA46">TRANSPOSE(O147:BC147)</f>
        <v>6.6840000000000002</v>
      </c>
      <c r="CB6" s="1039">
        <v>43.206939348996954</v>
      </c>
      <c r="CC6" s="1153">
        <f>CE6/CD6</f>
        <v>0.52160205427817563</v>
      </c>
      <c r="CD6" s="1016">
        <f>НАСТРОЙКА!IX5</f>
        <v>5306</v>
      </c>
      <c r="CE6" s="1016">
        <f t="array" ref="CE6:CE46">TRANSPOSE(O135:BC135)</f>
        <v>2767.6205</v>
      </c>
      <c r="CF6">
        <v>1</v>
      </c>
      <c r="CG6" s="2093">
        <f t="array" ref="CG6:CG46">TRANSPOSE(O184:BC184)</f>
        <v>1</v>
      </c>
      <c r="CI6" s="947">
        <f t="array" ref="CI6:CI46">TRANSPOSE(O186:BC186)</f>
        <v>1</v>
      </c>
      <c r="CJ6" s="1153">
        <f t="array" ref="CJ6:CJ46">TRANSPOSE(O187:BC187)</f>
        <v>1</v>
      </c>
      <c r="CK6" s="35">
        <f t="array" ref="CK6:CK29">TRANSPOSE(ОТЧЁТ!U161:AR161)</f>
        <v>1</v>
      </c>
      <c r="CL6" s="1135"/>
      <c r="CM6">
        <f t="array" ref="CM6:CM46">TRANSPOSE(O23:BC23)</f>
        <v>0</v>
      </c>
      <c r="CN6">
        <f>1</f>
        <v>1</v>
      </c>
      <c r="CO6" s="784">
        <f t="array" ref="CO6:CO46">TRANSPOSE(O175:BC175)</f>
        <v>1</v>
      </c>
      <c r="CQ6" s="2130"/>
    </row>
    <row r="7" spans="1:96" ht="18">
      <c r="A7" s="2546" t="s">
        <v>2065</v>
      </c>
      <c r="B7" s="2547"/>
      <c r="C7" s="1406"/>
      <c r="E7" s="105">
        <v>2</v>
      </c>
      <c r="F7" s="517">
        <f>F6</f>
        <v>43938</v>
      </c>
      <c r="G7" s="205" t="s">
        <v>902</v>
      </c>
      <c r="H7" s="21" t="s">
        <v>809</v>
      </c>
      <c r="I7" s="546" t="s">
        <v>2246</v>
      </c>
      <c r="J7" s="546"/>
      <c r="K7" s="546"/>
      <c r="L7" s="546"/>
      <c r="M7" s="546"/>
      <c r="N7" s="546"/>
      <c r="O7" s="216">
        <v>0.47700606877950091</v>
      </c>
      <c r="P7" s="219">
        <v>0.46972353337828721</v>
      </c>
      <c r="Q7" s="219">
        <v>0.4599932432432432</v>
      </c>
      <c r="R7" s="219">
        <v>0.45560893098782135</v>
      </c>
      <c r="S7" s="219">
        <v>0.48932203389830509</v>
      </c>
      <c r="T7" s="219">
        <v>0.49740259740259735</v>
      </c>
      <c r="U7" s="219">
        <v>0.48901602143482065</v>
      </c>
      <c r="V7" s="219">
        <v>0.49842942756767933</v>
      </c>
      <c r="W7" s="219">
        <v>0.50119972260748957</v>
      </c>
      <c r="X7" s="219">
        <v>0.50860627177700346</v>
      </c>
      <c r="Y7" s="219">
        <v>0.51527310924369751</v>
      </c>
      <c r="Z7" s="209">
        <v>0.52334036568213782</v>
      </c>
      <c r="AA7" s="209">
        <v>0.53020422535211265</v>
      </c>
      <c r="AB7" s="209">
        <v>0.53347427766032418</v>
      </c>
      <c r="AC7" s="209">
        <v>0.53343199436222688</v>
      </c>
      <c r="AD7" s="538">
        <v>0.52834824442334227</v>
      </c>
      <c r="AE7" s="209">
        <v>0.53042221906820519</v>
      </c>
      <c r="AF7" s="209">
        <v>0.52829519672673386</v>
      </c>
      <c r="AG7" s="209">
        <v>0.52689605581653398</v>
      </c>
      <c r="AH7" s="209">
        <v>0.52501991568261452</v>
      </c>
      <c r="AI7" s="209">
        <v>0.52361673650502083</v>
      </c>
      <c r="AJ7" s="209">
        <v>0.52295302914721375</v>
      </c>
      <c r="AK7" s="209">
        <v>0.51843823833802438</v>
      </c>
      <c r="AL7" s="209">
        <v>0.51947014970653127</v>
      </c>
      <c r="AM7" s="209">
        <v>0.51722341007942907</v>
      </c>
      <c r="AN7" s="209">
        <v>0.51672341007942912</v>
      </c>
      <c r="AO7" s="209">
        <v>0.51622341007942918</v>
      </c>
      <c r="AP7" s="209">
        <v>0.51572341007942923</v>
      </c>
      <c r="AQ7" s="209">
        <v>0.51522341007942929</v>
      </c>
      <c r="AR7" s="209">
        <v>0.51472341007942934</v>
      </c>
      <c r="AS7" s="209">
        <v>0.5142234100794294</v>
      </c>
      <c r="AT7" s="272">
        <v>0.51372341007942945</v>
      </c>
      <c r="AU7" s="272">
        <v>0.51322341007942951</v>
      </c>
      <c r="AV7" s="272">
        <v>0.51272341007942956</v>
      </c>
      <c r="AW7" s="272">
        <v>0.51222341007942962</v>
      </c>
      <c r="AX7" s="272">
        <v>0.51172341007942967</v>
      </c>
      <c r="AY7" s="272">
        <v>0.51122341007942973</v>
      </c>
      <c r="AZ7" s="272">
        <v>0.51072341007942978</v>
      </c>
      <c r="BA7" s="272">
        <v>0.51022341007942984</v>
      </c>
      <c r="BB7" s="272">
        <v>0.50972341007942989</v>
      </c>
      <c r="BC7" s="272">
        <v>0.50922341007942995</v>
      </c>
      <c r="BD7" s="44" t="str">
        <f>G7</f>
        <v>dA</v>
      </c>
      <c r="BG7" s="1607">
        <v>1996</v>
      </c>
      <c r="BH7" s="2611">
        <v>1.7194377618988257</v>
      </c>
      <c r="BI7" s="2612">
        <v>2.4661634872716665</v>
      </c>
      <c r="BJ7" s="2609">
        <v>1.4122477570972609</v>
      </c>
      <c r="BK7" s="2609">
        <v>1.458015926869807</v>
      </c>
      <c r="BL7" s="2609"/>
      <c r="BM7" s="20"/>
      <c r="BN7" s="2609">
        <v>1.170751567490661</v>
      </c>
      <c r="BO7" s="2609">
        <v>1.218</v>
      </c>
      <c r="BP7" s="2609"/>
      <c r="BQ7" s="2609">
        <v>0</v>
      </c>
      <c r="BR7" s="2609">
        <v>1.4723042021668387</v>
      </c>
      <c r="BS7" s="2609">
        <v>1.4997486735151189</v>
      </c>
      <c r="BT7" s="2609">
        <v>1.1463921152743077</v>
      </c>
      <c r="BU7" s="855">
        <v>1.3890656660960248</v>
      </c>
      <c r="BW7" s="2032">
        <f>CE7/CD7</f>
        <v>0.5075047014598465</v>
      </c>
      <c r="BX7" s="1607">
        <v>1996</v>
      </c>
      <c r="BY7" s="1135">
        <v>148.29163800000001</v>
      </c>
      <c r="BZ7" s="1039">
        <v>69.66</v>
      </c>
      <c r="CA7" s="1135">
        <v>6.7320000000000002</v>
      </c>
      <c r="CB7" s="1039">
        <v>42.749286899313503</v>
      </c>
      <c r="CC7" s="1153">
        <f>CE7/CD7</f>
        <v>0.5075047014598465</v>
      </c>
      <c r="CD7" s="1016">
        <f>НАСТРОЙКА!IX6</f>
        <v>5300.6940000000004</v>
      </c>
      <c r="CE7" s="1016">
        <v>2690.1271259999999</v>
      </c>
      <c r="CF7" s="947">
        <f t="shared" ref="CF7:CF46" si="0">CE7/CE$6</f>
        <v>0.97199999999999998</v>
      </c>
      <c r="CG7" s="2093">
        <v>0.81899999999999995</v>
      </c>
      <c r="CI7" s="947">
        <v>1.0309999999999999</v>
      </c>
      <c r="CJ7" s="1153">
        <v>0.95099999999999996</v>
      </c>
      <c r="CK7" s="35">
        <v>1.006</v>
      </c>
      <c r="CL7" s="1135"/>
      <c r="CM7" s="947">
        <v>0</v>
      </c>
      <c r="CN7" s="32">
        <f t="array" ref="CN7:CN46">TRANSPOSE(P183:BC183)</f>
        <v>1.0129999999999999</v>
      </c>
      <c r="CO7" s="1153">
        <v>0.96399999999999986</v>
      </c>
      <c r="CQ7" s="2130"/>
    </row>
    <row r="8" spans="1:96" ht="18">
      <c r="A8" s="614" t="s">
        <v>2068</v>
      </c>
      <c r="E8" s="105">
        <v>3</v>
      </c>
      <c r="F8" s="517">
        <f t="shared" ref="F8:F10" si="1">F7</f>
        <v>43938</v>
      </c>
      <c r="G8" s="205" t="s">
        <v>2038</v>
      </c>
      <c r="H8" s="21" t="s">
        <v>901</v>
      </c>
      <c r="I8" s="546" t="s">
        <v>2040</v>
      </c>
      <c r="J8" s="546"/>
      <c r="K8" s="546"/>
      <c r="L8" s="546"/>
      <c r="M8" s="546"/>
      <c r="N8" s="546"/>
      <c r="O8" s="218">
        <f t="array" ref="O8:BC8">TRANSPOSE(ДЕМО!AC62:AC102)</f>
        <v>146.434</v>
      </c>
      <c r="P8" s="211">
        <v>69.66</v>
      </c>
      <c r="Q8" s="211">
        <v>68.078999999999994</v>
      </c>
      <c r="R8" s="211">
        <v>67.338999999999999</v>
      </c>
      <c r="S8" s="211">
        <v>72.174999999999997</v>
      </c>
      <c r="T8" s="211">
        <v>72.77</v>
      </c>
      <c r="U8" s="211">
        <v>71.545000000000002</v>
      </c>
      <c r="V8" s="211">
        <v>72.356999999999999</v>
      </c>
      <c r="W8" s="211">
        <v>72.272999999999996</v>
      </c>
      <c r="X8" s="211">
        <v>72.984999999999999</v>
      </c>
      <c r="Y8" s="211">
        <v>73.581000000000003</v>
      </c>
      <c r="Z8" s="211">
        <v>74.418999999999997</v>
      </c>
      <c r="AA8" s="211">
        <v>75.289000000000001</v>
      </c>
      <c r="AB8" s="211">
        <v>75.7</v>
      </c>
      <c r="AC8" s="211">
        <v>75.694000000000003</v>
      </c>
      <c r="AD8" s="1387">
        <v>75.477999999999994</v>
      </c>
      <c r="AE8" s="211">
        <v>75.778999999999996</v>
      </c>
      <c r="AF8" s="211">
        <v>75.575999999999993</v>
      </c>
      <c r="AG8" s="211">
        <v>75.528999999999996</v>
      </c>
      <c r="AH8" s="211">
        <v>75.427999999999997</v>
      </c>
      <c r="AI8" s="211">
        <v>76.587999999999994</v>
      </c>
      <c r="AJ8" s="211">
        <v>76.635999999999996</v>
      </c>
      <c r="AK8" s="211">
        <v>76.108999999999995</v>
      </c>
      <c r="AL8" s="211">
        <v>76.3</v>
      </c>
      <c r="AM8" s="211">
        <v>75.900000000000006</v>
      </c>
      <c r="AN8" s="211">
        <v>77.751000000000005</v>
      </c>
      <c r="AO8" s="211">
        <v>77.719200000000001</v>
      </c>
      <c r="AP8" s="211">
        <v>77.676799999999986</v>
      </c>
      <c r="AQ8" s="211">
        <v>77.613199999999992</v>
      </c>
      <c r="AR8" s="211">
        <v>77.549599999999984</v>
      </c>
      <c r="AS8" s="211">
        <v>77.464799999999983</v>
      </c>
      <c r="AT8" s="211">
        <v>77.38</v>
      </c>
      <c r="AU8" s="211">
        <v>77.295199999999994</v>
      </c>
      <c r="AV8" s="211">
        <v>77.210399999999993</v>
      </c>
      <c r="AW8" s="211">
        <v>77.114999999999995</v>
      </c>
      <c r="AX8" s="211">
        <v>77.019599999999983</v>
      </c>
      <c r="AY8" s="211">
        <v>76.924199999999985</v>
      </c>
      <c r="AZ8" s="211">
        <v>76.828799999999973</v>
      </c>
      <c r="BA8" s="211">
        <v>76.722799999999978</v>
      </c>
      <c r="BB8" s="211">
        <v>76.62739999999998</v>
      </c>
      <c r="BC8" s="211">
        <v>76.531999999999982</v>
      </c>
      <c r="BD8" s="44" t="str">
        <f>G8</f>
        <v>RC</v>
      </c>
      <c r="BG8" s="1607">
        <v>1997</v>
      </c>
      <c r="BH8" s="2611">
        <v>1.9680277801214476</v>
      </c>
      <c r="BI8" s="2612">
        <v>2.5165818894824628</v>
      </c>
      <c r="BJ8" s="2609">
        <v>1.5864611043969121</v>
      </c>
      <c r="BK8" s="2609">
        <v>1.6775696170093486</v>
      </c>
      <c r="BL8" s="2609"/>
      <c r="BM8" s="20"/>
      <c r="BN8" s="2609">
        <v>1.4027022303089887</v>
      </c>
      <c r="BO8" s="2609">
        <v>1.3519800000000002</v>
      </c>
      <c r="BP8" s="2609"/>
      <c r="BQ8" s="2609">
        <v>0</v>
      </c>
      <c r="BR8" s="2609">
        <v>1.718558670886825</v>
      </c>
      <c r="BS8" s="2609">
        <v>1.9526312539350381</v>
      </c>
      <c r="BT8" s="2609">
        <v>1.2513079717780982</v>
      </c>
      <c r="BU8" s="855">
        <v>1.5288420201321875</v>
      </c>
      <c r="BW8" s="2032">
        <f t="shared" ref="BW8:BW46" si="2">CE8/CD8</f>
        <v>0.51667647317297627</v>
      </c>
      <c r="BX8" s="1607">
        <v>1997</v>
      </c>
      <c r="BY8" s="1135">
        <v>148.02861300000001</v>
      </c>
      <c r="BZ8" s="1039">
        <v>68.078999999999994</v>
      </c>
      <c r="CA8" s="1135">
        <v>8.0579999999999998</v>
      </c>
      <c r="CB8" s="1039">
        <v>45.447241894736841</v>
      </c>
      <c r="CC8" s="1153">
        <f t="shared" ref="CC8:CC46" si="3">CE8/CD8</f>
        <v>0.51667647317297627</v>
      </c>
      <c r="CD8" s="1016">
        <f>НАСТРОЙКА!IX7</f>
        <v>5279.4912240000003</v>
      </c>
      <c r="CE8" s="1016">
        <v>2727.788905764</v>
      </c>
      <c r="CF8" s="947">
        <f t="shared" si="0"/>
        <v>0.98560800000000004</v>
      </c>
      <c r="CG8" s="2093">
        <v>0.77805000000000002</v>
      </c>
      <c r="CI8" s="947">
        <v>1.0062559999999998</v>
      </c>
      <c r="CJ8" s="1153">
        <v>0.99855000000000005</v>
      </c>
      <c r="CK8" s="35">
        <v>0.99795199999999995</v>
      </c>
      <c r="CL8" s="1135"/>
      <c r="CM8" s="947">
        <v>0</v>
      </c>
      <c r="CN8" s="32">
        <v>1.0170519999999998</v>
      </c>
      <c r="CO8" s="1153">
        <v>0.9774959999999997</v>
      </c>
      <c r="CQ8" s="2130"/>
    </row>
    <row r="9" spans="1:96" ht="18">
      <c r="A9" s="2546" t="s">
        <v>2065</v>
      </c>
      <c r="B9" s="2547"/>
      <c r="C9" s="1406"/>
      <c r="E9" s="105">
        <v>4</v>
      </c>
      <c r="F9" s="517">
        <f t="shared" si="1"/>
        <v>43938</v>
      </c>
      <c r="G9" s="205" t="s">
        <v>423</v>
      </c>
      <c r="H9" s="21" t="s">
        <v>46</v>
      </c>
      <c r="I9" s="546" t="s">
        <v>2247</v>
      </c>
      <c r="J9" s="546"/>
      <c r="K9" s="546"/>
      <c r="L9" s="546"/>
      <c r="M9" s="546"/>
      <c r="N9" s="546"/>
      <c r="O9" s="61">
        <f>ОТЧЁТ!U64</f>
        <v>0</v>
      </c>
      <c r="P9" s="212">
        <f>ОТЧЁТ!V64</f>
        <v>11.9298</v>
      </c>
      <c r="Q9" s="212">
        <f>ОТЧЁТ!W64</f>
        <v>0</v>
      </c>
      <c r="R9" s="212">
        <f>ОТЧЁТ!X64</f>
        <v>56.941099999999999</v>
      </c>
      <c r="S9" s="212">
        <f>ОТЧЁТ!Y64</f>
        <v>0</v>
      </c>
      <c r="T9" s="212">
        <f>ОТЧЁТ!Z64</f>
        <v>0</v>
      </c>
      <c r="U9" s="212">
        <f>ОТЧЁТ!AA64</f>
        <v>-40.022599999999997</v>
      </c>
      <c r="V9" s="212">
        <f>ОТЧЁТ!AB64</f>
        <v>-1.7070000000000001</v>
      </c>
      <c r="W9" s="212">
        <f>ОТЧЁТ!AC64</f>
        <v>-107.4624</v>
      </c>
      <c r="X9" s="212">
        <f>ОТЧЁТ!AD64</f>
        <v>-96.143500000000003</v>
      </c>
      <c r="Y9" s="212">
        <f>ОТЧЁТ!AE64</f>
        <v>-126.09529999999999</v>
      </c>
      <c r="Z9" s="212">
        <f>ОТЧЁТ!AF64</f>
        <v>-17.179400000000001</v>
      </c>
      <c r="AA9" s="212">
        <f>ОТЧЁТ!AG64</f>
        <v>378.2842</v>
      </c>
      <c r="AB9" s="212">
        <f>ОТЧЁТ!AH64</f>
        <v>-605.34550000000002</v>
      </c>
      <c r="AC9" s="212">
        <f>ОТЧЁТ!AI64</f>
        <v>-694.86199999999997</v>
      </c>
      <c r="AD9" s="212">
        <f>ОТЧЁТ!AJ64</f>
        <v>-418.459</v>
      </c>
      <c r="AE9" s="212">
        <f>ОТЧЁТ!AK64</f>
        <v>0</v>
      </c>
      <c r="AF9" s="212">
        <f>ОТЧЁТ!AL64</f>
        <v>0</v>
      </c>
      <c r="AG9" s="212">
        <f>ОТЧЁТ!AM64</f>
        <v>0</v>
      </c>
      <c r="AH9" s="212">
        <f>ОТЧЁТ!AN64</f>
        <v>-317.8</v>
      </c>
      <c r="AI9" s="212">
        <f>ОТЧЁТ!AO64</f>
        <v>-450.2</v>
      </c>
      <c r="AJ9" s="212">
        <f>ОТЧЁТ!AP64</f>
        <v>-67.02</v>
      </c>
      <c r="AK9" s="206">
        <v>0</v>
      </c>
      <c r="AL9" s="206">
        <v>0</v>
      </c>
      <c r="AM9" s="206">
        <v>0</v>
      </c>
      <c r="AN9" s="206">
        <v>0</v>
      </c>
      <c r="AO9" s="206">
        <v>0</v>
      </c>
      <c r="AP9" s="206">
        <v>0</v>
      </c>
      <c r="AQ9" s="206">
        <v>0</v>
      </c>
      <c r="AR9" s="206">
        <v>0</v>
      </c>
      <c r="AS9" s="206">
        <v>0</v>
      </c>
      <c r="AT9" s="206">
        <v>0</v>
      </c>
      <c r="AU9" s="206">
        <v>0</v>
      </c>
      <c r="AV9" s="206">
        <v>0</v>
      </c>
      <c r="AW9" s="206">
        <v>0</v>
      </c>
      <c r="AX9" s="206">
        <v>0</v>
      </c>
      <c r="AY9" s="206">
        <v>0</v>
      </c>
      <c r="AZ9" s="206">
        <v>0</v>
      </c>
      <c r="BA9" s="206">
        <v>0</v>
      </c>
      <c r="BB9" s="206">
        <v>0</v>
      </c>
      <c r="BC9" s="206">
        <v>0</v>
      </c>
      <c r="BD9" s="44" t="str">
        <f>G9</f>
        <v>STR</v>
      </c>
      <c r="BG9" s="1607">
        <v>1998</v>
      </c>
      <c r="BH9" s="2611">
        <v>2.2270348811115843</v>
      </c>
      <c r="BI9" s="2612">
        <v>2.6836249787031963</v>
      </c>
      <c r="BJ9" s="2609">
        <v>1.7669204828999698</v>
      </c>
      <c r="BK9" s="2609">
        <v>1.988574685283935</v>
      </c>
      <c r="BL9" s="2609"/>
      <c r="BM9" s="20"/>
      <c r="BN9" s="2609">
        <v>2.0776657762662092</v>
      </c>
      <c r="BO9" s="2609">
        <v>2.4930511200000005</v>
      </c>
      <c r="BP9" s="2609"/>
      <c r="BQ9" s="2609">
        <v>0</v>
      </c>
      <c r="BR9" s="2609">
        <v>2.1060897046594418</v>
      </c>
      <c r="BS9" s="2609">
        <v>2.0059060303554479</v>
      </c>
      <c r="BT9" s="2609">
        <v>1.7757982734232494</v>
      </c>
      <c r="BU9" s="855">
        <v>1.6012135978440234</v>
      </c>
      <c r="BW9" s="2032">
        <f t="shared" si="2"/>
        <v>0.49180137717267253</v>
      </c>
      <c r="BX9" s="1607">
        <v>1998</v>
      </c>
      <c r="BY9" s="1135">
        <v>147.802133</v>
      </c>
      <c r="BZ9" s="1039">
        <v>67.338999999999999</v>
      </c>
      <c r="CA9" s="1135">
        <v>8.9019999999999992</v>
      </c>
      <c r="CB9" s="1039">
        <v>44.298503885723704</v>
      </c>
      <c r="CC9" s="1153">
        <f t="shared" si="3"/>
        <v>0.49180137717267253</v>
      </c>
      <c r="CD9" s="1016">
        <f>НАСТРОЙКА!IX8</f>
        <v>5263.6527503280004</v>
      </c>
      <c r="CE9" s="1016">
        <v>2588.6716715700359</v>
      </c>
      <c r="CF9" s="947">
        <f t="shared" si="0"/>
        <v>0.9353419919999999</v>
      </c>
      <c r="CG9" s="2093">
        <v>0.68468399999999996</v>
      </c>
      <c r="CI9" s="947">
        <v>1.0163185599999998</v>
      </c>
      <c r="CJ9" s="1153">
        <v>0.96459929999999994</v>
      </c>
      <c r="CK9" s="35">
        <v>1.0029417599999999</v>
      </c>
      <c r="CL9" s="1135"/>
      <c r="CM9" s="947">
        <v>0</v>
      </c>
      <c r="CN9" s="32">
        <v>0.84008495199999988</v>
      </c>
      <c r="CO9" s="1153">
        <v>0.92568871200000002</v>
      </c>
      <c r="CQ9" s="2130"/>
    </row>
    <row r="10" spans="1:96" ht="18">
      <c r="A10" s="2546" t="s">
        <v>2065</v>
      </c>
      <c r="B10" s="2547"/>
      <c r="C10" s="1406"/>
      <c r="E10" s="1397">
        <v>5</v>
      </c>
      <c r="F10" s="517">
        <f t="shared" si="1"/>
        <v>43938</v>
      </c>
      <c r="G10" s="205" t="s">
        <v>453</v>
      </c>
      <c r="H10" s="21" t="s">
        <v>809</v>
      </c>
      <c r="I10" s="546" t="s">
        <v>2248</v>
      </c>
      <c r="J10" s="546"/>
      <c r="K10" s="546"/>
      <c r="L10" s="546"/>
      <c r="M10" s="546"/>
      <c r="N10" s="546"/>
      <c r="O10" s="216">
        <v>0.50338504971343634</v>
      </c>
      <c r="P10" s="209">
        <v>0.50747241555941625</v>
      </c>
      <c r="Q10" s="209">
        <v>0.50747241555941636</v>
      </c>
      <c r="R10" s="209">
        <v>0.50851040836118788</v>
      </c>
      <c r="S10" s="209">
        <v>0.50572313279423808</v>
      </c>
      <c r="T10" s="209">
        <v>0.50301229074374942</v>
      </c>
      <c r="U10" s="209">
        <v>0.50206474506356591</v>
      </c>
      <c r="V10" s="209">
        <v>0.50063389662984059</v>
      </c>
      <c r="W10" s="209">
        <v>0.50202618130466459</v>
      </c>
      <c r="X10" s="209">
        <v>0.5057148762579633</v>
      </c>
      <c r="Y10" s="209">
        <v>0.502441464842453</v>
      </c>
      <c r="Z10" s="280">
        <v>0.50563972907211574</v>
      </c>
      <c r="AA10" s="280">
        <v>0.50700285481915963</v>
      </c>
      <c r="AB10" s="280">
        <v>0.50606381263786271</v>
      </c>
      <c r="AC10" s="280">
        <v>0.50873085468625434</v>
      </c>
      <c r="AD10" s="538">
        <v>0.51107023156870091</v>
      </c>
      <c r="AE10" s="209">
        <v>0.51107023156870091</v>
      </c>
      <c r="AF10" s="209">
        <v>0.51221890324681785</v>
      </c>
      <c r="AG10" s="209">
        <v>0.51372211702384318</v>
      </c>
      <c r="AH10" s="209">
        <v>0.51401831827360078</v>
      </c>
      <c r="AI10" s="209">
        <v>0.51894214483617829</v>
      </c>
      <c r="AJ10" s="209">
        <v>0.52322032734257595</v>
      </c>
      <c r="AK10" s="209">
        <v>0.52740668544395819</v>
      </c>
      <c r="AL10" s="209">
        <v>0.52832881874065285</v>
      </c>
      <c r="AM10" s="209">
        <v>0.52932881874065285</v>
      </c>
      <c r="AN10" s="209">
        <v>0.53032881874065285</v>
      </c>
      <c r="AO10" s="209">
        <v>0.53132881874065285</v>
      </c>
      <c r="AP10" s="209">
        <v>0.53232881874065285</v>
      </c>
      <c r="AQ10" s="209">
        <v>0.53332881874065285</v>
      </c>
      <c r="AR10" s="209">
        <v>0.53432881874065286</v>
      </c>
      <c r="AS10" s="209">
        <v>0.53532881874065286</v>
      </c>
      <c r="AT10" s="221">
        <v>0.53632881874065286</v>
      </c>
      <c r="AU10" s="209">
        <v>0.53732881874065286</v>
      </c>
      <c r="AV10" s="209">
        <v>0.53832881874065286</v>
      </c>
      <c r="AW10" s="209">
        <v>0.53932881874065286</v>
      </c>
      <c r="AX10" s="209">
        <v>0.54032881874065286</v>
      </c>
      <c r="AY10" s="209">
        <v>0.54132881874065286</v>
      </c>
      <c r="AZ10" s="209">
        <v>0.54232881874065286</v>
      </c>
      <c r="BA10" s="209">
        <v>0.54332881874065286</v>
      </c>
      <c r="BB10" s="209">
        <v>0.54432881874065286</v>
      </c>
      <c r="BC10" s="209">
        <v>0.54532881874065287</v>
      </c>
      <c r="BD10" s="44" t="str">
        <f t="shared" ref="BD10:BD43" si="4">G10</f>
        <v>aS</v>
      </c>
      <c r="BG10" s="1607">
        <v>1999</v>
      </c>
      <c r="BH10" s="2611">
        <v>3.493098424873764</v>
      </c>
      <c r="BI10" s="2612">
        <v>2.701164323022275</v>
      </c>
      <c r="BJ10" s="2609">
        <v>3.0316772495419131</v>
      </c>
      <c r="BK10" s="2609">
        <v>3.4280333525379545</v>
      </c>
      <c r="BL10" s="2609"/>
      <c r="BM10" s="20"/>
      <c r="BN10" s="2609">
        <v>4.8943006185343938</v>
      </c>
      <c r="BO10" s="2609">
        <v>3.4030147788000007</v>
      </c>
      <c r="BP10" s="2609"/>
      <c r="BQ10" s="2609">
        <v>0</v>
      </c>
      <c r="BR10" s="2609">
        <v>3.7278422973468679</v>
      </c>
      <c r="BS10" s="2609">
        <v>2.3429902839701637</v>
      </c>
      <c r="BT10" s="2609">
        <v>4.3836468174313525</v>
      </c>
      <c r="BU10" s="855">
        <v>2.7614512511832352</v>
      </c>
      <c r="BW10" s="2032">
        <f t="shared" si="2"/>
        <v>0.51928728248372014</v>
      </c>
      <c r="BX10" s="1607">
        <v>1999</v>
      </c>
      <c r="BY10" s="1135">
        <v>147.53942599999999</v>
      </c>
      <c r="BZ10" s="1039">
        <v>72.174999999999997</v>
      </c>
      <c r="CA10" s="1135">
        <v>9.0939999999999994</v>
      </c>
      <c r="CB10" s="1039">
        <v>43.416737397690277</v>
      </c>
      <c r="CC10" s="1153">
        <f t="shared" si="3"/>
        <v>0.51928728248372014</v>
      </c>
      <c r="CD10" s="1016">
        <f>НАСТРОЙКА!IX9</f>
        <v>5274.1800558286568</v>
      </c>
      <c r="CE10" s="1016">
        <v>2738.8146285210983</v>
      </c>
      <c r="CF10" s="947">
        <f t="shared" si="0"/>
        <v>0.98959182753600006</v>
      </c>
      <c r="CG10" s="2093">
        <v>0.71891820000000006</v>
      </c>
      <c r="CI10" s="947">
        <v>1.0478244353599997</v>
      </c>
      <c r="CJ10" s="1153">
        <v>0.94144891679999998</v>
      </c>
      <c r="CK10" s="35">
        <v>0.98890057535999987</v>
      </c>
      <c r="CL10" s="1135"/>
      <c r="CM10" s="947">
        <v>0</v>
      </c>
      <c r="CN10" s="32">
        <v>0.69727051015999986</v>
      </c>
      <c r="CO10" s="1153">
        <v>0.98493278956800001</v>
      </c>
      <c r="CQ10" s="2130"/>
    </row>
    <row r="11" spans="1:96" ht="18">
      <c r="A11" s="2546" t="s">
        <v>2065</v>
      </c>
      <c r="B11" s="2547"/>
      <c r="C11" s="1406"/>
      <c r="E11" s="105">
        <v>6</v>
      </c>
      <c r="F11" s="517">
        <v>43939</v>
      </c>
      <c r="G11" s="205" t="s">
        <v>1533</v>
      </c>
      <c r="H11" s="21" t="s">
        <v>1535</v>
      </c>
      <c r="I11" s="546" t="s">
        <v>1534</v>
      </c>
      <c r="J11" s="546"/>
      <c r="K11" s="546"/>
      <c r="L11" s="546"/>
      <c r="M11" s="546"/>
      <c r="N11" s="546"/>
      <c r="O11" s="218">
        <f t="array" ref="O11:AL11">TRANSPOSE(ОТЧЁТ!GE319:GE342)</f>
        <v>17.100000000000001</v>
      </c>
      <c r="P11" s="206">
        <v>20.5</v>
      </c>
      <c r="Q11" s="206">
        <v>19.100000000000001</v>
      </c>
      <c r="R11" s="206">
        <v>12.7</v>
      </c>
      <c r="S11" s="206">
        <v>17.7</v>
      </c>
      <c r="T11" s="206">
        <v>28.3</v>
      </c>
      <c r="U11" s="206">
        <v>24.4</v>
      </c>
      <c r="V11" s="206">
        <v>25</v>
      </c>
      <c r="W11" s="206">
        <v>28.9</v>
      </c>
      <c r="X11" s="206">
        <v>38.299999999999997</v>
      </c>
      <c r="Y11" s="206">
        <v>54.4</v>
      </c>
      <c r="Z11" s="206">
        <v>65.400000000000006</v>
      </c>
      <c r="AA11" s="206">
        <v>72.7</v>
      </c>
      <c r="AB11" s="206">
        <v>97.7</v>
      </c>
      <c r="AC11" s="206">
        <v>61.9</v>
      </c>
      <c r="AD11" s="515">
        <v>79.599999999999994</v>
      </c>
      <c r="AE11" s="206">
        <v>111</v>
      </c>
      <c r="AF11" s="206">
        <v>111.4</v>
      </c>
      <c r="AG11" s="206">
        <v>108.8</v>
      </c>
      <c r="AH11" s="206">
        <v>98.9</v>
      </c>
      <c r="AI11" s="206">
        <v>52.4</v>
      </c>
      <c r="AJ11" s="206">
        <v>44</v>
      </c>
      <c r="AK11" s="206">
        <v>55</v>
      </c>
      <c r="AL11" s="206">
        <v>70</v>
      </c>
      <c r="AM11" s="206">
        <f t="array" ref="AM11:BC11">TRANSPOSE(ОТЧЁТ!GG343:GG359)</f>
        <v>72</v>
      </c>
      <c r="AN11" s="206">
        <v>40</v>
      </c>
      <c r="AO11" s="206">
        <v>50</v>
      </c>
      <c r="AP11" s="206">
        <v>58</v>
      </c>
      <c r="AQ11" s="206">
        <v>64.400000000000006</v>
      </c>
      <c r="AR11" s="206">
        <v>69.52000000000001</v>
      </c>
      <c r="AS11" s="206">
        <v>73.616000000000014</v>
      </c>
      <c r="AT11" s="206">
        <v>76.892800000000022</v>
      </c>
      <c r="AU11" s="206">
        <v>79.514240000000029</v>
      </c>
      <c r="AV11" s="206">
        <v>81.611392000000038</v>
      </c>
      <c r="AW11" s="206">
        <v>83.28911360000005</v>
      </c>
      <c r="AX11" s="206">
        <v>84.631290880000066</v>
      </c>
      <c r="AY11" s="206">
        <v>85.705032704000075</v>
      </c>
      <c r="AZ11" s="206">
        <v>86.564026163200083</v>
      </c>
      <c r="BA11" s="206">
        <v>87.251220930560095</v>
      </c>
      <c r="BB11" s="206">
        <v>87.800976744448107</v>
      </c>
      <c r="BC11" s="206">
        <v>88.240781395558514</v>
      </c>
      <c r="BD11" s="44" t="str">
        <f t="shared" si="4"/>
        <v>CNF</v>
      </c>
      <c r="BG11" s="1607">
        <v>2000</v>
      </c>
      <c r="BH11" s="2611">
        <v>5.1712627496070169</v>
      </c>
      <c r="BI11" s="2612">
        <v>3.2947518370474893</v>
      </c>
      <c r="BJ11" s="2609">
        <v>4.1892888398154868</v>
      </c>
      <c r="BK11" s="2609">
        <v>4.7203345530217637</v>
      </c>
      <c r="BL11" s="2609"/>
      <c r="BM11" s="20"/>
      <c r="BN11" s="2609">
        <v>5.1416113994451775</v>
      </c>
      <c r="BO11" s="2609">
        <v>4.0904237641176007</v>
      </c>
      <c r="BP11" s="2609"/>
      <c r="BQ11" s="2609">
        <v>0</v>
      </c>
      <c r="BR11" s="2609">
        <v>4.5918326760987345</v>
      </c>
      <c r="BS11" s="2609">
        <v>3.2406114791110681</v>
      </c>
      <c r="BT11" s="2609">
        <v>5.422670804728047</v>
      </c>
      <c r="BU11" s="855">
        <v>3.8813756116757316</v>
      </c>
      <c r="BW11" s="2032">
        <f t="shared" si="2"/>
        <v>0.56527391744994016</v>
      </c>
      <c r="BX11" s="1607">
        <v>2000</v>
      </c>
      <c r="BY11" s="1135">
        <v>146.890128</v>
      </c>
      <c r="BZ11" s="1039">
        <v>72.77</v>
      </c>
      <c r="CA11" s="1135">
        <v>7.7000000000000028</v>
      </c>
      <c r="CB11" s="1039">
        <v>46.046768151253758</v>
      </c>
      <c r="CC11" s="1153">
        <f t="shared" si="3"/>
        <v>0.56527391744994016</v>
      </c>
      <c r="CD11" s="1016">
        <f>НАСТРОЙКА!IX10</f>
        <v>5300.5509561077997</v>
      </c>
      <c r="CE11" s="1016">
        <v>2996.2632036020818</v>
      </c>
      <c r="CF11" s="947">
        <f t="shared" si="0"/>
        <v>1.0826134593243841</v>
      </c>
      <c r="CG11" s="2093">
        <v>0.84400996679999996</v>
      </c>
      <c r="CI11" s="947">
        <v>1.0687809240671997</v>
      </c>
      <c r="CJ11" s="1153">
        <v>0.99699440289119978</v>
      </c>
      <c r="CK11" s="35">
        <v>1.0047229845657599</v>
      </c>
      <c r="CL11" s="1135"/>
      <c r="CM11" s="947">
        <v>0</v>
      </c>
      <c r="CN11" s="32">
        <v>0.9231861554518398</v>
      </c>
      <c r="CO11" s="1153">
        <v>1.0834260685247998</v>
      </c>
      <c r="CQ11" s="2130"/>
    </row>
    <row r="12" spans="1:96" ht="18">
      <c r="A12" s="2546" t="s">
        <v>2065</v>
      </c>
      <c r="B12" s="2547"/>
      <c r="C12" s="1406"/>
      <c r="E12" s="105">
        <v>7</v>
      </c>
      <c r="F12" s="517">
        <v>43939</v>
      </c>
      <c r="G12" s="205" t="s">
        <v>1700</v>
      </c>
      <c r="H12" s="21" t="s">
        <v>1532</v>
      </c>
      <c r="I12" s="546" t="s">
        <v>1531</v>
      </c>
      <c r="J12" s="546"/>
      <c r="K12" s="546"/>
      <c r="L12" s="546"/>
      <c r="M12" s="546"/>
      <c r="N12" s="546"/>
      <c r="O12" s="218">
        <f t="array" ref="O12:BC12">TRANSPOSE(ОТЧЁТ!FB319:FB359)</f>
        <v>3.6</v>
      </c>
      <c r="P12" s="271">
        <v>4.5999999999999996</v>
      </c>
      <c r="Q12" s="271">
        <v>5.5</v>
      </c>
      <c r="R12" s="271">
        <v>9.6999999999999993</v>
      </c>
      <c r="S12" s="271">
        <v>24.62</v>
      </c>
      <c r="T12" s="271">
        <v>28.14</v>
      </c>
      <c r="U12" s="271">
        <v>29.17</v>
      </c>
      <c r="V12" s="271">
        <v>31.35</v>
      </c>
      <c r="W12" s="271">
        <v>30.69</v>
      </c>
      <c r="X12" s="271">
        <v>28.81</v>
      </c>
      <c r="Y12" s="271">
        <v>28.3</v>
      </c>
      <c r="Z12" s="271">
        <v>27.17</v>
      </c>
      <c r="AA12" s="271">
        <v>25.58</v>
      </c>
      <c r="AB12" s="271">
        <v>24.86</v>
      </c>
      <c r="AC12" s="271">
        <v>31.83</v>
      </c>
      <c r="AD12" s="2685">
        <v>30.36</v>
      </c>
      <c r="AE12" s="271">
        <v>29.39</v>
      </c>
      <c r="AF12" s="271">
        <v>31.08</v>
      </c>
      <c r="AG12" s="271">
        <v>31.85</v>
      </c>
      <c r="AH12" s="271">
        <v>32.729999999999997</v>
      </c>
      <c r="AI12" s="271">
        <v>56.26</v>
      </c>
      <c r="AJ12" s="271">
        <v>72.88</v>
      </c>
      <c r="AK12" s="271">
        <v>60.66</v>
      </c>
      <c r="AL12" s="271">
        <v>57.6</v>
      </c>
      <c r="AM12" s="271">
        <v>69.47</v>
      </c>
      <c r="AN12" s="271">
        <v>61.9</v>
      </c>
      <c r="AO12" s="271">
        <v>73.87</v>
      </c>
      <c r="AP12" s="271">
        <v>75.17</v>
      </c>
      <c r="AQ12" s="271">
        <v>76.47</v>
      </c>
      <c r="AR12" s="271">
        <v>77.77</v>
      </c>
      <c r="AS12" s="271">
        <v>79.069999999999993</v>
      </c>
      <c r="AT12" s="271">
        <v>80.36999999999999</v>
      </c>
      <c r="AU12" s="271">
        <v>81.669999999999987</v>
      </c>
      <c r="AV12" s="271">
        <v>82.969999999999985</v>
      </c>
      <c r="AW12" s="271">
        <v>84.269999999999982</v>
      </c>
      <c r="AX12" s="271">
        <v>85.569999999999979</v>
      </c>
      <c r="AY12" s="271">
        <v>86.869999999999976</v>
      </c>
      <c r="AZ12" s="271">
        <v>88.169999999999973</v>
      </c>
      <c r="BA12" s="271">
        <v>89.46999999999997</v>
      </c>
      <c r="BB12" s="271">
        <v>90.769999999999968</v>
      </c>
      <c r="BC12" s="271">
        <v>92.069999999999965</v>
      </c>
      <c r="BD12" s="44" t="str">
        <f t="shared" si="4"/>
        <v>WK</v>
      </c>
      <c r="BE12" t="s">
        <v>1406</v>
      </c>
      <c r="BG12" s="1607">
        <v>2001</v>
      </c>
      <c r="BH12" s="2611">
        <v>6.0707268468539191</v>
      </c>
      <c r="BI12" s="2612">
        <v>3.7846782806927575</v>
      </c>
      <c r="BJ12" s="2609">
        <v>5.0659822500447591</v>
      </c>
      <c r="BK12" s="2609">
        <v>5.4982302967459242</v>
      </c>
      <c r="BL12" s="2609"/>
      <c r="BM12" s="20"/>
      <c r="BN12" s="2609">
        <v>5.3433855590626722</v>
      </c>
      <c r="BO12" s="2609">
        <v>4.8512425842434741</v>
      </c>
      <c r="BP12" s="2609"/>
      <c r="BQ12" s="2609">
        <v>0</v>
      </c>
      <c r="BR12" s="2609">
        <v>5.5611795404054956</v>
      </c>
      <c r="BS12" s="2609">
        <v>3.97066356566005</v>
      </c>
      <c r="BT12" s="2609">
        <v>5.4161394271000169</v>
      </c>
      <c r="BU12" s="855">
        <v>4.9244555432757879</v>
      </c>
      <c r="BW12" s="2032">
        <f t="shared" si="2"/>
        <v>0.58768319068878805</v>
      </c>
      <c r="BX12" s="1607">
        <v>2001</v>
      </c>
      <c r="BY12" s="1135">
        <v>146.30361099999999</v>
      </c>
      <c r="BZ12" s="1039">
        <v>71.545000000000002</v>
      </c>
      <c r="CA12" s="1135">
        <v>6.421999999999997</v>
      </c>
      <c r="CB12" s="1039">
        <v>48.263748607689806</v>
      </c>
      <c r="CC12" s="1153">
        <f t="shared" si="3"/>
        <v>0.58768319068878805</v>
      </c>
      <c r="CD12" s="1016">
        <f>НАСТРОЙКА!IX11</f>
        <v>5348.2559147127704</v>
      </c>
      <c r="CE12" s="1016">
        <v>3143.0801005785834</v>
      </c>
      <c r="CF12" s="947">
        <f t="shared" si="0"/>
        <v>1.1356615188312789</v>
      </c>
      <c r="CG12" s="2093">
        <v>0.92841096348000007</v>
      </c>
      <c r="CI12" s="947">
        <v>1.0602306766746621</v>
      </c>
      <c r="CJ12" s="1153">
        <v>1.0787479439282783</v>
      </c>
      <c r="CK12" s="35">
        <v>1.0238127212725092</v>
      </c>
      <c r="CL12" s="1135"/>
      <c r="CM12" s="947">
        <v>0</v>
      </c>
      <c r="CN12" s="32">
        <v>1.0958219665213338</v>
      </c>
      <c r="CO12" s="1153">
        <v>1.1386807980195648</v>
      </c>
      <c r="CQ12" s="2130"/>
    </row>
    <row r="13" spans="1:96" ht="18">
      <c r="A13" s="2546" t="s">
        <v>2065</v>
      </c>
      <c r="B13" s="2547"/>
      <c r="C13" s="1406"/>
      <c r="E13" s="105">
        <v>8</v>
      </c>
      <c r="F13" s="517">
        <v>43939</v>
      </c>
      <c r="G13" s="205" t="s">
        <v>1793</v>
      </c>
      <c r="H13" s="21" t="s">
        <v>809</v>
      </c>
      <c r="I13" s="546" t="s">
        <v>2201</v>
      </c>
      <c r="J13" s="546"/>
      <c r="K13" s="546"/>
      <c r="L13" s="546"/>
      <c r="M13" s="546"/>
      <c r="N13" s="546"/>
      <c r="O13" s="216">
        <f t="array" ref="O13:BC13">TRANSPOSE(ОТЧЁТ!EG227:EG267)</f>
        <v>0.13365369276604216</v>
      </c>
      <c r="P13" s="272">
        <v>0.13929134853086492</v>
      </c>
      <c r="Q13" s="272">
        <v>0.1379176665926907</v>
      </c>
      <c r="R13" s="272">
        <v>0.12004214183937038</v>
      </c>
      <c r="S13" s="272">
        <v>9.4172946811604347E-2</v>
      </c>
      <c r="T13" s="272">
        <v>0.11397164678113725</v>
      </c>
      <c r="U13" s="272">
        <v>0.12896505693918964</v>
      </c>
      <c r="V13" s="272">
        <v>0.14156509123784608</v>
      </c>
      <c r="W13" s="272">
        <v>0.15432700002044</v>
      </c>
      <c r="X13" s="272">
        <v>0.17618999169000235</v>
      </c>
      <c r="Y13" s="272">
        <v>0.19435906368074052</v>
      </c>
      <c r="Z13" s="272">
        <v>0.2164899396186761</v>
      </c>
      <c r="AA13" s="272">
        <v>0.25111241157975112</v>
      </c>
      <c r="AB13" s="272">
        <v>0.27454956999386115</v>
      </c>
      <c r="AC13" s="272">
        <v>0.20635691222000796</v>
      </c>
      <c r="AD13" s="2622">
        <v>0.24723523387882859</v>
      </c>
      <c r="AE13" s="272">
        <v>0.28516201951699982</v>
      </c>
      <c r="AF13" s="272">
        <v>0.30108059231005663</v>
      </c>
      <c r="AG13" s="272">
        <v>0.30520902354643348</v>
      </c>
      <c r="AH13" s="272">
        <v>0.2806832984400236</v>
      </c>
      <c r="AI13" s="272">
        <v>0.21300080094384774</v>
      </c>
      <c r="AJ13" s="272">
        <v>0.20289799615599724</v>
      </c>
      <c r="AK13" s="272">
        <v>0.23239243657282024</v>
      </c>
      <c r="AL13" s="272">
        <v>0.23284588522954772</v>
      </c>
      <c r="AM13" s="272">
        <v>0.23384588522954772</v>
      </c>
      <c r="AN13" s="272">
        <v>0.23484588522954772</v>
      </c>
      <c r="AO13" s="272">
        <v>0.23584588522954772</v>
      </c>
      <c r="AP13" s="272">
        <v>0.23684588522954772</v>
      </c>
      <c r="AQ13" s="272">
        <v>0.23784588522954772</v>
      </c>
      <c r="AR13" s="272">
        <v>0.23884588522954772</v>
      </c>
      <c r="AS13" s="272">
        <v>0.23984588522954772</v>
      </c>
      <c r="AT13" s="272">
        <v>0.24084588522954772</v>
      </c>
      <c r="AU13" s="272">
        <v>0.24184588522954772</v>
      </c>
      <c r="AV13" s="272">
        <v>0.24284588522954773</v>
      </c>
      <c r="AW13" s="272">
        <v>0.24384588522954773</v>
      </c>
      <c r="AX13" s="272">
        <v>0.24484588522954773</v>
      </c>
      <c r="AY13" s="272">
        <v>0.24584588522954773</v>
      </c>
      <c r="AZ13" s="272">
        <v>0.24684588522954773</v>
      </c>
      <c r="BA13" s="272">
        <v>0.24784588522954773</v>
      </c>
      <c r="BB13" s="272">
        <v>0.24884588522954773</v>
      </c>
      <c r="BC13" s="272">
        <v>0.24984588522954773</v>
      </c>
      <c r="BD13" s="44" t="str">
        <f t="shared" si="4"/>
        <v>qIM</v>
      </c>
      <c r="BG13" s="1607">
        <v>2002</v>
      </c>
      <c r="BH13" s="2611">
        <v>6.9167509862711283</v>
      </c>
      <c r="BI13" s="2612">
        <v>4.5228031897927927</v>
      </c>
      <c r="BJ13" s="2609">
        <v>5.7822315297952604</v>
      </c>
      <c r="BK13" s="2609">
        <v>6.3527295286418424</v>
      </c>
      <c r="BL13" s="2609"/>
      <c r="BM13" s="20"/>
      <c r="BN13" s="2609">
        <v>5.6965406483895409</v>
      </c>
      <c r="BO13" s="2609">
        <v>5.5837802144642392</v>
      </c>
      <c r="BP13" s="2609"/>
      <c r="BQ13" s="2609">
        <v>0</v>
      </c>
      <c r="BR13" s="2609">
        <v>6.4682386989177063</v>
      </c>
      <c r="BS13" s="2609">
        <v>5.2843734476785453</v>
      </c>
      <c r="BT13" s="2609">
        <v>5.5899915734957792</v>
      </c>
      <c r="BU13" s="855">
        <v>5.5076003782834864</v>
      </c>
      <c r="BW13" s="2032">
        <f t="shared" si="2"/>
        <v>0.60746658522682651</v>
      </c>
      <c r="BX13" s="1607">
        <v>2002</v>
      </c>
      <c r="BY13" s="1135">
        <v>145.166731</v>
      </c>
      <c r="BZ13" s="1039">
        <v>72.356999999999999</v>
      </c>
      <c r="CA13" s="1135">
        <v>5.6979999999999933</v>
      </c>
      <c r="CB13" s="1039">
        <v>49.226295399031507</v>
      </c>
      <c r="CC13" s="1153">
        <f t="shared" si="3"/>
        <v>0.60746658522682651</v>
      </c>
      <c r="CD13" s="1016">
        <f>НАСТРОЙКА!IX12</f>
        <v>5401.7384738598985</v>
      </c>
      <c r="CE13" s="1016">
        <v>3281.3756250040415</v>
      </c>
      <c r="CF13" s="947">
        <f t="shared" si="0"/>
        <v>1.1856306256598552</v>
      </c>
      <c r="CG13" s="2093">
        <v>0.95440647045743998</v>
      </c>
      <c r="CI13" s="947">
        <v>1.0877966742682033</v>
      </c>
      <c r="CJ13" s="1153">
        <v>1.1618115356107557</v>
      </c>
      <c r="CK13" s="35">
        <v>1.0320032230426892</v>
      </c>
      <c r="CL13" s="1135"/>
      <c r="CM13" s="947">
        <v>0</v>
      </c>
      <c r="CN13" s="32">
        <v>1.2558119736334485</v>
      </c>
      <c r="CO13" s="1153">
        <v>1.1921987955264843</v>
      </c>
      <c r="CQ13" s="2130"/>
    </row>
    <row r="14" spans="1:96" ht="18">
      <c r="A14" s="2546" t="s">
        <v>2065</v>
      </c>
      <c r="B14" s="2547"/>
      <c r="C14" s="1406"/>
      <c r="E14" s="105">
        <v>9</v>
      </c>
      <c r="F14" s="517">
        <v>43939</v>
      </c>
      <c r="G14" s="205" t="s">
        <v>590</v>
      </c>
      <c r="H14" s="21" t="s">
        <v>809</v>
      </c>
      <c r="I14" s="546" t="s">
        <v>2249</v>
      </c>
      <c r="J14" s="546"/>
      <c r="K14" s="546"/>
      <c r="L14" s="546"/>
      <c r="M14" s="546"/>
      <c r="N14" s="546"/>
      <c r="O14" s="61">
        <v>1</v>
      </c>
      <c r="P14" s="212">
        <f>O14*P15</f>
        <v>1.218</v>
      </c>
      <c r="Q14" s="212">
        <f>P14*Q15</f>
        <v>1.3519800000000002</v>
      </c>
      <c r="R14" s="212">
        <f t="shared" ref="R14:BC14" si="5">Q14*R15</f>
        <v>2.4930511200000005</v>
      </c>
      <c r="S14" s="212">
        <f t="shared" si="5"/>
        <v>3.4030147788000007</v>
      </c>
      <c r="T14" s="212">
        <f t="shared" si="5"/>
        <v>4.0904237641176007</v>
      </c>
      <c r="U14" s="212">
        <f t="shared" si="5"/>
        <v>4.8512425842434741</v>
      </c>
      <c r="V14" s="212">
        <f t="shared" si="5"/>
        <v>5.5837802144642392</v>
      </c>
      <c r="W14" s="212">
        <f t="shared" si="5"/>
        <v>6.2538338401999489</v>
      </c>
      <c r="X14" s="212">
        <f t="shared" si="5"/>
        <v>6.9855323995033425</v>
      </c>
      <c r="Y14" s="212">
        <f t="shared" si="5"/>
        <v>7.7469554310492068</v>
      </c>
      <c r="Z14" s="212">
        <f t="shared" si="5"/>
        <v>8.4441814198436358</v>
      </c>
      <c r="AA14" s="212">
        <f t="shared" si="5"/>
        <v>9.4465057543790749</v>
      </c>
      <c r="AB14" s="212">
        <f t="shared" si="5"/>
        <v>10.701001718560617</v>
      </c>
      <c r="AC14" s="212">
        <f t="shared" si="5"/>
        <v>11.642689869793951</v>
      </c>
      <c r="AD14" s="212">
        <f t="shared" si="5"/>
        <v>12.664918040361862</v>
      </c>
      <c r="AE14" s="212">
        <f t="shared" si="5"/>
        <v>13.437478040823935</v>
      </c>
      <c r="AF14" s="212">
        <f t="shared" si="5"/>
        <v>14.321664095910151</v>
      </c>
      <c r="AG14" s="212">
        <f t="shared" si="5"/>
        <v>15.245411430096356</v>
      </c>
      <c r="AH14" s="212">
        <f t="shared" si="5"/>
        <v>17.318787384589459</v>
      </c>
      <c r="AI14" s="212">
        <f t="shared" si="5"/>
        <v>19.552910957201501</v>
      </c>
      <c r="AJ14" s="212">
        <f t="shared" si="5"/>
        <v>20.606812857794662</v>
      </c>
      <c r="AK14" s="212">
        <f t="shared" si="5"/>
        <v>21.124043860525305</v>
      </c>
      <c r="AL14" s="212">
        <f t="shared" si="5"/>
        <v>22.02392812898368</v>
      </c>
      <c r="AM14" s="212">
        <f t="shared" si="5"/>
        <v>22.693455544104783</v>
      </c>
      <c r="AN14" s="212">
        <f t="shared" si="5"/>
        <v>23.807704211320324</v>
      </c>
      <c r="AO14" s="212">
        <f t="shared" si="5"/>
        <v>24.998089421886341</v>
      </c>
      <c r="AP14" s="212">
        <f t="shared" si="5"/>
        <v>26.247993892980659</v>
      </c>
      <c r="AQ14" s="212">
        <f t="shared" si="5"/>
        <v>27.560393587629694</v>
      </c>
      <c r="AR14" s="212">
        <f t="shared" si="5"/>
        <v>28.938413267011178</v>
      </c>
      <c r="AS14" s="212">
        <f t="shared" si="5"/>
        <v>30.385333930361739</v>
      </c>
      <c r="AT14" s="212">
        <f t="shared" si="5"/>
        <v>31.904600626879827</v>
      </c>
      <c r="AU14" s="212">
        <f t="shared" si="5"/>
        <v>33.499830658223821</v>
      </c>
      <c r="AV14" s="212">
        <f t="shared" si="5"/>
        <v>35.174822191135014</v>
      </c>
      <c r="AW14" s="212">
        <f t="shared" si="5"/>
        <v>36.933563300691766</v>
      </c>
      <c r="AX14" s="212">
        <f t="shared" si="5"/>
        <v>38.780241465726355</v>
      </c>
      <c r="AY14" s="212">
        <f t="shared" si="5"/>
        <v>40.719253539012676</v>
      </c>
      <c r="AZ14" s="212">
        <f t="shared" si="5"/>
        <v>42.755216215963316</v>
      </c>
      <c r="BA14" s="212">
        <f t="shared" si="5"/>
        <v>44.892977026761486</v>
      </c>
      <c r="BB14" s="212">
        <f t="shared" si="5"/>
        <v>47.137625878099563</v>
      </c>
      <c r="BC14" s="212">
        <f t="shared" si="5"/>
        <v>49.494507172004546</v>
      </c>
      <c r="BD14" s="44" t="str">
        <f t="shared" si="4"/>
        <v>IPC</v>
      </c>
      <c r="BE14" t="s">
        <v>1406</v>
      </c>
      <c r="BG14" s="1607">
        <v>2003</v>
      </c>
      <c r="BH14" s="2611">
        <v>7.6273689193439225</v>
      </c>
      <c r="BI14" s="2612">
        <v>5.542638112686384</v>
      </c>
      <c r="BJ14" s="2609">
        <v>6.5915237407621836</v>
      </c>
      <c r="BK14" s="2609">
        <v>7.2278602743829534</v>
      </c>
      <c r="BL14" s="2609"/>
      <c r="BM14" s="20"/>
      <c r="BN14" s="2609">
        <v>5.788123461724906</v>
      </c>
      <c r="BO14" s="2609">
        <v>6.2538338401999489</v>
      </c>
      <c r="BP14" s="2609"/>
      <c r="BQ14" s="2609">
        <v>0</v>
      </c>
      <c r="BR14" s="2609">
        <v>7.2584827706254744</v>
      </c>
      <c r="BS14" s="2609">
        <v>6.1715081316356093</v>
      </c>
      <c r="BT14" s="2609">
        <v>6.1009492646947514</v>
      </c>
      <c r="BU14" s="855">
        <v>6.3255097831872691</v>
      </c>
      <c r="BW14" s="2032">
        <f t="shared" si="2"/>
        <v>0.64524584965850484</v>
      </c>
      <c r="BX14" s="1607">
        <v>2003</v>
      </c>
      <c r="BY14" s="1135">
        <v>144.96365</v>
      </c>
      <c r="BZ14" s="1039">
        <v>72.272999999999996</v>
      </c>
      <c r="CA14" s="1135">
        <v>5.9339999999999975</v>
      </c>
      <c r="CB14" s="1039">
        <v>53.222993601114709</v>
      </c>
      <c r="CC14" s="1153">
        <f t="shared" si="3"/>
        <v>0.64524584965850484</v>
      </c>
      <c r="CD14" s="1016">
        <f>НАСТРОЙКА!IX13</f>
        <v>5471.961074020076</v>
      </c>
      <c r="CE14" s="1016">
        <v>3530.7601725043487</v>
      </c>
      <c r="CF14" s="947">
        <f t="shared" si="0"/>
        <v>1.2757385532100043</v>
      </c>
      <c r="CG14" s="2093">
        <v>1.0737072792646201</v>
      </c>
      <c r="CI14" s="947">
        <v>1.1139037944506402</v>
      </c>
      <c r="CJ14" s="1153">
        <v>1.2512710238527838</v>
      </c>
      <c r="CK14" s="35">
        <v>1.0330352262657319</v>
      </c>
      <c r="CL14" s="1135"/>
      <c r="CM14" s="947">
        <v>0</v>
      </c>
      <c r="CN14" s="32">
        <v>1.4730674450720351</v>
      </c>
      <c r="CO14" s="1153">
        <v>1.2792293075999179</v>
      </c>
      <c r="CQ14" s="2130"/>
    </row>
    <row r="15" spans="1:96" ht="18">
      <c r="A15" s="2546" t="s">
        <v>2065</v>
      </c>
      <c r="B15" s="2547"/>
      <c r="C15" s="1406"/>
      <c r="E15" s="105">
        <v>10</v>
      </c>
      <c r="F15" s="517">
        <v>43939</v>
      </c>
      <c r="G15" s="205" t="s">
        <v>913</v>
      </c>
      <c r="H15" s="21" t="s">
        <v>809</v>
      </c>
      <c r="I15" s="546" t="s">
        <v>2250</v>
      </c>
      <c r="J15" s="546"/>
      <c r="K15" s="546"/>
      <c r="L15" s="546"/>
      <c r="M15" s="546"/>
      <c r="N15" s="546"/>
      <c r="O15" s="61">
        <f t="array" ref="O15:AL15">TRANSPOSE(НАСТРОЙКА!CD136:CD159)</f>
        <v>2.3130000000000002</v>
      </c>
      <c r="P15" s="55">
        <v>1.218</v>
      </c>
      <c r="Q15" s="55">
        <v>1.1100000000000001</v>
      </c>
      <c r="R15" s="55">
        <v>1.8440000000000001</v>
      </c>
      <c r="S15" s="55">
        <v>1.365</v>
      </c>
      <c r="T15" s="55">
        <v>1.202</v>
      </c>
      <c r="U15" s="55">
        <v>1.1859999999999999</v>
      </c>
      <c r="V15" s="55">
        <v>1.151</v>
      </c>
      <c r="W15" s="55">
        <v>1.1200000000000001</v>
      </c>
      <c r="X15" s="55">
        <v>1.117</v>
      </c>
      <c r="Y15" s="55">
        <v>1.109</v>
      </c>
      <c r="Z15" s="55">
        <v>1.0900000000000001</v>
      </c>
      <c r="AA15" s="55">
        <v>1.1187</v>
      </c>
      <c r="AB15" s="55">
        <v>1.1328</v>
      </c>
      <c r="AC15" s="219">
        <v>1.0880000000000001</v>
      </c>
      <c r="AD15" s="538">
        <v>1.0878000000000001</v>
      </c>
      <c r="AE15" s="219">
        <v>1.0609999999999999</v>
      </c>
      <c r="AF15" s="219">
        <v>1.0658000000000001</v>
      </c>
      <c r="AG15" s="219">
        <v>1.0645</v>
      </c>
      <c r="AH15" s="219">
        <v>1.1359999999999999</v>
      </c>
      <c r="AI15" s="219">
        <v>1.129</v>
      </c>
      <c r="AJ15" s="219">
        <v>1.0539000000000001</v>
      </c>
      <c r="AK15" s="219">
        <v>1.0250999999999999</v>
      </c>
      <c r="AL15" s="219">
        <v>1.0426</v>
      </c>
      <c r="AM15" s="219">
        <f t="array" ref="AM15:BC15">TRANSPOSE(НАСТРОЙКА!CE160:CE176)</f>
        <v>1.0304</v>
      </c>
      <c r="AN15" s="219">
        <v>1.0490999999999999</v>
      </c>
      <c r="AO15" s="219">
        <v>1.05</v>
      </c>
      <c r="AP15" s="219">
        <v>1.05</v>
      </c>
      <c r="AQ15" s="219">
        <v>1.05</v>
      </c>
      <c r="AR15" s="219">
        <v>1.05</v>
      </c>
      <c r="AS15" s="219">
        <v>1.05</v>
      </c>
      <c r="AT15" s="219">
        <v>1.05</v>
      </c>
      <c r="AU15" s="219">
        <v>1.05</v>
      </c>
      <c r="AV15" s="219">
        <v>1.05</v>
      </c>
      <c r="AW15" s="219">
        <v>1.05</v>
      </c>
      <c r="AX15" s="219">
        <v>1.05</v>
      </c>
      <c r="AY15" s="219">
        <v>1.05</v>
      </c>
      <c r="AZ15" s="219">
        <v>1.05</v>
      </c>
      <c r="BA15" s="219">
        <v>1.05</v>
      </c>
      <c r="BB15" s="219">
        <v>1.05</v>
      </c>
      <c r="BC15" s="219">
        <v>1.05</v>
      </c>
      <c r="BD15" s="44" t="str">
        <f t="shared" si="4"/>
        <v>ip</v>
      </c>
      <c r="BG15" s="1607">
        <v>2004</v>
      </c>
      <c r="BH15" s="2611">
        <v>8.7904133177964692</v>
      </c>
      <c r="BI15" s="2612">
        <v>6.2728522161048463</v>
      </c>
      <c r="BJ15" s="2609">
        <v>7.7337827274937645</v>
      </c>
      <c r="BK15" s="2609">
        <v>8.6918699640274202</v>
      </c>
      <c r="BL15" s="2609"/>
      <c r="BM15" s="20"/>
      <c r="BN15" s="2609">
        <v>5.6171649663435321</v>
      </c>
      <c r="BO15" s="2609">
        <v>6.9855323995033425</v>
      </c>
      <c r="BP15" s="2609"/>
      <c r="BQ15" s="2609">
        <v>0</v>
      </c>
      <c r="BR15" s="2609">
        <v>8.3282279936178867</v>
      </c>
      <c r="BS15" s="2609">
        <v>6.7016025302099056</v>
      </c>
      <c r="BT15" s="2609">
        <v>6.8314599646456458</v>
      </c>
      <c r="BU15" s="855">
        <v>7.3003121869901326</v>
      </c>
      <c r="BW15" s="2032">
        <f t="shared" si="2"/>
        <v>0.6858912575110091</v>
      </c>
      <c r="BX15" s="1607">
        <v>2004</v>
      </c>
      <c r="BY15" s="1135">
        <v>144.168205</v>
      </c>
      <c r="BZ15" s="1039">
        <v>72.984999999999999</v>
      </c>
      <c r="CA15" s="1135">
        <v>5.6659999999999968</v>
      </c>
      <c r="CB15" s="1039">
        <v>56.644052738523989</v>
      </c>
      <c r="CC15" s="1153">
        <f t="shared" si="3"/>
        <v>0.6858912575110091</v>
      </c>
      <c r="CD15" s="1016">
        <f>НАСТРОЙКА!IX14</f>
        <v>5559.5124512043967</v>
      </c>
      <c r="CE15" s="1016">
        <v>3813.2209863046965</v>
      </c>
      <c r="CF15" s="947">
        <f t="shared" si="0"/>
        <v>1.3777976374668046</v>
      </c>
      <c r="CG15" s="2093">
        <v>1.220805176523873</v>
      </c>
      <c r="CI15" s="947">
        <v>1.1372957741341037</v>
      </c>
      <c r="CJ15" s="1153">
        <v>1.4076799018343817</v>
      </c>
      <c r="CK15" s="35">
        <v>0.91836831615023562</v>
      </c>
      <c r="CL15" s="1135"/>
      <c r="CM15" s="947">
        <v>0</v>
      </c>
      <c r="CN15" s="32">
        <v>1.8162921597738195</v>
      </c>
      <c r="CO15" s="1153">
        <v>1.3713338177471124</v>
      </c>
      <c r="CQ15" s="2130"/>
    </row>
    <row r="16" spans="1:96" ht="18">
      <c r="A16" s="2546" t="s">
        <v>2065</v>
      </c>
      <c r="E16" s="105">
        <v>11</v>
      </c>
      <c r="F16" s="517"/>
      <c r="G16" s="205"/>
      <c r="H16" s="21"/>
      <c r="I16" s="546"/>
      <c r="J16" s="546"/>
      <c r="K16" s="546"/>
      <c r="L16" s="546"/>
      <c r="M16" s="546"/>
      <c r="N16" s="546"/>
      <c r="O16" s="207"/>
      <c r="P16" s="212"/>
      <c r="Q16" s="212"/>
      <c r="R16" s="212"/>
      <c r="S16" s="212"/>
      <c r="T16" s="212"/>
      <c r="U16" s="212"/>
      <c r="V16" s="212"/>
      <c r="W16" s="212"/>
      <c r="X16" s="212"/>
      <c r="Y16" s="212"/>
      <c r="Z16" s="212"/>
      <c r="AA16" s="212"/>
      <c r="AB16" s="212"/>
      <c r="AC16" s="212"/>
      <c r="AD16" s="2540"/>
      <c r="AE16" s="212"/>
      <c r="AF16" s="212"/>
      <c r="AG16" s="212"/>
      <c r="AH16" s="212"/>
      <c r="AI16" s="212"/>
      <c r="AJ16" s="212"/>
      <c r="AK16" s="212"/>
      <c r="AL16" s="212"/>
      <c r="AM16" s="212"/>
      <c r="AN16" s="212"/>
      <c r="AO16" s="212"/>
      <c r="AP16" s="212"/>
      <c r="AQ16" s="212"/>
      <c r="AR16" s="212"/>
      <c r="AS16" s="212"/>
      <c r="AT16" s="212"/>
      <c r="AU16" s="212"/>
      <c r="AV16" s="212"/>
      <c r="AW16" s="212"/>
      <c r="AX16" s="212"/>
      <c r="AY16" s="212"/>
      <c r="AZ16" s="212"/>
      <c r="BA16" s="212"/>
      <c r="BB16" s="212"/>
      <c r="BC16" s="212"/>
      <c r="BD16" s="44">
        <f t="shared" si="4"/>
        <v>0</v>
      </c>
      <c r="BG16" s="1607">
        <v>2005</v>
      </c>
      <c r="BH16" s="2611">
        <v>10.054085870175701</v>
      </c>
      <c r="BI16" s="2612">
        <v>7.3244397581202456</v>
      </c>
      <c r="BJ16" s="2609">
        <v>9.1849440425976727</v>
      </c>
      <c r="BK16" s="2609">
        <v>10.367609749128871</v>
      </c>
      <c r="BL16" s="2609"/>
      <c r="BM16" s="20"/>
      <c r="BN16" s="2609">
        <v>5.9336563381172764</v>
      </c>
      <c r="BO16" s="2609">
        <v>7.7469554310492068</v>
      </c>
      <c r="BP16" s="2609"/>
      <c r="BQ16" s="2609">
        <v>0</v>
      </c>
      <c r="BR16" s="2609">
        <v>9.3704714639566831</v>
      </c>
      <c r="BS16" s="2609">
        <v>7.6444391008680617</v>
      </c>
      <c r="BT16" s="2609">
        <v>8.0203116455157293</v>
      </c>
      <c r="BU16" s="855">
        <v>8.7907908216125801</v>
      </c>
      <c r="BW16" s="2032">
        <f t="shared" si="2"/>
        <v>0.71146914542604167</v>
      </c>
      <c r="BX16" s="1607">
        <v>2005</v>
      </c>
      <c r="BY16" s="1135">
        <v>143.47421900000001</v>
      </c>
      <c r="BZ16" s="1039">
        <v>73.581000000000003</v>
      </c>
      <c r="CA16" s="1135">
        <v>5.2420000000000044</v>
      </c>
      <c r="CB16" s="1039">
        <v>58.979127328817569</v>
      </c>
      <c r="CC16" s="1153">
        <f t="shared" si="3"/>
        <v>0.71146914542604167</v>
      </c>
      <c r="CD16" s="1016">
        <f>НАСТРОЙКА!IX15</f>
        <v>5665.1431877772811</v>
      </c>
      <c r="CE16" s="1016">
        <v>4030.5745825240638</v>
      </c>
      <c r="CF16" s="947">
        <f t="shared" si="0"/>
        <v>1.4563321028024123</v>
      </c>
      <c r="CG16" s="2093">
        <v>1.3453273045293082</v>
      </c>
      <c r="CI16" s="947">
        <v>1.1532179149719812</v>
      </c>
      <c r="CJ16" s="1153">
        <v>1.5794168498581762</v>
      </c>
      <c r="CK16" s="35">
        <v>0.7503069142947425</v>
      </c>
      <c r="CL16" s="1135"/>
      <c r="CM16" s="947">
        <v>0</v>
      </c>
      <c r="CN16" s="32">
        <v>2.1177966582962737</v>
      </c>
      <c r="CO16" s="1153">
        <v>1.4590991820829271</v>
      </c>
      <c r="CQ16" s="2130"/>
    </row>
    <row r="17" spans="1:95" ht="18">
      <c r="A17" s="2546" t="s">
        <v>2065</v>
      </c>
      <c r="E17" s="105">
        <v>17</v>
      </c>
      <c r="F17" s="517">
        <v>44337</v>
      </c>
      <c r="G17" s="205" t="s">
        <v>2259</v>
      </c>
      <c r="H17" s="21" t="s">
        <v>809</v>
      </c>
      <c r="I17" s="546" t="s">
        <v>2263</v>
      </c>
      <c r="J17" s="546"/>
      <c r="K17" s="546"/>
      <c r="L17" s="546"/>
      <c r="M17" s="546"/>
      <c r="N17" s="546"/>
      <c r="O17" s="216">
        <f t="array" ref="O17:BC17">TRANSPOSE(ОТЧЁТ!DJ413:DJ453)</f>
        <v>0.18602814222542435</v>
      </c>
      <c r="P17" s="219">
        <v>0.20193696820110807</v>
      </c>
      <c r="Q17" s="219">
        <v>0.20077030917127051</v>
      </c>
      <c r="R17" s="219">
        <v>0.17564649920911823</v>
      </c>
      <c r="S17" s="219">
        <v>0.17736677529339789</v>
      </c>
      <c r="T17" s="219">
        <v>0.21045165705943777</v>
      </c>
      <c r="U17" s="219">
        <v>0.22075386925949722</v>
      </c>
      <c r="V17" s="219">
        <v>0.23009857341476964</v>
      </c>
      <c r="W17" s="219">
        <v>0.24253877934926296</v>
      </c>
      <c r="X17" s="219">
        <v>0.25160823372823521</v>
      </c>
      <c r="Y17" s="219">
        <v>0.25783555641470957</v>
      </c>
      <c r="Z17" s="219">
        <v>0.26687813853792092</v>
      </c>
      <c r="AA17" s="219">
        <v>0.27752871293871573</v>
      </c>
      <c r="AB17" s="219">
        <v>0.28233244102428678</v>
      </c>
      <c r="AC17" s="219">
        <v>0.20580264972695869</v>
      </c>
      <c r="AD17" s="219">
        <v>0.24609376472050032</v>
      </c>
      <c r="AE17" s="219">
        <v>0.27167126619383269</v>
      </c>
      <c r="AF17" s="219">
        <v>0.27117347874806208</v>
      </c>
      <c r="AG17" s="219">
        <v>0.26539413338300072</v>
      </c>
      <c r="AH17" s="219">
        <v>0.24074796552908859</v>
      </c>
      <c r="AI17" s="219">
        <v>0.20957161629151927</v>
      </c>
      <c r="AJ17" s="219">
        <v>0.20657808103265329</v>
      </c>
      <c r="AK17" s="219">
        <v>0.22697099503222676</v>
      </c>
      <c r="AL17" s="219">
        <v>0.2265787550715769</v>
      </c>
      <c r="AM17" s="219">
        <v>0.22634341109518699</v>
      </c>
      <c r="AN17" s="219">
        <v>0.22620220470935304</v>
      </c>
      <c r="AO17" s="219">
        <v>0.22611748087785266</v>
      </c>
      <c r="AP17" s="219">
        <v>0.22606664657895242</v>
      </c>
      <c r="AQ17" s="219">
        <v>0.22603614599961228</v>
      </c>
      <c r="AR17" s="219">
        <v>0.22601784565200819</v>
      </c>
      <c r="AS17" s="219">
        <v>0.22600686544344575</v>
      </c>
      <c r="AT17" s="209">
        <v>0.2260002773183083</v>
      </c>
      <c r="AU17" s="209">
        <v>0.22599632444322582</v>
      </c>
      <c r="AV17" s="209">
        <v>0.22599395271817632</v>
      </c>
      <c r="AW17" s="209">
        <v>0.22599252968314662</v>
      </c>
      <c r="AX17" s="209">
        <v>0.22599167586212879</v>
      </c>
      <c r="AY17" s="209">
        <v>0.22599116356951809</v>
      </c>
      <c r="AZ17" s="209">
        <v>0.22599085619395168</v>
      </c>
      <c r="BA17" s="209">
        <v>0.22599067176861182</v>
      </c>
      <c r="BB17" s="209">
        <v>0.2259905611134079</v>
      </c>
      <c r="BC17" s="209">
        <v>0.22599049472028554</v>
      </c>
      <c r="BD17" s="44" t="str">
        <f t="shared" si="4"/>
        <v>qEXMS</v>
      </c>
      <c r="BE17" t="s">
        <v>1406</v>
      </c>
      <c r="BG17" s="1607">
        <v>2006</v>
      </c>
      <c r="BH17" s="2611">
        <v>11.28478682823815</v>
      </c>
      <c r="BI17" s="2612">
        <v>8.1861967165379976</v>
      </c>
      <c r="BJ17" s="2609">
        <v>10.5310440318469</v>
      </c>
      <c r="BK17" s="2609">
        <v>11.935242035159135</v>
      </c>
      <c r="BL17" s="2609"/>
      <c r="BM17" s="20"/>
      <c r="BN17" s="2609">
        <v>5.9494755268032087</v>
      </c>
      <c r="BO17" s="2609">
        <v>8.4441814198436358</v>
      </c>
      <c r="BP17" s="2609"/>
      <c r="BQ17" s="2609">
        <v>0</v>
      </c>
      <c r="BR17" s="2609">
        <v>10.171880121895711</v>
      </c>
      <c r="BS17" s="2609">
        <v>8.6255823418854529</v>
      </c>
      <c r="BT17" s="2609">
        <v>8.5777715926432858</v>
      </c>
      <c r="BU17" s="855">
        <v>10.077706332186347</v>
      </c>
      <c r="BW17" s="2032">
        <f t="shared" si="2"/>
        <v>0.75663076110249938</v>
      </c>
      <c r="BX17" s="1607">
        <v>2006</v>
      </c>
      <c r="BY17" s="1135">
        <v>142.75355099999999</v>
      </c>
      <c r="BZ17" s="1039">
        <v>74.418999999999997</v>
      </c>
      <c r="CA17" s="1135">
        <v>5.25</v>
      </c>
      <c r="CB17" s="1039">
        <v>63.457556425113935</v>
      </c>
      <c r="CC17" s="1153">
        <f t="shared" si="3"/>
        <v>0.75663076110249938</v>
      </c>
      <c r="CD17" s="1016">
        <f>НАСТРОЙКА!IX16</f>
        <v>5801.1066242839361</v>
      </c>
      <c r="CE17" s="1016">
        <v>4389.2957203687056</v>
      </c>
      <c r="CF17" s="947">
        <f t="shared" si="0"/>
        <v>1.5859456599518271</v>
      </c>
      <c r="CG17" s="2093">
        <v>1.5699969643857026</v>
      </c>
      <c r="CI17" s="947">
        <v>1.1797419270163367</v>
      </c>
      <c r="CJ17" s="1153">
        <v>1.7721057055408742</v>
      </c>
      <c r="CK17" s="35">
        <v>0.73755169675173182</v>
      </c>
      <c r="CL17" s="1135"/>
      <c r="CM17" s="947">
        <v>0</v>
      </c>
      <c r="CN17" s="32">
        <v>2.5688873465133799</v>
      </c>
      <c r="CO17" s="1153">
        <v>1.5787453150137272</v>
      </c>
      <c r="CQ17" s="2130"/>
    </row>
    <row r="18" spans="1:95" ht="18">
      <c r="A18" s="614" t="s">
        <v>1972</v>
      </c>
      <c r="E18" s="105">
        <v>18</v>
      </c>
      <c r="F18" s="517">
        <v>43939</v>
      </c>
      <c r="G18" s="205" t="s">
        <v>638</v>
      </c>
      <c r="H18" s="21" t="s">
        <v>809</v>
      </c>
      <c r="I18" s="546" t="s">
        <v>917</v>
      </c>
      <c r="J18" s="546"/>
      <c r="K18" s="546"/>
      <c r="L18" s="546"/>
      <c r="M18" s="546"/>
      <c r="N18" s="546"/>
      <c r="O18" s="260">
        <v>1</v>
      </c>
      <c r="P18" s="220">
        <f>ОТЧЁТ!V184</f>
        <v>1.4723042021668387</v>
      </c>
      <c r="Q18" s="220">
        <f>ОТЧЁТ!W184</f>
        <v>1.718558670886825</v>
      </c>
      <c r="R18" s="220">
        <f>ОТЧЁТ!X184</f>
        <v>2.1060897046594418</v>
      </c>
      <c r="S18" s="220">
        <f>ОТЧЁТ!Y184</f>
        <v>3.7278422973468679</v>
      </c>
      <c r="T18" s="220">
        <f>ОТЧЁТ!Z184</f>
        <v>4.5918326760987345</v>
      </c>
      <c r="U18" s="220">
        <f>ОТЧЁТ!AA184</f>
        <v>5.5611795404054956</v>
      </c>
      <c r="V18" s="220">
        <f>ОТЧЁТ!AB184</f>
        <v>6.4682386989177063</v>
      </c>
      <c r="W18" s="220">
        <f>ОТЧЁТ!AC184</f>
        <v>7.2584827706254744</v>
      </c>
      <c r="X18" s="220">
        <f>ОТЧЁТ!AD184</f>
        <v>8.3282279936178867</v>
      </c>
      <c r="Y18" s="220">
        <f>ОТЧЁТ!AE184</f>
        <v>9.3704714639566831</v>
      </c>
      <c r="Z18" s="220">
        <f>ОТЧЁТ!AF184</f>
        <v>10.171880121895711</v>
      </c>
      <c r="AA18" s="220">
        <f>ОТЧЁТ!AG184</f>
        <v>10.996054426330467</v>
      </c>
      <c r="AB18" s="220">
        <f>ОТЧЁТ!AH184</f>
        <v>12.382630991276981</v>
      </c>
      <c r="AC18" s="220">
        <f>ОТЧЁТ!AI184</f>
        <v>13.714036448863869</v>
      </c>
      <c r="AD18" s="220">
        <f>ОТЧЁТ!AJ184</f>
        <v>14.629133800462956</v>
      </c>
      <c r="AE18" s="220">
        <f>ОТЧЁТ!AK184</f>
        <v>17.36421630879255</v>
      </c>
      <c r="AF18" s="220">
        <f>ОТЧЁТ!AL184</f>
        <v>18.540125110660799</v>
      </c>
      <c r="AG18" s="220">
        <f>ОТЧЁТ!AM184</f>
        <v>19.653563919076568</v>
      </c>
      <c r="AH18" s="220">
        <f>ОТЧЁТ!AN184</f>
        <v>21.016276952701091</v>
      </c>
      <c r="AI18" s="220">
        <f>ОТЧЁТ!AO184</f>
        <v>23.908625308988828</v>
      </c>
      <c r="AJ18" s="220">
        <f>ОТЧЁТ!AP184</f>
        <v>25.541020349632802</v>
      </c>
      <c r="AK18" s="220">
        <f>ОТЧЁТ!AQ184</f>
        <v>26.262932750374507</v>
      </c>
      <c r="AL18" s="220">
        <f>ОТЧЁТ!AR184</f>
        <v>27.120680464307846</v>
      </c>
      <c r="AM18" s="220">
        <f>1.2605*AM14-0.4807</f>
        <v>28.12440071334408</v>
      </c>
      <c r="AN18" s="220">
        <f>1.2605*AN14-0.4807 - 0.53</f>
        <v>28.998911158369268</v>
      </c>
      <c r="AO18" s="220">
        <f t="shared" ref="AO18:BC18" si="6">1.2605*AO14-0.4807</f>
        <v>31.029391716287734</v>
      </c>
      <c r="AP18" s="220">
        <f t="shared" si="6"/>
        <v>32.604896302102119</v>
      </c>
      <c r="AQ18" s="220">
        <f t="shared" si="6"/>
        <v>34.259176117207225</v>
      </c>
      <c r="AR18" s="220">
        <f t="shared" si="6"/>
        <v>35.99616992306759</v>
      </c>
      <c r="AS18" s="220">
        <f t="shared" si="6"/>
        <v>37.82001341922097</v>
      </c>
      <c r="AT18" s="220">
        <f t="shared" si="6"/>
        <v>39.735049090182024</v>
      </c>
      <c r="AU18" s="220">
        <f t="shared" si="6"/>
        <v>41.745836544691123</v>
      </c>
      <c r="AV18" s="220">
        <f t="shared" si="6"/>
        <v>43.857163371925687</v>
      </c>
      <c r="AW18" s="220">
        <f t="shared" si="6"/>
        <v>46.074056540521973</v>
      </c>
      <c r="AX18" s="220">
        <f t="shared" si="6"/>
        <v>48.401794367548071</v>
      </c>
      <c r="AY18" s="220">
        <f t="shared" si="6"/>
        <v>50.84591908592548</v>
      </c>
      <c r="AZ18" s="220">
        <f t="shared" si="6"/>
        <v>53.412250040221757</v>
      </c>
      <c r="BA18" s="220">
        <f t="shared" si="6"/>
        <v>56.106897542232851</v>
      </c>
      <c r="BB18" s="220">
        <f t="shared" si="6"/>
        <v>58.936277419344499</v>
      </c>
      <c r="BC18" s="220">
        <f t="shared" si="6"/>
        <v>61.90712629031173</v>
      </c>
      <c r="BD18" s="44" t="str">
        <f t="shared" si="4"/>
        <v>Dd</v>
      </c>
      <c r="BE18" t="s">
        <v>1406</v>
      </c>
      <c r="BG18" s="1607">
        <v>2007</v>
      </c>
      <c r="BH18" s="2611">
        <v>13.059083510568804</v>
      </c>
      <c r="BI18" s="2612">
        <v>10.097240670067599</v>
      </c>
      <c r="BJ18" s="2609">
        <v>12.093285009188341</v>
      </c>
      <c r="BK18" s="2609">
        <v>13.587224630705832</v>
      </c>
      <c r="BL18" s="2609"/>
      <c r="BM18" s="20"/>
      <c r="BN18" s="2609">
        <v>5.9724865903412292</v>
      </c>
      <c r="BO18" s="2609">
        <v>9.4465057543790749</v>
      </c>
      <c r="BP18" s="2609"/>
      <c r="BQ18" s="2609">
        <v>0</v>
      </c>
      <c r="BR18" s="2609">
        <v>10.996054426330467</v>
      </c>
      <c r="BS18" s="2609">
        <v>10.098705571453516</v>
      </c>
      <c r="BT18" s="2609">
        <v>8.5612179305936174</v>
      </c>
      <c r="BU18" s="855">
        <v>11.630372067549995</v>
      </c>
      <c r="BW18" s="2032">
        <f t="shared" si="2"/>
        <v>0.79846194770079482</v>
      </c>
      <c r="BX18" s="1607">
        <v>2007</v>
      </c>
      <c r="BY18" s="1135">
        <v>142.220968</v>
      </c>
      <c r="BZ18" s="1039">
        <v>75.289000000000001</v>
      </c>
      <c r="CA18" s="1135">
        <v>4.5190000000000055</v>
      </c>
      <c r="CB18" s="1039">
        <v>67.479917249698346</v>
      </c>
      <c r="CC18" s="1153">
        <f t="shared" si="3"/>
        <v>0.79846194770079482</v>
      </c>
      <c r="CD18" s="1016">
        <f>НАСТРОЙКА!IX17</f>
        <v>5980.9409296367376</v>
      </c>
      <c r="CE18" s="1016">
        <v>4775.553743761152</v>
      </c>
      <c r="CF18" s="947">
        <f t="shared" si="0"/>
        <v>1.725508878027588</v>
      </c>
      <c r="CG18" s="2093">
        <v>1.9263862753012571</v>
      </c>
      <c r="CI18" s="947">
        <v>1.2115949590457777</v>
      </c>
      <c r="CJ18" s="1153">
        <v>2.0255168214332193</v>
      </c>
      <c r="CK18" s="35">
        <v>0.75746559256402857</v>
      </c>
      <c r="CL18" s="1135"/>
      <c r="CM18" s="947">
        <v>0</v>
      </c>
      <c r="CN18" s="32">
        <v>3.2419358312998856</v>
      </c>
      <c r="CO18" s="1153">
        <v>1.712938666789894</v>
      </c>
      <c r="CQ18" s="2130"/>
    </row>
    <row r="19" spans="1:95" ht="18">
      <c r="A19" s="614" t="s">
        <v>1976</v>
      </c>
      <c r="E19" s="105">
        <v>19</v>
      </c>
      <c r="F19" s="517">
        <v>43939</v>
      </c>
      <c r="G19" s="205" t="s">
        <v>640</v>
      </c>
      <c r="H19" s="21" t="s">
        <v>809</v>
      </c>
      <c r="I19" s="546" t="s">
        <v>918</v>
      </c>
      <c r="J19" s="546"/>
      <c r="K19" s="546"/>
      <c r="L19" s="546"/>
      <c r="M19" s="546"/>
      <c r="N19" s="546"/>
      <c r="O19" s="260">
        <f t="array" ref="O19:AL19">TRANSPOSE(ОТЧЁТ!DI92:DI115)</f>
        <v>1</v>
      </c>
      <c r="P19" s="220">
        <v>1.3930686182271845</v>
      </c>
      <c r="Q19" s="220">
        <v>1.8000080782573098</v>
      </c>
      <c r="R19" s="220">
        <v>1.7787455021088285</v>
      </c>
      <c r="S19" s="220">
        <v>2.4627881934761957</v>
      </c>
      <c r="T19" s="220">
        <v>3.7854704885295649</v>
      </c>
      <c r="U19" s="220">
        <v>5.0878645956391404</v>
      </c>
      <c r="V19" s="220">
        <v>6.5528675715584006</v>
      </c>
      <c r="W19" s="220">
        <v>7.7958923176158716</v>
      </c>
      <c r="X19" s="220">
        <v>9.32454487174126</v>
      </c>
      <c r="Y19" s="220">
        <v>11.601834838997735</v>
      </c>
      <c r="Z19" s="220">
        <v>14.558879763670303</v>
      </c>
      <c r="AA19" s="220">
        <v>17.418642331419541</v>
      </c>
      <c r="AB19" s="220">
        <v>21.558658204106848</v>
      </c>
      <c r="AC19" s="220">
        <v>23.771830652990928</v>
      </c>
      <c r="AD19" s="220">
        <v>25.942740710668115</v>
      </c>
      <c r="AE19" s="220">
        <v>31.060937552257776</v>
      </c>
      <c r="AF19" s="220">
        <v>34.957056458668305</v>
      </c>
      <c r="AG19" s="220">
        <v>38.623860073036887</v>
      </c>
      <c r="AH19" s="220">
        <v>41.260921847659759</v>
      </c>
      <c r="AI19" s="220">
        <v>44.344749772395339</v>
      </c>
      <c r="AJ19" s="220">
        <v>46.796704667591264</v>
      </c>
      <c r="AK19" s="220">
        <v>48.327851197265097</v>
      </c>
      <c r="AL19" s="220">
        <v>52.235265501486438</v>
      </c>
      <c r="AM19" s="220">
        <f t="array" ref="AM19:BC19">TRANSPOSE(ОТЧЁТ!DI116:DI132)</f>
        <v>53.174963523769726</v>
      </c>
      <c r="AN19" s="220">
        <v>56.051730732786808</v>
      </c>
      <c r="AO19" s="220">
        <v>59.125067269426147</v>
      </c>
      <c r="AP19" s="220">
        <v>62.352070632897458</v>
      </c>
      <c r="AQ19" s="220">
        <v>65.740424164542333</v>
      </c>
      <c r="AR19" s="220">
        <v>69.298195372769456</v>
      </c>
      <c r="AS19" s="220">
        <v>73.033855141407926</v>
      </c>
      <c r="AT19" s="220">
        <v>76.956297898478326</v>
      </c>
      <c r="AU19" s="220">
        <v>81.074862793402247</v>
      </c>
      <c r="AV19" s="220">
        <v>85.399355933072371</v>
      </c>
      <c r="AW19" s="220">
        <v>89.940073729725995</v>
      </c>
      <c r="AX19" s="220">
        <v>94.707827416212297</v>
      </c>
      <c r="AY19" s="220">
        <v>99.713968787022921</v>
      </c>
      <c r="AZ19" s="220">
        <v>104.97041722637408</v>
      </c>
      <c r="BA19" s="220">
        <v>110.4896880876928</v>
      </c>
      <c r="BB19" s="220">
        <v>116.28492249207744</v>
      </c>
      <c r="BC19" s="220">
        <v>122.36991861668132</v>
      </c>
      <c r="BD19" s="44" t="str">
        <f t="shared" si="4"/>
        <v>Dg</v>
      </c>
      <c r="BE19" t="s">
        <v>1406</v>
      </c>
      <c r="BG19" s="1607">
        <v>2008</v>
      </c>
      <c r="BH19" s="2611">
        <v>15.593657080025292</v>
      </c>
      <c r="BI19" s="2612">
        <v>12.014838376677151</v>
      </c>
      <c r="BJ19" s="2609">
        <v>14.279402745112492</v>
      </c>
      <c r="BK19" s="2609">
        <v>16.03475716499792</v>
      </c>
      <c r="BL19" s="2609"/>
      <c r="BM19" s="20"/>
      <c r="BN19" s="2609">
        <v>6.6180737006266304</v>
      </c>
      <c r="BO19" s="2609">
        <v>10.701001718560617</v>
      </c>
      <c r="BP19" s="2609"/>
      <c r="BQ19" s="2609">
        <v>0</v>
      </c>
      <c r="BR19" s="2609">
        <v>12.382630991276981</v>
      </c>
      <c r="BS19" s="2609">
        <v>11.941266045828566</v>
      </c>
      <c r="BT19" s="2609">
        <v>10.360928463828223</v>
      </c>
      <c r="BU19" s="855">
        <v>13.808577618030881</v>
      </c>
      <c r="BW19" s="2032">
        <f t="shared" si="2"/>
        <v>0.80925197402107585</v>
      </c>
      <c r="BX19" s="1607">
        <v>2008</v>
      </c>
      <c r="BY19" s="1135">
        <v>142.008838</v>
      </c>
      <c r="BZ19" s="1039">
        <v>75.7</v>
      </c>
      <c r="CA19" s="1135">
        <v>4.6970000000000027</v>
      </c>
      <c r="CB19" s="1039">
        <v>70.621402348481183</v>
      </c>
      <c r="CC19" s="1153">
        <f t="shared" si="3"/>
        <v>0.80925197402107585</v>
      </c>
      <c r="CD19" s="1016">
        <f>НАСТРОЙКА!IX18</f>
        <v>6196.2548031036604</v>
      </c>
      <c r="CE19" s="1016">
        <v>5014.3314309492098</v>
      </c>
      <c r="CF19" s="947">
        <f t="shared" si="0"/>
        <v>1.8117843219289673</v>
      </c>
      <c r="CG19" s="2093">
        <v>2.1093929714548767</v>
      </c>
      <c r="CI19" s="947">
        <v>1.2527891876533341</v>
      </c>
      <c r="CJ19" s="1153">
        <v>2.2402216045051406</v>
      </c>
      <c r="CK19" s="35">
        <v>0.7468610742681322</v>
      </c>
      <c r="CL19" s="1135"/>
      <c r="CM19" s="947">
        <v>0</v>
      </c>
      <c r="CN19" s="32">
        <v>3.7217423343322684</v>
      </c>
      <c r="CO19" s="1153">
        <v>1.8020114774629683</v>
      </c>
      <c r="CQ19" s="2130"/>
    </row>
    <row r="20" spans="1:95" ht="18">
      <c r="A20" s="614" t="s">
        <v>2070</v>
      </c>
      <c r="E20" s="105">
        <v>20</v>
      </c>
      <c r="F20" s="517">
        <v>43939</v>
      </c>
      <c r="G20" s="205" t="s">
        <v>642</v>
      </c>
      <c r="H20" s="21" t="s">
        <v>809</v>
      </c>
      <c r="I20" s="546" t="s">
        <v>1704</v>
      </c>
      <c r="J20" s="546"/>
      <c r="K20" s="546"/>
      <c r="L20" s="546"/>
      <c r="M20" s="546"/>
      <c r="N20" s="546"/>
      <c r="O20" s="260">
        <v>1</v>
      </c>
      <c r="P20" s="220">
        <f>ОТЧЁТ!V186</f>
        <v>1.4997486735151189</v>
      </c>
      <c r="Q20" s="220">
        <f>ОТЧЁТ!W186</f>
        <v>1.9526312539350381</v>
      </c>
      <c r="R20" s="220">
        <f>ОТЧЁТ!X186</f>
        <v>2.0059060303554479</v>
      </c>
      <c r="S20" s="220">
        <f>ОТЧЁТ!Y186</f>
        <v>2.3429902839701637</v>
      </c>
      <c r="T20" s="220">
        <f>ОТЧЁТ!Z186</f>
        <v>3.2406114791110681</v>
      </c>
      <c r="U20" s="220">
        <f>ОТЧЁТ!AA186</f>
        <v>3.97066356566005</v>
      </c>
      <c r="V20" s="220">
        <f>ОТЧЁТ!AB186</f>
        <v>5.2843734476785453</v>
      </c>
      <c r="W20" s="220">
        <f>ОТЧЁТ!AC186</f>
        <v>6.1715081316356093</v>
      </c>
      <c r="X20" s="220">
        <f>ОТЧЁТ!AD186</f>
        <v>6.7016025302099056</v>
      </c>
      <c r="Y20" s="220">
        <f>ОТЧЁТ!AE186</f>
        <v>7.6444391008680617</v>
      </c>
      <c r="Z20" s="220">
        <f>ОТЧЁТ!AF186</f>
        <v>8.6255823418854529</v>
      </c>
      <c r="AA20" s="220">
        <f>ОТЧЁТ!AG186</f>
        <v>10.098705571453516</v>
      </c>
      <c r="AB20" s="220">
        <f>ОТЧЁТ!AH186</f>
        <v>11.941266045828566</v>
      </c>
      <c r="AC20" s="220">
        <f>ОТЧЁТ!AI186</f>
        <v>12.996640727607122</v>
      </c>
      <c r="AD20" s="220">
        <f>ОТЧЁТ!AJ186</f>
        <v>13.587422805401822</v>
      </c>
      <c r="AE20" s="220">
        <f>ОТЧЁТ!AK186</f>
        <v>14.262597604124318</v>
      </c>
      <c r="AF20" s="220">
        <f>ОТЧЁТ!AL186</f>
        <v>15.820545673088896</v>
      </c>
      <c r="AG20" s="220">
        <f>ОТЧЁТ!AM186</f>
        <v>16.643637181160418</v>
      </c>
      <c r="AH20" s="220">
        <f>ОТЧЁТ!AN186</f>
        <v>18.778754615584578</v>
      </c>
      <c r="AI20" s="220">
        <f>ОТЧЁТ!AO186</f>
        <v>20.932137525435952</v>
      </c>
      <c r="AJ20" s="220">
        <f>ОТЧЁТ!AP186</f>
        <v>22.713794876355891</v>
      </c>
      <c r="AK20" s="220">
        <f>ОТЧЁТ!AQ186</f>
        <v>24.993896175246313</v>
      </c>
      <c r="AL20" s="220">
        <f>ОТЧЁТ!AR186</f>
        <v>27.181442967904612</v>
      </c>
      <c r="AM20" s="220">
        <f t="array" ref="AM20:BC20">TRANSPOSE(ОТЧЁТ!DL160:DL176)</f>
        <v>28.304690887736221</v>
      </c>
      <c r="AN20" s="220">
        <v>29.498051210324068</v>
      </c>
      <c r="AO20" s="220">
        <v>30.772953770840271</v>
      </c>
      <c r="AP20" s="220">
        <v>32.111601459382285</v>
      </c>
      <c r="AQ20" s="220">
        <v>33.517181532351401</v>
      </c>
      <c r="AR20" s="220">
        <v>34.993040608968968</v>
      </c>
      <c r="AS20" s="220">
        <v>36.542692639417417</v>
      </c>
      <c r="AT20" s="220">
        <v>38.169827271388293</v>
      </c>
      <c r="AU20" s="220">
        <v>39.878318634957708</v>
      </c>
      <c r="AV20" s="220">
        <v>41.672234566705598</v>
      </c>
      <c r="AW20" s="220">
        <v>43.55584629504088</v>
      </c>
      <c r="AX20" s="220">
        <v>45.533638609792924</v>
      </c>
      <c r="AY20" s="220">
        <v>47.610320540282572</v>
      </c>
      <c r="AZ20" s="220">
        <v>49.790836567296708</v>
      </c>
      <c r="BA20" s="220">
        <v>52.080378395661548</v>
      </c>
      <c r="BB20" s="220">
        <v>54.484397315444632</v>
      </c>
      <c r="BC20" s="220">
        <v>57.00861718121687</v>
      </c>
      <c r="BD20" s="44" t="str">
        <f t="shared" si="4"/>
        <v>Dnk</v>
      </c>
      <c r="BE20" t="s">
        <v>1406</v>
      </c>
      <c r="BG20" s="1607">
        <v>2009</v>
      </c>
      <c r="BH20" s="2611">
        <v>16.373566297801105</v>
      </c>
      <c r="BI20" s="2612">
        <v>12.870829474853368</v>
      </c>
      <c r="BJ20" s="2609">
        <v>14.669938798054028</v>
      </c>
      <c r="BK20" s="2609">
        <v>16.368494611949213</v>
      </c>
      <c r="BL20" s="2609"/>
      <c r="BM20" s="20"/>
      <c r="BN20" s="2609">
        <v>8.3015732196072296</v>
      </c>
      <c r="BO20" s="2609">
        <v>11.642689869793951</v>
      </c>
      <c r="BP20" s="2609"/>
      <c r="BQ20" s="2609">
        <v>0</v>
      </c>
      <c r="BR20" s="2609">
        <v>13.714036448863869</v>
      </c>
      <c r="BS20" s="2609">
        <v>12.996640727607122</v>
      </c>
      <c r="BT20" s="2609">
        <v>10.685163024983835</v>
      </c>
      <c r="BU20" s="855">
        <v>13.964756035279709</v>
      </c>
      <c r="BW20" s="2032">
        <f t="shared" si="2"/>
        <v>0.72613113172821342</v>
      </c>
      <c r="BX20" s="1607">
        <v>2009</v>
      </c>
      <c r="BY20" s="1135">
        <v>141.90397899999999</v>
      </c>
      <c r="BZ20" s="1039">
        <v>75.694000000000003</v>
      </c>
      <c r="CA20" s="1135">
        <v>6.284000000000006</v>
      </c>
      <c r="CB20" s="1039">
        <v>66.896281588517056</v>
      </c>
      <c r="CC20" s="1153">
        <f t="shared" si="3"/>
        <v>0.72613113172821342</v>
      </c>
      <c r="CD20" s="1016">
        <f>НАСТРОЙКА!IX19</f>
        <v>6394.5349568029778</v>
      </c>
      <c r="CE20" s="1016">
        <v>4643.2709050589683</v>
      </c>
      <c r="CF20" s="947">
        <f t="shared" si="0"/>
        <v>1.6777122821062238</v>
      </c>
      <c r="CG20" s="2093">
        <v>1.8246249203084683</v>
      </c>
      <c r="CI20" s="947">
        <v>1.2452724525274141</v>
      </c>
      <c r="CJ20" s="1153">
        <v>2.1259703026753782</v>
      </c>
      <c r="CK20" s="35">
        <v>0.68711218832668164</v>
      </c>
      <c r="CL20" s="1135"/>
      <c r="CM20" s="947">
        <v>0</v>
      </c>
      <c r="CN20" s="32">
        <v>2.5903326646952589</v>
      </c>
      <c r="CO20" s="1153">
        <v>1.6596525707433945</v>
      </c>
      <c r="CQ20" s="2130"/>
    </row>
    <row r="21" spans="1:95" ht="18">
      <c r="A21" s="614"/>
      <c r="E21" s="105">
        <v>21</v>
      </c>
      <c r="F21" s="517">
        <v>44340</v>
      </c>
      <c r="G21" s="205" t="s">
        <v>732</v>
      </c>
      <c r="H21" s="21" t="s">
        <v>809</v>
      </c>
      <c r="I21" s="546" t="s">
        <v>2269</v>
      </c>
      <c r="J21" s="546"/>
      <c r="K21" s="546"/>
      <c r="L21" s="546"/>
      <c r="M21" s="546"/>
      <c r="N21" s="546"/>
      <c r="O21" s="260">
        <f t="array" ref="O21:AL21">TRANSPOSE(ОТЧЁТ!EX136:EX159)</f>
        <v>1</v>
      </c>
      <c r="P21" s="220">
        <v>1.006</v>
      </c>
      <c r="Q21" s="220">
        <v>0.99795199999999995</v>
      </c>
      <c r="R21" s="220">
        <v>1.0029417599999999</v>
      </c>
      <c r="S21" s="220">
        <v>0.98890057535999987</v>
      </c>
      <c r="T21" s="220">
        <v>1.0047229845657599</v>
      </c>
      <c r="U21" s="220">
        <v>1.0238127212725092</v>
      </c>
      <c r="V21" s="220">
        <v>1.0320032230426892</v>
      </c>
      <c r="W21" s="220">
        <v>1.0330352262657319</v>
      </c>
      <c r="X21" s="220">
        <v>0.91836831615023562</v>
      </c>
      <c r="Y21" s="220">
        <v>0.7503069142947425</v>
      </c>
      <c r="Z21" s="220">
        <v>0.73755169675173182</v>
      </c>
      <c r="AA21" s="220">
        <v>0.75746559256402857</v>
      </c>
      <c r="AB21" s="220">
        <v>0.7468610742681322</v>
      </c>
      <c r="AC21" s="220">
        <v>0.68711218832668164</v>
      </c>
      <c r="AD21" s="541">
        <v>0.6836766273850482</v>
      </c>
      <c r="AE21" s="369">
        <v>0.65017647264318079</v>
      </c>
      <c r="AF21" s="220">
        <v>0.64367470791674897</v>
      </c>
      <c r="AG21" s="220">
        <v>0.63595061142174802</v>
      </c>
      <c r="AH21" s="220">
        <v>0.63595061142174802</v>
      </c>
      <c r="AI21" s="220">
        <v>0.61750804369051726</v>
      </c>
      <c r="AJ21" s="220">
        <v>0.62368312412742244</v>
      </c>
      <c r="AK21" s="220">
        <v>0.62680153974805952</v>
      </c>
      <c r="AL21" s="220">
        <v>0.65500760903672217</v>
      </c>
      <c r="AM21" s="220">
        <f t="array" ref="AM21:BC21">TRANSPOSE(ОТЧЁТ!EX160:EX176)</f>
        <v>0.68180337486095166</v>
      </c>
      <c r="AN21" s="220">
        <v>0.70725935239396964</v>
      </c>
      <c r="AO21" s="220">
        <v>0.73144253105033674</v>
      </c>
      <c r="AP21" s="220">
        <v>0.75441655077388547</v>
      </c>
      <c r="AQ21" s="220">
        <v>0.77624186951125673</v>
      </c>
      <c r="AR21" s="220">
        <v>0.7969759223117594</v>
      </c>
      <c r="AS21" s="220">
        <v>0.81667327247223698</v>
      </c>
      <c r="AT21" s="212">
        <v>0.83538575512469071</v>
      </c>
      <c r="AU21" s="212">
        <v>0.85316261364452173</v>
      </c>
      <c r="AV21" s="212">
        <v>0.87005062923836118</v>
      </c>
      <c r="AW21" s="212">
        <v>0.88609424405250869</v>
      </c>
      <c r="AX21" s="212">
        <v>0.90133567812594884</v>
      </c>
      <c r="AY21" s="212">
        <v>0.91581504049571694</v>
      </c>
      <c r="AZ21" s="212">
        <v>0.92957043474699663</v>
      </c>
      <c r="BA21" s="212">
        <v>0.94263805928571232</v>
      </c>
      <c r="BB21" s="212">
        <v>0.95505230259749219</v>
      </c>
      <c r="BC21" s="212">
        <v>0.96684583374368305</v>
      </c>
      <c r="BD21" s="44" t="str">
        <f t="shared" si="4"/>
        <v>Pnk</v>
      </c>
      <c r="BE21" t="s">
        <v>1406</v>
      </c>
      <c r="BG21" s="1607">
        <v>2010</v>
      </c>
      <c r="BH21" s="2611">
        <v>17.674409856030426</v>
      </c>
      <c r="BI21" s="2612">
        <v>14.148307151553455</v>
      </c>
      <c r="BJ21" s="2609">
        <v>16.830212945381799</v>
      </c>
      <c r="BK21" s="2609">
        <v>18.691365335566658</v>
      </c>
      <c r="BL21" s="2609"/>
      <c r="BM21" s="20"/>
      <c r="BN21" s="2609">
        <v>8.121605375451491</v>
      </c>
      <c r="BO21" s="2609">
        <v>12.664918040361862</v>
      </c>
      <c r="BP21" s="2609"/>
      <c r="BQ21" s="2609">
        <v>0</v>
      </c>
      <c r="BR21" s="2609">
        <v>14.629133800462956</v>
      </c>
      <c r="BS21" s="2609">
        <v>13.587422805401822</v>
      </c>
      <c r="BT21" s="2609">
        <v>12.376778209553063</v>
      </c>
      <c r="BU21" s="855">
        <v>16.223531809175668</v>
      </c>
      <c r="BW21" s="2032">
        <f t="shared" si="2"/>
        <v>0.74023076535400389</v>
      </c>
      <c r="BX21" s="1607">
        <v>2010</v>
      </c>
      <c r="BY21" s="1135">
        <v>142.85653600000001</v>
      </c>
      <c r="BZ21" s="1039">
        <v>75.477999999999994</v>
      </c>
      <c r="CA21" s="1135">
        <v>5.5441655838158379</v>
      </c>
      <c r="CB21" s="1039">
        <v>69.715085293922698</v>
      </c>
      <c r="CC21" s="1153">
        <f t="shared" si="3"/>
        <v>0.74023076535400389</v>
      </c>
      <c r="CD21" s="1016">
        <f>НАСТРОЙКА!IX20</f>
        <v>6586.3710055070669</v>
      </c>
      <c r="CE21" s="1016">
        <v>4875.4344503119164</v>
      </c>
      <c r="CF21" s="947">
        <f t="shared" si="0"/>
        <v>1.7615978962115348</v>
      </c>
      <c r="CG21" s="2093">
        <v>1.9395762902879019</v>
      </c>
      <c r="CI21" s="947">
        <v>1.2265933657395029</v>
      </c>
      <c r="CJ21" s="1153">
        <v>2.2428986693225239</v>
      </c>
      <c r="CK21" s="35">
        <v>0.6836766273850482</v>
      </c>
      <c r="CL21" s="1135"/>
      <c r="CM21" s="947">
        <v>0</v>
      </c>
      <c r="CN21" s="32">
        <v>3.2586384921866354</v>
      </c>
      <c r="CO21" s="1153">
        <v>1.7343369364268471</v>
      </c>
      <c r="CQ21" s="2130"/>
    </row>
    <row r="22" spans="1:95" ht="15.75" customHeight="1">
      <c r="A22" s="614" t="s">
        <v>2264</v>
      </c>
      <c r="E22" s="105">
        <v>22</v>
      </c>
      <c r="F22" s="517">
        <v>43939</v>
      </c>
      <c r="G22" s="205" t="s">
        <v>1706</v>
      </c>
      <c r="H22" s="21" t="s">
        <v>809</v>
      </c>
      <c r="I22" s="546" t="s">
        <v>2244</v>
      </c>
      <c r="J22" s="546"/>
      <c r="K22" s="546"/>
      <c r="L22" s="546"/>
      <c r="M22" s="546"/>
      <c r="N22" s="546"/>
      <c r="O22" s="260">
        <f t="array" ref="O22:AL22">TRANSPOSE(ОТЧЁТ!$DM$413:$DM$436)</f>
        <v>1</v>
      </c>
      <c r="P22" s="220">
        <v>1.1463921152743077</v>
      </c>
      <c r="Q22" s="220">
        <v>1.2513079717780982</v>
      </c>
      <c r="R22" s="220">
        <v>1.7757982734232494</v>
      </c>
      <c r="S22" s="220">
        <v>4.3836468174313525</v>
      </c>
      <c r="T22" s="220">
        <v>5.422670804728047</v>
      </c>
      <c r="U22" s="220">
        <v>5.4161394271000169</v>
      </c>
      <c r="V22" s="220">
        <v>5.5899915734957792</v>
      </c>
      <c r="W22" s="220">
        <v>6.1009492646947514</v>
      </c>
      <c r="X22" s="220">
        <v>6.8314599646456458</v>
      </c>
      <c r="Y22" s="220">
        <v>8.0203116455157293</v>
      </c>
      <c r="Z22" s="220">
        <v>8.5777715926432858</v>
      </c>
      <c r="AA22" s="220">
        <v>8.5612179305936174</v>
      </c>
      <c r="AB22" s="220">
        <v>10.360928463828223</v>
      </c>
      <c r="AC22" s="220">
        <v>10.685163024983835</v>
      </c>
      <c r="AD22" s="541">
        <v>12.376778209553063</v>
      </c>
      <c r="AE22" s="369">
        <v>14.886630426588821</v>
      </c>
      <c r="AF22" s="220">
        <v>15.682710215951944</v>
      </c>
      <c r="AG22" s="220">
        <v>15.596922733834738</v>
      </c>
      <c r="AH22" s="220">
        <v>19.408072573294923</v>
      </c>
      <c r="AI22" s="220">
        <v>25.392619710313024</v>
      </c>
      <c r="AJ22" s="220">
        <v>24.686694352693262</v>
      </c>
      <c r="AK22" s="220">
        <v>23.815961506525245</v>
      </c>
      <c r="AL22" s="220">
        <v>28.984298505855161</v>
      </c>
      <c r="AM22" s="220">
        <f t="array" ref="AM22:BC22">TRANSPOSE(ОТЧЁТ!EB437:EB453)</f>
        <v>28.287941205989458</v>
      </c>
      <c r="AN22" s="220">
        <v>30.295292486376674</v>
      </c>
      <c r="AO22" s="220">
        <v>32.50839100920102</v>
      </c>
      <c r="AP22" s="220">
        <v>34.908397682763393</v>
      </c>
      <c r="AQ22" s="220">
        <v>37.512473870121873</v>
      </c>
      <c r="AR22" s="220">
        <v>40.339440137928356</v>
      </c>
      <c r="AS22" s="220">
        <v>43.409941332990961</v>
      </c>
      <c r="AT22" s="220">
        <v>46.746628329593726</v>
      </c>
      <c r="AU22" s="220">
        <v>50.374358143846841</v>
      </c>
      <c r="AV22" s="220">
        <v>54.32041428458438</v>
      </c>
      <c r="AW22" s="220">
        <v>58.614749401297182</v>
      </c>
      <c r="AX22" s="220">
        <v>63.290252500100188</v>
      </c>
      <c r="AY22" s="220">
        <v>68.383043230789013</v>
      </c>
      <c r="AZ22" s="220">
        <v>73.932796003844885</v>
      </c>
      <c r="BA22" s="220">
        <v>79.983096978233959</v>
      </c>
      <c r="BB22" s="220">
        <v>86.581837271697665</v>
      </c>
      <c r="BC22" s="220">
        <v>93.781646087901152</v>
      </c>
      <c r="BD22" s="44" t="str">
        <f t="shared" si="4"/>
        <v>Dem</v>
      </c>
      <c r="BG22" s="1607">
        <v>2011</v>
      </c>
      <c r="BH22" s="2611">
        <v>19.234566440524752</v>
      </c>
      <c r="BI22" s="2612">
        <v>15.766970202222982</v>
      </c>
      <c r="BJ22" s="2609">
        <v>19.85424571376991</v>
      </c>
      <c r="BK22" s="2609">
        <v>23.328518818067689</v>
      </c>
      <c r="BL22" s="2609"/>
      <c r="BM22" s="20"/>
      <c r="BN22" s="2609">
        <v>8.2828741918760365</v>
      </c>
      <c r="BO22" s="2609">
        <v>13.437478040823935</v>
      </c>
      <c r="BP22" s="2609"/>
      <c r="BQ22" s="2609">
        <v>0</v>
      </c>
      <c r="BR22" s="2609">
        <v>17.36421630879255</v>
      </c>
      <c r="BS22" s="2609">
        <v>14.262597604124318</v>
      </c>
      <c r="BT22" s="2609">
        <v>14.886630426588821</v>
      </c>
      <c r="BU22" s="855">
        <v>18.09503717757504</v>
      </c>
      <c r="BW22" s="2032">
        <f t="shared" si="2"/>
        <v>0.7423660464079096</v>
      </c>
      <c r="BX22" s="1607">
        <v>2011</v>
      </c>
      <c r="BY22" s="1135">
        <v>142.865433</v>
      </c>
      <c r="BZ22" s="1039">
        <v>75.778999999999996</v>
      </c>
      <c r="CA22" s="1135">
        <v>4.9223997554548067</v>
      </c>
      <c r="CB22" s="1039">
        <v>71.765752104766392</v>
      </c>
      <c r="CC22" s="1153">
        <f t="shared" si="3"/>
        <v>0.7423660464079096</v>
      </c>
      <c r="CD22" s="1016">
        <f>НАСТРОЙКА!IX21</f>
        <v>6849.8258457273505</v>
      </c>
      <c r="CE22" s="1016">
        <v>5085.0781316753291</v>
      </c>
      <c r="CF22" s="947">
        <f t="shared" si="0"/>
        <v>1.837346605748631</v>
      </c>
      <c r="CG22" s="2093">
        <v>2.1490505296389957</v>
      </c>
      <c r="CI22" s="947">
        <v>1.2437656728598561</v>
      </c>
      <c r="CJ22" s="1153">
        <v>2.3954157788364556</v>
      </c>
      <c r="CK22" s="35">
        <v>0.65017647264318079</v>
      </c>
      <c r="CL22" s="1135"/>
      <c r="CM22" s="947">
        <v>0</v>
      </c>
      <c r="CN22" s="32">
        <v>3.9201421061005219</v>
      </c>
      <c r="CO22" s="1153">
        <v>1.8089134246932008</v>
      </c>
      <c r="CQ22" s="2130"/>
    </row>
    <row r="23" spans="1:95" ht="18">
      <c r="A23" s="2546" t="s">
        <v>2065</v>
      </c>
      <c r="B23" s="2547"/>
      <c r="C23" s="1406"/>
      <c r="E23" s="105">
        <v>23</v>
      </c>
      <c r="F23" s="517"/>
      <c r="G23" s="205"/>
      <c r="H23" s="21"/>
      <c r="I23" s="546"/>
      <c r="J23" s="546"/>
      <c r="K23" s="546"/>
      <c r="L23" s="546"/>
      <c r="M23" s="546"/>
      <c r="N23" s="546"/>
      <c r="O23" s="260"/>
      <c r="P23" s="208"/>
      <c r="Q23" s="208"/>
      <c r="R23" s="208"/>
      <c r="S23" s="208"/>
      <c r="T23" s="208"/>
      <c r="U23" s="208"/>
      <c r="V23" s="208"/>
      <c r="W23" s="208"/>
      <c r="X23" s="208"/>
      <c r="Y23" s="208"/>
      <c r="Z23" s="208"/>
      <c r="AA23" s="208"/>
      <c r="AB23" s="208"/>
      <c r="AC23" s="208"/>
      <c r="AD23" s="208"/>
      <c r="AE23" s="208"/>
      <c r="AF23" s="208"/>
      <c r="AG23" s="208"/>
      <c r="AH23" s="208"/>
      <c r="AI23" s="208"/>
      <c r="AJ23" s="208"/>
      <c r="AK23" s="208"/>
      <c r="AL23" s="208"/>
      <c r="AM23" s="208"/>
      <c r="AN23" s="208"/>
      <c r="AO23" s="208"/>
      <c r="AP23" s="208"/>
      <c r="AQ23" s="208"/>
      <c r="AR23" s="208"/>
      <c r="AS23" s="208"/>
      <c r="AT23" s="208"/>
      <c r="AU23" s="208"/>
      <c r="AV23" s="208"/>
      <c r="AW23" s="208"/>
      <c r="AX23" s="208"/>
      <c r="AY23" s="208"/>
      <c r="AZ23" s="208"/>
      <c r="BA23" s="208"/>
      <c r="BB23" s="208"/>
      <c r="BC23" s="208"/>
      <c r="BD23" s="44">
        <f t="shared" si="4"/>
        <v>0</v>
      </c>
      <c r="BE23" t="s">
        <v>1406</v>
      </c>
      <c r="BG23" s="1607">
        <v>2012</v>
      </c>
      <c r="BH23" s="2611">
        <v>20.540168341333807</v>
      </c>
      <c r="BI23" s="2612">
        <v>16.974068796381736</v>
      </c>
      <c r="BJ23" s="2609">
        <v>21.405203901528715</v>
      </c>
      <c r="BK23" s="2609">
        <v>25.448132013167307</v>
      </c>
      <c r="BL23" s="2609"/>
      <c r="BM23" s="20"/>
      <c r="BN23" s="2609">
        <v>8.6670199170643638</v>
      </c>
      <c r="BO23" s="2609">
        <v>14.321664095910151</v>
      </c>
      <c r="BP23" s="2609"/>
      <c r="BQ23" s="2609">
        <v>0</v>
      </c>
      <c r="BR23" s="2609">
        <v>18.540125110660799</v>
      </c>
      <c r="BS23" s="2609">
        <v>15.820545673088896</v>
      </c>
      <c r="BT23" s="2609">
        <v>15.682710215951944</v>
      </c>
      <c r="BU23" s="855">
        <v>19.232494464635629</v>
      </c>
      <c r="BW23" s="2032">
        <f t="shared" si="2"/>
        <v>0.73951900500270207</v>
      </c>
      <c r="BX23" s="1607">
        <v>2012</v>
      </c>
      <c r="BY23" s="1135">
        <v>143.05638300000001</v>
      </c>
      <c r="BZ23" s="1039">
        <v>75.575999999999993</v>
      </c>
      <c r="CA23" s="1135">
        <v>4.1306599945102453</v>
      </c>
      <c r="CB23" s="1039">
        <v>73.846746364363511</v>
      </c>
      <c r="CC23" s="1153">
        <f t="shared" si="3"/>
        <v>0.73951900500270207</v>
      </c>
      <c r="CD23" s="1016">
        <f>НАСТРОЙКА!IX22</f>
        <v>7144.3683570936255</v>
      </c>
      <c r="CE23" s="1016">
        <v>5283.3961788106672</v>
      </c>
      <c r="CF23" s="947">
        <f t="shared" si="0"/>
        <v>1.9090031233728277</v>
      </c>
      <c r="CG23" s="2093">
        <v>2.2951859656544471</v>
      </c>
      <c r="CI23" s="947">
        <v>1.2761035803542125</v>
      </c>
      <c r="CJ23" s="1153">
        <v>2.5846536253645356</v>
      </c>
      <c r="CK23" s="35">
        <v>0.64367470791674897</v>
      </c>
      <c r="CL23" s="1135"/>
      <c r="CM23" s="947">
        <v>0</v>
      </c>
      <c r="CN23" s="32">
        <v>4.3003958903922728</v>
      </c>
      <c r="CO23" s="1153">
        <v>1.8750455190419224</v>
      </c>
      <c r="CQ23" s="2130"/>
    </row>
    <row r="24" spans="1:95" ht="18">
      <c r="A24" s="614" t="s">
        <v>1970</v>
      </c>
      <c r="E24" s="105">
        <v>24</v>
      </c>
      <c r="F24" s="517">
        <v>43939</v>
      </c>
      <c r="G24" s="205" t="s">
        <v>648</v>
      </c>
      <c r="H24" s="21" t="s">
        <v>809</v>
      </c>
      <c r="I24" s="546" t="s">
        <v>2251</v>
      </c>
      <c r="J24" s="546"/>
      <c r="K24" s="546"/>
      <c r="L24" s="546"/>
      <c r="M24" s="546"/>
      <c r="N24" s="546"/>
      <c r="O24" s="207">
        <v>1</v>
      </c>
      <c r="P24" s="208">
        <f>ОТЧЁТ!V189</f>
        <v>1.7194377618988257</v>
      </c>
      <c r="Q24" s="208">
        <f>ОТЧЁТ!W189</f>
        <v>1.9680277801214476</v>
      </c>
      <c r="R24" s="208">
        <f>ОТЧЁТ!X189</f>
        <v>2.2270348811115843</v>
      </c>
      <c r="S24" s="208">
        <f>ОТЧЁТ!Y189</f>
        <v>3.493098424873764</v>
      </c>
      <c r="T24" s="208">
        <f>ОТЧЁТ!Z189</f>
        <v>5.1712627496070169</v>
      </c>
      <c r="U24" s="208">
        <f>ОТЧЁТ!AA189</f>
        <v>6.0707268468539191</v>
      </c>
      <c r="V24" s="208">
        <f>ОТЧЁТ!AB189</f>
        <v>6.9167509862711283</v>
      </c>
      <c r="W24" s="208">
        <f>ОТЧЁТ!AC189</f>
        <v>7.6273689193439225</v>
      </c>
      <c r="X24" s="208">
        <f>ОТЧЁТ!AD189</f>
        <v>8.7904133177964692</v>
      </c>
      <c r="Y24" s="208">
        <f>ОТЧЁТ!AE189</f>
        <v>10.054085870175701</v>
      </c>
      <c r="Z24" s="208">
        <f>ОТЧЁТ!AF189</f>
        <v>11.28478682823815</v>
      </c>
      <c r="AA24" s="208">
        <f>ОТЧЁТ!AG189</f>
        <v>13.059083510568804</v>
      </c>
      <c r="AB24" s="208">
        <f>ОТЧЁТ!AH189</f>
        <v>15.593657080025292</v>
      </c>
      <c r="AC24" s="208">
        <f>ОТЧЁТ!AI189</f>
        <v>16.373566297801105</v>
      </c>
      <c r="AD24" s="208">
        <f>ОТЧЁТ!AJ189</f>
        <v>17.674409856030426</v>
      </c>
      <c r="AE24" s="208">
        <f>ОТЧЁТ!AK189</f>
        <v>19.234566440524752</v>
      </c>
      <c r="AF24" s="208">
        <f>ОТЧЁТ!AL189</f>
        <v>20.540168341333807</v>
      </c>
      <c r="AG24" s="208">
        <f>ОТЧЁТ!AM189</f>
        <v>21.776225011581559</v>
      </c>
      <c r="AH24" s="208">
        <f>ОТЧЁТ!AN189</f>
        <v>22.851453644141124</v>
      </c>
      <c r="AI24" s="208">
        <f>ОТЧЁТ!AO189</f>
        <v>25.408791247612854</v>
      </c>
      <c r="AJ24" s="208">
        <f>ОТЧЁТ!AP189</f>
        <v>27.019844336572895</v>
      </c>
      <c r="AK24" s="208">
        <f>ОТЧЁТ!AQ189</f>
        <v>28.017232863734257</v>
      </c>
      <c r="AL24" s="208">
        <f>ОТЧЁТ!AR189</f>
        <v>29.489664817255768</v>
      </c>
      <c r="AM24" s="208">
        <f>1.661*AM14-7.124</f>
        <v>30.569829658758049</v>
      </c>
      <c r="AN24" s="208">
        <f>1.661*AN14-7.124-0.42</f>
        <v>32.000596695003054</v>
      </c>
      <c r="AO24" s="208">
        <f t="shared" ref="AO24:BC24" si="7">1.661*AO14-7.124</f>
        <v>34.39782652975321</v>
      </c>
      <c r="AP24" s="208">
        <f t="shared" si="7"/>
        <v>36.473917856240874</v>
      </c>
      <c r="AQ24" s="208">
        <f t="shared" si="7"/>
        <v>38.653813749052922</v>
      </c>
      <c r="AR24" s="208">
        <f t="shared" si="7"/>
        <v>40.942704436505565</v>
      </c>
      <c r="AS24" s="208">
        <f t="shared" si="7"/>
        <v>43.346039658330845</v>
      </c>
      <c r="AT24" s="208">
        <f t="shared" si="7"/>
        <v>45.869541641247388</v>
      </c>
      <c r="AU24" s="208">
        <f t="shared" si="7"/>
        <v>48.519218723309763</v>
      </c>
      <c r="AV24" s="208">
        <f t="shared" si="7"/>
        <v>51.301379659475259</v>
      </c>
      <c r="AW24" s="208">
        <f t="shared" si="7"/>
        <v>54.222648642449023</v>
      </c>
      <c r="AX24" s="208">
        <f t="shared" si="7"/>
        <v>57.289981074571479</v>
      </c>
      <c r="AY24" s="208">
        <f t="shared" si="7"/>
        <v>60.510680128300059</v>
      </c>
      <c r="AZ24" s="208">
        <f t="shared" si="7"/>
        <v>63.892414134715061</v>
      </c>
      <c r="BA24" s="208">
        <f t="shared" si="7"/>
        <v>67.443234841450831</v>
      </c>
      <c r="BB24" s="208">
        <f t="shared" si="7"/>
        <v>71.171596583523382</v>
      </c>
      <c r="BC24" s="208">
        <f t="shared" si="7"/>
        <v>75.086376412699551</v>
      </c>
      <c r="BD24" s="44" t="str">
        <f t="shared" si="4"/>
        <v>Dn</v>
      </c>
      <c r="BE24" t="s">
        <v>1406</v>
      </c>
      <c r="BG24" s="1607">
        <v>2013</v>
      </c>
      <c r="BH24" s="2611">
        <v>21.776225011581559</v>
      </c>
      <c r="BI24" s="2612">
        <v>17.953158422730532</v>
      </c>
      <c r="BJ24" s="2609">
        <v>22.832323118365768</v>
      </c>
      <c r="BK24" s="2609">
        <v>26.82470761987901</v>
      </c>
      <c r="BL24" s="2609"/>
      <c r="BM24" s="20"/>
      <c r="BN24" s="2609">
        <v>9.0619465420277994</v>
      </c>
      <c r="BO24" s="2609">
        <v>15.245411430096356</v>
      </c>
      <c r="BP24" s="2609"/>
      <c r="BQ24" s="2609">
        <v>0</v>
      </c>
      <c r="BR24" s="2609">
        <v>19.653563919076568</v>
      </c>
      <c r="BS24" s="2609">
        <v>16.643637181160418</v>
      </c>
      <c r="BT24" s="2609">
        <v>15.596922733834738</v>
      </c>
      <c r="BU24" s="855">
        <v>20.587243519803909</v>
      </c>
      <c r="BW24" s="2032">
        <f t="shared" si="2"/>
        <v>0.72531114707757816</v>
      </c>
      <c r="BX24" s="1607">
        <v>2013</v>
      </c>
      <c r="BY24" s="1135">
        <v>143.347059</v>
      </c>
      <c r="BZ24" s="1039">
        <v>75.528999999999996</v>
      </c>
      <c r="CA24" s="1135">
        <v>4.1374433479760002</v>
      </c>
      <c r="CB24" s="1039">
        <v>75.560123440531513</v>
      </c>
      <c r="CC24" s="1153">
        <f t="shared" si="3"/>
        <v>0.72531114707757816</v>
      </c>
      <c r="CD24" s="1016">
        <f>НАСТРОЙКА!IX23</f>
        <v>7437.2874597344635</v>
      </c>
      <c r="CE24" s="1016">
        <v>5394.3474985656912</v>
      </c>
      <c r="CF24" s="947">
        <f t="shared" si="0"/>
        <v>1.9490921889636572</v>
      </c>
      <c r="CG24" s="2093">
        <v>2.3135474533796829</v>
      </c>
      <c r="CI24" s="947">
        <v>1.2875885125774005</v>
      </c>
      <c r="CJ24" s="1153">
        <v>2.7190556138834916</v>
      </c>
      <c r="CK24" s="35">
        <v>0.63595061142174802</v>
      </c>
      <c r="CL24" s="1135"/>
      <c r="CM24" s="947">
        <v>0</v>
      </c>
      <c r="CN24" s="32">
        <v>4.4509097465560021</v>
      </c>
      <c r="CO24" s="1153">
        <v>1.9085217286102594</v>
      </c>
      <c r="CQ24" s="2130"/>
    </row>
    <row r="25" spans="1:95" ht="18">
      <c r="A25" s="614" t="s">
        <v>2042</v>
      </c>
      <c r="E25" s="105">
        <v>25</v>
      </c>
      <c r="F25" s="517">
        <v>43939</v>
      </c>
      <c r="G25" s="205" t="s">
        <v>650</v>
      </c>
      <c r="H25" s="21" t="s">
        <v>809</v>
      </c>
      <c r="I25" s="546" t="s">
        <v>923</v>
      </c>
      <c r="J25" s="546"/>
      <c r="K25" s="546"/>
      <c r="L25" s="546"/>
      <c r="M25" s="546"/>
      <c r="N25" s="546"/>
      <c r="O25" s="207">
        <v>1</v>
      </c>
      <c r="P25" s="714">
        <f>ОТЧЁТ!V190</f>
        <v>2.4661634872716665</v>
      </c>
      <c r="Q25" s="714">
        <f>ОТЧЁТ!W190</f>
        <v>2.5165818894824628</v>
      </c>
      <c r="R25" s="714">
        <f>ОТЧЁТ!X190</f>
        <v>2.6836249787031963</v>
      </c>
      <c r="S25" s="714">
        <f>ОТЧЁТ!Y190</f>
        <v>2.701164323022275</v>
      </c>
      <c r="T25" s="714">
        <f>ОТЧЁТ!Z190</f>
        <v>3.2947518370474893</v>
      </c>
      <c r="U25" s="714">
        <f>ОТЧЁТ!AA190</f>
        <v>3.7846782806927575</v>
      </c>
      <c r="V25" s="714">
        <f>ОТЧЁТ!AB190</f>
        <v>4.5228031897927927</v>
      </c>
      <c r="W25" s="714">
        <f>ОТЧЁТ!AC190</f>
        <v>5.542638112686384</v>
      </c>
      <c r="X25" s="714">
        <f>ОТЧЁТ!AD190</f>
        <v>6.2728522161048463</v>
      </c>
      <c r="Y25" s="714">
        <f>ОТЧЁТ!AE190</f>
        <v>7.3244397581202456</v>
      </c>
      <c r="Z25" s="714">
        <f>ОТЧЁТ!AF190</f>
        <v>8.1861967165379976</v>
      </c>
      <c r="AA25" s="714">
        <f>ОТЧЁТ!AG190</f>
        <v>10.097240670067599</v>
      </c>
      <c r="AB25" s="714">
        <f>ОТЧЁТ!AH190</f>
        <v>12.014838376677151</v>
      </c>
      <c r="AC25" s="714">
        <f>ОТЧЁТ!AI190</f>
        <v>12.870829474853368</v>
      </c>
      <c r="AD25" s="714">
        <f>ОТЧЁТ!AJ190</f>
        <v>14.148307151553455</v>
      </c>
      <c r="AE25" s="714">
        <f>ОТЧЁТ!AK190</f>
        <v>15.766970202222982</v>
      </c>
      <c r="AF25" s="714">
        <f>ОТЧЁТ!AL190</f>
        <v>16.974068796381736</v>
      </c>
      <c r="AG25" s="714">
        <f>ОТЧЁТ!AM190</f>
        <v>17.953158422730532</v>
      </c>
      <c r="AH25" s="714">
        <f>ОТЧЁТ!AN190</f>
        <v>19.115802786548628</v>
      </c>
      <c r="AI25" s="714">
        <f>ОТЧЁТ!AO190</f>
        <v>20.193444864834213</v>
      </c>
      <c r="AJ25" s="714">
        <f>ОТЧЁТ!AP190</f>
        <v>22.177890468882978</v>
      </c>
      <c r="AK25" s="714">
        <f>ОТЧЁТ!AQ190</f>
        <v>22.675989872141365</v>
      </c>
      <c r="AL25" s="714">
        <f>ОТЧЁТ!AR190</f>
        <v>23.085153319082956</v>
      </c>
      <c r="AM25" s="714">
        <f>1.1042*AM14-0.3884</f>
        <v>24.669713611800503</v>
      </c>
      <c r="AN25" s="714">
        <f t="shared" ref="AN25:BC25" si="8">1.1042*AN14-0.3884</f>
        <v>25.900066990139901</v>
      </c>
      <c r="AO25" s="714">
        <f t="shared" si="8"/>
        <v>27.2144903396469</v>
      </c>
      <c r="AP25" s="714">
        <f t="shared" si="8"/>
        <v>28.594634856629245</v>
      </c>
      <c r="AQ25" s="714">
        <f t="shared" si="8"/>
        <v>30.043786599460709</v>
      </c>
      <c r="AR25" s="714">
        <f t="shared" si="8"/>
        <v>31.565395929433745</v>
      </c>
      <c r="AS25" s="714">
        <f t="shared" si="8"/>
        <v>33.163085725905439</v>
      </c>
      <c r="AT25" s="714">
        <f t="shared" si="8"/>
        <v>34.840660012200708</v>
      </c>
      <c r="AU25" s="714">
        <f t="shared" si="8"/>
        <v>36.602113012810747</v>
      </c>
      <c r="AV25" s="714">
        <f t="shared" si="8"/>
        <v>38.451638663451291</v>
      </c>
      <c r="AW25" s="714">
        <f t="shared" si="8"/>
        <v>40.393640596623854</v>
      </c>
      <c r="AX25" s="714">
        <f t="shared" si="8"/>
        <v>42.432742626455045</v>
      </c>
      <c r="AY25" s="714">
        <f t="shared" si="8"/>
        <v>44.573799757777806</v>
      </c>
      <c r="AZ25" s="714">
        <f t="shared" si="8"/>
        <v>46.821909745666701</v>
      </c>
      <c r="BA25" s="714">
        <f t="shared" si="8"/>
        <v>49.182425232950038</v>
      </c>
      <c r="BB25" s="714">
        <f t="shared" si="8"/>
        <v>51.660966494597545</v>
      </c>
      <c r="BC25" s="714">
        <f t="shared" si="8"/>
        <v>54.263434819327429</v>
      </c>
      <c r="BD25" s="44" t="str">
        <f t="shared" si="4"/>
        <v>Df</v>
      </c>
      <c r="BE25" t="s">
        <v>1406</v>
      </c>
      <c r="BG25" s="1607">
        <v>2014</v>
      </c>
      <c r="BH25" s="2611">
        <v>22.851453644141124</v>
      </c>
      <c r="BI25" s="2612">
        <v>19.115802786548628</v>
      </c>
      <c r="BJ25" s="2609">
        <v>24.43123573923766</v>
      </c>
      <c r="BK25" s="2609">
        <v>28.785172632075849</v>
      </c>
      <c r="BL25" s="2609"/>
      <c r="BM25" s="20"/>
      <c r="BN25" s="2609">
        <v>10.713774916786434</v>
      </c>
      <c r="BO25" s="2609">
        <v>17.318787384589459</v>
      </c>
      <c r="BP25" s="2609"/>
      <c r="BQ25" s="2609">
        <v>0</v>
      </c>
      <c r="BR25" s="2609">
        <v>21.016276952701091</v>
      </c>
      <c r="BS25" s="2609">
        <v>18.778754615584578</v>
      </c>
      <c r="BT25" s="2609">
        <v>19.408072573294923</v>
      </c>
      <c r="BU25" s="855">
        <v>22.05840052773225</v>
      </c>
      <c r="BW25" s="2032">
        <f t="shared" si="2"/>
        <v>0.70502761451706741</v>
      </c>
      <c r="BX25" s="1607">
        <v>2014</v>
      </c>
      <c r="BY25" s="1135">
        <v>143.66693100000001</v>
      </c>
      <c r="BZ25" s="1039">
        <v>75.427999999999997</v>
      </c>
      <c r="CA25" s="1135">
        <v>3.889373856792</v>
      </c>
      <c r="CB25" s="1039">
        <v>76.007477976215441</v>
      </c>
      <c r="CC25" s="1153">
        <f t="shared" si="3"/>
        <v>0.70502761451706741</v>
      </c>
      <c r="CD25" s="1016">
        <f>НАСТРОЙКА!IX24</f>
        <v>7712.4670957446378</v>
      </c>
      <c r="CE25" s="1016">
        <v>5437.5022785542169</v>
      </c>
      <c r="CF25" s="947">
        <f t="shared" si="0"/>
        <v>1.9646849264753665</v>
      </c>
      <c r="CG25" s="2093">
        <v>2.2788442415789878</v>
      </c>
      <c r="CI25" s="947">
        <v>1.2605491538132751</v>
      </c>
      <c r="CJ25" s="1153">
        <v>2.7734367261611617</v>
      </c>
      <c r="CK25" s="35">
        <v>0.63595061142174802</v>
      </c>
      <c r="CL25" s="1135"/>
      <c r="CM25" s="947">
        <v>0</v>
      </c>
      <c r="CN25" s="32">
        <v>4.1259933350574141</v>
      </c>
      <c r="CO25" s="1153">
        <v>1.9226180848563927</v>
      </c>
      <c r="CQ25" s="2130"/>
    </row>
    <row r="26" spans="1:95" ht="18">
      <c r="A26" s="614" t="s">
        <v>2041</v>
      </c>
      <c r="E26" s="105">
        <v>26</v>
      </c>
      <c r="F26" s="517">
        <v>43939</v>
      </c>
      <c r="G26" s="205" t="s">
        <v>652</v>
      </c>
      <c r="H26" s="21" t="s">
        <v>809</v>
      </c>
      <c r="I26" s="546" t="s">
        <v>2252</v>
      </c>
      <c r="J26" s="546"/>
      <c r="K26" s="546"/>
      <c r="L26" s="546"/>
      <c r="M26" s="546"/>
      <c r="N26" s="546"/>
      <c r="O26" s="207">
        <v>1</v>
      </c>
      <c r="P26" s="208">
        <f>ОТЧЁТ!V191</f>
        <v>1.6953967315458069</v>
      </c>
      <c r="Q26" s="208">
        <f>ОТЧЁТ!W191</f>
        <v>2.415292468742241</v>
      </c>
      <c r="R26" s="208">
        <f>ОТЧЁТ!X191</f>
        <v>2.6727462335842294</v>
      </c>
      <c r="S26" s="208">
        <f>ОТЧЁТ!Y191</f>
        <v>3.4893420575027583</v>
      </c>
      <c r="T26" s="208">
        <f>ОТЧЁТ!Z191</f>
        <v>3.9448052793534916</v>
      </c>
      <c r="U26" s="208">
        <f>ОТЧЁТ!AA191</f>
        <v>4.3960246162225971</v>
      </c>
      <c r="V26" s="208">
        <f>ОТЧЁТ!AB191</f>
        <v>5.8843823618297426</v>
      </c>
      <c r="W26" s="208">
        <f>ОТЧЁТ!AC191</f>
        <v>5.9009164044902702</v>
      </c>
      <c r="X26" s="208">
        <f>ОТЧЁТ!AD191</f>
        <v>5.7361386042739939</v>
      </c>
      <c r="Y26" s="208">
        <f>ОТЧЁТ!AE191</f>
        <v>7.7188495068870884</v>
      </c>
      <c r="Z26" s="208">
        <f>ОТЧЁТ!AF191</f>
        <v>7.333907061981483</v>
      </c>
      <c r="AA26" s="208">
        <f>ОТЧЁТ!AG191</f>
        <v>7.9418012798076241</v>
      </c>
      <c r="AB26" s="208">
        <f>ОТЧЁТ!AH191</f>
        <v>9.313557709187231</v>
      </c>
      <c r="AC26" s="208">
        <f>ОТЧЁТ!AI191</f>
        <v>10.66694831320229</v>
      </c>
      <c r="AD26" s="208">
        <f>ОТЧЁТ!AJ191</f>
        <v>11.27644871677545</v>
      </c>
      <c r="AE26" s="208">
        <f>ОТЧЁТ!AK191</f>
        <v>12.282914423380722</v>
      </c>
      <c r="AF26" s="208">
        <f>ОТЧЁТ!AL191</f>
        <v>13.249096044334456</v>
      </c>
      <c r="AG26" s="208">
        <f>ОТЧЁТ!AM191</f>
        <v>14.15863931501705</v>
      </c>
      <c r="AH26" s="208">
        <f>ОТЧЁТ!AN191</f>
        <v>14.240158664898729</v>
      </c>
      <c r="AI26" s="208">
        <f>ОТЧЁТ!AO191</f>
        <v>14.837823597492827</v>
      </c>
      <c r="AJ26" s="208">
        <f>ОТЧЁТ!AP191</f>
        <v>15.707409284457475</v>
      </c>
      <c r="AK26" s="208">
        <f>ОТЧЁТ!AQ191</f>
        <v>14.777985159687598</v>
      </c>
      <c r="AL26" s="208">
        <f>ОТЧЁТ!AR191</f>
        <v>15.400454434924034</v>
      </c>
      <c r="AM26" s="208">
        <f>0.1975*AM14+11.04</f>
        <v>15.521957469960693</v>
      </c>
      <c r="AN26" s="208">
        <f t="shared" ref="AN26:BC26" si="9">0.1975*AN14+11.04</f>
        <v>15.742021581735763</v>
      </c>
      <c r="AO26" s="208">
        <f t="shared" si="9"/>
        <v>15.977122660822552</v>
      </c>
      <c r="AP26" s="208">
        <f t="shared" si="9"/>
        <v>16.223978793863679</v>
      </c>
      <c r="AQ26" s="208">
        <f t="shared" si="9"/>
        <v>16.483177733556865</v>
      </c>
      <c r="AR26" s="208">
        <f t="shared" si="9"/>
        <v>16.755336620234708</v>
      </c>
      <c r="AS26" s="208">
        <f t="shared" si="9"/>
        <v>17.041103451246443</v>
      </c>
      <c r="AT26" s="208">
        <f t="shared" si="9"/>
        <v>17.341158623808766</v>
      </c>
      <c r="AU26" s="208">
        <f t="shared" si="9"/>
        <v>17.656216554999205</v>
      </c>
      <c r="AV26" s="208">
        <f t="shared" si="9"/>
        <v>17.987027382749165</v>
      </c>
      <c r="AW26" s="208">
        <f t="shared" si="9"/>
        <v>18.334378751886625</v>
      </c>
      <c r="AX26" s="208">
        <f t="shared" si="9"/>
        <v>18.699097689480954</v>
      </c>
      <c r="AY26" s="208">
        <f t="shared" si="9"/>
        <v>19.082052573955004</v>
      </c>
      <c r="AZ26" s="208">
        <f t="shared" si="9"/>
        <v>19.484155202652754</v>
      </c>
      <c r="BA26" s="208">
        <f t="shared" si="9"/>
        <v>19.906362962785394</v>
      </c>
      <c r="BB26" s="208">
        <f t="shared" si="9"/>
        <v>20.349681110924664</v>
      </c>
      <c r="BC26" s="208">
        <f t="shared" si="9"/>
        <v>20.815165166470898</v>
      </c>
      <c r="BD26" s="44" t="str">
        <f t="shared" si="4"/>
        <v>Dww</v>
      </c>
      <c r="BE26" t="s">
        <v>1406</v>
      </c>
      <c r="BG26" s="1607">
        <v>2015</v>
      </c>
      <c r="BH26" s="2611">
        <v>25.408791247612854</v>
      </c>
      <c r="BI26" s="2612">
        <v>20.193444864834213</v>
      </c>
      <c r="BJ26" s="2609">
        <v>27.196038400434425</v>
      </c>
      <c r="BK26" s="2609">
        <v>30.966851255246702</v>
      </c>
      <c r="BL26" s="2609"/>
      <c r="BM26" s="20"/>
      <c r="BN26" s="2609">
        <v>15.005583237946571</v>
      </c>
      <c r="BO26" s="2609">
        <v>19.552910957201501</v>
      </c>
      <c r="BP26" s="2609"/>
      <c r="BQ26" s="2609">
        <v>0</v>
      </c>
      <c r="BR26" s="2609">
        <v>23.908625308988828</v>
      </c>
      <c r="BS26" s="2609">
        <v>20.932137525435952</v>
      </c>
      <c r="BT26" s="2609">
        <v>25.392619710313024</v>
      </c>
      <c r="BU26" s="855">
        <v>24.641576618684894</v>
      </c>
      <c r="BW26" s="2032">
        <f t="shared" si="2"/>
        <v>0.67428513132591605</v>
      </c>
      <c r="BX26" s="1607">
        <v>2015</v>
      </c>
      <c r="BY26" s="1135">
        <v>146.26728800000001</v>
      </c>
      <c r="BZ26" s="1039">
        <v>76.587999999999994</v>
      </c>
      <c r="CA26" s="1135">
        <v>4.2639265933380006</v>
      </c>
      <c r="CB26" s="1039">
        <v>74.205557755695821</v>
      </c>
      <c r="CC26" s="1153">
        <f t="shared" si="3"/>
        <v>0.67428513132591605</v>
      </c>
      <c r="CD26" s="1016">
        <f>НАСТРОЙКА!IX25</f>
        <v>7959.2660428084673</v>
      </c>
      <c r="CE26" s="1016">
        <v>5366.8147489330113</v>
      </c>
      <c r="CF26" s="947">
        <f t="shared" si="0"/>
        <v>1.9391440224311864</v>
      </c>
      <c r="CG26" s="2093">
        <v>2.0486809731795099</v>
      </c>
      <c r="CI26" s="947">
        <v>1.2151693842759972</v>
      </c>
      <c r="CJ26" s="1153">
        <v>2.5127336739020127</v>
      </c>
      <c r="CK26" s="35">
        <v>0.61750804369051726</v>
      </c>
      <c r="CL26" s="1135"/>
      <c r="CM26" s="947">
        <v>0</v>
      </c>
      <c r="CN26" s="32">
        <v>3.0903690079580031</v>
      </c>
      <c r="CO26" s="1153">
        <v>1.8783978689046958</v>
      </c>
      <c r="CQ26" s="2130"/>
    </row>
    <row r="27" spans="1:95" ht="18">
      <c r="A27" s="614" t="s">
        <v>1988</v>
      </c>
      <c r="B27" s="614"/>
      <c r="C27" s="614"/>
      <c r="D27" s="614"/>
      <c r="E27" s="105">
        <v>27</v>
      </c>
      <c r="F27" s="517">
        <v>43939</v>
      </c>
      <c r="G27" s="205" t="s">
        <v>646</v>
      </c>
      <c r="H27" s="21" t="s">
        <v>809</v>
      </c>
      <c r="I27" s="546" t="s">
        <v>921</v>
      </c>
      <c r="J27" s="546"/>
      <c r="K27" s="546"/>
      <c r="L27" s="546"/>
      <c r="M27" s="546"/>
      <c r="N27" s="546"/>
      <c r="O27" s="207">
        <v>1</v>
      </c>
      <c r="P27" s="2032">
        <f>ОТЧЁТ!V188</f>
        <v>1.170751567490661</v>
      </c>
      <c r="Q27" s="2032">
        <f>ОТЧЁТ!W188</f>
        <v>1.4027022303089887</v>
      </c>
      <c r="R27" s="2032">
        <f>ОТЧЁТ!X188</f>
        <v>2.0776657762662092</v>
      </c>
      <c r="S27" s="2032">
        <f>ОТЧЁТ!Y188</f>
        <v>4.8943006185343938</v>
      </c>
      <c r="T27" s="2032">
        <f>ОТЧЁТ!Z188</f>
        <v>5.1416113994451775</v>
      </c>
      <c r="U27" s="2032">
        <f>ОТЧЁТ!AA188</f>
        <v>5.3433855590626722</v>
      </c>
      <c r="V27" s="2032">
        <f>ОТЧЁТ!AB188</f>
        <v>5.6965406483895409</v>
      </c>
      <c r="W27" s="2032">
        <f>ОТЧЁТ!AC188</f>
        <v>5.788123461724906</v>
      </c>
      <c r="X27" s="2032">
        <f>ОТЧЁТ!AD188</f>
        <v>5.6171649663435321</v>
      </c>
      <c r="Y27" s="2032">
        <f>ОТЧЁТ!AE188</f>
        <v>5.9336563381172764</v>
      </c>
      <c r="Z27" s="2032">
        <f>ОТЧЁТ!AF188</f>
        <v>5.9494755268032087</v>
      </c>
      <c r="AA27" s="2032">
        <f>ОТЧЁТ!AG188</f>
        <v>5.9724865903412292</v>
      </c>
      <c r="AB27" s="2032">
        <f>ОТЧЁТ!AH188</f>
        <v>6.6180737006266304</v>
      </c>
      <c r="AC27" s="2032">
        <f>ОТЧЁТ!AI188</f>
        <v>8.3015732196072296</v>
      </c>
      <c r="AD27" s="2032">
        <f>ОТЧЁТ!AJ188</f>
        <v>8.121605375451491</v>
      </c>
      <c r="AE27" s="2032">
        <f>ОТЧЁТ!AK188</f>
        <v>8.2828741918760365</v>
      </c>
      <c r="AF27" s="2032">
        <f>ОТЧЁТ!AL188</f>
        <v>8.6670199170643638</v>
      </c>
      <c r="AG27" s="2032">
        <f>ОТЧЁТ!AM188</f>
        <v>9.0619465420277994</v>
      </c>
      <c r="AH27" s="2032">
        <f>ОТЧЁТ!AN188</f>
        <v>10.713774916786434</v>
      </c>
      <c r="AI27" s="2032">
        <f>ОТЧЁТ!AO188</f>
        <v>15.005583237946571</v>
      </c>
      <c r="AJ27" s="2032">
        <f>ОТЧЁТ!AP188</f>
        <v>16.052012422908835</v>
      </c>
      <c r="AK27" s="2032">
        <f>ОТЧЁТ!AQ188</f>
        <v>14.742627700481552</v>
      </c>
      <c r="AL27" s="2032">
        <f>ОТЧЁТ!AR188</f>
        <v>16.237654558609503</v>
      </c>
      <c r="AM27" s="947">
        <f>0.6044*AM28-2.3458</f>
        <v>18.438060398142703</v>
      </c>
      <c r="AN27" s="947">
        <f>0.6044*AN28-2.3458 +2</f>
        <v>19.799322318991504</v>
      </c>
      <c r="AO27" s="947">
        <f t="shared" ref="AO27:BC27" si="10">0.6044*AO28-2.3458</f>
        <v>20.147590934941082</v>
      </c>
      <c r="AP27" s="947">
        <f t="shared" si="10"/>
        <v>20.910602631688135</v>
      </c>
      <c r="AQ27" s="947">
        <f t="shared" si="10"/>
        <v>21.701943413272542</v>
      </c>
      <c r="AR27" s="947">
        <f t="shared" si="10"/>
        <v>22.52302973393617</v>
      </c>
      <c r="AS27" s="947">
        <f t="shared" si="10"/>
        <v>23.375348870632976</v>
      </c>
      <c r="AT27" s="947">
        <f t="shared" si="10"/>
        <v>24.260462464164625</v>
      </c>
      <c r="AU27" s="947">
        <f t="shared" si="10"/>
        <v>25.180010237372858</v>
      </c>
      <c r="AV27" s="947">
        <f t="shared" si="10"/>
        <v>26.135713899241502</v>
      </c>
      <c r="AW27" s="947">
        <f t="shared" si="10"/>
        <v>27.129381244203579</v>
      </c>
      <c r="AX27" s="947">
        <f t="shared" si="10"/>
        <v>28.162910456413751</v>
      </c>
      <c r="AY27" s="947">
        <f t="shared" si="10"/>
        <v>29.238294629234446</v>
      </c>
      <c r="AZ27" s="947">
        <f t="shared" si="10"/>
        <v>30.357626510696168</v>
      </c>
      <c r="BA27" s="947">
        <f t="shared" si="10"/>
        <v>31.523103486230976</v>
      </c>
      <c r="BB27" s="947">
        <f t="shared" si="10"/>
        <v>32.737032810542537</v>
      </c>
      <c r="BC27" s="947">
        <f t="shared" si="10"/>
        <v>34.001837101069661</v>
      </c>
      <c r="BD27" s="44" t="str">
        <f t="shared" si="4"/>
        <v>Dm</v>
      </c>
      <c r="BE27" t="s">
        <v>1406</v>
      </c>
      <c r="BG27" s="1607">
        <v>2016</v>
      </c>
      <c r="BH27" s="2611">
        <v>27.019844336572895</v>
      </c>
      <c r="BI27" s="2612">
        <v>22.177890468882978</v>
      </c>
      <c r="BJ27" s="2609">
        <v>28.328183799288354</v>
      </c>
      <c r="BK27" s="2609">
        <v>31.991031785021747</v>
      </c>
      <c r="BL27" s="2609"/>
      <c r="BM27" s="20"/>
      <c r="BN27" s="2609">
        <v>16.052012422908835</v>
      </c>
      <c r="BO27" s="2609">
        <v>20.606812857794662</v>
      </c>
      <c r="BP27" s="2609"/>
      <c r="BQ27" s="2609">
        <v>0</v>
      </c>
      <c r="BR27" s="2609">
        <v>25.541020349632802</v>
      </c>
      <c r="BS27" s="2609">
        <v>22.713794876355891</v>
      </c>
      <c r="BT27" s="2609">
        <v>24.686694352693262</v>
      </c>
      <c r="BU27" s="855">
        <v>25.837490201740536</v>
      </c>
      <c r="BW27" s="2032">
        <f t="shared" si="2"/>
        <v>0.65676280356287497</v>
      </c>
      <c r="BX27" s="1607">
        <v>2016</v>
      </c>
      <c r="BY27" s="1135">
        <v>146.54471000000001</v>
      </c>
      <c r="BZ27" s="1039">
        <v>76.635999999999996</v>
      </c>
      <c r="CA27" s="1135">
        <v>4.2430000000000003</v>
      </c>
      <c r="CB27" s="1039">
        <v>75.024056551326893</v>
      </c>
      <c r="CC27" s="1153">
        <f t="shared" si="3"/>
        <v>0.65676280356287497</v>
      </c>
      <c r="CD27" s="1016">
        <f>НАСТРОЙКА!IX26</f>
        <v>8269.677418477997</v>
      </c>
      <c r="CE27" s="1016">
        <v>5431.2165259202075</v>
      </c>
      <c r="CF27" s="947">
        <f t="shared" si="0"/>
        <v>1.9624137507003607</v>
      </c>
      <c r="CG27" s="2093">
        <v>2.0445836112331506</v>
      </c>
      <c r="CI27" s="947">
        <v>1.2333969250401371</v>
      </c>
      <c r="CJ27" s="1153">
        <v>2.4649917340978744</v>
      </c>
      <c r="CK27" s="35">
        <v>0.62368312412742244</v>
      </c>
      <c r="CL27" s="1135"/>
      <c r="CM27" s="947">
        <v>0</v>
      </c>
      <c r="CN27" s="32">
        <v>2.9791157236715149</v>
      </c>
      <c r="CO27" s="1153">
        <v>1.882154664642504</v>
      </c>
      <c r="CQ27" s="2130"/>
    </row>
    <row r="28" spans="1:95" ht="18">
      <c r="A28" s="614" t="s">
        <v>1987</v>
      </c>
      <c r="B28" s="614"/>
      <c r="C28" s="614"/>
      <c r="D28" s="614"/>
      <c r="E28" s="105">
        <v>28</v>
      </c>
      <c r="F28" s="517">
        <v>43939</v>
      </c>
      <c r="G28" s="205" t="s">
        <v>1894</v>
      </c>
      <c r="H28" s="21" t="s">
        <v>809</v>
      </c>
      <c r="I28" s="546" t="s">
        <v>2047</v>
      </c>
      <c r="J28" s="546"/>
      <c r="K28" s="546"/>
      <c r="L28" s="546"/>
      <c r="M28" s="546"/>
      <c r="N28" s="546"/>
      <c r="O28" s="2031"/>
      <c r="P28" s="2032"/>
      <c r="Q28" s="2032"/>
      <c r="R28" s="2032"/>
      <c r="S28" s="2032"/>
      <c r="T28" s="2032"/>
      <c r="U28" s="2032"/>
      <c r="V28" s="2032"/>
      <c r="W28" s="2032"/>
      <c r="X28" s="2032"/>
      <c r="Y28" s="2032"/>
      <c r="Z28" s="2032"/>
      <c r="AA28" s="2032"/>
      <c r="AB28" s="2032"/>
      <c r="AC28" s="2032"/>
      <c r="AD28" s="2032"/>
      <c r="AE28" s="2032"/>
      <c r="AF28" s="2032"/>
      <c r="AG28" s="2032"/>
      <c r="AH28" s="2032"/>
      <c r="AI28" s="2032"/>
      <c r="AJ28" s="2032"/>
      <c r="AM28" s="947">
        <f>0.25*AM12+0.75*AM14</f>
        <v>34.387591658078591</v>
      </c>
      <c r="AN28" s="947">
        <f t="shared" ref="AN28:BC28" si="11">0.25*AN12+0.75*AN14</f>
        <v>33.33077815849024</v>
      </c>
      <c r="AO28" s="947">
        <f t="shared" si="11"/>
        <v>37.216067066414759</v>
      </c>
      <c r="AP28" s="947">
        <f t="shared" si="11"/>
        <v>38.478495419735495</v>
      </c>
      <c r="AQ28" s="947">
        <f t="shared" si="11"/>
        <v>39.787795190722271</v>
      </c>
      <c r="AR28" s="947">
        <f t="shared" si="11"/>
        <v>41.146309950258384</v>
      </c>
      <c r="AS28" s="947">
        <f t="shared" si="11"/>
        <v>42.556500447771299</v>
      </c>
      <c r="AT28" s="947">
        <f t="shared" si="11"/>
        <v>44.020950470159868</v>
      </c>
      <c r="AU28" s="947">
        <f t="shared" si="11"/>
        <v>45.542372993667861</v>
      </c>
      <c r="AV28" s="947">
        <f t="shared" si="11"/>
        <v>47.123616643351255</v>
      </c>
      <c r="AW28" s="947">
        <f t="shared" si="11"/>
        <v>48.767672475518822</v>
      </c>
      <c r="AX28" s="947">
        <f t="shared" si="11"/>
        <v>50.477681099294756</v>
      </c>
      <c r="AY28" s="947">
        <f t="shared" si="11"/>
        <v>52.256940154259503</v>
      </c>
      <c r="AZ28" s="947">
        <f t="shared" si="11"/>
        <v>54.108912161972484</v>
      </c>
      <c r="BA28" s="947">
        <f t="shared" si="11"/>
        <v>56.037232770071107</v>
      </c>
      <c r="BB28" s="947">
        <f t="shared" si="11"/>
        <v>58.045719408574669</v>
      </c>
      <c r="BC28" s="947">
        <f t="shared" si="11"/>
        <v>60.138380379003401</v>
      </c>
      <c r="BD28" s="44" t="str">
        <f t="shared" si="4"/>
        <v>FA</v>
      </c>
      <c r="BE28" t="s">
        <v>1406</v>
      </c>
      <c r="BG28" s="1607">
        <v>2017</v>
      </c>
      <c r="BH28" s="2611">
        <v>28.017232863734257</v>
      </c>
      <c r="BI28" s="2612">
        <v>22.675989872141365</v>
      </c>
      <c r="BJ28" s="2609">
        <v>29.877742312507845</v>
      </c>
      <c r="BK28" s="2609">
        <v>33.649317794864295</v>
      </c>
      <c r="BL28" s="2609"/>
      <c r="BM28" s="20"/>
      <c r="BN28" s="2609">
        <v>14.742627700481552</v>
      </c>
      <c r="BO28" s="2609">
        <v>21.124043860525305</v>
      </c>
      <c r="BP28" s="2609"/>
      <c r="BQ28" s="2609">
        <v>0</v>
      </c>
      <c r="BR28" s="2609">
        <v>26.262932750374507</v>
      </c>
      <c r="BS28" s="2609">
        <v>24.993896175246313</v>
      </c>
      <c r="BT28" s="2609">
        <v>23.815961506525245</v>
      </c>
      <c r="BU28" s="855">
        <v>27.279512414925115</v>
      </c>
      <c r="BW28" s="2032">
        <f t="shared" si="2"/>
        <v>0.64853745053174072</v>
      </c>
      <c r="BX28" s="1607">
        <v>2017</v>
      </c>
      <c r="BY28" s="1135">
        <v>146.804372</v>
      </c>
      <c r="BZ28" s="1039">
        <v>76.108999999999995</v>
      </c>
      <c r="CA28" s="1135">
        <v>3.9670000000000001</v>
      </c>
      <c r="CB28" s="1039">
        <v>77.167211043056923</v>
      </c>
      <c r="CC28" s="1153">
        <f t="shared" si="3"/>
        <v>0.64853745053174072</v>
      </c>
      <c r="CD28" s="1016">
        <f>НАСТРОЙКА!IX27</f>
        <v>8583.9251603801604</v>
      </c>
      <c r="CE28" s="1016">
        <v>5566.9969390682127</v>
      </c>
      <c r="CF28" s="947">
        <f t="shared" si="0"/>
        <v>2.0114740944678697</v>
      </c>
      <c r="CG28" s="2093">
        <v>2.142723624572342</v>
      </c>
      <c r="CI28" s="947">
        <v>1.2642318481661403</v>
      </c>
      <c r="CJ28" s="1153">
        <v>2.5463364613231039</v>
      </c>
      <c r="CK28" s="35">
        <v>0.62680153974805952</v>
      </c>
      <c r="CL28" s="1135"/>
      <c r="CM28" s="947">
        <v>0</v>
      </c>
      <c r="CN28" s="32">
        <v>3.4974818595903581</v>
      </c>
      <c r="CO28" s="1153">
        <v>1.9160334486060695</v>
      </c>
      <c r="CQ28" s="2130"/>
    </row>
    <row r="29" spans="1:95" ht="18">
      <c r="A29" s="2546" t="s">
        <v>2065</v>
      </c>
      <c r="B29" s="2547"/>
      <c r="C29" s="1406"/>
      <c r="E29" s="105">
        <v>29</v>
      </c>
      <c r="F29" s="517">
        <v>43939</v>
      </c>
      <c r="G29" s="205" t="s">
        <v>537</v>
      </c>
      <c r="H29" s="21" t="s">
        <v>809</v>
      </c>
      <c r="I29" s="546" t="s">
        <v>2253</v>
      </c>
      <c r="J29" s="546"/>
      <c r="K29" s="546"/>
      <c r="L29" s="546"/>
      <c r="M29" s="546"/>
      <c r="N29" s="546"/>
      <c r="O29" s="207">
        <v>3.9346290432521365E-2</v>
      </c>
      <c r="P29" s="219">
        <v>4.7278242416808509E-2</v>
      </c>
      <c r="Q29" s="219">
        <v>4.9588252516273142E-2</v>
      </c>
      <c r="R29" s="219">
        <v>5.3861945523556415E-2</v>
      </c>
      <c r="S29" s="219">
        <v>5.9658936395862713E-2</v>
      </c>
      <c r="T29" s="219">
        <v>6.6398456303956632E-2</v>
      </c>
      <c r="U29" s="219">
        <v>6.8925699444092325E-2</v>
      </c>
      <c r="V29" s="219">
        <v>6.5843864838066993E-2</v>
      </c>
      <c r="W29" s="219">
        <v>6.8254797026411129E-2</v>
      </c>
      <c r="X29" s="219">
        <v>7.3528457822385887E-2</v>
      </c>
      <c r="Y29" s="219">
        <v>8.3523763335885251E-2</v>
      </c>
      <c r="Z29" s="219">
        <v>8.5234323701588219E-2</v>
      </c>
      <c r="AA29" s="219">
        <v>8.2473872285148936E-2</v>
      </c>
      <c r="AB29" s="219">
        <v>8.5111867102295305E-2</v>
      </c>
      <c r="AC29" s="219">
        <v>7.304977354972729E-2</v>
      </c>
      <c r="AD29" s="219">
        <v>7.6393864573101322E-2</v>
      </c>
      <c r="AE29" s="219">
        <v>8.1204218240015197E-2</v>
      </c>
      <c r="AF29" s="219">
        <v>8.1063522765026014E-2</v>
      </c>
      <c r="AG29" s="219">
        <v>7.5219491828234591E-2</v>
      </c>
      <c r="AH29" s="219">
        <v>7.7474904945541753E-2</v>
      </c>
      <c r="AI29" s="219">
        <v>5.8009631663219277E-2</v>
      </c>
      <c r="AJ29" s="219">
        <v>5.5499247675593819E-2</v>
      </c>
      <c r="AK29" s="219">
        <v>5.3783428415799264E-2</v>
      </c>
      <c r="AL29" s="219">
        <v>5.9699343840650398E-2</v>
      </c>
      <c r="AM29" s="219">
        <v>6.2657301553075972E-2</v>
      </c>
      <c r="AN29" s="219">
        <v>6.413628040928876E-2</v>
      </c>
      <c r="AO29" s="219">
        <v>6.4875769837395153E-2</v>
      </c>
      <c r="AP29" s="219">
        <v>6.524551455144835E-2</v>
      </c>
      <c r="AQ29" s="219">
        <v>6.5430386908474941E-2</v>
      </c>
      <c r="AR29" s="219">
        <v>6.552282308698823E-2</v>
      </c>
      <c r="AS29" s="219">
        <v>6.5569041176244874E-2</v>
      </c>
      <c r="AT29" s="219">
        <v>6.5592150220873197E-2</v>
      </c>
      <c r="AU29" s="219">
        <v>6.5603704743187358E-2</v>
      </c>
      <c r="AV29" s="219">
        <v>6.5609482004344438E-2</v>
      </c>
      <c r="AW29" s="219">
        <v>6.5612370634922978E-2</v>
      </c>
      <c r="AX29" s="219">
        <v>6.5613814950212249E-2</v>
      </c>
      <c r="AY29" s="219">
        <v>6.5614537107856891E-2</v>
      </c>
      <c r="AZ29" s="219">
        <v>6.5614898186679205E-2</v>
      </c>
      <c r="BA29" s="219">
        <v>6.5615078726090362E-2</v>
      </c>
      <c r="BB29" s="219">
        <v>6.5615168995795947E-2</v>
      </c>
      <c r="BC29" s="219">
        <v>6.5615214130648747E-2</v>
      </c>
      <c r="BD29" s="44" t="str">
        <f t="shared" si="4"/>
        <v>n1</v>
      </c>
      <c r="BE29" t="s">
        <v>1406</v>
      </c>
      <c r="BG29" s="1607">
        <v>2018</v>
      </c>
      <c r="BH29" s="2611">
        <v>29.489664817255768</v>
      </c>
      <c r="BI29" s="2612">
        <v>23.085153319082956</v>
      </c>
      <c r="BJ29" s="2609">
        <v>32.514653338403463</v>
      </c>
      <c r="BK29" s="2609">
        <v>36.91744034444185</v>
      </c>
      <c r="BL29" s="2609"/>
      <c r="BM29" s="20"/>
      <c r="BN29" s="2609">
        <v>16.237654558609503</v>
      </c>
      <c r="BO29" s="2609">
        <v>22.02392812898368</v>
      </c>
      <c r="BP29" s="2609"/>
      <c r="BQ29" s="2609">
        <v>0</v>
      </c>
      <c r="BR29" s="2609">
        <v>27.120680464307846</v>
      </c>
      <c r="BS29" s="2609">
        <v>27.181442967904612</v>
      </c>
      <c r="BT29" s="2609">
        <v>28.984298505855161</v>
      </c>
      <c r="BU29" s="855">
        <v>29.751686227172179</v>
      </c>
      <c r="BW29" s="2032">
        <f t="shared" si="2"/>
        <v>0.63795670517757586</v>
      </c>
      <c r="BX29" s="1607">
        <v>2018</v>
      </c>
      <c r="BY29" s="1135">
        <v>146.88043200000001</v>
      </c>
      <c r="BZ29" s="1039">
        <v>76.3</v>
      </c>
      <c r="CA29" s="1135">
        <v>3.657</v>
      </c>
      <c r="CB29" s="1039">
        <v>78.864635853510762</v>
      </c>
      <c r="CC29" s="1153">
        <f t="shared" si="3"/>
        <v>0.63795670517757586</v>
      </c>
      <c r="CD29" s="1016">
        <f>НАСТРОЙКА!IX28</f>
        <v>8944.4500171161289</v>
      </c>
      <c r="CE29" s="1016">
        <v>5706.1718625449175</v>
      </c>
      <c r="CF29" s="947">
        <f t="shared" si="0"/>
        <v>2.0617609468295663</v>
      </c>
      <c r="CG29" s="2093">
        <v>2.2348607404289527</v>
      </c>
      <c r="CI29" s="947">
        <v>1.2680245437106386</v>
      </c>
      <c r="CJ29" s="1153">
        <v>2.6049021999335351</v>
      </c>
      <c r="CK29" s="35">
        <v>0.65500760903672217</v>
      </c>
      <c r="CL29" s="1135"/>
      <c r="CM29" s="947">
        <v>0</v>
      </c>
      <c r="CN29" s="32">
        <v>3.5919138697992974</v>
      </c>
      <c r="CO29" s="1153">
        <v>1.9696823851670402</v>
      </c>
      <c r="CQ29" s="2130"/>
    </row>
    <row r="30" spans="1:95" ht="18">
      <c r="A30" s="2546" t="s">
        <v>2065</v>
      </c>
      <c r="B30" s="2547"/>
      <c r="C30" s="1406"/>
      <c r="E30" s="105">
        <v>30</v>
      </c>
      <c r="F30" s="517">
        <v>43939</v>
      </c>
      <c r="G30" s="205" t="s">
        <v>540</v>
      </c>
      <c r="H30" s="21" t="s">
        <v>809</v>
      </c>
      <c r="I30" s="546" t="s">
        <v>2254</v>
      </c>
      <c r="J30" s="546"/>
      <c r="K30" s="546"/>
      <c r="L30" s="546"/>
      <c r="M30" s="546"/>
      <c r="N30" s="546"/>
      <c r="O30" s="216">
        <v>5.4136428377645138E-2</v>
      </c>
      <c r="P30" s="219">
        <v>6.7443827250803473E-2</v>
      </c>
      <c r="Q30" s="219">
        <v>7.3378422743912652E-2</v>
      </c>
      <c r="R30" s="219">
        <v>8.0444251496902736E-2</v>
      </c>
      <c r="S30" s="219">
        <v>7.9254765355388307E-2</v>
      </c>
      <c r="T30" s="219">
        <v>8.725766032131918E-2</v>
      </c>
      <c r="U30" s="219">
        <v>7.7539085692981194E-2</v>
      </c>
      <c r="V30" s="219">
        <v>8.5441880577529258E-2</v>
      </c>
      <c r="W30" s="219">
        <v>7.9938087537364033E-2</v>
      </c>
      <c r="X30" s="219">
        <v>8.6441962043970547E-2</v>
      </c>
      <c r="Y30" s="219">
        <v>0.10195514871018198</v>
      </c>
      <c r="Z30" s="219">
        <v>0.10383564125667144</v>
      </c>
      <c r="AA30" s="219">
        <v>9.757961920258694E-2</v>
      </c>
      <c r="AB30" s="219">
        <v>0.10182322919675864</v>
      </c>
      <c r="AC30" s="219">
        <v>8.5111435576858616E-2</v>
      </c>
      <c r="AD30" s="219">
        <v>8.949031890021944E-2</v>
      </c>
      <c r="AE30" s="219">
        <v>7.7426878329772769E-2</v>
      </c>
      <c r="AF30" s="219">
        <v>7.7480791741336263E-2</v>
      </c>
      <c r="AG30" s="219">
        <v>7.2870418821904245E-2</v>
      </c>
      <c r="AH30" s="219">
        <v>7.3756723229490298E-2</v>
      </c>
      <c r="AI30" s="219">
        <v>5.6839240897772238E-2</v>
      </c>
      <c r="AJ30" s="219">
        <v>5.4905885518075605E-2</v>
      </c>
      <c r="AK30" s="219">
        <v>5.3859001171776499E-2</v>
      </c>
      <c r="AL30" s="219">
        <v>5.9026548886211824E-2</v>
      </c>
      <c r="AM30" s="219">
        <v>6.264383228631655E-2</v>
      </c>
      <c r="AN30" s="219">
        <v>6.5175930666389853E-2</v>
      </c>
      <c r="AO30" s="219">
        <v>6.6948399532441166E-2</v>
      </c>
      <c r="AP30" s="219">
        <v>6.818912773867708E-2</v>
      </c>
      <c r="AQ30" s="219">
        <v>6.9057637483042222E-2</v>
      </c>
      <c r="AR30" s="219">
        <v>6.9665594304097828E-2</v>
      </c>
      <c r="AS30" s="219">
        <v>7.0091164078836754E-2</v>
      </c>
      <c r="AT30" s="219">
        <v>7.0389062921154003E-2</v>
      </c>
      <c r="AU30" s="219">
        <v>7.059759211077607E-2</v>
      </c>
      <c r="AV30" s="219">
        <v>7.0743562543511523E-2</v>
      </c>
      <c r="AW30" s="219">
        <v>7.0845741846426336E-2</v>
      </c>
      <c r="AX30" s="219">
        <v>7.0917267358466707E-2</v>
      </c>
      <c r="AY30" s="219">
        <v>7.0967335216894967E-2</v>
      </c>
      <c r="AZ30" s="219">
        <v>7.1002382717794743E-2</v>
      </c>
      <c r="BA30" s="219">
        <v>7.1026915968424587E-2</v>
      </c>
      <c r="BB30" s="219">
        <v>7.1044089243865474E-2</v>
      </c>
      <c r="BC30" s="219">
        <v>7.10561105366741E-2</v>
      </c>
      <c r="BD30" s="44" t="str">
        <f t="shared" si="4"/>
        <v>n2</v>
      </c>
      <c r="BE30" t="s">
        <v>1406</v>
      </c>
      <c r="BG30" s="1607">
        <v>2019</v>
      </c>
      <c r="BH30" s="2611">
        <v>30.569829658758049</v>
      </c>
      <c r="BI30" s="2612">
        <v>24.669713611800503</v>
      </c>
      <c r="BJ30" s="2609">
        <f ca="1"/>
        <v>31.980297493595838</v>
      </c>
      <c r="BK30" s="2609">
        <f ca="1"/>
        <v>36.467647772702342</v>
      </c>
      <c r="BL30" s="2609"/>
      <c r="BM30" s="20"/>
      <c r="BN30" s="2609">
        <v>18.438060398142703</v>
      </c>
      <c r="BO30" s="2609">
        <v>22.693455544104783</v>
      </c>
      <c r="BP30" s="2609"/>
      <c r="BQ30" s="2609">
        <v>0</v>
      </c>
      <c r="BR30" s="2609">
        <v>28.12440071334408</v>
      </c>
      <c r="BS30" s="2609">
        <v>28.304690887736221</v>
      </c>
      <c r="BT30" s="2609">
        <v>28.287941205989458</v>
      </c>
      <c r="BU30" s="855">
        <f ca="1"/>
        <v>29.345271222159678</v>
      </c>
      <c r="BW30" s="2032">
        <f t="shared" ca="1" si="2"/>
        <v>0.63838148479384893</v>
      </c>
      <c r="BX30" s="1607">
        <v>2019</v>
      </c>
      <c r="BY30" s="1135">
        <v>146.74509800000001</v>
      </c>
      <c r="BZ30" s="1039">
        <v>75.900000000000006</v>
      </c>
      <c r="CA30" s="1135">
        <f ca="1"/>
        <v>2.710165438947044</v>
      </c>
      <c r="CB30" s="1039">
        <v>79.940971174109237</v>
      </c>
      <c r="CC30" s="1153">
        <f t="shared" ca="1" si="3"/>
        <v>0.63838148479384893</v>
      </c>
      <c r="CD30" s="1016">
        <f>НАСТРОЙКА!IX29</f>
        <v>9315.4794364663703</v>
      </c>
      <c r="CE30" s="1016">
        <f ca="1"/>
        <v>5946.8295942179684</v>
      </c>
      <c r="CF30" s="947">
        <f t="shared" ca="1" si="0"/>
        <v>2.1487156906873497</v>
      </c>
      <c r="CG30" s="2093">
        <f ca="1"/>
        <v>2.3523092761767179</v>
      </c>
      <c r="CI30" s="947">
        <f ca="1"/>
        <v>1.3249159206294971</v>
      </c>
      <c r="CJ30" s="1153">
        <f ca="1"/>
        <v>2.7216220663945272</v>
      </c>
      <c r="CK30" s="35">
        <f>РЕЗУЛЬТАТЫ!VQ37</f>
        <v>0</v>
      </c>
      <c r="CL30" s="1135"/>
      <c r="CM30" s="947">
        <v>0</v>
      </c>
      <c r="CN30" s="32">
        <f ca="1"/>
        <v>3.7594795354810144</v>
      </c>
      <c r="CO30" s="1153">
        <f ca="1"/>
        <v>2.0364641695598009</v>
      </c>
      <c r="CQ30" s="2130"/>
    </row>
    <row r="31" spans="1:95" ht="18">
      <c r="A31" s="2552" t="s">
        <v>2065</v>
      </c>
      <c r="B31" s="2553"/>
      <c r="C31" s="837"/>
      <c r="E31" s="105">
        <v>31</v>
      </c>
      <c r="F31" s="517">
        <v>43940</v>
      </c>
      <c r="G31" s="205" t="s">
        <v>732</v>
      </c>
      <c r="H31" s="21" t="s">
        <v>809</v>
      </c>
      <c r="I31" s="546" t="s">
        <v>2064</v>
      </c>
      <c r="J31" s="546"/>
      <c r="K31" s="546"/>
      <c r="L31" s="546"/>
      <c r="M31" s="546"/>
      <c r="N31" s="546"/>
      <c r="O31" s="216">
        <f t="array" ref="O31:AL31">TRANSPOSE(ОТЧЁТ!$EG$136:$EG$159)</f>
        <v>1</v>
      </c>
      <c r="P31" s="947">
        <v>1.006</v>
      </c>
      <c r="Q31" s="947">
        <v>0.99795199999999995</v>
      </c>
      <c r="R31" s="947">
        <v>1.0029417599999999</v>
      </c>
      <c r="S31" s="947">
        <v>0.98890057535999987</v>
      </c>
      <c r="T31" s="947">
        <v>1.0047229845657599</v>
      </c>
      <c r="U31" s="947">
        <v>1.0238127212725092</v>
      </c>
      <c r="V31" s="947">
        <v>1.0320032230426892</v>
      </c>
      <c r="W31" s="947">
        <v>1.0330352262657319</v>
      </c>
      <c r="X31" s="947">
        <v>0.91836831615023562</v>
      </c>
      <c r="Y31" s="947">
        <v>0.7503069142947425</v>
      </c>
      <c r="Z31" s="947">
        <v>0.73755169675173182</v>
      </c>
      <c r="AA31" s="947">
        <v>0.75746559256402857</v>
      </c>
      <c r="AB31" s="947">
        <v>0.7468610742681322</v>
      </c>
      <c r="AC31" s="947">
        <v>0.68711218832668164</v>
      </c>
      <c r="AD31" s="947">
        <v>0.6836766273850482</v>
      </c>
      <c r="AE31" s="947">
        <v>0.65017647264318079</v>
      </c>
      <c r="AF31" s="947">
        <v>0.64367470791674897</v>
      </c>
      <c r="AG31" s="947">
        <v>0.63595061142174802</v>
      </c>
      <c r="AH31" s="947">
        <v>0.63595061142174802</v>
      </c>
      <c r="AI31" s="947">
        <v>0.61750804369051726</v>
      </c>
      <c r="AJ31" s="947">
        <v>0.62368312412742244</v>
      </c>
      <c r="AK31" s="947">
        <v>0.62680153974805952</v>
      </c>
      <c r="AL31" s="947">
        <v>0.65500760903672217</v>
      </c>
      <c r="AM31" s="209">
        <f t="array" ref="AM31:BC31">TRANSPOSE(ОТЧЁТ!$EH$160:$EH$176)</f>
        <v>0.68180337486095166</v>
      </c>
      <c r="AN31" s="209">
        <v>0.70725935239396964</v>
      </c>
      <c r="AO31" s="209">
        <v>0.73144253105033674</v>
      </c>
      <c r="AP31" s="209">
        <v>0.75441655077388547</v>
      </c>
      <c r="AQ31" s="209">
        <v>0.77624186951125673</v>
      </c>
      <c r="AR31" s="209">
        <v>0.7969759223117594</v>
      </c>
      <c r="AS31" s="209">
        <v>0.81667327247223698</v>
      </c>
      <c r="AT31" s="209">
        <v>0.83538575512469071</v>
      </c>
      <c r="AU31" s="209">
        <v>0.85316261364452173</v>
      </c>
      <c r="AV31" s="209">
        <v>0.87005062923836118</v>
      </c>
      <c r="AW31" s="209">
        <v>0.88609424405250869</v>
      </c>
      <c r="AX31" s="209">
        <v>0.90133567812594884</v>
      </c>
      <c r="AY31" s="209">
        <v>0.91581504049571694</v>
      </c>
      <c r="AZ31" s="209">
        <v>0.92957043474699663</v>
      </c>
      <c r="BA31" s="209">
        <v>0.94263805928571232</v>
      </c>
      <c r="BB31" s="209">
        <v>0.95505230259749219</v>
      </c>
      <c r="BC31" s="209">
        <v>0.96684583374368305</v>
      </c>
      <c r="BD31" s="44" t="str">
        <f t="shared" si="4"/>
        <v>Pnk</v>
      </c>
      <c r="BE31" t="s">
        <v>1406</v>
      </c>
      <c r="BG31" s="1607">
        <v>2020</v>
      </c>
      <c r="BH31" s="2611">
        <v>32.000596695003054</v>
      </c>
      <c r="BI31" s="2612">
        <v>25.900066990139901</v>
      </c>
      <c r="BJ31" s="2609">
        <f ca="1"/>
        <v>33.328438855630772</v>
      </c>
      <c r="BK31" s="2609">
        <f ca="1"/>
        <v>37.991060228035089</v>
      </c>
      <c r="BL31" s="2609"/>
      <c r="BM31" s="20"/>
      <c r="BN31" s="2609">
        <v>19.799322318991504</v>
      </c>
      <c r="BO31" s="2609">
        <v>23.807704211320324</v>
      </c>
      <c r="BP31" s="2609"/>
      <c r="BQ31" s="2609">
        <v>0</v>
      </c>
      <c r="BR31" s="2609">
        <v>28.998911158369268</v>
      </c>
      <c r="BS31" s="2609">
        <v>29.498051210324068</v>
      </c>
      <c r="BT31" s="2609">
        <v>30.295292486376674</v>
      </c>
      <c r="BU31" s="855">
        <f ca="1"/>
        <v>30.698061482495159</v>
      </c>
      <c r="BW31" s="2032">
        <f t="shared" ca="1" si="2"/>
        <v>0.62971368080122925</v>
      </c>
      <c r="BX31" s="1607">
        <v>2020</v>
      </c>
      <c r="BY31" s="1135">
        <v>146.69999999999999</v>
      </c>
      <c r="BZ31" s="1039">
        <v>77.751000000000005</v>
      </c>
      <c r="CA31" s="1135">
        <f ca="1"/>
        <v>4.0422690765656739</v>
      </c>
      <c r="CB31" s="1039">
        <v>80.019369981581406</v>
      </c>
      <c r="CC31" s="1153">
        <f t="shared" ca="1" si="3"/>
        <v>0.62971368080122925</v>
      </c>
      <c r="CD31" s="1016">
        <f>НАСТРОЙКА!IX30</f>
        <v>9701.5634658874351</v>
      </c>
      <c r="CE31" s="1016">
        <f ca="1"/>
        <v>6109.2072396307076</v>
      </c>
      <c r="CF31" s="947">
        <f t="shared" ca="1" si="0"/>
        <v>2.2073861787158706</v>
      </c>
      <c r="CG31" s="2093">
        <f ca="1"/>
        <v>2.4471908477319531</v>
      </c>
      <c r="CI31" s="947">
        <f ca="1"/>
        <v>1.342524810257228</v>
      </c>
      <c r="CJ31" s="1153">
        <f ca="1"/>
        <v>2.8201249402924198</v>
      </c>
      <c r="CK31" s="35">
        <f>РЕЗУЛЬТАТЫ!VQ38</f>
        <v>0</v>
      </c>
      <c r="CL31" s="1135"/>
      <c r="CM31" s="947">
        <v>0</v>
      </c>
      <c r="CN31" s="32">
        <f ca="1"/>
        <v>3.8786474990364632</v>
      </c>
      <c r="CO31" s="1153">
        <f ca="1"/>
        <v>2.0876247754015491</v>
      </c>
      <c r="CQ31" s="2130"/>
    </row>
    <row r="32" spans="1:95" ht="18">
      <c r="A32" s="2542"/>
      <c r="B32" s="2542"/>
      <c r="C32" s="2542"/>
      <c r="D32" s="1843"/>
      <c r="E32" s="105"/>
      <c r="F32" s="517">
        <v>44340</v>
      </c>
      <c r="G32" s="205" t="s">
        <v>1863</v>
      </c>
      <c r="H32" s="21" t="s">
        <v>809</v>
      </c>
      <c r="I32" s="546" t="s">
        <v>2268</v>
      </c>
      <c r="J32" s="546"/>
      <c r="K32" s="546"/>
      <c r="L32" s="546"/>
      <c r="M32" s="546"/>
      <c r="N32" s="546"/>
      <c r="O32" s="207">
        <f t="array" ref="O32:AL32">TRANSPOSE(ОТЧЁТ!EE413:EE436)</f>
        <v>1</v>
      </c>
      <c r="P32" s="209">
        <v>1.0551238685898738</v>
      </c>
      <c r="Q32" s="209">
        <v>1.0637144494078237</v>
      </c>
      <c r="R32" s="209">
        <v>0.88314350986207779</v>
      </c>
      <c r="S32" s="209">
        <v>0.94351698193098643</v>
      </c>
      <c r="T32" s="209">
        <v>1.2247490822844354</v>
      </c>
      <c r="U32" s="209">
        <v>1.3476545615734206</v>
      </c>
      <c r="V32" s="209">
        <v>1.4665088426814834</v>
      </c>
      <c r="W32" s="209">
        <v>1.6632756085335001</v>
      </c>
      <c r="X32" s="209">
        <v>1.8635096058631688</v>
      </c>
      <c r="Y32" s="209">
        <v>2.0184806102920132</v>
      </c>
      <c r="Z32" s="209">
        <v>2.2752161070197054</v>
      </c>
      <c r="AA32" s="209">
        <v>2.574224804669774</v>
      </c>
      <c r="AB32" s="209">
        <v>2.7497210051148255</v>
      </c>
      <c r="AC32" s="209">
        <v>1.8560505362598563</v>
      </c>
      <c r="AD32" s="538">
        <v>2.3303907302212532</v>
      </c>
      <c r="AE32" s="209">
        <v>2.683219177751119</v>
      </c>
      <c r="AF32" s="209">
        <v>2.7827564782033063</v>
      </c>
      <c r="AG32" s="209">
        <v>2.7806418221752773</v>
      </c>
      <c r="AH32" s="209">
        <v>2.5425932511944835</v>
      </c>
      <c r="AI32" s="209">
        <v>2.1845595087999583</v>
      </c>
      <c r="AJ32" s="209">
        <v>2.1739835580660896</v>
      </c>
      <c r="AK32" s="209">
        <v>2.4593278252133119</v>
      </c>
      <c r="AL32" s="209">
        <v>2.5430346985333676</v>
      </c>
      <c r="AM32" s="209">
        <f t="array" ref="AM32:BC32">TRANSPOSE(ОТЧЁТ!EH437:EH453)</f>
        <v>2.5932588225254012</v>
      </c>
      <c r="AN32" s="209">
        <v>2.6233932969206215</v>
      </c>
      <c r="AO32" s="209">
        <v>2.6414739815577537</v>
      </c>
      <c r="AP32" s="209">
        <v>2.6523223923400332</v>
      </c>
      <c r="AQ32" s="209">
        <v>2.658831438809401</v>
      </c>
      <c r="AR32" s="209">
        <v>2.6627368666910218</v>
      </c>
      <c r="AS32" s="209">
        <v>2.6650801234199943</v>
      </c>
      <c r="AT32" s="219">
        <v>2.6664860774573778</v>
      </c>
      <c r="AU32" s="219">
        <v>2.6673296498798078</v>
      </c>
      <c r="AV32" s="219">
        <v>2.6678357933332659</v>
      </c>
      <c r="AW32" s="219">
        <v>2.6681394794053408</v>
      </c>
      <c r="AX32" s="219">
        <v>2.6683216910485856</v>
      </c>
      <c r="AY32" s="219">
        <v>2.6684310180345325</v>
      </c>
      <c r="AZ32" s="219">
        <v>2.6684966142261008</v>
      </c>
      <c r="BA32" s="219">
        <v>2.6685359719410418</v>
      </c>
      <c r="BB32" s="219">
        <v>2.6685595865700065</v>
      </c>
      <c r="BC32" s="219">
        <v>2.6685737553473854</v>
      </c>
      <c r="BD32" s="44" t="str">
        <f t="shared" si="4"/>
        <v>Pem</v>
      </c>
      <c r="BE32" t="s">
        <v>1406</v>
      </c>
      <c r="BG32" s="1607">
        <v>2021</v>
      </c>
      <c r="BH32" s="2611">
        <v>34.39782652975321</v>
      </c>
      <c r="BI32" s="2612">
        <v>27.2144903396469</v>
      </c>
      <c r="BJ32" s="2609">
        <f ca="1"/>
        <v>36.28570647252964</v>
      </c>
      <c r="BK32" s="2609">
        <f ca="1"/>
        <v>41.245650091691722</v>
      </c>
      <c r="BL32" s="2609"/>
      <c r="BM32" s="20"/>
      <c r="BN32" s="2609">
        <v>20.147590934941082</v>
      </c>
      <c r="BO32" s="2609">
        <v>24.998089421886341</v>
      </c>
      <c r="BP32" s="2609"/>
      <c r="BQ32" s="2609">
        <v>0</v>
      </c>
      <c r="BR32" s="2609">
        <v>31.029391716287734</v>
      </c>
      <c r="BS32" s="2609">
        <v>30.772953770840271</v>
      </c>
      <c r="BT32" s="2609">
        <v>32.50839100920102</v>
      </c>
      <c r="BU32" s="855">
        <f ca="1"/>
        <v>33.588137281422256</v>
      </c>
      <c r="BW32" s="2032">
        <f t="shared" ca="1" si="2"/>
        <v>0.63240246057627236</v>
      </c>
      <c r="BX32" s="1607">
        <v>2021</v>
      </c>
      <c r="BY32" s="1135">
        <v>146.63999999999999</v>
      </c>
      <c r="BZ32" s="1039">
        <v>77.719200000000001</v>
      </c>
      <c r="CA32" s="1135">
        <f ca="1"/>
        <v>3.0929087858897049</v>
      </c>
      <c r="CB32" s="1039">
        <v>80.091381773154495</v>
      </c>
      <c r="CC32" s="1153">
        <f t="shared" ca="1" si="3"/>
        <v>0.63240246057627236</v>
      </c>
      <c r="CD32" s="1016">
        <f>НАСТРОЙКА!IX31</f>
        <v>10100.449024754149</v>
      </c>
      <c r="CE32" s="1016">
        <f ca="1"/>
        <v>6387.548816179733</v>
      </c>
      <c r="CF32" s="947">
        <f t="shared" ca="1" si="0"/>
        <v>2.3079568951667082</v>
      </c>
      <c r="CG32" s="2093">
        <f ca="1"/>
        <v>2.6098332246737077</v>
      </c>
      <c r="CI32" s="947">
        <f ca="1"/>
        <v>1.442031647242126</v>
      </c>
      <c r="CJ32" s="1153">
        <f ca="1"/>
        <v>2.9876106811441123</v>
      </c>
      <c r="CK32" s="35">
        <f>РЕЗУЛЬТАТЫ!VQ39</f>
        <v>0</v>
      </c>
      <c r="CL32" s="1135"/>
      <c r="CM32" s="947">
        <v>0</v>
      </c>
      <c r="CN32" s="32">
        <f ca="1"/>
        <v>4.0726307350523774</v>
      </c>
      <c r="CO32" s="1153">
        <f ca="1"/>
        <v>2.1780916658454892</v>
      </c>
      <c r="CQ32" s="2130"/>
    </row>
    <row r="33" spans="1:95" ht="18">
      <c r="A33" s="2554" t="s">
        <v>2060</v>
      </c>
      <c r="B33" s="2100"/>
      <c r="C33" s="2100"/>
      <c r="D33" s="739"/>
      <c r="E33" s="105">
        <v>33</v>
      </c>
      <c r="F33" s="517">
        <v>43940</v>
      </c>
      <c r="G33" s="205" t="s">
        <v>2205</v>
      </c>
      <c r="H33" s="21" t="s">
        <v>46</v>
      </c>
      <c r="I33" s="546" t="s">
        <v>2144</v>
      </c>
      <c r="J33" s="546"/>
      <c r="K33" s="546"/>
      <c r="L33" s="546"/>
      <c r="M33" s="546"/>
      <c r="N33" s="38"/>
      <c r="O33" s="213">
        <f t="array" ref="O33:BC33">TRANSPOSE(CD6:CD46)</f>
        <v>5306</v>
      </c>
      <c r="P33" s="2555">
        <v>5300.6940000000004</v>
      </c>
      <c r="Q33" s="2555">
        <v>5279.4912240000003</v>
      </c>
      <c r="R33" s="2555">
        <v>5263.6527503280004</v>
      </c>
      <c r="S33" s="2555">
        <v>5274.1800558286568</v>
      </c>
      <c r="T33" s="2555">
        <v>5300.5509561077997</v>
      </c>
      <c r="U33" s="2555">
        <v>5348.2559147127704</v>
      </c>
      <c r="V33" s="2555">
        <v>5401.7384738598985</v>
      </c>
      <c r="W33" s="2555">
        <v>5471.961074020076</v>
      </c>
      <c r="X33" s="2555">
        <v>5559.5124512043967</v>
      </c>
      <c r="Y33" s="2555">
        <v>5665.1431877772811</v>
      </c>
      <c r="Z33" s="2555">
        <v>5801.1066242839361</v>
      </c>
      <c r="AA33" s="2555">
        <v>5980.9409296367376</v>
      </c>
      <c r="AB33" s="2555">
        <v>6196.2548031036604</v>
      </c>
      <c r="AC33" s="2555">
        <v>6394.5349568029778</v>
      </c>
      <c r="AD33" s="2555">
        <v>6586.3710055070669</v>
      </c>
      <c r="AE33" s="2555">
        <v>6849.8258457273505</v>
      </c>
      <c r="AF33" s="2555">
        <v>7144.3683570936255</v>
      </c>
      <c r="AG33" s="2555">
        <v>7437.2874597344635</v>
      </c>
      <c r="AH33" s="2555">
        <v>7712.4670957446378</v>
      </c>
      <c r="AI33" s="2555">
        <v>7959.2660428084673</v>
      </c>
      <c r="AJ33" s="2555">
        <v>8269.677418477997</v>
      </c>
      <c r="AK33" s="2555">
        <v>8583.9251603801604</v>
      </c>
      <c r="AL33" s="2555">
        <v>8944.4500171161289</v>
      </c>
      <c r="AM33" s="2555">
        <v>9315.4794364663703</v>
      </c>
      <c r="AN33" s="2555">
        <v>9701.5634658874351</v>
      </c>
      <c r="AO33" s="2555">
        <v>10100.449024754149</v>
      </c>
      <c r="AP33" s="2555">
        <v>10526.232536339399</v>
      </c>
      <c r="AQ33" s="2555">
        <v>10976.127338183813</v>
      </c>
      <c r="AR33" s="2555">
        <v>11450.376438115263</v>
      </c>
      <c r="AS33" s="2555">
        <v>11948.374451382973</v>
      </c>
      <c r="AT33" s="2555">
        <v>12470.493165184831</v>
      </c>
      <c r="AU33" s="2555">
        <v>13017.144068658055</v>
      </c>
      <c r="AV33" s="2555">
        <v>13588.769822736602</v>
      </c>
      <c r="AW33" s="2555">
        <v>14185.83670455504</v>
      </c>
      <c r="AX33" s="2555">
        <v>14808.82788562779</v>
      </c>
      <c r="AY33" s="2555">
        <v>15458.237424001558</v>
      </c>
      <c r="AZ33" s="2555">
        <v>16134.564868588497</v>
      </c>
      <c r="BA33" s="2555">
        <v>16838.310389353599</v>
      </c>
      <c r="BB33" s="2555">
        <v>17569.97036030794</v>
      </c>
      <c r="BC33" s="2555">
        <v>18330.033333654035</v>
      </c>
      <c r="BD33" s="44" t="str">
        <f t="shared" si="4"/>
        <v>^FSt</v>
      </c>
      <c r="BE33" t="s">
        <v>1406</v>
      </c>
      <c r="BG33" s="1607">
        <v>2022</v>
      </c>
      <c r="BH33" s="2611">
        <v>36.473917856240874</v>
      </c>
      <c r="BI33" s="2612">
        <v>28.594634856629245</v>
      </c>
      <c r="BJ33" s="2609">
        <f ca="1"/>
        <v>38.753581796906595</v>
      </c>
      <c r="BK33" s="2609">
        <f ca="1"/>
        <v>43.957256067218253</v>
      </c>
      <c r="BL33" s="2609"/>
      <c r="BM33" s="20"/>
      <c r="BN33" s="2609">
        <v>20.910602631688135</v>
      </c>
      <c r="BO33" s="2609">
        <v>26.247993892980659</v>
      </c>
      <c r="BP33" s="2609"/>
      <c r="BQ33" s="2609">
        <v>0</v>
      </c>
      <c r="BR33" s="2609">
        <v>32.604896302102119</v>
      </c>
      <c r="BS33" s="2609">
        <v>32.111601459382285</v>
      </c>
      <c r="BT33" s="2609">
        <v>34.908397682763393</v>
      </c>
      <c r="BU33" s="855">
        <f ca="1"/>
        <v>35.996043387689809</v>
      </c>
      <c r="BW33" s="2032">
        <f t="shared" ca="1" si="2"/>
        <v>0.62819642642448525</v>
      </c>
      <c r="BX33" s="1607">
        <v>2022</v>
      </c>
      <c r="BY33" s="1135">
        <v>146.55999999999997</v>
      </c>
      <c r="BZ33" s="1039">
        <v>77.676799999999986</v>
      </c>
      <c r="CA33" s="1135">
        <f ca="1"/>
        <v>2.3211689748205657</v>
      </c>
      <c r="CB33" s="1039">
        <v>81.915820010252475</v>
      </c>
      <c r="CC33" s="1153">
        <f t="shared" ca="1" si="3"/>
        <v>0.62819642642448525</v>
      </c>
      <c r="CD33" s="1016">
        <f>НАСТРОЙКА!IX32</f>
        <v>10526.232536339399</v>
      </c>
      <c r="CE33" s="1016">
        <f ca="1"/>
        <v>6612.5416630415566</v>
      </c>
      <c r="CF33" s="947">
        <f t="shared" ca="1" si="0"/>
        <v>2.3892515838213932</v>
      </c>
      <c r="CG33" s="2093">
        <f ca="1"/>
        <v>2.7413025217230254</v>
      </c>
      <c r="CI33" s="947">
        <f ca="1"/>
        <v>1.5056835404483333</v>
      </c>
      <c r="CJ33" s="1153">
        <f ca="1"/>
        <v>3.1318358804286244</v>
      </c>
      <c r="CK33" s="35">
        <f>РЕЗУЛЬТАТЫ!VQ40</f>
        <v>0</v>
      </c>
      <c r="CL33" s="1135"/>
      <c r="CM33" s="947">
        <v>0</v>
      </c>
      <c r="CN33" s="32">
        <f ca="1"/>
        <v>4.2339601300567509</v>
      </c>
      <c r="CO33" s="1153">
        <f ca="1"/>
        <v>2.2500009512133055</v>
      </c>
      <c r="CQ33" s="2130"/>
    </row>
    <row r="34" spans="1:95" ht="18">
      <c r="E34" s="105">
        <v>34</v>
      </c>
      <c r="F34" s="517"/>
      <c r="G34" s="205"/>
      <c r="H34" s="21"/>
      <c r="I34" s="546"/>
      <c r="J34" s="546"/>
      <c r="K34" s="546"/>
      <c r="L34" s="546"/>
      <c r="M34" s="546"/>
      <c r="N34" s="546"/>
      <c r="O34" s="216"/>
      <c r="P34" s="221"/>
      <c r="Q34" s="221"/>
      <c r="R34" s="221"/>
      <c r="S34" s="221"/>
      <c r="T34" s="221"/>
      <c r="U34" s="221"/>
      <c r="V34" s="221"/>
      <c r="W34" s="221"/>
      <c r="X34" s="221"/>
      <c r="Y34" s="221"/>
      <c r="Z34" s="221"/>
      <c r="AA34" s="221"/>
      <c r="AB34" s="221"/>
      <c r="AC34" s="221"/>
      <c r="AD34" s="221"/>
      <c r="AE34" s="221"/>
      <c r="AF34" s="221"/>
      <c r="AG34" s="221"/>
      <c r="AH34" s="221"/>
      <c r="AI34" s="221"/>
      <c r="AJ34" s="221"/>
      <c r="AK34" s="221"/>
      <c r="AL34" s="221"/>
      <c r="AM34" s="221"/>
      <c r="AN34" s="221"/>
      <c r="AO34" s="221"/>
      <c r="AP34" s="221"/>
      <c r="AQ34" s="221"/>
      <c r="AR34" s="221"/>
      <c r="AS34" s="221"/>
      <c r="AT34" s="221"/>
      <c r="AU34" s="221"/>
      <c r="AV34" s="221"/>
      <c r="AW34" s="221"/>
      <c r="AX34" s="221"/>
      <c r="AY34" s="221"/>
      <c r="AZ34" s="221"/>
      <c r="BA34" s="221"/>
      <c r="BB34" s="221"/>
      <c r="BC34" s="221"/>
      <c r="BD34" s="44">
        <f t="shared" si="4"/>
        <v>0</v>
      </c>
      <c r="BG34" s="1607">
        <v>2023</v>
      </c>
      <c r="BH34" s="2611">
        <v>38.653813749052922</v>
      </c>
      <c r="BI34" s="2612">
        <v>30.043786599460709</v>
      </c>
      <c r="BJ34" s="2609">
        <f ca="1"/>
        <v>41.377657914532122</v>
      </c>
      <c r="BK34" s="2609">
        <f ca="1"/>
        <v>46.833870436011068</v>
      </c>
      <c r="BL34" s="2609"/>
      <c r="BM34" s="20"/>
      <c r="BN34" s="2609">
        <v>21.701943413272542</v>
      </c>
      <c r="BO34" s="2609">
        <v>27.560393587629694</v>
      </c>
      <c r="BP34" s="2609"/>
      <c r="BQ34" s="2609">
        <v>0</v>
      </c>
      <c r="BR34" s="2609">
        <v>34.259176117207225</v>
      </c>
      <c r="BS34" s="2609">
        <v>33.517181532351401</v>
      </c>
      <c r="BT34" s="2609">
        <v>37.512473870121873</v>
      </c>
      <c r="BU34" s="855">
        <f ca="1"/>
        <v>38.550476947177835</v>
      </c>
      <c r="BW34" s="2032">
        <f t="shared" ca="1" si="2"/>
        <v>0.62268113244718992</v>
      </c>
      <c r="BX34" s="1607">
        <v>2023</v>
      </c>
      <c r="BY34" s="1135">
        <v>146.43999999999997</v>
      </c>
      <c r="BZ34" s="1039">
        <v>77.613199999999992</v>
      </c>
      <c r="CA34" s="1135">
        <f ca="1"/>
        <v>1.5415610800227313</v>
      </c>
      <c r="CB34" s="1039">
        <v>82.896899731222646</v>
      </c>
      <c r="CC34" s="1153">
        <f t="shared" ca="1" si="3"/>
        <v>0.62268113244718992</v>
      </c>
      <c r="CD34" s="1016">
        <f>НАСТРОЙКА!IX33</f>
        <v>10976.127338183813</v>
      </c>
      <c r="CE34" s="1016">
        <f ca="1"/>
        <v>6834.6274008248565</v>
      </c>
      <c r="CF34" s="947">
        <f t="shared" ca="1" si="0"/>
        <v>2.4694958722934941</v>
      </c>
      <c r="CG34" s="2093">
        <f ca="1"/>
        <v>2.8710731177143747</v>
      </c>
      <c r="CI34" s="947">
        <f ca="1"/>
        <v>1.5695274698488424</v>
      </c>
      <c r="CJ34" s="1153">
        <f ca="1"/>
        <v>3.2768169121645849</v>
      </c>
      <c r="CK34" s="35">
        <f>РЕЗУЛЬТАТЫ!VQ41</f>
        <v>0</v>
      </c>
      <c r="CL34" s="1135"/>
      <c r="CM34" s="947">
        <v>0</v>
      </c>
      <c r="CN34" s="32">
        <f ca="1"/>
        <v>4.3946367635686654</v>
      </c>
      <c r="CO34" s="1153">
        <f ca="1"/>
        <v>2.3205957758083766</v>
      </c>
      <c r="CQ34" s="2130"/>
    </row>
    <row r="35" spans="1:95" ht="18">
      <c r="E35" s="105">
        <v>35</v>
      </c>
      <c r="F35" s="517"/>
      <c r="G35" s="205"/>
      <c r="H35" s="21"/>
      <c r="I35" s="546"/>
      <c r="J35" s="546"/>
      <c r="K35" s="546"/>
      <c r="L35" s="546"/>
      <c r="M35" s="546"/>
      <c r="N35" s="546"/>
      <c r="O35" s="216"/>
      <c r="P35" s="221"/>
      <c r="Q35" s="221"/>
      <c r="R35" s="221"/>
      <c r="S35" s="221"/>
      <c r="T35" s="221"/>
      <c r="U35" s="221"/>
      <c r="V35" s="221"/>
      <c r="W35" s="221"/>
      <c r="X35" s="221"/>
      <c r="Y35" s="221"/>
      <c r="Z35" s="221"/>
      <c r="AA35" s="221"/>
      <c r="AB35" s="221"/>
      <c r="AC35" s="221"/>
      <c r="AD35" s="221"/>
      <c r="AE35" s="221"/>
      <c r="AF35" s="221"/>
      <c r="AG35" s="221"/>
      <c r="AH35" s="221"/>
      <c r="AI35" s="221"/>
      <c r="AJ35" s="221"/>
      <c r="AK35" s="221"/>
      <c r="AL35" s="221"/>
      <c r="AM35" s="221"/>
      <c r="AN35" s="221"/>
      <c r="AO35" s="221"/>
      <c r="AP35" s="221"/>
      <c r="AQ35" s="221"/>
      <c r="AR35" s="221"/>
      <c r="AS35" s="221"/>
      <c r="AT35" s="221"/>
      <c r="AU35" s="221"/>
      <c r="AV35" s="221"/>
      <c r="AW35" s="221"/>
      <c r="AX35" s="221"/>
      <c r="AY35" s="221"/>
      <c r="AZ35" s="221"/>
      <c r="BA35" s="221"/>
      <c r="BB35" s="221"/>
      <c r="BC35" s="221"/>
      <c r="BD35" s="44">
        <f t="shared" si="4"/>
        <v>0</v>
      </c>
      <c r="BG35" s="1607">
        <v>2024</v>
      </c>
      <c r="BH35" s="2611">
        <v>40.942704436505565</v>
      </c>
      <c r="BI35" s="2612">
        <v>31.565395929433745</v>
      </c>
      <c r="BJ35" s="2609">
        <f ca="1"/>
        <v>44.163783161370247</v>
      </c>
      <c r="BK35" s="2609">
        <f ca="1"/>
        <v>49.88470596403679</v>
      </c>
      <c r="BL35" s="2609"/>
      <c r="BM35" s="20"/>
      <c r="BN35" s="2609">
        <v>22.52302973393617</v>
      </c>
      <c r="BO35" s="2609">
        <v>28.938413267011178</v>
      </c>
      <c r="BP35" s="2609"/>
      <c r="BQ35" s="2609">
        <v>0</v>
      </c>
      <c r="BR35" s="2609">
        <v>35.99616992306759</v>
      </c>
      <c r="BS35" s="2609">
        <v>34.993040608968968</v>
      </c>
      <c r="BT35" s="2609">
        <v>40.339440137928356</v>
      </c>
      <c r="BU35" s="855">
        <f ca="1"/>
        <v>41.259618896064673</v>
      </c>
      <c r="BW35" s="2032">
        <f t="shared" ca="1" si="2"/>
        <v>0.61649473119105769</v>
      </c>
      <c r="BX35" s="1607">
        <v>2024</v>
      </c>
      <c r="BY35" s="1135">
        <v>146.31999999999996</v>
      </c>
      <c r="BZ35" s="1039">
        <v>77.549599999999984</v>
      </c>
      <c r="CA35" s="1135">
        <f ca="1"/>
        <v>0.757039971475578</v>
      </c>
      <c r="CB35" s="1039">
        <v>83.898550764360792</v>
      </c>
      <c r="CC35" s="1153">
        <f t="shared" ca="1" si="3"/>
        <v>0.61649473119105769</v>
      </c>
      <c r="CD35" s="1016">
        <f>НАСТРОЙКА!IX34</f>
        <v>11450.376438115263</v>
      </c>
      <c r="CE35" s="1016">
        <f ca="1"/>
        <v>7059.0967442522897</v>
      </c>
      <c r="CF35" s="947">
        <f t="shared" ca="1" si="0"/>
        <v>2.5506014080515338</v>
      </c>
      <c r="CG35" s="2093">
        <f ca="1"/>
        <v>3.0022365178008243</v>
      </c>
      <c r="CI35" s="947">
        <f ca="1"/>
        <v>1.6347565687736516</v>
      </c>
      <c r="CJ35" s="1153">
        <f ca="1"/>
        <v>3.4250255201235156</v>
      </c>
      <c r="CK35" s="35">
        <f>РЕЗУЛЬТАТЫ!VQ42</f>
        <v>0</v>
      </c>
      <c r="CL35" s="1135"/>
      <c r="CM35" s="947">
        <v>0</v>
      </c>
      <c r="CN35" s="32">
        <f ca="1"/>
        <v>4.5580532686080861</v>
      </c>
      <c r="CO35" s="1153">
        <f ca="1"/>
        <v>2.3916750188928955</v>
      </c>
      <c r="CQ35" s="2130"/>
    </row>
    <row r="36" spans="1:95" ht="18">
      <c r="E36" s="105">
        <v>36</v>
      </c>
      <c r="F36" s="517"/>
      <c r="G36" s="205"/>
      <c r="H36" s="21"/>
      <c r="I36" s="546"/>
      <c r="J36" s="546"/>
      <c r="K36" s="546"/>
      <c r="L36" s="546"/>
      <c r="M36" s="546"/>
      <c r="N36" s="546"/>
      <c r="O36" s="216"/>
      <c r="P36" s="209"/>
      <c r="Q36" s="209"/>
      <c r="R36" s="209"/>
      <c r="S36" s="209"/>
      <c r="T36" s="209"/>
      <c r="U36" s="209"/>
      <c r="V36" s="209"/>
      <c r="W36" s="209"/>
      <c r="X36" s="209"/>
      <c r="Y36" s="209"/>
      <c r="Z36" s="209"/>
      <c r="AA36" s="209"/>
      <c r="AB36" s="209"/>
      <c r="AC36" s="209"/>
      <c r="AD36" s="538"/>
      <c r="AE36" s="209"/>
      <c r="AF36" s="209"/>
      <c r="AG36" s="209"/>
      <c r="AH36" s="209"/>
      <c r="AI36" s="209"/>
      <c r="AJ36" s="209"/>
      <c r="AK36" s="209"/>
      <c r="AL36" s="209"/>
      <c r="AM36" s="209"/>
      <c r="AN36" s="209"/>
      <c r="AO36" s="209"/>
      <c r="AP36" s="209"/>
      <c r="AQ36" s="209"/>
      <c r="AR36" s="209"/>
      <c r="AS36" s="209"/>
      <c r="AT36" s="209"/>
      <c r="AU36" s="209"/>
      <c r="AV36" s="209"/>
      <c r="AW36" s="209"/>
      <c r="AX36" s="209"/>
      <c r="AY36" s="209"/>
      <c r="AZ36" s="209"/>
      <c r="BA36" s="209"/>
      <c r="BB36" s="209"/>
      <c r="BC36" s="209"/>
      <c r="BD36" s="44">
        <f t="shared" si="4"/>
        <v>0</v>
      </c>
      <c r="BE36" t="s">
        <v>1406</v>
      </c>
      <c r="BG36" s="1607">
        <v>2025</v>
      </c>
      <c r="BH36" s="2611">
        <v>43.346039658330845</v>
      </c>
      <c r="BI36" s="2612">
        <v>33.163085725905439</v>
      </c>
      <c r="BJ36" s="2609">
        <f ca="1"/>
        <v>47.119274779377989</v>
      </c>
      <c r="BK36" s="2609">
        <f ca="1"/>
        <v>53.11928908381671</v>
      </c>
      <c r="BL36" s="2609"/>
      <c r="BM36" s="20"/>
      <c r="BN36" s="2609">
        <v>23.375348870632976</v>
      </c>
      <c r="BO36" s="2609">
        <v>30.385333930361739</v>
      </c>
      <c r="BP36" s="2609"/>
      <c r="BQ36" s="2609">
        <v>0</v>
      </c>
      <c r="BR36" s="2609">
        <v>37.82001341922097</v>
      </c>
      <c r="BS36" s="2609">
        <v>36.542692639417417</v>
      </c>
      <c r="BT36" s="2609">
        <v>43.409941332990961</v>
      </c>
      <c r="BU36" s="855">
        <f ca="1"/>
        <v>44.131928706429242</v>
      </c>
      <c r="BW36" s="2032">
        <f t="shared" ca="1" si="2"/>
        <v>0.61007507178679821</v>
      </c>
      <c r="BX36" s="1607">
        <v>2025</v>
      </c>
      <c r="BY36" s="1135">
        <v>146.15999999999997</v>
      </c>
      <c r="BZ36" s="1039">
        <v>77.464799999999983</v>
      </c>
      <c r="CA36" s="1135">
        <f ca="1"/>
        <v>-6.5391119224770478E-2</v>
      </c>
      <c r="CB36" s="1039">
        <v>84.919779616660918</v>
      </c>
      <c r="CC36" s="1153">
        <f t="shared" ca="1" si="3"/>
        <v>0.61007507178679821</v>
      </c>
      <c r="CD36" s="1016">
        <f>НАСТРОЙКА!IX35</f>
        <v>11948.374451382973</v>
      </c>
      <c r="CE36" s="1016">
        <f ca="1"/>
        <v>7289.4054011630133</v>
      </c>
      <c r="CF36" s="947">
        <f t="shared" ca="1" si="0"/>
        <v>2.633816811648495</v>
      </c>
      <c r="CG36" s="2093">
        <f ca="1"/>
        <v>3.1368119838689532</v>
      </c>
      <c r="CI36" s="947">
        <f ca="1"/>
        <v>1.7021685764197234</v>
      </c>
      <c r="CJ36" s="1153">
        <f ca="1"/>
        <v>3.5781337236652386</v>
      </c>
      <c r="CK36" s="35">
        <f>РЕЗУЛЬТАТЫ!VQ43</f>
        <v>0</v>
      </c>
      <c r="CL36" s="1135"/>
      <c r="CM36" s="947">
        <v>0</v>
      </c>
      <c r="CN36" s="32">
        <f ca="1"/>
        <v>4.7264696668583097</v>
      </c>
      <c r="CO36" s="1153">
        <f ca="1"/>
        <v>2.4644017832794307</v>
      </c>
      <c r="CQ36" s="2130"/>
    </row>
    <row r="37" spans="1:95" ht="18">
      <c r="E37" s="105">
        <v>37</v>
      </c>
      <c r="F37" s="517"/>
      <c r="G37" s="205"/>
      <c r="H37" s="21"/>
      <c r="I37" s="546"/>
      <c r="J37" s="546"/>
      <c r="K37" s="546"/>
      <c r="L37" s="546"/>
      <c r="M37" s="546"/>
      <c r="N37" s="546"/>
      <c r="O37" s="216"/>
      <c r="P37" s="209"/>
      <c r="Q37" s="209"/>
      <c r="R37" s="209"/>
      <c r="S37" s="209"/>
      <c r="T37" s="209"/>
      <c r="U37" s="209"/>
      <c r="V37" s="209"/>
      <c r="W37" s="209"/>
      <c r="X37" s="209"/>
      <c r="Y37" s="209"/>
      <c r="Z37" s="209"/>
      <c r="AA37" s="209"/>
      <c r="AB37" s="209"/>
      <c r="AC37" s="209"/>
      <c r="AD37" s="538"/>
      <c r="AE37" s="209"/>
      <c r="AF37" s="209"/>
      <c r="AG37" s="209"/>
      <c r="AH37" s="209"/>
      <c r="AI37" s="209"/>
      <c r="AJ37" s="209"/>
      <c r="AK37" s="209"/>
      <c r="AL37" s="209"/>
      <c r="AM37" s="209"/>
      <c r="AN37" s="209"/>
      <c r="AO37" s="209"/>
      <c r="AP37" s="209"/>
      <c r="AQ37" s="209"/>
      <c r="AR37" s="209"/>
      <c r="AS37" s="209"/>
      <c r="AT37" s="209"/>
      <c r="AU37" s="209"/>
      <c r="AV37" s="209"/>
      <c r="AW37" s="209"/>
      <c r="AX37" s="209"/>
      <c r="AY37" s="209"/>
      <c r="AZ37" s="209"/>
      <c r="BA37" s="209"/>
      <c r="BB37" s="209"/>
      <c r="BC37" s="209"/>
      <c r="BD37" s="44">
        <f t="shared" si="4"/>
        <v>0</v>
      </c>
      <c r="BE37" t="s">
        <v>1406</v>
      </c>
      <c r="BG37" s="1607">
        <v>2026</v>
      </c>
      <c r="BH37" s="2611">
        <v>45.869541641247388</v>
      </c>
      <c r="BI37" s="2612">
        <v>34.840660012200708</v>
      </c>
      <c r="BJ37" s="2609">
        <f ca="1"/>
        <v>50.252435090880134</v>
      </c>
      <c r="BK37" s="2609">
        <f ca="1"/>
        <v>56.547534530806999</v>
      </c>
      <c r="BL37" s="2609"/>
      <c r="BM37" s="20"/>
      <c r="BN37" s="2609">
        <v>24.260462464164625</v>
      </c>
      <c r="BO37" s="2609">
        <v>31.904600626879827</v>
      </c>
      <c r="BP37" s="2609"/>
      <c r="BQ37" s="2609">
        <v>0</v>
      </c>
      <c r="BR37" s="2609">
        <v>39.735049090182024</v>
      </c>
      <c r="BS37" s="2609">
        <v>38.169827271388293</v>
      </c>
      <c r="BT37" s="2609">
        <v>46.746628329593726</v>
      </c>
      <c r="BU37" s="855">
        <f ca="1"/>
        <v>47.176210663356621</v>
      </c>
      <c r="BW37" s="2032">
        <f t="shared" ca="1" si="2"/>
        <v>0.60365638778089803</v>
      </c>
      <c r="BX37" s="1607">
        <v>2026</v>
      </c>
      <c r="BY37" s="1135">
        <v>145.99999999999997</v>
      </c>
      <c r="BZ37" s="1039">
        <v>77.38</v>
      </c>
      <c r="CA37" s="1135">
        <f ca="1"/>
        <v>-0.91240769804689137</v>
      </c>
      <c r="CB37" s="1039">
        <v>85.959594939183901</v>
      </c>
      <c r="CC37" s="1153">
        <f t="shared" ca="1" si="3"/>
        <v>0.60365638778089803</v>
      </c>
      <c r="CD37" s="1016">
        <f>НАСТРОЙКА!IX36</f>
        <v>12470.493165184831</v>
      </c>
      <c r="CE37" s="1016">
        <f ca="1"/>
        <v>7527.8928579418525</v>
      </c>
      <c r="CF37" s="947">
        <f t="shared" ca="1" si="0"/>
        <v>2.7199873891459658</v>
      </c>
      <c r="CG37" s="2093">
        <f ca="1"/>
        <v>3.2761665399586812</v>
      </c>
      <c r="CI37" s="947">
        <f ca="1"/>
        <v>1.7723199006893267</v>
      </c>
      <c r="CJ37" s="1153">
        <f ca="1"/>
        <v>3.7373233083186994</v>
      </c>
      <c r="CK37" s="35">
        <f>РЕЗУЛЬТАТЫ!VQ44</f>
        <v>0</v>
      </c>
      <c r="CL37" s="1135"/>
      <c r="CM37" s="947">
        <v>0</v>
      </c>
      <c r="CN37" s="32">
        <f ca="1"/>
        <v>4.9014565702932025</v>
      </c>
      <c r="CO37" s="1153">
        <f ca="1"/>
        <v>2.5395525547672171</v>
      </c>
      <c r="CQ37" s="2130"/>
    </row>
    <row r="38" spans="1:95" ht="18">
      <c r="E38" s="105">
        <v>38</v>
      </c>
      <c r="F38" s="518"/>
      <c r="G38" s="205"/>
      <c r="H38" s="21"/>
      <c r="I38" s="546"/>
      <c r="J38" s="546"/>
      <c r="K38" s="546"/>
      <c r="L38" s="546"/>
      <c r="M38" s="546"/>
      <c r="N38" s="546"/>
      <c r="O38" s="61"/>
      <c r="P38" s="209"/>
      <c r="Q38" s="209"/>
      <c r="R38" s="209"/>
      <c r="S38" s="209"/>
      <c r="T38" s="209"/>
      <c r="U38" s="209"/>
      <c r="V38" s="209"/>
      <c r="W38" s="209"/>
      <c r="X38" s="209"/>
      <c r="Y38" s="209"/>
      <c r="Z38" s="209"/>
      <c r="AA38" s="209"/>
      <c r="AB38" s="209"/>
      <c r="AC38" s="209"/>
      <c r="AD38" s="538"/>
      <c r="AE38" s="209"/>
      <c r="AF38" s="209"/>
      <c r="AG38" s="209"/>
      <c r="AH38" s="209"/>
      <c r="AI38" s="209"/>
      <c r="AJ38" s="209"/>
      <c r="AK38" s="209"/>
      <c r="AL38" s="209"/>
      <c r="AM38" s="209"/>
      <c r="AN38" s="209"/>
      <c r="AO38" s="209"/>
      <c r="AP38" s="209"/>
      <c r="AQ38" s="209"/>
      <c r="AR38" s="209"/>
      <c r="AS38" s="209"/>
      <c r="AT38" s="209"/>
      <c r="AU38" s="209"/>
      <c r="AV38" s="209"/>
      <c r="AW38" s="209"/>
      <c r="AX38" s="209"/>
      <c r="AY38" s="209"/>
      <c r="AZ38" s="209"/>
      <c r="BA38" s="209"/>
      <c r="BB38" s="209"/>
      <c r="BC38" s="209"/>
      <c r="BD38" s="44">
        <f>G38</f>
        <v>0</v>
      </c>
      <c r="BE38" t="s">
        <v>1406</v>
      </c>
      <c r="BG38" s="1607">
        <v>2027</v>
      </c>
      <c r="BH38" s="2611">
        <v>48.519218723309763</v>
      </c>
      <c r="BI38" s="2612">
        <v>36.602113012810747</v>
      </c>
      <c r="BJ38" s="2609">
        <f ca="1"/>
        <v>53.572305998881028</v>
      </c>
      <c r="BK38" s="2609">
        <f ca="1"/>
        <v>60.179799331518922</v>
      </c>
      <c r="BL38" s="2609"/>
      <c r="BM38" s="20"/>
      <c r="BN38" s="2609">
        <v>25.180010237372858</v>
      </c>
      <c r="BO38" s="2609">
        <v>33.499830658223821</v>
      </c>
      <c r="BP38" s="2609"/>
      <c r="BQ38" s="2609">
        <v>0</v>
      </c>
      <c r="BR38" s="2609">
        <v>41.745836544691123</v>
      </c>
      <c r="BS38" s="2609">
        <v>39.878318634957708</v>
      </c>
      <c r="BT38" s="2609">
        <v>50.374358143846841</v>
      </c>
      <c r="BU38" s="855">
        <f ca="1"/>
        <v>50.401661806388809</v>
      </c>
      <c r="BW38" s="2032">
        <f t="shared" ca="1" si="2"/>
        <v>0.59738326290951682</v>
      </c>
      <c r="BX38" s="1607">
        <v>2027</v>
      </c>
      <c r="BY38" s="1135">
        <v>145.83999999999997</v>
      </c>
      <c r="BZ38" s="1039">
        <v>77.295199999999994</v>
      </c>
      <c r="CA38" s="1135">
        <f ca="1"/>
        <v>-1.7895129729460848</v>
      </c>
      <c r="CB38" s="1039">
        <v>87.017006170284546</v>
      </c>
      <c r="CC38" s="1153">
        <f t="shared" ca="1" si="3"/>
        <v>0.59738326290951682</v>
      </c>
      <c r="CD38" s="1016">
        <f>НАСТРОЙКА!IX37</f>
        <v>13017.144068658055</v>
      </c>
      <c r="CE38" s="1016">
        <f ca="1"/>
        <v>7776.2239974982149</v>
      </c>
      <c r="CF38" s="947">
        <f t="shared" ca="1" si="0"/>
        <v>2.8097146980585723</v>
      </c>
      <c r="CG38" s="2093">
        <f ca="1"/>
        <v>3.4212730213793145</v>
      </c>
      <c r="CI38" s="947">
        <f ca="1"/>
        <v>1.8456209985557013</v>
      </c>
      <c r="CJ38" s="1153">
        <f ca="1"/>
        <v>3.9034785313534401</v>
      </c>
      <c r="CK38" s="35">
        <f>РЕЗУЛЬТАТЫ!VQ45</f>
        <v>0</v>
      </c>
      <c r="CL38" s="1135"/>
      <c r="CM38" s="947">
        <v>0</v>
      </c>
      <c r="CN38" s="32">
        <f ca="1"/>
        <v>5.0841688271488898</v>
      </c>
      <c r="CO38" s="1153">
        <f ca="1"/>
        <v>2.6176699223460349</v>
      </c>
      <c r="CQ38" s="2130"/>
    </row>
    <row r="39" spans="1:95" ht="18">
      <c r="E39" s="105">
        <v>39</v>
      </c>
      <c r="F39" s="517"/>
      <c r="G39" s="205"/>
      <c r="H39" s="21"/>
      <c r="I39" s="546"/>
      <c r="J39" s="546"/>
      <c r="K39" s="546"/>
      <c r="L39" s="546"/>
      <c r="M39" s="546"/>
      <c r="N39" s="546"/>
      <c r="O39" s="216"/>
      <c r="P39" s="209"/>
      <c r="Q39" s="209"/>
      <c r="R39" s="209"/>
      <c r="S39" s="209"/>
      <c r="T39" s="209"/>
      <c r="U39" s="209"/>
      <c r="V39" s="209"/>
      <c r="W39" s="209"/>
      <c r="X39" s="209"/>
      <c r="Y39" s="209"/>
      <c r="Z39" s="209"/>
      <c r="AA39" s="209"/>
      <c r="AB39" s="209"/>
      <c r="AC39" s="209"/>
      <c r="AD39" s="538"/>
      <c r="AE39" s="209"/>
      <c r="AF39" s="209"/>
      <c r="AG39" s="209"/>
      <c r="AH39" s="209"/>
      <c r="AI39" s="209"/>
      <c r="AJ39" s="209"/>
      <c r="AK39" s="209"/>
      <c r="AL39" s="209"/>
      <c r="AM39" s="209"/>
      <c r="AN39" s="209"/>
      <c r="AO39" s="209"/>
      <c r="AP39" s="209"/>
      <c r="AQ39" s="209"/>
      <c r="AR39" s="209"/>
      <c r="AS39" s="209"/>
      <c r="AT39" s="1153"/>
      <c r="AU39" s="1153"/>
      <c r="AV39" s="1153"/>
      <c r="AW39" s="1153"/>
      <c r="AX39" s="1153"/>
      <c r="AY39" s="1153"/>
      <c r="AZ39" s="1153"/>
      <c r="BA39" s="1153"/>
      <c r="BB39" s="1153"/>
      <c r="BC39" s="1153"/>
      <c r="BD39" s="44">
        <f t="shared" si="4"/>
        <v>0</v>
      </c>
      <c r="BG39" s="1607">
        <v>2028</v>
      </c>
      <c r="BH39" s="2611">
        <v>51.301379659475259</v>
      </c>
      <c r="BI39" s="2612">
        <v>38.451638663451291</v>
      </c>
      <c r="BJ39" s="2609">
        <f ca="1"/>
        <v>57.088550391673728</v>
      </c>
      <c r="BK39" s="2609">
        <f ca="1"/>
        <v>64.026925577129546</v>
      </c>
      <c r="BL39" s="2609"/>
      <c r="BM39" s="20"/>
      <c r="BN39" s="2609">
        <v>26.135713899241502</v>
      </c>
      <c r="BO39" s="2609">
        <v>35.174822191135014</v>
      </c>
      <c r="BP39" s="2609"/>
      <c r="BQ39" s="2609">
        <v>0</v>
      </c>
      <c r="BR39" s="2609">
        <v>43.857163371925687</v>
      </c>
      <c r="BS39" s="2609">
        <v>41.672234566705598</v>
      </c>
      <c r="BT39" s="2609">
        <v>54.32041428458438</v>
      </c>
      <c r="BU39" s="855">
        <f ca="1"/>
        <v>53.817909912491039</v>
      </c>
      <c r="BW39" s="2032">
        <f t="shared" ca="1" si="2"/>
        <v>0.59134571010380421</v>
      </c>
      <c r="BX39" s="1607">
        <v>2028</v>
      </c>
      <c r="BY39" s="1135">
        <v>145.67999999999998</v>
      </c>
      <c r="BZ39" s="1039">
        <v>77.210399999999993</v>
      </c>
      <c r="CA39" s="1135">
        <f ca="1"/>
        <v>-2.7007881812319994</v>
      </c>
      <c r="CB39" s="1039">
        <v>88.091022509927015</v>
      </c>
      <c r="CC39" s="1153">
        <f t="shared" ca="1" si="3"/>
        <v>0.59134571010380421</v>
      </c>
      <c r="CD39" s="1016">
        <f>НАСТРОЙКА!IX38</f>
        <v>13588.769822736602</v>
      </c>
      <c r="CE39" s="1016">
        <f ca="1"/>
        <v>8035.660740263319</v>
      </c>
      <c r="CF39" s="947">
        <f t="shared" ca="1" si="0"/>
        <v>2.9034546970089719</v>
      </c>
      <c r="CG39" s="2093">
        <f ca="1"/>
        <v>3.5728688017600136</v>
      </c>
      <c r="CI39" s="947">
        <f ca="1"/>
        <v>1.9223955088928635</v>
      </c>
      <c r="CJ39" s="1153">
        <f ca="1"/>
        <v>4.0773062606563286</v>
      </c>
      <c r="CK39" s="35">
        <f>РЕЗУЛЬТАТЫ!VQ46</f>
        <v>0</v>
      </c>
      <c r="CL39" s="1135"/>
      <c r="CM39" s="947">
        <v>0</v>
      </c>
      <c r="CN39" s="32">
        <f ca="1"/>
        <v>5.2755147390748132</v>
      </c>
      <c r="CO39" s="1153">
        <f ca="1"/>
        <v>2.6991562757578107</v>
      </c>
      <c r="CQ39" s="2130"/>
    </row>
    <row r="40" spans="1:95" ht="18.600000000000001" thickBot="1">
      <c r="E40" s="105">
        <v>40</v>
      </c>
      <c r="F40" s="517"/>
      <c r="G40" s="205"/>
      <c r="H40" s="21"/>
      <c r="I40" s="546"/>
      <c r="J40" s="546"/>
      <c r="K40" s="546"/>
      <c r="L40" s="546"/>
      <c r="M40" s="546"/>
      <c r="N40" s="546"/>
      <c r="O40" s="216"/>
      <c r="P40" s="209"/>
      <c r="Q40" s="209"/>
      <c r="R40" s="209"/>
      <c r="S40" s="209"/>
      <c r="T40" s="209"/>
      <c r="U40" s="209"/>
      <c r="V40" s="209"/>
      <c r="W40" s="209"/>
      <c r="X40" s="209"/>
      <c r="Y40" s="209"/>
      <c r="Z40" s="209"/>
      <c r="AA40" s="209"/>
      <c r="AB40" s="209"/>
      <c r="AC40" s="209"/>
      <c r="AD40" s="538"/>
      <c r="AE40" s="209"/>
      <c r="AF40" s="209"/>
      <c r="AG40" s="209"/>
      <c r="AH40" s="209"/>
      <c r="AI40" s="209"/>
      <c r="AJ40" s="209"/>
      <c r="AK40" s="209"/>
      <c r="AL40" s="209"/>
      <c r="AM40" s="209"/>
      <c r="AN40" s="209"/>
      <c r="AO40" s="209"/>
      <c r="AP40" s="209"/>
      <c r="AQ40" s="209"/>
      <c r="AR40" s="209"/>
      <c r="AS40" s="209"/>
      <c r="AT40" s="1153"/>
      <c r="AU40" s="1153"/>
      <c r="AV40" s="1153"/>
      <c r="AW40" s="1153"/>
      <c r="AX40" s="1153"/>
      <c r="AY40" s="1153"/>
      <c r="AZ40" s="1153"/>
      <c r="BA40" s="1153"/>
      <c r="BB40" s="1153"/>
      <c r="BC40" s="1153"/>
      <c r="BD40" s="44">
        <f t="shared" si="4"/>
        <v>0</v>
      </c>
      <c r="BG40" s="1607">
        <v>2029</v>
      </c>
      <c r="BH40" s="2611">
        <v>54.222648642449023</v>
      </c>
      <c r="BI40" s="2612">
        <v>40.393640596623854</v>
      </c>
      <c r="BJ40" s="2609">
        <f ca="1"/>
        <v>60.811401422127091</v>
      </c>
      <c r="BK40" s="2609">
        <f ca="1"/>
        <v>68.100277287310718</v>
      </c>
      <c r="BL40" s="2609"/>
      <c r="BM40" s="20"/>
      <c r="BN40" s="2609">
        <v>27.129381244203579</v>
      </c>
      <c r="BO40" s="2609">
        <v>36.933563300691766</v>
      </c>
      <c r="BP40" s="2609"/>
      <c r="BQ40" s="2609">
        <v>0</v>
      </c>
      <c r="BR40" s="2609">
        <v>46.074056540521973</v>
      </c>
      <c r="BS40" s="2609">
        <v>43.55584629504088</v>
      </c>
      <c r="BT40" s="2609">
        <v>58.614749401297182</v>
      </c>
      <c r="BU40" s="855">
        <f ca="1"/>
        <v>57.435046231131921</v>
      </c>
      <c r="BW40" s="2032">
        <f t="shared" ca="1" si="2"/>
        <v>0.58560024240232167</v>
      </c>
      <c r="BX40" s="1607">
        <v>2029</v>
      </c>
      <c r="BY40" s="1135">
        <v>145.49999999999997</v>
      </c>
      <c r="BZ40" s="1039">
        <v>77.114999999999995</v>
      </c>
      <c r="CA40" s="1135">
        <f ca="1"/>
        <v>-3.6600764203583509</v>
      </c>
      <c r="CB40" s="1039">
        <v>89.18065218920745</v>
      </c>
      <c r="CC40" s="1153">
        <f t="shared" ca="1" si="3"/>
        <v>0.58560024240232167</v>
      </c>
      <c r="CD40" s="1016">
        <f>НАСТРОЙКА!IX39</f>
        <v>14185.83670455504</v>
      </c>
      <c r="CE40" s="1016">
        <f ca="1"/>
        <v>8307.2294128671838</v>
      </c>
      <c r="CF40" s="947">
        <f t="shared" ca="1" si="0"/>
        <v>3.001578219581472</v>
      </c>
      <c r="CG40" s="2093">
        <f ca="1"/>
        <v>3.7315535910136588</v>
      </c>
      <c r="CI40" s="947">
        <f ca="1"/>
        <v>2.0029169884589542</v>
      </c>
      <c r="CJ40" s="1153">
        <f ca="1"/>
        <v>4.2594110227937145</v>
      </c>
      <c r="CK40" s="35">
        <f>РЕЗУЛЬТАТЫ!VQ47</f>
        <v>0</v>
      </c>
      <c r="CL40" s="1135"/>
      <c r="CM40" s="947">
        <v>0</v>
      </c>
      <c r="CN40" s="32">
        <f ca="1"/>
        <v>5.4762609464205978</v>
      </c>
      <c r="CO40" s="1153">
        <f ca="1"/>
        <v>2.7843313683147004</v>
      </c>
      <c r="CQ40" s="2130"/>
    </row>
    <row r="41" spans="1:95" ht="18.600000000000001" thickBot="1">
      <c r="A41" s="2546" t="s">
        <v>2065</v>
      </c>
      <c r="E41" s="105">
        <v>41</v>
      </c>
      <c r="F41" s="517">
        <v>43940</v>
      </c>
      <c r="G41" s="205" t="s">
        <v>1714</v>
      </c>
      <c r="H41" s="21" t="s">
        <v>809</v>
      </c>
      <c r="I41" s="546" t="s">
        <v>2072</v>
      </c>
      <c r="J41" s="546"/>
      <c r="K41" s="546"/>
      <c r="L41" s="546"/>
      <c r="M41" s="546"/>
      <c r="N41" s="546"/>
      <c r="O41" s="218">
        <v>0.52160205427817563</v>
      </c>
      <c r="P41" s="209">
        <v>0.5075047014598465</v>
      </c>
      <c r="Q41" s="209">
        <v>0.51667647317297627</v>
      </c>
      <c r="R41" s="209">
        <v>0.49180137717267253</v>
      </c>
      <c r="S41" s="209">
        <v>0.51928728248372014</v>
      </c>
      <c r="T41" s="209">
        <v>0.56527391744994016</v>
      </c>
      <c r="U41" s="209">
        <v>0.58768319068878805</v>
      </c>
      <c r="V41" s="209">
        <v>0.60746658522682651</v>
      </c>
      <c r="W41" s="209">
        <v>0.64524584965850473</v>
      </c>
      <c r="X41" s="209">
        <v>0.68589125751100888</v>
      </c>
      <c r="Y41" s="209">
        <v>0.71146914542604145</v>
      </c>
      <c r="Z41" s="209">
        <v>0.75663076110249916</v>
      </c>
      <c r="AA41" s="209">
        <v>0.79846194770079459</v>
      </c>
      <c r="AB41" s="2127">
        <v>0.80925197402107563</v>
      </c>
      <c r="AC41" s="209">
        <v>0.7261311317282132</v>
      </c>
      <c r="AD41" s="538">
        <v>0.74023076535400356</v>
      </c>
      <c r="AE41" s="209">
        <v>0.74236604640790949</v>
      </c>
      <c r="AF41" s="209">
        <v>0.73951900500270173</v>
      </c>
      <c r="AG41" s="209">
        <v>0.72531114707757793</v>
      </c>
      <c r="AH41" s="209">
        <v>0.70502761451706719</v>
      </c>
      <c r="AI41" s="209">
        <v>0.67428513132591583</v>
      </c>
      <c r="AJ41" s="209">
        <v>0.65676280356287475</v>
      </c>
      <c r="AK41" s="209">
        <v>0.64853745053174061</v>
      </c>
      <c r="AL41" s="209">
        <v>0.63795670517757586</v>
      </c>
      <c r="AM41" s="209"/>
      <c r="AN41" s="209"/>
      <c r="AO41" s="209"/>
      <c r="AP41" s="209"/>
      <c r="AQ41" s="209"/>
      <c r="AR41" s="209"/>
      <c r="AS41" s="209"/>
      <c r="AT41" s="1153"/>
      <c r="AU41" s="1153"/>
      <c r="AV41" s="1153"/>
      <c r="AW41" s="1153"/>
      <c r="AX41" s="1153"/>
      <c r="AY41" s="1153"/>
      <c r="AZ41" s="1153"/>
      <c r="BA41" s="1153"/>
      <c r="BB41" s="1153"/>
      <c r="BC41" s="1153"/>
      <c r="BD41" s="44" t="str">
        <f t="shared" si="4"/>
        <v>^fOS</v>
      </c>
      <c r="BG41" s="1607">
        <v>2030</v>
      </c>
      <c r="BH41" s="2611">
        <v>57.289981074571479</v>
      </c>
      <c r="BI41" s="2612">
        <v>42.432742626455045</v>
      </c>
      <c r="BJ41" s="2609">
        <f ca="1"/>
        <v>64.751648408286357</v>
      </c>
      <c r="BK41" s="2609">
        <f ca="1"/>
        <v>72.41177448191641</v>
      </c>
      <c r="BL41" s="2609"/>
      <c r="BM41" s="20"/>
      <c r="BN41" s="2609">
        <v>28.162910456413751</v>
      </c>
      <c r="BO41" s="2609">
        <v>38.780241465726355</v>
      </c>
      <c r="BP41" s="2609"/>
      <c r="BQ41" s="2609">
        <v>0</v>
      </c>
      <c r="BR41" s="2609">
        <v>48.401794367548071</v>
      </c>
      <c r="BS41" s="2609">
        <v>45.533638609792924</v>
      </c>
      <c r="BT41" s="2609">
        <v>63.290252500100188</v>
      </c>
      <c r="BU41" s="855">
        <f ca="1"/>
        <v>61.263655739941782</v>
      </c>
      <c r="BW41" s="2032">
        <f t="shared" ca="1" si="2"/>
        <v>0.58018259124118976</v>
      </c>
      <c r="BX41" s="1607">
        <v>2030</v>
      </c>
      <c r="BY41" s="1135">
        <v>145.31999999999996</v>
      </c>
      <c r="BZ41" s="1039">
        <v>77.019599999999983</v>
      </c>
      <c r="CA41" s="1135">
        <f ca="1"/>
        <v>-4.6595420400787333</v>
      </c>
      <c r="CB41" s="1039">
        <v>90.284902002720656</v>
      </c>
      <c r="CC41" s="1153">
        <f t="shared" ca="1" si="3"/>
        <v>0.58018259124118976</v>
      </c>
      <c r="CD41" s="1016">
        <f>НАСТРОЙКА!IX40</f>
        <v>14808.82788562779</v>
      </c>
      <c r="CE41" s="1016">
        <f ca="1"/>
        <v>8591.8241359283202</v>
      </c>
      <c r="CF41" s="947">
        <f t="shared" ca="1" si="0"/>
        <v>3.1044083305237549</v>
      </c>
      <c r="CG41" s="2093">
        <f ca="1"/>
        <v>3.897849847568744</v>
      </c>
      <c r="CI41" s="947">
        <f ca="1"/>
        <v>2.0874318063378641</v>
      </c>
      <c r="CJ41" s="1153">
        <f ca="1"/>
        <v>4.4503420355599346</v>
      </c>
      <c r="CK41" s="35">
        <f>РЕЗУЛЬТАТЫ!VQ48</f>
        <v>0</v>
      </c>
      <c r="CL41" s="1135"/>
      <c r="CM41" s="947">
        <v>0</v>
      </c>
      <c r="CN41" s="32">
        <f ca="1"/>
        <v>5.6870976781136333</v>
      </c>
      <c r="CO41" s="1153">
        <f ca="1"/>
        <v>2.8734677511818374</v>
      </c>
      <c r="CQ41" s="2130"/>
    </row>
    <row r="42" spans="1:95" ht="18.600000000000001" thickBot="1">
      <c r="E42" s="105">
        <v>42</v>
      </c>
      <c r="G42" s="205"/>
      <c r="H42" s="554"/>
      <c r="I42" s="546"/>
      <c r="J42" s="546"/>
      <c r="K42" s="546"/>
      <c r="L42" s="546"/>
      <c r="M42" s="546"/>
      <c r="N42" s="546"/>
      <c r="O42" s="218"/>
      <c r="AD42" s="669"/>
      <c r="BD42" s="44">
        <f t="shared" si="4"/>
        <v>0</v>
      </c>
      <c r="BG42" s="1607">
        <v>2031</v>
      </c>
      <c r="BH42" s="1726">
        <v>60.510680128300059</v>
      </c>
      <c r="BI42" s="2612">
        <v>44.573799757777806</v>
      </c>
      <c r="BJ42" s="2611">
        <f ca="1"/>
        <v>68.920642842998618</v>
      </c>
      <c r="BK42" s="2609">
        <f ca="1"/>
        <v>76.973926342470122</v>
      </c>
      <c r="BL42" s="20"/>
      <c r="BM42" s="20"/>
      <c r="BN42" s="2609">
        <v>29.238294629234446</v>
      </c>
      <c r="BO42" s="2609">
        <v>40.719253539012676</v>
      </c>
      <c r="BP42" s="20"/>
      <c r="BQ42" s="2609">
        <v>0</v>
      </c>
      <c r="BR42" s="2609">
        <v>50.84591908592548</v>
      </c>
      <c r="BS42" s="2609">
        <v>47.610320540282572</v>
      </c>
      <c r="BT42" s="2609">
        <v>68.383043230789013</v>
      </c>
      <c r="BU42" s="855">
        <f ca="1"/>
        <v>65.314846592113469</v>
      </c>
      <c r="BW42" s="2032">
        <f t="shared" ca="1" si="2"/>
        <v>0.57511543553614386</v>
      </c>
      <c r="BX42" s="1607">
        <v>2031</v>
      </c>
      <c r="BY42" s="1039">
        <v>145.13999999999996</v>
      </c>
      <c r="BZ42" s="1039">
        <v>76.924199999999985</v>
      </c>
      <c r="CA42" s="1135">
        <f ca="1"/>
        <v>-5.701692563147617</v>
      </c>
      <c r="CB42" s="1039">
        <v>91.402777074367563</v>
      </c>
      <c r="CC42" s="1153">
        <f t="shared" ca="1" si="3"/>
        <v>0.57511543553614386</v>
      </c>
      <c r="CD42" s="1016">
        <f>НАСТРОЙКА!IX41</f>
        <v>15458.237424001558</v>
      </c>
      <c r="CE42" s="1016">
        <f ca="1"/>
        <v>8890.2709487257744</v>
      </c>
      <c r="CF42" s="947">
        <f t="shared" ca="1" si="0"/>
        <v>3.2122434953512502</v>
      </c>
      <c r="CG42" s="2093">
        <f ca="1"/>
        <v>4.0722402481186215</v>
      </c>
      <c r="CI42" s="947">
        <f ca="1"/>
        <v>2.1761734838733555</v>
      </c>
      <c r="CJ42" s="1153">
        <f ca="1"/>
        <v>4.6506228384995891</v>
      </c>
      <c r="CK42" s="35">
        <f>РЕЗУЛЬТАТЫ!VQ49</f>
        <v>0</v>
      </c>
      <c r="CM42">
        <v>0</v>
      </c>
      <c r="CN42" s="32">
        <f ca="1"/>
        <v>5.9086795833607573</v>
      </c>
      <c r="CO42" s="1153">
        <f ca="1"/>
        <v>2.966812653656985</v>
      </c>
      <c r="CQ42" s="2580"/>
    </row>
    <row r="43" spans="1:95" ht="21.6" thickBot="1">
      <c r="E43" s="105">
        <v>43</v>
      </c>
      <c r="F43" s="1398" t="s">
        <v>899</v>
      </c>
      <c r="G43" s="1988"/>
      <c r="H43" s="200"/>
      <c r="I43" s="1399" t="s">
        <v>1556</v>
      </c>
      <c r="J43" s="1400"/>
      <c r="K43" s="1400"/>
      <c r="L43" s="1400"/>
      <c r="M43" s="1400"/>
      <c r="N43" s="203"/>
      <c r="O43" s="2562">
        <v>1995</v>
      </c>
      <c r="P43" s="2563">
        <v>1996</v>
      </c>
      <c r="Q43" s="2564">
        <v>1997</v>
      </c>
      <c r="R43" s="2564">
        <v>1998</v>
      </c>
      <c r="S43" s="2564">
        <v>1999</v>
      </c>
      <c r="T43" s="2564">
        <v>2000</v>
      </c>
      <c r="U43" s="2564">
        <v>2001</v>
      </c>
      <c r="V43" s="2564">
        <v>2002</v>
      </c>
      <c r="W43" s="2564">
        <v>2003</v>
      </c>
      <c r="X43" s="2564">
        <v>2004</v>
      </c>
      <c r="Y43" s="2564">
        <v>2005</v>
      </c>
      <c r="Z43" s="2564">
        <v>2006</v>
      </c>
      <c r="AA43" s="2564">
        <v>2007</v>
      </c>
      <c r="AB43" s="2564">
        <v>2008</v>
      </c>
      <c r="AC43" s="2564">
        <v>2009</v>
      </c>
      <c r="AD43" s="2564">
        <v>2010</v>
      </c>
      <c r="AE43" s="2564">
        <v>2011</v>
      </c>
      <c r="AF43" s="2564">
        <v>2012</v>
      </c>
      <c r="AG43" s="2564">
        <v>2013</v>
      </c>
      <c r="AH43" s="2564">
        <v>2014</v>
      </c>
      <c r="AI43" s="2564">
        <v>2015</v>
      </c>
      <c r="AJ43" s="2564">
        <v>2016</v>
      </c>
      <c r="AK43" s="2564">
        <v>2017</v>
      </c>
      <c r="AL43" s="2549">
        <v>2018</v>
      </c>
      <c r="AM43" s="2564">
        <v>2019</v>
      </c>
      <c r="AN43" s="2564">
        <v>2020</v>
      </c>
      <c r="AO43" s="2564">
        <v>2021</v>
      </c>
      <c r="AP43" s="2564">
        <v>2022</v>
      </c>
      <c r="AQ43" s="2564">
        <v>2023</v>
      </c>
      <c r="AR43" s="2564">
        <v>2024</v>
      </c>
      <c r="AS43" s="2564">
        <v>2025</v>
      </c>
      <c r="AT43" s="2564">
        <v>2026</v>
      </c>
      <c r="AU43" s="2564">
        <v>2027</v>
      </c>
      <c r="AV43" s="2564">
        <v>2028</v>
      </c>
      <c r="AW43" s="2564">
        <v>2029</v>
      </c>
      <c r="AX43" s="2564">
        <v>2030</v>
      </c>
      <c r="AY43" s="2564">
        <v>2031</v>
      </c>
      <c r="AZ43" s="2564">
        <v>2032</v>
      </c>
      <c r="BA43" s="2564">
        <v>2033</v>
      </c>
      <c r="BB43" s="2564">
        <v>2034</v>
      </c>
      <c r="BC43" s="2564">
        <v>2035</v>
      </c>
      <c r="BD43" s="2561">
        <f t="shared" si="4"/>
        <v>0</v>
      </c>
      <c r="BG43" s="1607">
        <v>2032</v>
      </c>
      <c r="BH43" s="1726">
        <v>63.892414134715061</v>
      </c>
      <c r="BI43" s="2612">
        <v>46.821909745666701</v>
      </c>
      <c r="BJ43" s="2611">
        <f ca="1"/>
        <v>73.330315817934874</v>
      </c>
      <c r="BK43" s="2609">
        <f ca="1"/>
        <v>81.799864620665787</v>
      </c>
      <c r="BL43" s="20"/>
      <c r="BM43" s="20"/>
      <c r="BN43" s="2609">
        <v>30.357626510696168</v>
      </c>
      <c r="BO43" s="2609">
        <v>42.755216215963316</v>
      </c>
      <c r="BP43" s="20"/>
      <c r="BQ43" s="2609">
        <v>0</v>
      </c>
      <c r="BR43" s="2609">
        <v>53.412250040221757</v>
      </c>
      <c r="BS43" s="2609">
        <v>49.790836567296708</v>
      </c>
      <c r="BT43" s="2609">
        <v>73.932796003844885</v>
      </c>
      <c r="BU43" s="855">
        <f ca="1"/>
        <v>69.600279783151223</v>
      </c>
      <c r="BW43" s="2032">
        <f t="shared" ca="1" si="2"/>
        <v>0.57041314196885839</v>
      </c>
      <c r="BX43" s="1607">
        <v>2032</v>
      </c>
      <c r="BY43" s="1039">
        <v>144.95999999999995</v>
      </c>
      <c r="BZ43" s="1039">
        <v>76.828799999999973</v>
      </c>
      <c r="CA43" s="1135">
        <f ca="1"/>
        <v>-6.7889163974699329</v>
      </c>
      <c r="CB43" s="1039">
        <v>92.533280829697134</v>
      </c>
      <c r="CC43" s="1153">
        <f t="shared" ca="1" si="3"/>
        <v>0.57041314196885839</v>
      </c>
      <c r="CD43" s="1016">
        <f>НАСТРОЙКА!IX42</f>
        <v>16134.564868588497</v>
      </c>
      <c r="CE43" s="1016">
        <f ca="1"/>
        <v>9203.3678409919285</v>
      </c>
      <c r="CF43" s="947">
        <f t="shared" ca="1" si="0"/>
        <v>3.3253720446831236</v>
      </c>
      <c r="CG43" s="2093">
        <f ca="1"/>
        <v>4.2551910792614276</v>
      </c>
      <c r="CI43" s="947">
        <f ca="1"/>
        <v>2.2693717489888452</v>
      </c>
      <c r="CJ43" s="1153">
        <f ca="1"/>
        <v>4.8607701196869728</v>
      </c>
      <c r="CK43" s="35">
        <f>РЕЗУЛЬТАТЫ!VQ50</f>
        <v>0</v>
      </c>
      <c r="CM43">
        <v>0</v>
      </c>
      <c r="CN43" s="32">
        <f ca="1"/>
        <v>6.1416515256655417</v>
      </c>
      <c r="CO43" s="1153">
        <f ca="1"/>
        <v>3.0646015609049457</v>
      </c>
      <c r="CQ43" s="2580"/>
    </row>
    <row r="44" spans="1:95" ht="18">
      <c r="A44" s="614" t="s">
        <v>1835</v>
      </c>
      <c r="B44" s="614"/>
      <c r="C44" s="614"/>
      <c r="D44" s="614"/>
      <c r="E44" s="105">
        <v>44</v>
      </c>
      <c r="F44" s="517">
        <v>43939</v>
      </c>
      <c r="G44" s="1447" t="s">
        <v>494</v>
      </c>
      <c r="H44" s="21" t="s">
        <v>46</v>
      </c>
      <c r="I44" s="546" t="s">
        <v>2045</v>
      </c>
      <c r="J44" s="546"/>
      <c r="K44" s="546"/>
      <c r="L44" s="546"/>
      <c r="M44" s="546"/>
      <c r="N44" s="546"/>
      <c r="O44" s="2037"/>
      <c r="P44" s="1846" t="s">
        <v>1835</v>
      </c>
      <c r="Q44" s="1846"/>
      <c r="R44" s="1846"/>
      <c r="S44" s="1846"/>
      <c r="T44" s="1093"/>
      <c r="U44" s="1093"/>
      <c r="V44" s="1093"/>
      <c r="W44" s="1093"/>
      <c r="X44" s="1093"/>
      <c r="Y44" s="1093"/>
      <c r="Z44" s="1093"/>
      <c r="AA44" s="803"/>
      <c r="AB44" s="2560"/>
      <c r="AC44" s="221"/>
      <c r="AD44" s="544"/>
      <c r="AE44" s="221"/>
      <c r="AF44" s="221"/>
      <c r="AG44" s="221"/>
      <c r="AH44" s="221"/>
      <c r="AI44" s="221"/>
      <c r="AJ44" s="221"/>
      <c r="AK44" s="221"/>
      <c r="AL44" s="221"/>
      <c r="AM44" s="221"/>
      <c r="AN44" s="221"/>
      <c r="AO44" s="221"/>
      <c r="AP44" s="221"/>
      <c r="AQ44" s="221"/>
      <c r="AR44" s="221"/>
      <c r="AS44" s="221"/>
      <c r="AT44" s="209"/>
      <c r="AU44" s="209"/>
      <c r="AV44" s="209"/>
      <c r="AW44" s="209"/>
      <c r="AX44" s="209"/>
      <c r="AY44" s="209"/>
      <c r="AZ44" s="209"/>
      <c r="BA44" s="209"/>
      <c r="BB44" s="209"/>
      <c r="BC44" s="209"/>
      <c r="BD44" s="44"/>
      <c r="BG44" s="1607">
        <v>2033</v>
      </c>
      <c r="BH44" s="1726">
        <v>67.443234841450831</v>
      </c>
      <c r="BI44" s="2612">
        <v>49.182425232950038</v>
      </c>
      <c r="BJ44" s="2611">
        <f ca="1"/>
        <v>77.993202307971515</v>
      </c>
      <c r="BK44" s="2609">
        <f ca="1"/>
        <v>86.903378018893505</v>
      </c>
      <c r="BL44" s="20"/>
      <c r="BM44" s="20"/>
      <c r="BN44" s="2609">
        <v>31.523103486230976</v>
      </c>
      <c r="BO44" s="2609">
        <v>44.892977026761486</v>
      </c>
      <c r="BP44" s="20"/>
      <c r="BQ44" s="2609">
        <v>0</v>
      </c>
      <c r="BR44" s="2609">
        <v>56.106897542232851</v>
      </c>
      <c r="BS44" s="2609">
        <v>52.080378395661548</v>
      </c>
      <c r="BT44" s="2609">
        <v>79.983096978233959</v>
      </c>
      <c r="BU44" s="855">
        <f ca="1"/>
        <v>74.132199680777433</v>
      </c>
      <c r="BW44" s="2032">
        <f t="shared" ca="1" si="2"/>
        <v>0.56608470720753301</v>
      </c>
      <c r="BX44" s="1607">
        <v>2033</v>
      </c>
      <c r="BY44" s="1039">
        <v>144.75999999999996</v>
      </c>
      <c r="BZ44" s="1039">
        <v>76.722799999999978</v>
      </c>
      <c r="CA44" s="1135">
        <f ca="1"/>
        <v>-7.9341689745521791</v>
      </c>
      <c r="CB44" s="1039">
        <v>93.675415150025771</v>
      </c>
      <c r="CC44" s="1153">
        <f t="shared" ca="1" si="3"/>
        <v>0.56608470720753301</v>
      </c>
      <c r="CD44" s="1016">
        <f>НАСТРОЙКА!IX43</f>
        <v>16838.310389353599</v>
      </c>
      <c r="CE44" s="1016">
        <f ca="1"/>
        <v>9531.9100066267929</v>
      </c>
      <c r="CF44" s="947">
        <f t="shared" ca="1" si="0"/>
        <v>3.4440812989449938</v>
      </c>
      <c r="CG44" s="2093">
        <f ca="1"/>
        <v>4.4471669939161851</v>
      </c>
      <c r="CI44" s="947">
        <f ca="1"/>
        <v>2.3672583270152621</v>
      </c>
      <c r="CJ44" s="1153">
        <f ca="1"/>
        <v>5.0813058417874899</v>
      </c>
      <c r="CK44" s="35">
        <f>РЕЗУЛЬТАТЫ!VQ51</f>
        <v>0</v>
      </c>
      <c r="CM44">
        <v>0</v>
      </c>
      <c r="CN44" s="32">
        <f ca="1"/>
        <v>6.386665124425428</v>
      </c>
      <c r="CO44" s="1153">
        <f ca="1"/>
        <v>3.1670667067813212</v>
      </c>
      <c r="CQ44" s="2580"/>
    </row>
    <row r="45" spans="1:95" ht="18" customHeight="1">
      <c r="A45" s="614" t="s">
        <v>2043</v>
      </c>
      <c r="E45" s="105">
        <v>45</v>
      </c>
      <c r="F45" s="517">
        <v>43939</v>
      </c>
      <c r="G45" s="1448" t="s">
        <v>432</v>
      </c>
      <c r="H45" s="21" t="s">
        <v>46</v>
      </c>
      <c r="I45" s="546" t="s">
        <v>2044</v>
      </c>
      <c r="J45" s="546"/>
      <c r="K45" s="546"/>
      <c r="L45" s="546"/>
      <c r="M45" s="546"/>
      <c r="N45" s="546"/>
      <c r="O45" s="2037"/>
      <c r="P45" s="2112" t="s">
        <v>2043</v>
      </c>
      <c r="Q45" s="713"/>
      <c r="R45" s="713"/>
      <c r="S45" s="713"/>
      <c r="T45" s="1401"/>
      <c r="U45" s="1401"/>
      <c r="V45" s="1401"/>
      <c r="W45" s="1401"/>
      <c r="X45" s="1401"/>
      <c r="Y45" s="1401"/>
      <c r="Z45" s="1401"/>
      <c r="AA45" s="1402"/>
      <c r="AB45" s="1403"/>
      <c r="AC45" s="221"/>
      <c r="AD45" s="544"/>
      <c r="AE45" s="221"/>
      <c r="AF45" s="221"/>
      <c r="AG45" s="221"/>
      <c r="AH45" s="221"/>
      <c r="AI45" s="221"/>
      <c r="AJ45" s="221"/>
      <c r="AK45" s="221"/>
      <c r="AL45" s="221"/>
      <c r="AM45" s="221"/>
      <c r="AN45" s="221"/>
      <c r="AO45" s="221"/>
      <c r="AP45" s="221"/>
      <c r="AQ45" s="221"/>
      <c r="AR45" s="221"/>
      <c r="AS45" s="221"/>
      <c r="AT45" s="209"/>
      <c r="AU45" s="209"/>
      <c r="AV45" s="209"/>
      <c r="AW45" s="209"/>
      <c r="AX45" s="209"/>
      <c r="AY45" s="209"/>
      <c r="AZ45" s="209"/>
      <c r="BA45" s="209"/>
      <c r="BB45" s="209"/>
      <c r="BC45" s="209"/>
      <c r="BD45" s="44"/>
      <c r="BG45" s="1607">
        <v>2034</v>
      </c>
      <c r="BH45" s="1726">
        <v>71.171596583523382</v>
      </c>
      <c r="BI45" s="2612">
        <v>51.660966494597545</v>
      </c>
      <c r="BJ45" s="2611">
        <f ca="1"/>
        <v>82.9224699522332</v>
      </c>
      <c r="BK45" s="2609">
        <f ca="1"/>
        <v>92.298948009396469</v>
      </c>
      <c r="BL45" s="20"/>
      <c r="BM45" s="20"/>
      <c r="BN45" s="2609">
        <v>32.737032810542537</v>
      </c>
      <c r="BO45" s="2609">
        <v>47.137625878099563</v>
      </c>
      <c r="BP45" s="20"/>
      <c r="BQ45" s="2609">
        <v>0</v>
      </c>
      <c r="BR45" s="2609">
        <v>58.936277419344499</v>
      </c>
      <c r="BS45" s="2609">
        <v>54.484397315444632</v>
      </c>
      <c r="BT45" s="2609">
        <v>86.581837271697665</v>
      </c>
      <c r="BU45" s="855">
        <f ca="1"/>
        <v>78.923465832344064</v>
      </c>
      <c r="BW45" s="2032">
        <f t="shared" ca="1" si="2"/>
        <v>0.56213561201967133</v>
      </c>
      <c r="BX45" s="1607">
        <v>2034</v>
      </c>
      <c r="BY45" s="1039">
        <v>144.57999999999996</v>
      </c>
      <c r="BZ45" s="1039">
        <v>76.62739999999998</v>
      </c>
      <c r="CA45" s="1135">
        <f ca="1"/>
        <v>-9.1186273192936227</v>
      </c>
      <c r="CB45" s="1039">
        <v>94.828180685442121</v>
      </c>
      <c r="CC45" s="1153">
        <f t="shared" ca="1" si="3"/>
        <v>0.56213561201967133</v>
      </c>
      <c r="CD45" s="1016">
        <f>НАСТРОЙКА!IX44</f>
        <v>17569.97036030794</v>
      </c>
      <c r="CE45" s="1016">
        <f ca="1"/>
        <v>9876.7060416591903</v>
      </c>
      <c r="CF45" s="947">
        <f t="shared" ca="1" si="0"/>
        <v>3.5686634210359371</v>
      </c>
      <c r="CG45" s="2093">
        <f ca="1"/>
        <v>4.6486404762217797</v>
      </c>
      <c r="CI45" s="947">
        <f ca="1"/>
        <v>2.4700707195799612</v>
      </c>
      <c r="CJ45" s="1153">
        <f ca="1"/>
        <v>5.312765219553965</v>
      </c>
      <c r="CK45" s="35">
        <f>РЕЗУЛЬТАТЫ!VQ52</f>
        <v>0</v>
      </c>
      <c r="CM45">
        <v>0</v>
      </c>
      <c r="CN45" s="32">
        <f ca="1"/>
        <v>6.6443896140490546</v>
      </c>
      <c r="CO45" s="1153">
        <f ca="1"/>
        <v>3.2744424541430575</v>
      </c>
      <c r="CQ45" s="2580"/>
    </row>
    <row r="46" spans="1:95" ht="18">
      <c r="A46" s="614" t="s">
        <v>1973</v>
      </c>
      <c r="B46" s="614"/>
      <c r="C46" s="614"/>
      <c r="D46" s="614"/>
      <c r="E46" s="105">
        <v>46</v>
      </c>
      <c r="F46" s="517">
        <v>43939</v>
      </c>
      <c r="G46" s="1448" t="s">
        <v>432</v>
      </c>
      <c r="H46" s="21" t="s">
        <v>46</v>
      </c>
      <c r="I46" s="546" t="s">
        <v>2046</v>
      </c>
      <c r="J46" s="546"/>
      <c r="K46" s="546"/>
      <c r="L46" s="546"/>
      <c r="M46" s="546"/>
      <c r="N46" s="546"/>
      <c r="O46" s="2037"/>
      <c r="P46" s="2112" t="s">
        <v>1973</v>
      </c>
      <c r="Q46" s="1407"/>
      <c r="R46" s="1407"/>
      <c r="S46" s="1407"/>
      <c r="T46" s="1401"/>
      <c r="U46" s="1401"/>
      <c r="V46" s="1401"/>
      <c r="W46" s="1401"/>
      <c r="X46" s="1401"/>
      <c r="Y46" s="1401"/>
      <c r="Z46" s="1401"/>
      <c r="AA46" s="1402"/>
      <c r="AB46" s="1403"/>
      <c r="AC46" s="221"/>
      <c r="AD46" s="544"/>
      <c r="AE46" s="221"/>
      <c r="AF46" s="221"/>
      <c r="AG46" s="221"/>
      <c r="AH46" s="221"/>
      <c r="AI46" s="221"/>
      <c r="AJ46" s="221"/>
      <c r="AK46" s="221"/>
      <c r="AL46" s="221"/>
      <c r="AM46" s="221"/>
      <c r="AN46" s="221"/>
      <c r="AO46" s="221"/>
      <c r="AP46" s="221"/>
      <c r="AQ46" s="221"/>
      <c r="AR46" s="221"/>
      <c r="AS46" s="221"/>
      <c r="AT46" s="209"/>
      <c r="AU46" s="209"/>
      <c r="AV46" s="209"/>
      <c r="AW46" s="209"/>
      <c r="AX46" s="209"/>
      <c r="AY46" s="209"/>
      <c r="AZ46" s="209"/>
      <c r="BA46" s="209"/>
      <c r="BB46" s="209"/>
      <c r="BC46" s="209"/>
      <c r="BD46" s="44"/>
      <c r="BG46" s="2615">
        <v>2035</v>
      </c>
      <c r="BH46" s="2126">
        <v>75.086376412699551</v>
      </c>
      <c r="BI46" s="2614">
        <v>54.263434819327429</v>
      </c>
      <c r="BJ46" s="2616">
        <f ca="1"/>
        <v>88.131951125950962</v>
      </c>
      <c r="BK46" s="2613">
        <f ca="1"/>
        <v>98.001786405310213</v>
      </c>
      <c r="BL46" s="3"/>
      <c r="BM46" s="3"/>
      <c r="BN46" s="2613">
        <v>34.001837101069661</v>
      </c>
      <c r="BO46" s="2613">
        <v>49.494507172004546</v>
      </c>
      <c r="BP46" s="3"/>
      <c r="BQ46" s="2613">
        <v>0</v>
      </c>
      <c r="BR46" s="2613">
        <v>61.90712629031173</v>
      </c>
      <c r="BS46" s="2613">
        <v>57.00861718121687</v>
      </c>
      <c r="BT46" s="2613">
        <v>93.781646087901152</v>
      </c>
      <c r="BU46" s="856">
        <f ca="1"/>
        <v>83.98758632791548</v>
      </c>
      <c r="BW46" s="2032">
        <f t="shared" ca="1" si="2"/>
        <v>0.55856901171402518</v>
      </c>
      <c r="BX46" s="1607">
        <v>2035</v>
      </c>
      <c r="BY46" s="1039">
        <v>144.39999999999995</v>
      </c>
      <c r="BZ46" s="1039">
        <v>76.531999999999982</v>
      </c>
      <c r="CA46" s="1135">
        <f ca="1"/>
        <v>-10.355325320444564</v>
      </c>
      <c r="CB46" s="1039">
        <v>95.990577305453172</v>
      </c>
      <c r="CC46" s="1153">
        <f t="shared" ca="1" si="3"/>
        <v>0.55856901171402518</v>
      </c>
      <c r="CD46" s="1016">
        <f>НАСТРОЙКА!IX45</f>
        <v>18330.033333654035</v>
      </c>
      <c r="CE46" s="1016">
        <f ca="1"/>
        <v>10238.588603864275</v>
      </c>
      <c r="CF46" s="947">
        <f t="shared" ca="1" si="0"/>
        <v>3.699419267874434</v>
      </c>
      <c r="CG46" s="2093">
        <f ca="1"/>
        <v>4.8600980702346543</v>
      </c>
      <c r="CI46" s="947">
        <f ca="1"/>
        <v>2.5780547466615831</v>
      </c>
      <c r="CJ46" s="1153">
        <f ca="1"/>
        <v>5.5557021368904556</v>
      </c>
      <c r="CK46" s="35">
        <f>РЕЗУЛЬТАТЫ!VQ53</f>
        <v>0</v>
      </c>
      <c r="CM46">
        <v>0</v>
      </c>
      <c r="CN46" s="32">
        <f ca="1"/>
        <v>6.915519225011411</v>
      </c>
      <c r="CO46" s="1153">
        <f ca="1"/>
        <v>3.3869687723405741</v>
      </c>
      <c r="CQ46" s="2580"/>
    </row>
    <row r="47" spans="1:95" ht="17.399999999999999">
      <c r="A47" s="614" t="s">
        <v>1975</v>
      </c>
      <c r="E47" s="105">
        <v>47</v>
      </c>
      <c r="F47" s="517">
        <v>43939</v>
      </c>
      <c r="G47" s="1448" t="s">
        <v>434</v>
      </c>
      <c r="H47" s="21" t="s">
        <v>46</v>
      </c>
      <c r="I47" s="546" t="s">
        <v>1708</v>
      </c>
      <c r="J47" s="546"/>
      <c r="K47" s="546"/>
      <c r="L47" s="546"/>
      <c r="M47" s="546"/>
      <c r="N47" s="546"/>
      <c r="O47" s="2037"/>
      <c r="P47" s="614" t="s">
        <v>1975</v>
      </c>
      <c r="T47" s="1401"/>
      <c r="U47" s="1401"/>
      <c r="V47" s="1401"/>
      <c r="W47" s="1401"/>
      <c r="X47" s="1401"/>
      <c r="Y47" s="1401"/>
      <c r="Z47" s="1401"/>
      <c r="AA47" s="1402"/>
      <c r="AB47" s="1403"/>
      <c r="AC47" s="221"/>
      <c r="AD47" s="544"/>
      <c r="AE47" s="221"/>
      <c r="AF47" s="221"/>
      <c r="AG47" s="221"/>
      <c r="AH47" s="221"/>
      <c r="AI47" s="221"/>
      <c r="AJ47" s="221"/>
      <c r="AK47" s="221"/>
      <c r="AL47" s="221"/>
      <c r="AM47" s="221"/>
      <c r="AN47" s="221"/>
      <c r="AO47" s="221"/>
      <c r="AP47" s="221"/>
      <c r="AQ47" s="221"/>
      <c r="AR47" s="221"/>
      <c r="AS47" s="221"/>
      <c r="AT47" s="209"/>
      <c r="AU47" s="209"/>
      <c r="AV47" s="209"/>
      <c r="AW47" s="209"/>
      <c r="AX47" s="209"/>
      <c r="AY47" s="209"/>
      <c r="AZ47" s="209"/>
      <c r="BA47" s="209"/>
      <c r="BB47" s="209"/>
      <c r="BC47" s="209"/>
      <c r="BD47" s="44"/>
      <c r="CQ47" s="2580"/>
    </row>
    <row r="48" spans="1:95" ht="17.399999999999999">
      <c r="A48" s="1401" t="s">
        <v>2196</v>
      </c>
      <c r="B48" s="1401"/>
      <c r="C48" s="1401"/>
      <c r="E48" s="105">
        <v>48</v>
      </c>
      <c r="F48" s="517" t="s">
        <v>2197</v>
      </c>
      <c r="G48" s="1448" t="s">
        <v>439</v>
      </c>
      <c r="H48" s="21" t="s">
        <v>46</v>
      </c>
      <c r="I48" s="546" t="s">
        <v>2198</v>
      </c>
      <c r="J48" s="546"/>
      <c r="K48" s="546"/>
      <c r="L48" s="546"/>
      <c r="M48" s="546"/>
      <c r="N48" s="546"/>
      <c r="O48" s="216"/>
      <c r="P48" s="1401" t="s">
        <v>2196</v>
      </c>
      <c r="Q48" s="1401"/>
      <c r="R48" s="1401"/>
      <c r="S48" s="1401"/>
      <c r="T48" s="1401"/>
      <c r="U48" s="1401"/>
      <c r="V48" s="1401"/>
      <c r="W48" s="1401"/>
      <c r="X48" s="1401"/>
      <c r="Y48" s="1401"/>
      <c r="Z48" s="1401"/>
      <c r="AA48" s="566"/>
      <c r="AB48" s="852"/>
      <c r="AC48" s="221"/>
      <c r="AD48" s="544"/>
      <c r="AE48" s="221"/>
      <c r="AF48" s="221"/>
      <c r="AG48" s="221"/>
      <c r="AH48" s="221"/>
      <c r="AI48" s="221"/>
      <c r="AJ48" s="221"/>
      <c r="AK48" s="221"/>
      <c r="AL48" s="221"/>
      <c r="AM48" s="221"/>
      <c r="AN48" s="221"/>
      <c r="AO48" s="221"/>
      <c r="AP48" s="221"/>
      <c r="AQ48" s="221"/>
      <c r="AR48" s="221"/>
      <c r="AS48" s="221"/>
      <c r="AT48" s="209"/>
      <c r="AU48" s="209"/>
      <c r="AV48" s="209"/>
      <c r="AW48" s="209"/>
      <c r="AX48" s="209"/>
      <c r="AY48" s="209"/>
      <c r="AZ48" s="209"/>
      <c r="BA48" s="209"/>
      <c r="BB48" s="209"/>
      <c r="BC48" s="209"/>
      <c r="BD48" s="44"/>
    </row>
    <row r="49" spans="1:74" ht="15.75" customHeight="1">
      <c r="A49" s="2542" t="s">
        <v>2022</v>
      </c>
      <c r="B49" s="2542"/>
      <c r="C49" s="2542"/>
      <c r="D49" s="1843"/>
      <c r="E49" s="2541">
        <v>49</v>
      </c>
      <c r="F49" s="517">
        <v>43939</v>
      </c>
      <c r="G49" s="1448" t="s">
        <v>932</v>
      </c>
      <c r="H49" s="21" t="s">
        <v>46</v>
      </c>
      <c r="I49" s="546" t="s">
        <v>2048</v>
      </c>
      <c r="J49" s="546"/>
      <c r="K49" s="546"/>
      <c r="L49" s="546"/>
      <c r="M49" s="546"/>
      <c r="N49" s="546"/>
      <c r="O49" s="216"/>
      <c r="P49" s="614" t="s">
        <v>2022</v>
      </c>
      <c r="Q49" s="614"/>
      <c r="R49" s="614"/>
      <c r="S49" s="614"/>
      <c r="T49" s="1401"/>
      <c r="U49" s="1401"/>
      <c r="V49" s="1401"/>
      <c r="W49" s="1401"/>
      <c r="X49" s="1401"/>
      <c r="Y49" s="1401"/>
      <c r="Z49" s="1401"/>
      <c r="AA49" s="1402"/>
      <c r="AB49" s="1403"/>
      <c r="AC49" s="221"/>
      <c r="AD49" s="544"/>
      <c r="AE49" s="221"/>
      <c r="AF49" s="221"/>
      <c r="AG49" s="221"/>
      <c r="AH49" s="221"/>
      <c r="AI49" s="221"/>
      <c r="AJ49" s="221"/>
      <c r="AK49" s="221"/>
      <c r="AL49" s="221"/>
      <c r="AM49" s="221"/>
      <c r="AN49" s="221"/>
      <c r="AO49" s="221"/>
      <c r="AP49" s="221"/>
      <c r="AQ49" s="221"/>
      <c r="AR49" s="221"/>
      <c r="AS49" s="221"/>
      <c r="AT49" s="209"/>
      <c r="AU49" s="209"/>
      <c r="AV49" s="209"/>
      <c r="AW49" s="209"/>
      <c r="AX49" s="209"/>
      <c r="AY49" s="209"/>
      <c r="AZ49" s="209"/>
      <c r="BA49" s="209"/>
      <c r="BB49" s="209"/>
      <c r="BC49" s="209"/>
      <c r="BD49" s="44"/>
      <c r="BJ49" s="669"/>
      <c r="BK49" s="2498" t="s">
        <v>1961</v>
      </c>
      <c r="BL49" s="669"/>
      <c r="BM49" s="669"/>
      <c r="BN49" s="669"/>
      <c r="BO49" s="669"/>
      <c r="BP49" s="669"/>
      <c r="BQ49" s="669"/>
      <c r="BR49" s="669"/>
      <c r="BS49" s="669"/>
    </row>
    <row r="50" spans="1:74" ht="18" customHeight="1">
      <c r="A50" s="2542" t="s">
        <v>2052</v>
      </c>
      <c r="B50" s="765"/>
      <c r="C50" s="838"/>
      <c r="D50" s="12"/>
      <c r="E50" s="2541">
        <v>50</v>
      </c>
      <c r="F50" s="517">
        <v>43939</v>
      </c>
      <c r="G50" s="1448" t="s">
        <v>461</v>
      </c>
      <c r="H50" s="21" t="s">
        <v>46</v>
      </c>
      <c r="I50" s="546" t="s">
        <v>2049</v>
      </c>
      <c r="J50" s="546"/>
      <c r="K50" s="546"/>
      <c r="L50" s="546"/>
      <c r="M50" s="546"/>
      <c r="N50" s="546"/>
      <c r="O50" s="216"/>
      <c r="P50" s="1845" t="s">
        <v>2052</v>
      </c>
      <c r="Q50" s="1404"/>
      <c r="R50" s="1406"/>
      <c r="S50" s="1401"/>
      <c r="T50" s="1401"/>
      <c r="U50" s="1401"/>
      <c r="V50" s="1401"/>
      <c r="W50" s="1401"/>
      <c r="X50" s="1401"/>
      <c r="Y50" s="1401"/>
      <c r="Z50" s="1401"/>
      <c r="AA50" s="1402"/>
      <c r="AB50" s="1403"/>
      <c r="AC50" s="221"/>
      <c r="AD50" s="544"/>
      <c r="AE50" s="221"/>
      <c r="AF50" s="221"/>
      <c r="AG50" s="221"/>
      <c r="AH50" s="221"/>
      <c r="AI50" s="221"/>
      <c r="AJ50" s="221"/>
      <c r="AK50" s="221"/>
      <c r="AL50" s="221"/>
      <c r="AM50" s="221"/>
      <c r="AN50" s="221"/>
      <c r="AO50" s="221"/>
      <c r="AP50" s="221"/>
      <c r="AQ50" s="221"/>
      <c r="AR50" s="221"/>
      <c r="AS50" s="221"/>
      <c r="AT50" s="209"/>
      <c r="AU50" s="209"/>
      <c r="AV50" s="209"/>
      <c r="AW50" s="209"/>
      <c r="AX50" s="209"/>
      <c r="AY50" s="209"/>
      <c r="AZ50" s="209"/>
      <c r="BA50" s="209"/>
      <c r="BB50" s="209"/>
      <c r="BC50" s="209"/>
      <c r="BD50" s="44"/>
    </row>
    <row r="51" spans="1:74" ht="15.75" customHeight="1">
      <c r="A51" s="20"/>
      <c r="B51" s="20"/>
      <c r="C51" s="20"/>
      <c r="D51" s="12"/>
      <c r="E51" s="2541">
        <v>51</v>
      </c>
      <c r="G51" s="1448"/>
      <c r="H51" s="21"/>
      <c r="I51" s="546"/>
      <c r="J51" s="546"/>
      <c r="K51" s="546"/>
      <c r="L51" s="546"/>
      <c r="M51" s="546"/>
      <c r="N51" s="546"/>
      <c r="O51" s="216"/>
      <c r="P51" s="2546"/>
      <c r="Q51" s="2547"/>
      <c r="R51" s="1406"/>
      <c r="S51" s="713"/>
      <c r="V51" s="1401"/>
      <c r="W51" s="1401"/>
      <c r="X51" s="1401"/>
      <c r="Y51" s="1401"/>
      <c r="Z51" s="1401"/>
      <c r="AB51" s="1403"/>
      <c r="AC51" s="221"/>
      <c r="AD51" s="544"/>
      <c r="AE51" s="221"/>
      <c r="AF51" s="221"/>
      <c r="AG51" s="221"/>
      <c r="AH51" s="221"/>
      <c r="AI51" s="221"/>
      <c r="AJ51" s="221"/>
      <c r="AK51" s="221"/>
      <c r="AL51" s="221"/>
      <c r="AM51" s="221"/>
      <c r="AN51" s="221"/>
      <c r="AO51" s="221"/>
      <c r="AP51" s="221"/>
      <c r="AQ51" s="221"/>
      <c r="AR51" s="221"/>
      <c r="AS51" s="221"/>
      <c r="AT51" s="209"/>
      <c r="AU51" s="209"/>
      <c r="AV51" s="209"/>
      <c r="AW51" s="209"/>
      <c r="AX51" s="209"/>
      <c r="AY51" s="209"/>
      <c r="AZ51" s="209"/>
      <c r="BA51" s="209"/>
      <c r="BB51" s="209"/>
      <c r="BC51" s="209"/>
      <c r="BD51" s="44"/>
      <c r="BH51" s="1509" t="s">
        <v>1948</v>
      </c>
      <c r="BI51" s="1509"/>
      <c r="BJ51" s="1509"/>
      <c r="BK51" s="1509"/>
      <c r="BL51" s="1509"/>
      <c r="BO51" s="1509" t="s">
        <v>1952</v>
      </c>
      <c r="BP51" s="2499"/>
      <c r="BQ51" s="2499"/>
      <c r="BR51" s="2499"/>
      <c r="BS51" s="2499"/>
      <c r="BT51" s="2499"/>
      <c r="BU51" s="2499"/>
      <c r="BV51" s="2499"/>
    </row>
    <row r="52" spans="1:74" ht="17.399999999999999">
      <c r="A52" s="2542" t="s">
        <v>2019</v>
      </c>
      <c r="B52" s="20"/>
      <c r="C52" s="20"/>
      <c r="D52" s="12"/>
      <c r="E52" s="2541">
        <v>52</v>
      </c>
      <c r="F52" s="517">
        <v>43939</v>
      </c>
      <c r="G52" s="1448" t="s">
        <v>468</v>
      </c>
      <c r="H52" s="21" t="s">
        <v>886</v>
      </c>
      <c r="I52" s="546" t="s">
        <v>1560</v>
      </c>
      <c r="J52" s="546"/>
      <c r="K52" s="546"/>
      <c r="L52" s="546"/>
      <c r="M52" s="546"/>
      <c r="N52" s="546"/>
      <c r="O52" s="216"/>
      <c r="P52" s="614" t="s">
        <v>2019</v>
      </c>
      <c r="T52" s="1401"/>
      <c r="U52" s="1401"/>
      <c r="V52" s="1401"/>
      <c r="W52" s="1401"/>
      <c r="X52" s="1401"/>
      <c r="Y52" s="1401"/>
      <c r="Z52" s="1401"/>
      <c r="AA52" s="1402"/>
      <c r="AB52" s="1403"/>
      <c r="AC52" s="209"/>
      <c r="AD52" s="538"/>
      <c r="AE52" s="209"/>
      <c r="AF52" s="209"/>
      <c r="AG52" s="209"/>
      <c r="AH52" s="209"/>
      <c r="AI52" s="209"/>
      <c r="AJ52" s="209"/>
      <c r="AK52" s="209"/>
      <c r="AL52" s="209"/>
      <c r="AM52" s="209"/>
      <c r="AN52" s="209"/>
      <c r="AO52" s="209"/>
      <c r="AP52" s="209"/>
      <c r="AQ52" s="209"/>
      <c r="AR52" s="209"/>
      <c r="AS52" s="209"/>
      <c r="AT52" s="209"/>
      <c r="AU52" s="209"/>
      <c r="AV52" s="209"/>
      <c r="AW52" s="209"/>
      <c r="AX52" s="209"/>
      <c r="AY52" s="209"/>
      <c r="AZ52" s="209"/>
      <c r="BA52" s="209"/>
      <c r="BB52" s="209"/>
      <c r="BC52" s="209"/>
      <c r="BD52" s="44"/>
      <c r="BH52" s="1509" t="s">
        <v>1951</v>
      </c>
      <c r="BI52" s="1509"/>
      <c r="BJ52" s="1509"/>
      <c r="BK52" s="1509"/>
      <c r="BL52" s="1509"/>
      <c r="BO52" s="1509" t="s">
        <v>1949</v>
      </c>
      <c r="BP52" s="2499"/>
      <c r="BQ52" s="2499"/>
      <c r="BR52" s="2499"/>
      <c r="BS52" s="2499"/>
      <c r="BT52" s="2499"/>
      <c r="BU52" s="2499"/>
      <c r="BV52" s="2499"/>
    </row>
    <row r="53" spans="1:74" ht="17.399999999999999">
      <c r="A53" s="2542" t="s">
        <v>2053</v>
      </c>
      <c r="B53" s="2542"/>
      <c r="C53" s="2542"/>
      <c r="D53" s="12"/>
      <c r="E53" s="2541">
        <v>53</v>
      </c>
      <c r="F53" s="517">
        <v>43939</v>
      </c>
      <c r="G53" s="2543" t="s">
        <v>1701</v>
      </c>
      <c r="H53" s="21" t="s">
        <v>46</v>
      </c>
      <c r="I53" s="546" t="s">
        <v>2039</v>
      </c>
      <c r="J53" s="546"/>
      <c r="K53" s="546"/>
      <c r="L53" s="546"/>
      <c r="M53" s="546"/>
      <c r="N53" s="38"/>
      <c r="O53" s="216"/>
      <c r="P53" s="2112" t="s">
        <v>2053</v>
      </c>
      <c r="Q53" s="1407"/>
      <c r="R53" s="1407"/>
      <c r="S53" s="1401"/>
      <c r="T53" s="1401"/>
      <c r="U53" s="1401"/>
      <c r="V53" s="1401"/>
      <c r="W53" s="1401"/>
      <c r="X53" s="1401"/>
      <c r="Y53" s="1401"/>
      <c r="Z53" s="1401"/>
      <c r="AA53" s="1402"/>
      <c r="AB53" s="1403"/>
      <c r="AC53" s="209"/>
      <c r="AD53" s="538"/>
      <c r="AE53" s="209"/>
      <c r="AF53" s="209"/>
      <c r="AG53" s="209"/>
      <c r="AH53" s="209"/>
      <c r="AI53" s="209"/>
      <c r="AJ53" s="209"/>
      <c r="AK53" s="209"/>
      <c r="AL53" s="209"/>
      <c r="AM53" s="209"/>
      <c r="AN53" s="209"/>
      <c r="AO53" s="209"/>
      <c r="AP53" s="209"/>
      <c r="AQ53" s="209"/>
      <c r="AR53" s="209"/>
      <c r="AS53" s="209"/>
      <c r="AT53" s="209"/>
      <c r="AU53" s="209"/>
      <c r="AV53" s="209"/>
      <c r="AW53" s="209"/>
      <c r="AX53" s="209"/>
      <c r="AY53" s="209"/>
      <c r="AZ53" s="209"/>
      <c r="BA53" s="209"/>
      <c r="BB53" s="209"/>
      <c r="BC53" s="209"/>
      <c r="BD53" s="44"/>
      <c r="BH53" s="1509" t="s">
        <v>1950</v>
      </c>
      <c r="BI53" s="1509"/>
      <c r="BJ53" s="1509"/>
      <c r="BK53" s="1509"/>
      <c r="BM53" s="1509"/>
      <c r="BO53" s="1509" t="s">
        <v>1962</v>
      </c>
      <c r="BP53" s="1509"/>
      <c r="BQ53" s="1509"/>
      <c r="BR53" s="1509"/>
      <c r="BS53" s="2499"/>
      <c r="BT53" s="1509"/>
    </row>
    <row r="54" spans="1:74" ht="17.399999999999999">
      <c r="A54" s="2543" t="s">
        <v>2055</v>
      </c>
      <c r="D54" s="12"/>
      <c r="E54" s="2541">
        <v>54</v>
      </c>
      <c r="F54" s="517">
        <v>43939</v>
      </c>
      <c r="G54" s="2543" t="s">
        <v>2054</v>
      </c>
      <c r="H54" s="21" t="s">
        <v>46</v>
      </c>
      <c r="I54" s="546" t="s">
        <v>1557</v>
      </c>
      <c r="J54" s="546"/>
      <c r="K54" s="546"/>
      <c r="L54" s="546"/>
      <c r="M54" s="546"/>
      <c r="N54" s="38"/>
      <c r="O54" s="216"/>
      <c r="P54" s="2544" t="s">
        <v>2055</v>
      </c>
      <c r="Q54" s="713"/>
      <c r="R54" s="713"/>
      <c r="S54" s="713"/>
      <c r="T54" s="1401"/>
      <c r="U54" s="1401"/>
      <c r="V54" s="1401"/>
      <c r="W54" s="1401"/>
      <c r="X54" s="1401"/>
      <c r="Y54" s="1401"/>
      <c r="Z54" s="1401"/>
      <c r="AA54" s="1402"/>
      <c r="AB54" s="1403"/>
      <c r="AC54" s="209"/>
      <c r="AD54" s="538"/>
      <c r="AE54" s="209"/>
      <c r="AF54" s="209"/>
      <c r="AG54" s="209"/>
      <c r="AH54" s="209"/>
      <c r="AI54" s="209"/>
      <c r="AJ54" s="209"/>
      <c r="AK54" s="209"/>
      <c r="AL54" s="209"/>
      <c r="AM54" s="209"/>
      <c r="AN54" s="209"/>
      <c r="AO54" s="209"/>
      <c r="AP54" s="209"/>
      <c r="AQ54" s="209"/>
      <c r="AR54" s="209"/>
      <c r="AS54" s="209"/>
      <c r="AT54" s="209"/>
      <c r="AU54" s="209"/>
      <c r="AV54" s="209"/>
      <c r="AW54" s="209"/>
      <c r="AX54" s="209"/>
      <c r="AY54" s="209"/>
      <c r="AZ54" s="209"/>
      <c r="BA54" s="209"/>
      <c r="BB54" s="209"/>
      <c r="BC54" s="209"/>
      <c r="BD54" s="44"/>
      <c r="BE54" s="1509"/>
      <c r="BF54" s="1509"/>
      <c r="BG54" s="1509"/>
      <c r="BM54" s="1509"/>
      <c r="BO54" s="1509" t="s">
        <v>1963</v>
      </c>
      <c r="BP54" s="1509"/>
      <c r="BQ54" s="1509"/>
      <c r="BR54" s="1509"/>
      <c r="BS54" s="2499"/>
    </row>
    <row r="55" spans="1:74" ht="17.399999999999999">
      <c r="E55" s="105">
        <v>55</v>
      </c>
      <c r="F55" s="517">
        <v>43939</v>
      </c>
      <c r="G55" s="2543" t="s">
        <v>2054</v>
      </c>
      <c r="H55" s="21" t="s">
        <v>46</v>
      </c>
      <c r="I55" s="546" t="s">
        <v>1557</v>
      </c>
      <c r="J55" s="546"/>
      <c r="K55" s="546"/>
      <c r="L55" s="546"/>
      <c r="M55" s="546"/>
      <c r="N55" s="38"/>
      <c r="O55" s="216"/>
      <c r="P55" s="2544" t="s">
        <v>2060</v>
      </c>
      <c r="Q55" s="713"/>
      <c r="R55" s="713"/>
      <c r="T55" s="1401"/>
      <c r="U55" s="1401"/>
      <c r="V55" s="1401"/>
      <c r="W55" s="1401"/>
      <c r="X55" s="1401"/>
      <c r="Y55" s="1401"/>
      <c r="Z55" s="1401"/>
      <c r="AA55" s="1402"/>
      <c r="AB55" s="1403"/>
      <c r="AD55" s="669"/>
      <c r="BD55" s="44"/>
      <c r="BH55" s="1509" t="s">
        <v>1953</v>
      </c>
      <c r="BI55" s="1509"/>
      <c r="BJ55" s="1509"/>
      <c r="BK55" s="1509"/>
      <c r="BO55" s="614"/>
      <c r="BS55" s="1509"/>
      <c r="BT55" s="1509"/>
    </row>
    <row r="56" spans="1:74" ht="17.399999999999999">
      <c r="A56" s="1068" t="s">
        <v>2057</v>
      </c>
      <c r="B56" s="830"/>
      <c r="C56" s="1068"/>
      <c r="D56" s="739"/>
      <c r="E56" s="105">
        <v>56</v>
      </c>
      <c r="F56" s="517">
        <v>43939</v>
      </c>
      <c r="G56" s="2543" t="s">
        <v>1954</v>
      </c>
      <c r="H56" s="21" t="s">
        <v>46</v>
      </c>
      <c r="I56" s="546" t="s">
        <v>2056</v>
      </c>
      <c r="J56" s="546"/>
      <c r="K56" s="546"/>
      <c r="L56" s="546"/>
      <c r="M56" s="546"/>
      <c r="N56" s="38"/>
      <c r="O56" s="216"/>
      <c r="P56" s="1406" t="s">
        <v>2057</v>
      </c>
      <c r="Q56" s="1404"/>
      <c r="R56" s="1406"/>
      <c r="S56" s="1401"/>
      <c r="T56" s="1994"/>
      <c r="U56" s="1402"/>
      <c r="V56" s="1401"/>
      <c r="W56" s="1401"/>
      <c r="X56" s="1401"/>
      <c r="Y56" s="1402"/>
      <c r="Z56" s="1449"/>
      <c r="AA56" s="1402"/>
      <c r="AB56" s="1403"/>
      <c r="AC56" s="209"/>
      <c r="AD56" s="538"/>
      <c r="AE56" s="209"/>
      <c r="AF56" s="209"/>
      <c r="AG56" s="209"/>
      <c r="AH56" s="209"/>
      <c r="AI56" s="209"/>
      <c r="AJ56" s="209"/>
      <c r="AK56" s="209"/>
      <c r="AL56" s="209"/>
      <c r="AM56" s="209"/>
      <c r="AN56" s="209"/>
      <c r="AO56" s="209"/>
      <c r="AP56" s="209"/>
      <c r="AQ56" s="209"/>
      <c r="AR56" s="209"/>
      <c r="AS56" s="209"/>
      <c r="AT56" s="209"/>
      <c r="AU56" s="209"/>
      <c r="AV56" s="209"/>
      <c r="AW56" s="209"/>
      <c r="AX56" s="209"/>
      <c r="AY56" s="209"/>
      <c r="AZ56" s="209"/>
      <c r="BA56" s="209"/>
      <c r="BB56" s="209"/>
      <c r="BC56" s="209"/>
      <c r="BD56" s="44"/>
      <c r="BH56" s="1509" t="s">
        <v>1955</v>
      </c>
      <c r="BI56" s="1509"/>
      <c r="BJ56" s="1509"/>
      <c r="BO56" s="614"/>
      <c r="BS56" s="1509"/>
      <c r="BT56" s="1509"/>
    </row>
    <row r="57" spans="1:74" ht="17.399999999999999">
      <c r="A57" s="20"/>
      <c r="B57" s="20"/>
      <c r="C57" s="20"/>
      <c r="E57" s="105">
        <v>57</v>
      </c>
      <c r="F57" s="517">
        <v>43939</v>
      </c>
      <c r="G57" s="2543" t="s">
        <v>656</v>
      </c>
      <c r="H57" s="21" t="s">
        <v>46</v>
      </c>
      <c r="I57" s="546" t="s">
        <v>2058</v>
      </c>
      <c r="J57" s="546"/>
      <c r="K57" s="546"/>
      <c r="L57" s="546"/>
      <c r="M57" s="546"/>
      <c r="N57" s="38"/>
      <c r="O57" s="216"/>
      <c r="P57" s="2112" t="s">
        <v>2059</v>
      </c>
      <c r="Q57" s="713"/>
      <c r="R57" s="713"/>
      <c r="S57" s="1404"/>
      <c r="T57" s="1994"/>
      <c r="U57" s="1402"/>
      <c r="V57" s="1401"/>
      <c r="W57" s="1401"/>
      <c r="X57" s="1401"/>
      <c r="AA57" s="1402"/>
      <c r="AB57" s="1403"/>
      <c r="AC57" s="209"/>
      <c r="AD57" s="538"/>
      <c r="AE57" s="209"/>
      <c r="AF57" s="209"/>
      <c r="AG57" s="209"/>
      <c r="AH57" s="209"/>
      <c r="AI57" s="209"/>
      <c r="AJ57" s="209"/>
      <c r="AK57" s="209"/>
      <c r="AL57" s="209"/>
      <c r="AM57" s="209"/>
      <c r="AN57" s="209"/>
      <c r="AO57" s="209"/>
      <c r="AP57" s="209"/>
      <c r="AQ57" s="209"/>
      <c r="AR57" s="209"/>
      <c r="AS57" s="209"/>
      <c r="AT57" s="209"/>
      <c r="AU57" s="209"/>
      <c r="AV57" s="209"/>
      <c r="AW57" s="209"/>
      <c r="AX57" s="209"/>
      <c r="AY57" s="209"/>
      <c r="AZ57" s="209"/>
      <c r="BA57" s="209"/>
      <c r="BB57" s="209"/>
      <c r="BC57" s="209"/>
      <c r="BD57" s="44"/>
      <c r="BH57" s="1509" t="s">
        <v>1956</v>
      </c>
      <c r="BI57" s="1509"/>
      <c r="BJ57" s="1509"/>
      <c r="BK57" s="1509"/>
      <c r="BL57" s="2499"/>
      <c r="BO57" s="1509" t="s">
        <v>1963</v>
      </c>
      <c r="BP57" s="1509"/>
      <c r="BQ57" s="1509"/>
      <c r="BR57" s="1509"/>
      <c r="BS57" s="2499"/>
    </row>
    <row r="58" spans="1:74" ht="18">
      <c r="A58" s="2542" t="s">
        <v>2062</v>
      </c>
      <c r="B58" s="20"/>
      <c r="C58" s="20"/>
      <c r="E58" s="105">
        <v>58</v>
      </c>
      <c r="F58" s="517">
        <v>43939</v>
      </c>
      <c r="G58" s="2543" t="s">
        <v>450</v>
      </c>
      <c r="H58" s="21" t="s">
        <v>46</v>
      </c>
      <c r="I58" s="546" t="s">
        <v>2061</v>
      </c>
      <c r="J58" s="546"/>
      <c r="K58" s="546"/>
      <c r="L58" s="546"/>
      <c r="M58" s="546"/>
      <c r="N58" s="38"/>
      <c r="O58" s="216"/>
      <c r="P58" s="2112" t="s">
        <v>2062</v>
      </c>
      <c r="Q58" s="713"/>
      <c r="R58" s="713"/>
      <c r="S58" s="1404"/>
      <c r="T58" s="1994"/>
      <c r="U58" s="1402"/>
      <c r="V58" s="1401"/>
      <c r="W58" s="1401"/>
      <c r="X58" s="1401"/>
      <c r="Y58" s="1407"/>
      <c r="Z58" s="1405"/>
      <c r="AA58" s="1449"/>
      <c r="AB58" s="1450"/>
      <c r="AC58" s="209"/>
      <c r="AD58" s="538"/>
      <c r="AE58" s="209"/>
      <c r="AF58" s="209"/>
      <c r="AG58" s="209"/>
      <c r="AH58" s="209"/>
      <c r="AI58" s="209"/>
      <c r="AJ58" s="209"/>
      <c r="AK58" s="209"/>
      <c r="AL58" s="209"/>
      <c r="AM58" s="209"/>
      <c r="AN58" s="209"/>
      <c r="AO58" s="209"/>
      <c r="AP58" s="209"/>
      <c r="AQ58" s="209"/>
      <c r="AR58" s="209"/>
      <c r="AS58" s="209"/>
      <c r="AT58" s="209"/>
      <c r="AU58" s="209"/>
      <c r="AV58" s="209"/>
      <c r="AW58" s="209"/>
      <c r="AX58" s="209"/>
      <c r="AY58" s="209"/>
      <c r="AZ58" s="209"/>
      <c r="BA58" s="209"/>
      <c r="BB58" s="209"/>
      <c r="BC58" s="209"/>
      <c r="BD58" s="44"/>
      <c r="BH58" s="1509" t="s">
        <v>1957</v>
      </c>
      <c r="BI58" s="1509"/>
      <c r="BJ58" s="1509"/>
      <c r="BK58" s="1509"/>
      <c r="BL58" s="2499"/>
      <c r="BO58" s="1509" t="s">
        <v>1965</v>
      </c>
      <c r="BP58" s="1509"/>
      <c r="BQ58" s="1509"/>
      <c r="BR58" s="1509"/>
      <c r="BS58" s="2499"/>
    </row>
    <row r="59" spans="1:74" ht="18">
      <c r="A59" s="20"/>
      <c r="B59" s="20"/>
      <c r="C59" s="20"/>
      <c r="E59" s="105">
        <v>59</v>
      </c>
      <c r="F59" s="517"/>
      <c r="G59" s="2543"/>
      <c r="H59" s="21"/>
      <c r="I59" s="546"/>
      <c r="J59" s="546"/>
      <c r="K59" s="546"/>
      <c r="L59" s="546"/>
      <c r="M59" s="546"/>
      <c r="N59" s="38"/>
      <c r="O59" s="216"/>
      <c r="P59" s="2112"/>
      <c r="Q59" s="713"/>
      <c r="R59" s="713"/>
      <c r="S59" s="1404"/>
      <c r="T59" s="1994"/>
      <c r="U59" s="1402"/>
      <c r="V59" s="1401"/>
      <c r="W59" s="1401"/>
      <c r="X59" s="1401"/>
      <c r="Y59" s="1407"/>
      <c r="Z59" s="1405"/>
      <c r="AA59" s="1449"/>
      <c r="AB59" s="852"/>
      <c r="AC59" s="209"/>
      <c r="AD59" s="538"/>
      <c r="AE59" s="209"/>
      <c r="AF59" s="209"/>
      <c r="AG59" s="209"/>
      <c r="AH59" s="209"/>
      <c r="AI59" s="209"/>
      <c r="AJ59" s="209"/>
      <c r="AK59" s="209"/>
      <c r="AL59" s="209"/>
      <c r="AM59" s="209"/>
      <c r="AN59" s="209"/>
      <c r="AO59" s="209"/>
      <c r="AP59" s="209"/>
      <c r="AQ59" s="209"/>
      <c r="AR59" s="209"/>
      <c r="AS59" s="209"/>
      <c r="AT59" s="209"/>
      <c r="AU59" s="209"/>
      <c r="AV59" s="209"/>
      <c r="AW59" s="209"/>
      <c r="AX59" s="209"/>
      <c r="AY59" s="209"/>
      <c r="AZ59" s="209"/>
      <c r="BA59" s="209"/>
      <c r="BB59" s="209"/>
      <c r="BC59" s="209"/>
      <c r="BD59" s="44"/>
      <c r="BH59" s="1509" t="s">
        <v>1958</v>
      </c>
      <c r="BI59" s="1509"/>
      <c r="BJ59" s="1509"/>
      <c r="BK59" s="1509"/>
      <c r="BL59" s="2499"/>
      <c r="BO59" s="1509" t="s">
        <v>1966</v>
      </c>
      <c r="BP59" s="1509"/>
      <c r="BQ59" s="1509"/>
      <c r="BR59" s="1509"/>
      <c r="BS59" s="2499"/>
    </row>
    <row r="60" spans="1:74" ht="18">
      <c r="A60" s="20"/>
      <c r="B60" s="20"/>
      <c r="C60" s="20"/>
      <c r="E60" s="105">
        <v>60</v>
      </c>
      <c r="F60" s="517">
        <v>43939</v>
      </c>
      <c r="G60" s="2543" t="s">
        <v>450</v>
      </c>
      <c r="H60" s="21" t="s">
        <v>46</v>
      </c>
      <c r="I60" s="546" t="s">
        <v>2051</v>
      </c>
      <c r="J60" s="546"/>
      <c r="K60" s="546"/>
      <c r="L60" s="546"/>
      <c r="M60" s="38"/>
      <c r="N60" s="38"/>
      <c r="O60" s="216"/>
      <c r="P60" s="2545" t="s">
        <v>2050</v>
      </c>
      <c r="Q60" s="1404"/>
      <c r="R60" s="1406"/>
      <c r="S60" s="1401"/>
      <c r="T60" s="1401"/>
      <c r="U60" s="1401"/>
      <c r="V60" s="1401"/>
      <c r="W60" s="1401"/>
      <c r="X60" s="1401"/>
      <c r="Y60" s="1407"/>
      <c r="Z60" s="1405"/>
      <c r="AA60" s="1449"/>
      <c r="AB60" s="1450"/>
      <c r="AD60" s="538"/>
      <c r="BD60" s="44"/>
      <c r="BH60" s="1509" t="s">
        <v>1959</v>
      </c>
      <c r="BI60" s="1509"/>
      <c r="BJ60" s="1509"/>
      <c r="BK60" s="1509"/>
      <c r="BL60" s="2499"/>
      <c r="BO60" s="1509" t="s">
        <v>1967</v>
      </c>
      <c r="BP60" s="1509"/>
      <c r="BQ60" s="1509"/>
      <c r="BR60" s="1509"/>
      <c r="BS60" s="2499"/>
    </row>
    <row r="61" spans="1:74" ht="18">
      <c r="A61" s="2542" t="s">
        <v>1971</v>
      </c>
      <c r="B61" s="2542"/>
      <c r="C61" s="2542"/>
      <c r="E61" s="105">
        <v>61</v>
      </c>
      <c r="F61" s="517">
        <v>43939</v>
      </c>
      <c r="G61" s="2543" t="s">
        <v>660</v>
      </c>
      <c r="H61" s="21" t="s">
        <v>46</v>
      </c>
      <c r="I61" s="546" t="s">
        <v>2063</v>
      </c>
      <c r="J61" s="546"/>
      <c r="K61" s="546"/>
      <c r="L61" s="546"/>
      <c r="M61" s="546"/>
      <c r="N61" s="546"/>
      <c r="O61" s="2037"/>
      <c r="P61" s="2542" t="s">
        <v>1971</v>
      </c>
      <c r="Q61" s="2542"/>
      <c r="R61" s="713"/>
      <c r="S61" s="1404"/>
      <c r="T61" s="1994"/>
      <c r="U61" s="1402"/>
      <c r="V61" s="1401"/>
      <c r="W61" s="1401"/>
      <c r="X61" s="1401"/>
      <c r="Y61" s="1407"/>
      <c r="Z61" s="1405"/>
      <c r="AA61" s="1449"/>
      <c r="AB61" s="1450"/>
      <c r="AD61" s="538"/>
      <c r="BD61" s="44"/>
      <c r="BO61" s="614"/>
    </row>
    <row r="62" spans="1:74" ht="19.8">
      <c r="A62" s="614" t="s">
        <v>2241</v>
      </c>
      <c r="E62" s="105">
        <v>21</v>
      </c>
      <c r="F62" s="517">
        <v>43940</v>
      </c>
      <c r="G62" s="1448" t="s">
        <v>654</v>
      </c>
      <c r="H62" s="21" t="s">
        <v>809</v>
      </c>
      <c r="I62" s="546" t="s">
        <v>2066</v>
      </c>
      <c r="J62" s="546"/>
      <c r="K62" s="546"/>
      <c r="L62" s="546"/>
      <c r="M62" s="546"/>
      <c r="N62" s="546"/>
      <c r="O62" s="2037"/>
      <c r="P62" s="614" t="s">
        <v>2241</v>
      </c>
      <c r="T62" s="1994"/>
      <c r="U62" s="1402"/>
      <c r="V62" s="1401"/>
      <c r="W62" s="1401"/>
      <c r="X62" s="1401"/>
      <c r="Y62" s="1407"/>
      <c r="Z62" s="1405"/>
      <c r="AA62" s="1449"/>
      <c r="AB62" s="1450"/>
      <c r="AD62" s="538"/>
      <c r="BD62" s="44"/>
      <c r="BH62" s="1509" t="s">
        <v>1947</v>
      </c>
      <c r="BI62" s="1509"/>
      <c r="BJ62" s="1509"/>
      <c r="BK62" s="1509"/>
      <c r="BL62" s="2499"/>
      <c r="BO62" s="1509" t="s">
        <v>2042</v>
      </c>
      <c r="BP62" s="1509"/>
      <c r="BQ62" s="1509"/>
      <c r="BR62" s="1509"/>
      <c r="BS62" s="1509"/>
      <c r="BT62" s="2499"/>
    </row>
    <row r="63" spans="1:74" ht="18">
      <c r="A63" s="2053" t="s">
        <v>2069</v>
      </c>
      <c r="B63" s="2100"/>
      <c r="C63" s="2100"/>
      <c r="D63" s="739"/>
      <c r="E63" s="105">
        <v>63</v>
      </c>
      <c r="F63" s="517">
        <v>43940</v>
      </c>
      <c r="G63" s="1448" t="s">
        <v>1562</v>
      </c>
      <c r="H63" s="21" t="s">
        <v>46</v>
      </c>
      <c r="I63" s="546" t="s">
        <v>1794</v>
      </c>
      <c r="J63" s="546"/>
      <c r="K63" s="546"/>
      <c r="L63" s="546"/>
      <c r="M63" s="546"/>
      <c r="N63" s="546"/>
      <c r="O63" s="2037"/>
      <c r="P63" s="2112" t="s">
        <v>2069</v>
      </c>
      <c r="Q63" s="713"/>
      <c r="R63" s="713"/>
      <c r="S63" s="1404"/>
      <c r="T63" s="1994"/>
      <c r="U63" s="1402"/>
      <c r="V63" s="1401"/>
      <c r="W63" s="1401"/>
      <c r="X63" s="1401"/>
      <c r="Y63" s="1407"/>
      <c r="Z63" s="1405"/>
      <c r="AA63" s="1449"/>
      <c r="AB63" s="1450"/>
      <c r="AD63" s="538"/>
      <c r="BD63" s="44"/>
      <c r="BH63" s="1509" t="s">
        <v>1960</v>
      </c>
      <c r="BI63" s="1509"/>
      <c r="BJ63" s="1509"/>
      <c r="BK63" s="1509"/>
      <c r="BL63" s="2499"/>
      <c r="BN63" s="614"/>
      <c r="BP63" s="1509"/>
      <c r="BQ63" s="1509"/>
      <c r="BR63" s="1509"/>
      <c r="BS63" s="1509"/>
      <c r="BT63" s="2499"/>
    </row>
    <row r="64" spans="1:74" ht="23.4">
      <c r="E64" s="105">
        <v>64</v>
      </c>
      <c r="F64" s="517">
        <v>43971</v>
      </c>
      <c r="G64" s="1448" t="s">
        <v>1706</v>
      </c>
      <c r="H64" s="21" t="s">
        <v>809</v>
      </c>
      <c r="I64" s="546" t="s">
        <v>2242</v>
      </c>
      <c r="J64" s="546"/>
      <c r="K64" s="546"/>
      <c r="L64" s="546"/>
      <c r="M64" s="546"/>
      <c r="N64" s="546"/>
      <c r="O64" s="2037"/>
      <c r="P64" s="614" t="s">
        <v>2243</v>
      </c>
      <c r="Q64" s="614"/>
      <c r="R64" s="614"/>
      <c r="S64" s="614"/>
      <c r="T64" s="87"/>
      <c r="U64" s="2539"/>
      <c r="V64" s="1401"/>
      <c r="W64" s="1401"/>
      <c r="X64" s="1401"/>
      <c r="Y64" s="1407"/>
      <c r="Z64" s="1405"/>
      <c r="AA64" s="1449"/>
      <c r="AB64" s="1450"/>
      <c r="AD64" s="538"/>
      <c r="BD64" s="44"/>
      <c r="BH64" s="1509" t="s">
        <v>1968</v>
      </c>
      <c r="BI64" s="1509"/>
      <c r="BJ64" s="1509"/>
      <c r="BL64" s="2499"/>
      <c r="BN64" s="614"/>
      <c r="BP64" s="1509"/>
      <c r="BQ64" s="1509"/>
      <c r="BR64" s="1509"/>
      <c r="BS64" s="1509"/>
      <c r="BT64" s="2499"/>
    </row>
    <row r="65" spans="5:72" ht="18">
      <c r="E65" s="105">
        <v>65</v>
      </c>
      <c r="G65" s="2543"/>
      <c r="H65" s="21"/>
      <c r="I65" s="546"/>
      <c r="J65" s="546"/>
      <c r="K65" s="546"/>
      <c r="L65" s="546"/>
      <c r="M65" s="546"/>
      <c r="N65" s="546"/>
      <c r="O65" s="216"/>
      <c r="P65" s="2112"/>
      <c r="Q65" s="713"/>
      <c r="R65" s="713"/>
      <c r="S65" s="1404"/>
      <c r="T65" s="1994"/>
      <c r="U65" s="1402"/>
      <c r="V65" s="1401"/>
      <c r="W65" s="1401"/>
      <c r="X65" s="1401"/>
      <c r="Y65" s="1407"/>
      <c r="Z65" s="1405"/>
      <c r="AA65" s="1449"/>
      <c r="AB65" s="1450"/>
      <c r="AC65" s="21"/>
      <c r="AD65" s="538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BD65" s="44"/>
      <c r="BH65" s="1509" t="s">
        <v>1964</v>
      </c>
      <c r="BI65" s="1509"/>
      <c r="BJ65" s="1509"/>
      <c r="BP65" s="1509"/>
      <c r="BQ65" s="1509"/>
      <c r="BR65" s="1509"/>
      <c r="BS65" s="1509"/>
      <c r="BT65" s="2499"/>
    </row>
    <row r="66" spans="5:72" ht="18">
      <c r="E66" s="105">
        <v>66</v>
      </c>
      <c r="G66" s="1448"/>
      <c r="H66" s="21"/>
      <c r="I66" s="546"/>
      <c r="J66" s="546"/>
      <c r="K66" s="546"/>
      <c r="L66" s="546"/>
      <c r="M66" s="546"/>
      <c r="N66" s="546"/>
      <c r="O66" s="216"/>
      <c r="P66" s="2112"/>
      <c r="Q66" s="713"/>
      <c r="R66" s="713"/>
      <c r="S66" s="1404"/>
      <c r="T66" s="1994"/>
      <c r="U66" s="1402"/>
      <c r="V66" s="1401"/>
      <c r="W66" s="1401"/>
      <c r="X66" s="1401"/>
      <c r="Y66" s="1407"/>
      <c r="Z66" s="1405"/>
      <c r="AA66" s="1449"/>
      <c r="AB66" s="1450"/>
      <c r="AC66" s="21"/>
      <c r="AD66" s="538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BD66" s="44"/>
      <c r="BH66" s="1509" t="s">
        <v>1967</v>
      </c>
      <c r="BI66" s="1509"/>
      <c r="BJ66" s="1509"/>
      <c r="BK66" s="1509"/>
      <c r="BL66" s="2499"/>
      <c r="BP66" s="1509"/>
      <c r="BQ66" s="1509"/>
      <c r="BR66" s="1509"/>
      <c r="BS66" s="1509"/>
      <c r="BT66" s="2499"/>
    </row>
    <row r="67" spans="5:72" ht="18">
      <c r="E67" s="105">
        <v>67</v>
      </c>
      <c r="G67" s="1448"/>
      <c r="H67" s="21"/>
      <c r="I67" s="546"/>
      <c r="J67" s="546"/>
      <c r="K67" s="546"/>
      <c r="L67" s="546"/>
      <c r="M67" s="546"/>
      <c r="N67" s="546"/>
      <c r="O67" s="216"/>
      <c r="P67" s="2112"/>
      <c r="Q67" s="713"/>
      <c r="R67" s="713"/>
      <c r="S67" s="1404"/>
      <c r="T67" s="1994"/>
      <c r="U67" s="1402"/>
      <c r="V67" s="1401"/>
      <c r="W67" s="1401"/>
      <c r="X67" s="1401"/>
      <c r="Y67" s="1407"/>
      <c r="Z67" s="1405"/>
      <c r="AA67" s="1449"/>
      <c r="AB67" s="1450"/>
      <c r="AC67" s="21"/>
      <c r="AD67" s="538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BD67" s="44"/>
      <c r="BH67" s="1509" t="s">
        <v>1970</v>
      </c>
      <c r="BI67" s="1509"/>
      <c r="BJ67" s="1509"/>
      <c r="BK67" s="1509"/>
      <c r="BQ67" s="1509"/>
      <c r="BR67" s="1509"/>
      <c r="BS67" s="1509"/>
      <c r="BT67" s="2499"/>
    </row>
    <row r="68" spans="5:72" ht="18">
      <c r="E68" s="105">
        <v>68</v>
      </c>
      <c r="G68" s="1448"/>
      <c r="H68" s="21"/>
      <c r="I68" s="546"/>
      <c r="J68" s="546"/>
      <c r="K68" s="546"/>
      <c r="L68" s="546"/>
      <c r="M68" s="546"/>
      <c r="N68" s="546"/>
      <c r="O68" s="216"/>
      <c r="P68" s="2112"/>
      <c r="Q68" s="713"/>
      <c r="R68" s="713"/>
      <c r="S68" s="1404"/>
      <c r="T68" s="1994"/>
      <c r="U68" s="1402"/>
      <c r="V68" s="1401"/>
      <c r="W68" s="1401"/>
      <c r="X68" s="1401"/>
      <c r="Y68" s="1407"/>
      <c r="Z68" s="1405"/>
      <c r="AA68" s="1449"/>
      <c r="AB68" s="1450"/>
      <c r="AD68" s="538"/>
      <c r="BD68" s="44"/>
      <c r="BH68" s="1509" t="s">
        <v>1971</v>
      </c>
      <c r="BI68" s="1509"/>
      <c r="BJ68" s="1509"/>
      <c r="BK68" s="1509"/>
      <c r="BN68" s="614"/>
    </row>
    <row r="69" spans="5:72" ht="18">
      <c r="E69" s="105">
        <v>69</v>
      </c>
      <c r="G69" s="1448"/>
      <c r="H69" s="21"/>
      <c r="I69" s="546"/>
      <c r="J69" s="546"/>
      <c r="K69" s="546"/>
      <c r="L69" s="546"/>
      <c r="M69" s="546"/>
      <c r="N69" s="546"/>
      <c r="O69" s="216"/>
      <c r="P69" s="2112"/>
      <c r="Q69" s="713"/>
      <c r="R69" s="713"/>
      <c r="S69" s="1404"/>
      <c r="T69" s="1994"/>
      <c r="U69" s="1402"/>
      <c r="V69" s="1401"/>
      <c r="W69" s="1401"/>
      <c r="X69" s="1401"/>
      <c r="Y69" s="1407"/>
      <c r="Z69" s="1405"/>
      <c r="AA69" s="1449"/>
      <c r="AB69" s="1450"/>
      <c r="AD69" s="538"/>
      <c r="BD69" s="44"/>
      <c r="BH69" s="1509"/>
      <c r="BI69" s="1509"/>
      <c r="BJ69" s="1509"/>
      <c r="BK69" s="1509"/>
    </row>
    <row r="70" spans="5:72" ht="18">
      <c r="E70" s="105">
        <v>70</v>
      </c>
      <c r="G70" s="1448"/>
      <c r="H70" s="21"/>
      <c r="I70" s="546"/>
      <c r="J70" s="546"/>
      <c r="K70" s="546"/>
      <c r="L70" s="546"/>
      <c r="M70" s="546"/>
      <c r="N70" s="546"/>
      <c r="O70" s="216"/>
      <c r="P70" s="2112"/>
      <c r="Q70" s="713"/>
      <c r="R70" s="713"/>
      <c r="S70" s="1404"/>
      <c r="T70" s="1994"/>
      <c r="U70" s="1402"/>
      <c r="V70" s="1401"/>
      <c r="W70" s="1401"/>
      <c r="X70" s="1401"/>
      <c r="Y70" s="1407"/>
      <c r="Z70" s="1405"/>
      <c r="AA70" s="1449"/>
      <c r="AB70" s="1450"/>
      <c r="AD70" s="538"/>
      <c r="BD70" s="44"/>
      <c r="BJ70" s="669"/>
      <c r="BK70" s="2498" t="s">
        <v>2017</v>
      </c>
      <c r="BL70" s="669"/>
      <c r="BM70" s="669"/>
      <c r="BN70" s="669"/>
      <c r="BO70" s="669"/>
      <c r="BP70" s="669"/>
      <c r="BQ70" s="669"/>
      <c r="BR70" s="669"/>
      <c r="BS70" s="669"/>
      <c r="BT70" s="669"/>
    </row>
    <row r="71" spans="5:72" ht="18">
      <c r="E71" s="105">
        <v>71</v>
      </c>
      <c r="G71" s="1448"/>
      <c r="H71" s="21"/>
      <c r="I71" s="546"/>
      <c r="J71" s="546"/>
      <c r="K71" s="546"/>
      <c r="L71" s="546"/>
      <c r="M71" s="546"/>
      <c r="N71" s="546"/>
      <c r="O71" s="216"/>
      <c r="P71" s="2112"/>
      <c r="Q71" s="713"/>
      <c r="R71" s="713"/>
      <c r="S71" s="1404"/>
      <c r="T71" s="1994"/>
      <c r="U71" s="1402"/>
      <c r="V71" s="1401"/>
      <c r="W71" s="1401"/>
      <c r="X71" s="1401"/>
      <c r="Y71" s="1407"/>
      <c r="Z71" s="1405"/>
      <c r="AA71" s="1401"/>
      <c r="AB71" s="1403"/>
      <c r="AD71" s="538"/>
      <c r="BD71" s="44"/>
    </row>
    <row r="72" spans="5:72" ht="17.399999999999999">
      <c r="E72" s="105">
        <v>72</v>
      </c>
      <c r="G72" s="1448"/>
      <c r="H72" s="21"/>
      <c r="I72" s="546"/>
      <c r="J72" s="546"/>
      <c r="K72" s="546"/>
      <c r="L72" s="546"/>
      <c r="M72" s="546"/>
      <c r="N72" s="546"/>
      <c r="O72" s="216"/>
      <c r="P72" s="2112"/>
      <c r="Q72" s="713"/>
      <c r="R72" s="713"/>
      <c r="S72" s="1404"/>
      <c r="T72" s="1994"/>
      <c r="U72" s="1402"/>
      <c r="V72" s="1401"/>
      <c r="W72" s="1401"/>
      <c r="X72" s="1401"/>
      <c r="Y72" s="1402"/>
      <c r="Z72" s="1402"/>
      <c r="AA72" s="1402"/>
      <c r="AB72" s="1403"/>
      <c r="AD72" s="538"/>
      <c r="BD72" s="44"/>
      <c r="BH72" s="1509" t="s">
        <v>1972</v>
      </c>
      <c r="BI72" s="2499"/>
      <c r="BJ72" s="2499"/>
      <c r="BK72" s="2499"/>
      <c r="BL72" s="2499"/>
      <c r="BM72" s="2499"/>
    </row>
    <row r="73" spans="5:72" ht="17.399999999999999">
      <c r="E73" s="105">
        <v>73</v>
      </c>
      <c r="G73" s="1448"/>
      <c r="H73" s="21"/>
      <c r="I73" s="546"/>
      <c r="J73" s="546"/>
      <c r="K73" s="546"/>
      <c r="L73" s="546"/>
      <c r="M73" s="546"/>
      <c r="N73" s="546"/>
      <c r="O73" s="216"/>
      <c r="P73" s="2112"/>
      <c r="Q73" s="713"/>
      <c r="R73" s="713"/>
      <c r="S73" s="1404"/>
      <c r="T73" s="1994"/>
      <c r="U73" s="1402"/>
      <c r="V73" s="1401"/>
      <c r="W73" s="1401"/>
      <c r="X73" s="1401"/>
      <c r="Y73" s="1402"/>
      <c r="Z73" s="1402"/>
      <c r="AA73" s="1402"/>
      <c r="AB73" s="1403"/>
      <c r="AD73" s="538"/>
      <c r="BD73" s="44"/>
      <c r="BH73" s="1509" t="s">
        <v>1973</v>
      </c>
      <c r="BI73" s="2499"/>
      <c r="BJ73" s="2499"/>
      <c r="BK73" s="2499"/>
      <c r="BL73" s="2499"/>
      <c r="BM73" s="2499"/>
      <c r="BN73" s="2499"/>
      <c r="BO73" s="2499"/>
    </row>
    <row r="74" spans="5:72" ht="17.399999999999999">
      <c r="E74" s="105">
        <v>74</v>
      </c>
      <c r="G74" s="1448"/>
      <c r="H74" s="21"/>
      <c r="I74" s="546"/>
      <c r="J74" s="546"/>
      <c r="K74" s="546"/>
      <c r="L74" s="546"/>
      <c r="M74" s="546"/>
      <c r="N74" s="546"/>
      <c r="O74" s="216"/>
      <c r="P74" s="2112"/>
      <c r="Q74" s="713"/>
      <c r="R74" s="713"/>
      <c r="S74" s="1404"/>
      <c r="T74" s="1994"/>
      <c r="U74" s="1402"/>
      <c r="V74" s="1401"/>
      <c r="W74" s="1401"/>
      <c r="X74" s="1401"/>
      <c r="Y74" s="1402"/>
      <c r="Z74" s="1402"/>
      <c r="AA74" s="1402"/>
      <c r="AB74" s="1403"/>
      <c r="AD74" s="538"/>
      <c r="BD74" s="44"/>
      <c r="BH74" s="1509" t="s">
        <v>1974</v>
      </c>
      <c r="BI74" s="2499"/>
      <c r="BJ74" s="2499"/>
      <c r="BK74" s="2499"/>
      <c r="BL74" s="2499"/>
      <c r="BM74" s="2499"/>
      <c r="BN74" s="2499"/>
      <c r="BO74" s="2499"/>
    </row>
    <row r="75" spans="5:72" ht="17.399999999999999">
      <c r="E75" s="105">
        <v>75</v>
      </c>
      <c r="G75" s="1448"/>
      <c r="H75" s="21"/>
      <c r="I75" s="546"/>
      <c r="J75" s="546"/>
      <c r="K75" s="546"/>
      <c r="L75" s="546"/>
      <c r="M75" s="546"/>
      <c r="N75" s="546"/>
      <c r="O75" s="216"/>
      <c r="P75" s="2112"/>
      <c r="Q75" s="713"/>
      <c r="R75" s="713"/>
      <c r="S75" s="1404"/>
      <c r="T75" s="1994"/>
      <c r="U75" s="1402"/>
      <c r="V75" s="1401"/>
      <c r="W75" s="1401"/>
      <c r="X75" s="1401"/>
      <c r="Y75" s="1402"/>
      <c r="Z75" s="1402"/>
      <c r="AA75" s="1402"/>
      <c r="AB75" s="1403"/>
      <c r="AD75" s="538"/>
      <c r="BD75" s="44"/>
      <c r="BH75" s="1509"/>
      <c r="BI75" s="2499"/>
      <c r="BJ75" s="2499"/>
      <c r="BK75" s="2499"/>
      <c r="BL75" s="2499"/>
      <c r="BM75" s="2499"/>
      <c r="BN75" s="2499"/>
      <c r="BO75" s="2499"/>
    </row>
    <row r="76" spans="5:72" ht="17.399999999999999">
      <c r="E76" s="105">
        <v>76</v>
      </c>
      <c r="G76" s="1448"/>
      <c r="H76" s="21"/>
      <c r="I76" s="546"/>
      <c r="J76" s="546"/>
      <c r="K76" s="546"/>
      <c r="L76" s="546"/>
      <c r="M76" s="546"/>
      <c r="N76" s="546"/>
      <c r="O76" s="216"/>
      <c r="P76" s="2112"/>
      <c r="Q76" s="713"/>
      <c r="R76" s="713"/>
      <c r="S76" s="1404"/>
      <c r="T76" s="1994"/>
      <c r="U76" s="1402"/>
      <c r="V76" s="1401"/>
      <c r="W76" s="1401"/>
      <c r="X76" s="1401"/>
      <c r="Y76" s="1402"/>
      <c r="Z76" s="1402"/>
      <c r="AA76" s="1402"/>
      <c r="AB76" s="1403"/>
      <c r="AD76" s="538"/>
      <c r="BD76" s="44"/>
      <c r="BH76" s="1509" t="s">
        <v>1976</v>
      </c>
      <c r="BI76" s="2499"/>
      <c r="BJ76" s="2499"/>
      <c r="BK76" s="2499"/>
      <c r="BL76" s="2499"/>
      <c r="BM76" s="2499"/>
      <c r="BN76" s="2499"/>
      <c r="BO76" s="2499"/>
    </row>
    <row r="77" spans="5:72" ht="18" thickBot="1">
      <c r="E77" s="105">
        <v>77</v>
      </c>
      <c r="G77" s="1448"/>
      <c r="H77" s="21"/>
      <c r="I77" s="546"/>
      <c r="J77" s="546"/>
      <c r="K77" s="546"/>
      <c r="L77" s="546"/>
      <c r="M77" s="546"/>
      <c r="N77" s="546"/>
      <c r="O77" s="216"/>
      <c r="P77" s="2112"/>
      <c r="Q77" s="713"/>
      <c r="R77" s="713"/>
      <c r="S77" s="1404"/>
      <c r="T77" s="1994"/>
      <c r="U77" s="1402"/>
      <c r="V77" s="1401"/>
      <c r="W77" s="1401"/>
      <c r="X77" s="1401"/>
      <c r="Y77" s="1402"/>
      <c r="Z77" s="1402"/>
      <c r="AA77" s="1402"/>
      <c r="AB77" s="1403"/>
      <c r="AC77" s="206"/>
      <c r="AD77" s="538"/>
      <c r="AE77" s="206"/>
      <c r="AF77" s="206"/>
      <c r="AG77" s="206"/>
      <c r="AH77" s="206"/>
      <c r="AI77" s="206"/>
      <c r="AJ77" s="206"/>
      <c r="AK77" s="206"/>
      <c r="AL77" s="206"/>
      <c r="AM77" s="206"/>
      <c r="AN77" s="206"/>
      <c r="AO77" s="206"/>
      <c r="AP77" s="206"/>
      <c r="AQ77" s="206"/>
      <c r="AR77" s="206"/>
      <c r="AS77" s="206"/>
      <c r="AT77" s="206"/>
      <c r="AU77" s="206"/>
      <c r="AV77" s="206"/>
      <c r="AW77" s="206"/>
      <c r="AX77" s="206"/>
      <c r="AY77" s="206"/>
      <c r="AZ77" s="206"/>
      <c r="BA77" s="206"/>
      <c r="BB77" s="206"/>
      <c r="BC77" s="206"/>
      <c r="BD77" s="44"/>
      <c r="BH77" s="1509" t="s">
        <v>1975</v>
      </c>
      <c r="BI77" s="2499"/>
      <c r="BJ77" s="2499"/>
      <c r="BK77" s="2499"/>
      <c r="BL77" s="2499"/>
      <c r="BM77" s="2499"/>
      <c r="BN77" s="2499"/>
      <c r="BO77" s="2499"/>
    </row>
    <row r="78" spans="5:72" ht="18" thickBot="1">
      <c r="E78" s="105">
        <v>78</v>
      </c>
      <c r="F78" s="1851"/>
      <c r="G78" s="1991"/>
      <c r="H78" s="1992"/>
      <c r="I78" s="1993"/>
      <c r="J78" s="1993"/>
      <c r="K78" s="1993"/>
      <c r="L78" s="1993"/>
      <c r="M78" s="1993"/>
      <c r="N78" s="1995"/>
      <c r="O78" s="216"/>
      <c r="P78" s="2112"/>
      <c r="Q78" s="713"/>
      <c r="R78" s="713"/>
      <c r="S78" s="1404"/>
      <c r="T78" s="1994"/>
      <c r="U78" s="1402"/>
      <c r="V78" s="1401"/>
      <c r="W78" s="1401"/>
      <c r="X78" s="1401"/>
      <c r="Y78" s="1402"/>
      <c r="Z78" s="1402"/>
      <c r="AA78" s="1402"/>
      <c r="AB78" s="1403"/>
      <c r="AC78" s="209"/>
      <c r="AD78" s="538"/>
      <c r="AE78" s="209"/>
      <c r="AF78" s="209"/>
      <c r="AG78" s="209"/>
      <c r="AH78" s="209"/>
      <c r="AI78" s="209"/>
      <c r="AJ78" s="209"/>
      <c r="AK78" s="209"/>
      <c r="AL78" s="209"/>
      <c r="AM78" s="209"/>
      <c r="AN78" s="209"/>
      <c r="AO78" s="209"/>
      <c r="AP78" s="209"/>
      <c r="AQ78" s="209"/>
      <c r="AR78" s="209"/>
      <c r="AS78" s="209"/>
      <c r="AT78" s="209"/>
      <c r="AU78" s="209"/>
      <c r="AV78" s="209"/>
      <c r="AW78" s="209"/>
      <c r="AY78" s="2494"/>
      <c r="AZ78" s="2494"/>
      <c r="BA78" s="2494"/>
      <c r="BB78" s="2494"/>
      <c r="BC78" s="2127" t="s">
        <v>1452</v>
      </c>
      <c r="BD78" s="44"/>
      <c r="BH78" s="1509" t="s">
        <v>1576</v>
      </c>
      <c r="BI78" s="2499"/>
      <c r="BJ78" s="2499"/>
      <c r="BK78" s="2499"/>
      <c r="BL78" s="2499"/>
      <c r="BM78" s="2499"/>
      <c r="BN78" s="2499"/>
      <c r="BO78" s="2499"/>
    </row>
    <row r="79" spans="5:72" ht="17.399999999999999">
      <c r="M79" s="1989">
        <v>1993</v>
      </c>
      <c r="N79" s="1990">
        <v>1994</v>
      </c>
      <c r="O79" s="58">
        <v>1995</v>
      </c>
      <c r="P79" s="48">
        <v>1996</v>
      </c>
      <c r="Q79" s="48">
        <v>1997</v>
      </c>
      <c r="R79" s="48">
        <v>1998</v>
      </c>
      <c r="S79" s="48">
        <v>1999</v>
      </c>
      <c r="T79" s="48">
        <v>2000</v>
      </c>
      <c r="U79" s="48">
        <v>2001</v>
      </c>
      <c r="V79" s="48">
        <v>2002</v>
      </c>
      <c r="W79" s="48">
        <v>2003</v>
      </c>
      <c r="X79" s="48">
        <v>2004</v>
      </c>
      <c r="Y79" s="48">
        <v>2005</v>
      </c>
      <c r="Z79" s="48">
        <v>2006</v>
      </c>
      <c r="AA79" s="48">
        <v>2007</v>
      </c>
      <c r="AB79" s="48">
        <v>2008</v>
      </c>
      <c r="AC79" s="48">
        <v>2009</v>
      </c>
      <c r="AD79" s="48">
        <v>2010</v>
      </c>
      <c r="AE79" s="48">
        <v>2011</v>
      </c>
      <c r="AF79" s="48">
        <v>2012</v>
      </c>
      <c r="AG79" s="48">
        <v>2013</v>
      </c>
      <c r="AH79" s="48">
        <v>2014</v>
      </c>
      <c r="AI79" s="48">
        <v>2015</v>
      </c>
      <c r="AJ79" s="48">
        <v>2016</v>
      </c>
      <c r="AK79" s="48">
        <v>2017</v>
      </c>
      <c r="AL79" s="48">
        <v>2018</v>
      </c>
      <c r="AM79" s="48">
        <v>2019</v>
      </c>
      <c r="AN79" s="48">
        <v>2020</v>
      </c>
      <c r="AO79" s="48">
        <v>2021</v>
      </c>
      <c r="AP79" s="48">
        <v>2022</v>
      </c>
      <c r="AQ79" s="48">
        <v>2023</v>
      </c>
      <c r="AR79" s="48">
        <v>2024</v>
      </c>
      <c r="AS79" s="229">
        <v>2025</v>
      </c>
      <c r="AT79" s="48">
        <v>2026</v>
      </c>
      <c r="AU79" s="229">
        <v>2027</v>
      </c>
      <c r="AV79" s="48">
        <v>2028</v>
      </c>
      <c r="AW79" s="229">
        <v>2029</v>
      </c>
      <c r="AX79" s="1990">
        <v>2030</v>
      </c>
      <c r="AY79" s="229">
        <v>2031</v>
      </c>
      <c r="AZ79" s="1990">
        <v>2032</v>
      </c>
      <c r="BA79" s="229">
        <v>2033</v>
      </c>
      <c r="BB79" s="1990">
        <v>2034</v>
      </c>
      <c r="BC79" s="229">
        <v>2035</v>
      </c>
      <c r="BD79" s="44"/>
      <c r="BH79" s="1509"/>
      <c r="BI79" s="2499"/>
      <c r="BJ79" s="2499"/>
      <c r="BK79" s="2499"/>
      <c r="BL79" s="2499"/>
      <c r="BM79" s="2499"/>
      <c r="BN79" s="2499"/>
      <c r="BO79" s="2499"/>
    </row>
    <row r="80" spans="5:72" ht="17.399999999999999">
      <c r="BD80" s="44"/>
      <c r="BH80" s="1509" t="s">
        <v>2070</v>
      </c>
      <c r="BI80" s="2499"/>
      <c r="BJ80" s="2499"/>
      <c r="BK80" s="2499"/>
      <c r="BL80" s="2499"/>
      <c r="BM80" s="2499"/>
      <c r="BN80" s="2499"/>
      <c r="BO80" s="2499"/>
    </row>
    <row r="81" spans="4:77" ht="17.399999999999999">
      <c r="AL81" s="784"/>
      <c r="AM81" s="1444"/>
      <c r="AN81" s="778"/>
      <c r="BD81" s="44"/>
      <c r="BH81" s="1509" t="s">
        <v>1978</v>
      </c>
      <c r="BI81" s="2499"/>
      <c r="BJ81" s="2499"/>
      <c r="BK81" s="2499"/>
      <c r="BL81" s="2499"/>
      <c r="BM81" s="2499"/>
      <c r="BN81" s="2499"/>
      <c r="BO81" s="2499"/>
    </row>
    <row r="82" spans="4:77" ht="17.399999999999999">
      <c r="AL82" s="1999"/>
      <c r="AM82" s="87"/>
      <c r="AN82" s="87"/>
      <c r="AO82" s="87"/>
      <c r="BD82" s="44"/>
      <c r="BH82" s="1509" t="s">
        <v>1977</v>
      </c>
      <c r="BI82" s="2499"/>
      <c r="BJ82" s="2499"/>
      <c r="BK82" s="2499"/>
      <c r="BL82" s="2499"/>
      <c r="BM82" s="2499"/>
      <c r="BN82" s="2499"/>
      <c r="BO82" s="2499"/>
    </row>
    <row r="83" spans="4:77" ht="18.600000000000001" thickBot="1">
      <c r="D83" s="24"/>
      <c r="Z83" s="89"/>
      <c r="AA83" s="89"/>
      <c r="AB83" s="89"/>
      <c r="AC83" s="89"/>
      <c r="AD83" s="89"/>
      <c r="BD83" s="44"/>
      <c r="BH83" s="1509" t="s">
        <v>1979</v>
      </c>
      <c r="BI83" s="2499"/>
      <c r="BJ83" s="2499"/>
      <c r="BK83" s="2499"/>
      <c r="BL83" s="2499"/>
      <c r="BM83" s="2499"/>
      <c r="BN83" s="2499"/>
      <c r="BO83" s="2499"/>
    </row>
    <row r="84" spans="4:77" ht="18" thickBot="1">
      <c r="H84" s="231" t="s">
        <v>1946</v>
      </c>
      <c r="I84" s="202"/>
      <c r="J84" s="202"/>
      <c r="K84" s="202"/>
      <c r="L84" s="202"/>
      <c r="M84" s="202"/>
      <c r="N84" s="202"/>
      <c r="O84" s="203"/>
      <c r="BD84" s="44"/>
      <c r="BH84" s="1509" t="s">
        <v>1980</v>
      </c>
      <c r="BI84" s="2499"/>
      <c r="BJ84" s="2499"/>
      <c r="BK84" s="2499"/>
      <c r="BL84" s="2499"/>
      <c r="BM84" s="2499"/>
      <c r="BN84" s="2499"/>
      <c r="BO84" s="2499"/>
    </row>
    <row r="85" spans="4:77" ht="17.399999999999999">
      <c r="H85" s="232"/>
      <c r="I85" s="233" t="s">
        <v>957</v>
      </c>
      <c r="J85" s="17"/>
      <c r="K85" s="17"/>
      <c r="L85" s="17"/>
      <c r="M85" s="17"/>
      <c r="N85" s="234" t="s">
        <v>695</v>
      </c>
      <c r="O85" s="235">
        <v>43942</v>
      </c>
      <c r="P85" s="553">
        <v>0</v>
      </c>
      <c r="Q85" s="553">
        <v>0</v>
      </c>
      <c r="R85" s="553">
        <v>0</v>
      </c>
      <c r="S85" s="553">
        <v>0</v>
      </c>
      <c r="T85" s="553">
        <v>0</v>
      </c>
      <c r="U85" s="553">
        <v>0</v>
      </c>
      <c r="V85" s="553">
        <v>0</v>
      </c>
      <c r="W85" s="553">
        <v>0</v>
      </c>
      <c r="X85" s="553">
        <v>0</v>
      </c>
      <c r="Y85" s="553">
        <v>0</v>
      </c>
      <c r="Z85" s="553">
        <v>0</v>
      </c>
      <c r="AA85" s="553">
        <v>0</v>
      </c>
      <c r="AB85" s="553">
        <v>0</v>
      </c>
      <c r="AC85" s="553">
        <v>0</v>
      </c>
      <c r="AD85" s="553">
        <v>0</v>
      </c>
      <c r="AE85" s="553">
        <v>0</v>
      </c>
      <c r="AF85" s="553">
        <v>0</v>
      </c>
      <c r="AG85" s="553">
        <v>0</v>
      </c>
      <c r="AH85" s="553">
        <v>0</v>
      </c>
      <c r="AI85" s="553">
        <v>0</v>
      </c>
      <c r="AJ85" s="553">
        <v>1</v>
      </c>
      <c r="AK85" s="553">
        <v>2</v>
      </c>
      <c r="AL85" s="553">
        <v>0</v>
      </c>
      <c r="AM85" s="553">
        <f t="shared" ref="AM85:BC85" ca="1" si="12">AM86</f>
        <v>1260</v>
      </c>
      <c r="AN85" s="553">
        <f t="shared" ca="1" si="12"/>
        <v>1080</v>
      </c>
      <c r="AO85" s="553">
        <f t="shared" ca="1" si="12"/>
        <v>1080</v>
      </c>
      <c r="AP85" s="553">
        <f t="shared" ca="1" si="12"/>
        <v>1080</v>
      </c>
      <c r="AQ85" s="553">
        <f t="shared" ca="1" si="12"/>
        <v>1080</v>
      </c>
      <c r="AR85" s="553">
        <f t="shared" ca="1" si="12"/>
        <v>1080</v>
      </c>
      <c r="AS85" s="553">
        <f t="shared" ca="1" si="12"/>
        <v>1080</v>
      </c>
      <c r="AT85" s="553">
        <f t="shared" ca="1" si="12"/>
        <v>1080</v>
      </c>
      <c r="AU85" s="553">
        <f t="shared" ca="1" si="12"/>
        <v>1080</v>
      </c>
      <c r="AV85" s="553">
        <f t="shared" ca="1" si="12"/>
        <v>1080</v>
      </c>
      <c r="AW85" s="553">
        <f t="shared" ca="1" si="12"/>
        <v>1080</v>
      </c>
      <c r="AX85" s="553">
        <f t="shared" ca="1" si="12"/>
        <v>1080</v>
      </c>
      <c r="AY85" s="553">
        <f t="shared" ca="1" si="12"/>
        <v>1080</v>
      </c>
      <c r="AZ85" s="553">
        <f t="shared" ca="1" si="12"/>
        <v>1080</v>
      </c>
      <c r="BA85" s="553">
        <f t="shared" ca="1" si="12"/>
        <v>1080</v>
      </c>
      <c r="BB85" s="553">
        <f t="shared" ca="1" si="12"/>
        <v>1080</v>
      </c>
      <c r="BC85" s="553">
        <f t="shared" ca="1" si="12"/>
        <v>720</v>
      </c>
      <c r="BD85" s="44"/>
      <c r="BH85" s="1509"/>
      <c r="BI85" s="2499"/>
      <c r="BJ85" s="2499"/>
      <c r="BK85" s="2499"/>
      <c r="BL85" s="2499"/>
      <c r="BM85" s="2499"/>
      <c r="BN85" s="2499"/>
      <c r="BO85" s="2499"/>
    </row>
    <row r="86" spans="4:77" ht="17.399999999999999">
      <c r="H86" s="232"/>
      <c r="I86" s="236" t="s">
        <v>958</v>
      </c>
      <c r="J86" s="18"/>
      <c r="K86" s="18"/>
      <c r="L86" s="18"/>
      <c r="M86" s="18"/>
      <c r="N86" s="18"/>
      <c r="O86" s="19"/>
      <c r="P86" s="21">
        <f>P85+1</f>
        <v>1</v>
      </c>
      <c r="Q86" s="21">
        <f t="shared" ref="Q86:AV86" si="13">Q85+1</f>
        <v>1</v>
      </c>
      <c r="R86" s="21">
        <f t="shared" si="13"/>
        <v>1</v>
      </c>
      <c r="S86" s="21">
        <f t="shared" si="13"/>
        <v>1</v>
      </c>
      <c r="T86" s="21">
        <f t="shared" si="13"/>
        <v>1</v>
      </c>
      <c r="U86" s="21">
        <f t="shared" si="13"/>
        <v>1</v>
      </c>
      <c r="V86" s="21">
        <f t="shared" si="13"/>
        <v>1</v>
      </c>
      <c r="W86" s="21">
        <f t="shared" si="13"/>
        <v>1</v>
      </c>
      <c r="X86" s="21">
        <f t="shared" si="13"/>
        <v>1</v>
      </c>
      <c r="Y86" s="21">
        <f t="shared" si="13"/>
        <v>1</v>
      </c>
      <c r="Z86" s="21">
        <f t="shared" si="13"/>
        <v>1</v>
      </c>
      <c r="AA86" s="21">
        <f t="shared" si="13"/>
        <v>1</v>
      </c>
      <c r="AB86" s="21">
        <f t="shared" si="13"/>
        <v>1</v>
      </c>
      <c r="AC86" s="21">
        <f t="shared" si="13"/>
        <v>1</v>
      </c>
      <c r="AD86" s="21">
        <f t="shared" si="13"/>
        <v>1</v>
      </c>
      <c r="AE86" s="21">
        <f t="shared" si="13"/>
        <v>1</v>
      </c>
      <c r="AF86" s="21">
        <f t="shared" si="13"/>
        <v>1</v>
      </c>
      <c r="AG86" s="21">
        <f t="shared" si="13"/>
        <v>1</v>
      </c>
      <c r="AH86" s="21">
        <f t="shared" si="13"/>
        <v>1</v>
      </c>
      <c r="AI86" s="21">
        <f t="shared" si="13"/>
        <v>1</v>
      </c>
      <c r="AJ86" s="21">
        <f t="shared" ref="AJ86:AK86" si="14">AJ85+1</f>
        <v>2</v>
      </c>
      <c r="AK86" s="21">
        <f t="shared" si="14"/>
        <v>3</v>
      </c>
      <c r="AL86" s="21">
        <f t="shared" si="13"/>
        <v>1</v>
      </c>
      <c r="AM86" s="21">
        <f t="shared" ca="1" si="13"/>
        <v>1261</v>
      </c>
      <c r="AN86" s="21">
        <f t="shared" ca="1" si="13"/>
        <v>1081</v>
      </c>
      <c r="AO86" s="21">
        <f t="shared" ca="1" si="13"/>
        <v>1081</v>
      </c>
      <c r="AP86" s="21">
        <f t="shared" ca="1" si="13"/>
        <v>1081</v>
      </c>
      <c r="AQ86" s="21">
        <f t="shared" ca="1" si="13"/>
        <v>1081</v>
      </c>
      <c r="AR86" s="21">
        <f t="shared" ca="1" si="13"/>
        <v>1081</v>
      </c>
      <c r="AS86" s="21">
        <f t="shared" ca="1" si="13"/>
        <v>1081</v>
      </c>
      <c r="AT86" s="21">
        <f t="shared" ca="1" si="13"/>
        <v>1081</v>
      </c>
      <c r="AU86" s="21">
        <f t="shared" ca="1" si="13"/>
        <v>1081</v>
      </c>
      <c r="AV86" s="21">
        <f t="shared" ca="1" si="13"/>
        <v>1081</v>
      </c>
      <c r="AW86" s="21">
        <f ca="1">AW85+1</f>
        <v>1081</v>
      </c>
      <c r="AX86" s="21">
        <f ca="1">AX85+1</f>
        <v>1081</v>
      </c>
      <c r="AY86" s="21">
        <f t="shared" ref="AY86:BC86" ca="1" si="15">AY85+1</f>
        <v>1081</v>
      </c>
      <c r="AZ86" s="21">
        <f t="shared" ca="1" si="15"/>
        <v>1081</v>
      </c>
      <c r="BA86" s="21">
        <f t="shared" ca="1" si="15"/>
        <v>1081</v>
      </c>
      <c r="BB86" s="21">
        <f t="shared" ca="1" si="15"/>
        <v>1081</v>
      </c>
      <c r="BC86" s="21">
        <f t="shared" ca="1" si="15"/>
        <v>721</v>
      </c>
      <c r="BD86" s="44"/>
      <c r="BH86" s="1509" t="s">
        <v>1981</v>
      </c>
      <c r="BI86" s="2499"/>
      <c r="BJ86" s="2499"/>
      <c r="BK86" s="2499"/>
      <c r="BL86" s="2499"/>
      <c r="BM86" s="2499"/>
      <c r="BN86" s="2499"/>
      <c r="BO86" s="2499"/>
    </row>
    <row r="87" spans="4:77" ht="17.399999999999999">
      <c r="H87" s="232"/>
      <c r="I87" s="237" t="s">
        <v>959</v>
      </c>
      <c r="J87" s="238"/>
      <c r="K87" s="238"/>
      <c r="L87" s="48"/>
      <c r="M87" s="48"/>
      <c r="N87" s="48"/>
      <c r="O87" s="223">
        <v>1995</v>
      </c>
      <c r="P87" s="48">
        <v>1996</v>
      </c>
      <c r="Q87" s="48">
        <v>1997</v>
      </c>
      <c r="R87" s="48">
        <v>1998</v>
      </c>
      <c r="S87" s="48">
        <v>1999</v>
      </c>
      <c r="T87" s="48">
        <v>2000</v>
      </c>
      <c r="U87" s="48">
        <v>2001</v>
      </c>
      <c r="V87" s="48">
        <v>2002</v>
      </c>
      <c r="W87" s="48">
        <v>2003</v>
      </c>
      <c r="X87" s="48">
        <v>2004</v>
      </c>
      <c r="Y87" s="48">
        <v>2005</v>
      </c>
      <c r="Z87" s="48">
        <v>2006</v>
      </c>
      <c r="AA87" s="48">
        <v>2007</v>
      </c>
      <c r="AB87" s="48">
        <v>2008</v>
      </c>
      <c r="AC87" s="48">
        <v>2009</v>
      </c>
      <c r="AD87" s="48">
        <v>2010</v>
      </c>
      <c r="AE87" s="48">
        <v>2011</v>
      </c>
      <c r="AF87" s="48">
        <v>2012</v>
      </c>
      <c r="AG87" s="48">
        <v>2013</v>
      </c>
      <c r="AH87" s="48">
        <v>2014</v>
      </c>
      <c r="AI87" s="48">
        <v>2015</v>
      </c>
      <c r="AJ87" s="48">
        <v>2016</v>
      </c>
      <c r="AK87" s="287">
        <v>2017</v>
      </c>
      <c r="AL87" s="287">
        <v>2018</v>
      </c>
      <c r="AM87" s="287">
        <v>2019</v>
      </c>
      <c r="AN87" s="287">
        <v>2020</v>
      </c>
      <c r="AO87" s="287">
        <v>2021</v>
      </c>
      <c r="AP87" s="287">
        <v>2022</v>
      </c>
      <c r="AQ87" s="287">
        <v>2023</v>
      </c>
      <c r="AR87" s="287">
        <v>2024</v>
      </c>
      <c r="AS87" s="287">
        <v>2025</v>
      </c>
      <c r="AT87" s="287">
        <v>2026</v>
      </c>
      <c r="AU87" s="287">
        <v>2027</v>
      </c>
      <c r="AV87" s="287">
        <v>2028</v>
      </c>
      <c r="AW87" s="287">
        <v>2029</v>
      </c>
      <c r="AX87" s="287">
        <v>2030</v>
      </c>
      <c r="AY87" s="287">
        <v>2031</v>
      </c>
      <c r="AZ87" s="287">
        <v>2032</v>
      </c>
      <c r="BA87" s="287">
        <v>2033</v>
      </c>
      <c r="BB87" s="287">
        <v>2034</v>
      </c>
      <c r="BC87" s="287">
        <v>2035</v>
      </c>
      <c r="BD87" s="44"/>
      <c r="BH87" s="1509" t="s">
        <v>1982</v>
      </c>
      <c r="BI87" s="2499"/>
      <c r="BJ87" s="2499"/>
      <c r="BK87" s="2499"/>
      <c r="BL87" s="2499"/>
      <c r="BM87" s="2499"/>
      <c r="BN87" s="2499"/>
      <c r="BO87" s="2499"/>
    </row>
    <row r="88" spans="4:77" ht="17.399999999999999">
      <c r="D88" s="1442"/>
      <c r="E88" s="1443"/>
      <c r="F88" s="1443"/>
      <c r="G88" s="1443"/>
      <c r="H88" s="1439"/>
      <c r="I88" s="34" t="s">
        <v>619</v>
      </c>
      <c r="J88" s="34"/>
      <c r="K88" s="34"/>
      <c r="L88" s="34"/>
      <c r="M88" s="34"/>
      <c r="N88" s="34"/>
      <c r="O88" s="1453"/>
      <c r="P88" s="280"/>
      <c r="Q88" s="280"/>
      <c r="R88" s="280"/>
      <c r="S88" s="280"/>
      <c r="T88" s="280"/>
      <c r="U88" s="280"/>
      <c r="V88" s="280"/>
      <c r="W88" s="280"/>
      <c r="X88" s="280"/>
      <c r="Y88" s="280"/>
      <c r="Z88" s="280"/>
      <c r="AA88" s="280"/>
      <c r="AB88" s="280"/>
      <c r="AC88" s="280"/>
      <c r="AD88" s="280"/>
      <c r="AE88" s="280"/>
      <c r="AF88" s="280"/>
      <c r="AG88" s="280"/>
      <c r="AH88" s="280"/>
      <c r="AI88" s="280"/>
      <c r="AK88" s="2040"/>
      <c r="AL88" s="2568" t="s">
        <v>619</v>
      </c>
      <c r="AM88" s="2040">
        <f ca="1">IF(AM85&lt;5,AL135,AM135)</f>
        <v>5946.8295942179684</v>
      </c>
      <c r="AN88" s="2040">
        <f t="shared" ref="AN88:BC88" ca="1" si="16">IF(AN85&lt;5,AM135,AN135)</f>
        <v>6109.2072396307076</v>
      </c>
      <c r="AO88" s="2040">
        <f t="shared" ca="1" si="16"/>
        <v>6387.548816179733</v>
      </c>
      <c r="AP88" s="2040">
        <f t="shared" ca="1" si="16"/>
        <v>6612.5416630415566</v>
      </c>
      <c r="AQ88" s="2040">
        <f t="shared" ca="1" si="16"/>
        <v>6834.6274008248565</v>
      </c>
      <c r="AR88" s="2040">
        <f t="shared" ca="1" si="16"/>
        <v>7059.0967442522897</v>
      </c>
      <c r="AS88" s="2040">
        <f t="shared" ca="1" si="16"/>
        <v>7289.4054011630133</v>
      </c>
      <c r="AT88" s="2040">
        <f t="shared" ca="1" si="16"/>
        <v>7527.8928579418525</v>
      </c>
      <c r="AU88" s="2040">
        <f t="shared" ca="1" si="16"/>
        <v>7776.2239974982149</v>
      </c>
      <c r="AV88" s="2040">
        <f t="shared" ca="1" si="16"/>
        <v>8035.660740263319</v>
      </c>
      <c r="AW88" s="2040">
        <f t="shared" ca="1" si="16"/>
        <v>8307.2294128671838</v>
      </c>
      <c r="AX88" s="2040">
        <f t="shared" ca="1" si="16"/>
        <v>8591.8241359283202</v>
      </c>
      <c r="AY88" s="2040">
        <f t="shared" ca="1" si="16"/>
        <v>8890.2709487257744</v>
      </c>
      <c r="AZ88" s="2040">
        <f t="shared" ca="1" si="16"/>
        <v>9203.3678409919285</v>
      </c>
      <c r="BA88" s="2040">
        <f t="shared" ca="1" si="16"/>
        <v>9531.9100066267929</v>
      </c>
      <c r="BB88" s="2040">
        <f t="shared" ca="1" si="16"/>
        <v>9876.7060416591903</v>
      </c>
      <c r="BC88" s="2040">
        <f t="shared" ca="1" si="16"/>
        <v>10238.588603864275</v>
      </c>
      <c r="BD88" s="2039" t="str">
        <f>AL88</f>
        <v>XOS</v>
      </c>
      <c r="BH88" s="1509" t="s">
        <v>1983</v>
      </c>
      <c r="BI88" s="2499"/>
      <c r="BJ88" s="2499"/>
      <c r="BK88" s="2499"/>
      <c r="BL88" s="2499"/>
      <c r="BM88" s="2499"/>
      <c r="BN88" s="2499"/>
      <c r="BO88" s="2499"/>
    </row>
    <row r="89" spans="4:77" ht="17.399999999999999">
      <c r="D89" s="1444"/>
      <c r="E89" s="778"/>
      <c r="F89" s="778"/>
      <c r="G89" s="778"/>
      <c r="H89" s="1440"/>
      <c r="I89" s="34" t="s">
        <v>425</v>
      </c>
      <c r="J89" s="34"/>
      <c r="K89" s="34"/>
      <c r="L89" s="34"/>
      <c r="M89" s="34"/>
      <c r="N89" s="34"/>
      <c r="O89" s="239"/>
      <c r="P89" s="230"/>
      <c r="Q89" s="230"/>
      <c r="R89" s="230"/>
      <c r="S89" s="230"/>
      <c r="T89" s="230"/>
      <c r="U89" s="230"/>
      <c r="V89" s="230"/>
      <c r="W89" s="230"/>
      <c r="X89" s="230"/>
      <c r="Y89" s="230"/>
      <c r="Z89" s="230"/>
      <c r="AA89" s="230"/>
      <c r="AB89" s="230"/>
      <c r="AC89" s="230"/>
      <c r="AD89" s="230"/>
      <c r="AE89" s="230"/>
      <c r="AF89" s="230"/>
      <c r="AG89" s="230"/>
      <c r="AH89" s="230"/>
      <c r="AI89" s="230"/>
      <c r="AK89" s="256"/>
      <c r="AL89" s="2565" t="str">
        <f>I89</f>
        <v>WWP</v>
      </c>
      <c r="AM89" s="256">
        <f ca="1">IF(AM86&lt;5,AL125,AM125)</f>
        <v>106089.18754590405</v>
      </c>
      <c r="AN89" s="256">
        <f t="shared" ref="AN89:BC89" ca="1" si="17">IF(AN86&lt;5,AM125,AN125)</f>
        <v>113297.53334709894</v>
      </c>
      <c r="AO89" s="256">
        <f t="shared" ca="1" si="17"/>
        <v>128333.75598462771</v>
      </c>
      <c r="AP89" s="256">
        <f t="shared" ca="1" si="17"/>
        <v>141286.24247736865</v>
      </c>
      <c r="AQ89" s="256">
        <f t="shared" ca="1" si="17"/>
        <v>155255.19685597051</v>
      </c>
      <c r="AR89" s="256">
        <f t="shared" ca="1" si="17"/>
        <v>170433.97879266372</v>
      </c>
      <c r="AS89" s="256">
        <f t="shared" ca="1" si="17"/>
        <v>187003.77222075325</v>
      </c>
      <c r="AT89" s="256">
        <f t="shared" ca="1" si="17"/>
        <v>205143.36637033528</v>
      </c>
      <c r="AU89" s="256">
        <f t="shared" ca="1" si="17"/>
        <v>225036.11253821413</v>
      </c>
      <c r="AV89" s="256">
        <f t="shared" ca="1" si="17"/>
        <v>246875.09341763868</v>
      </c>
      <c r="AW89" s="256">
        <f t="shared" ca="1" si="17"/>
        <v>270867.18800580967</v>
      </c>
      <c r="AX89" s="256">
        <f t="shared" ca="1" si="17"/>
        <v>297236.48463029845</v>
      </c>
      <c r="AY89" s="256">
        <f t="shared" ca="1" si="17"/>
        <v>326227.34475139517</v>
      </c>
      <c r="AZ89" s="256">
        <f t="shared" ca="1" si="17"/>
        <v>358107.32300782914</v>
      </c>
      <c r="BA89" s="256">
        <f t="shared" ca="1" si="17"/>
        <v>393170.08626854577</v>
      </c>
      <c r="BB89" s="256">
        <f t="shared" ca="1" si="17"/>
        <v>431738.43434959534</v>
      </c>
      <c r="BC89" s="256">
        <f t="shared" ca="1" si="17"/>
        <v>474167.49979999114</v>
      </c>
      <c r="BD89" s="2039" t="str">
        <f t="shared" ref="BD89:BD95" si="18">AL89</f>
        <v>WWP</v>
      </c>
      <c r="BH89" s="1509"/>
      <c r="BI89" s="2499"/>
      <c r="BJ89" s="2499"/>
      <c r="BK89" s="2499"/>
      <c r="BL89" s="2499"/>
      <c r="BM89" s="2499"/>
      <c r="BN89" s="2499"/>
      <c r="BO89" s="2499"/>
    </row>
    <row r="90" spans="4:77" ht="17.399999999999999">
      <c r="D90" s="1444"/>
      <c r="E90" s="778"/>
      <c r="F90" s="778"/>
      <c r="G90" s="1147"/>
      <c r="H90" s="1440"/>
      <c r="I90" s="34" t="s">
        <v>590</v>
      </c>
      <c r="J90" s="34"/>
      <c r="K90" s="34"/>
      <c r="L90" s="34"/>
      <c r="M90" s="34"/>
      <c r="N90" s="34"/>
      <c r="O90" s="82"/>
      <c r="P90" s="256"/>
      <c r="Q90" s="256"/>
      <c r="R90" s="256"/>
      <c r="S90" s="256"/>
      <c r="T90" s="256"/>
      <c r="U90" s="256"/>
      <c r="V90" s="256"/>
      <c r="W90" s="256"/>
      <c r="X90" s="256"/>
      <c r="Y90" s="256"/>
      <c r="Z90" s="256"/>
      <c r="AA90" s="256"/>
      <c r="AB90" s="256"/>
      <c r="AC90" s="256"/>
      <c r="AD90" s="256"/>
      <c r="AE90" s="256"/>
      <c r="AF90" s="256"/>
      <c r="AG90" s="256"/>
      <c r="AH90" s="256"/>
      <c r="AI90" s="256"/>
      <c r="AK90" s="259"/>
      <c r="AL90" s="2565" t="str">
        <f t="shared" ref="AL90:AL92" si="19">I90</f>
        <v>IPC</v>
      </c>
      <c r="AM90" s="230">
        <f>AM14</f>
        <v>22.693455544104783</v>
      </c>
      <c r="AN90" s="230">
        <f t="shared" ref="AN90:BC90" si="20">AN14</f>
        <v>23.807704211320324</v>
      </c>
      <c r="AO90" s="230">
        <f t="shared" si="20"/>
        <v>24.998089421886341</v>
      </c>
      <c r="AP90" s="230">
        <f t="shared" si="20"/>
        <v>26.247993892980659</v>
      </c>
      <c r="AQ90" s="230">
        <f t="shared" si="20"/>
        <v>27.560393587629694</v>
      </c>
      <c r="AR90" s="230">
        <f t="shared" si="20"/>
        <v>28.938413267011178</v>
      </c>
      <c r="AS90" s="230">
        <f t="shared" si="20"/>
        <v>30.385333930361739</v>
      </c>
      <c r="AT90" s="230">
        <f t="shared" si="20"/>
        <v>31.904600626879827</v>
      </c>
      <c r="AU90" s="230">
        <f t="shared" si="20"/>
        <v>33.499830658223821</v>
      </c>
      <c r="AV90" s="230">
        <f t="shared" si="20"/>
        <v>35.174822191135014</v>
      </c>
      <c r="AW90" s="230">
        <f t="shared" si="20"/>
        <v>36.933563300691766</v>
      </c>
      <c r="AX90" s="230">
        <f t="shared" si="20"/>
        <v>38.780241465726355</v>
      </c>
      <c r="AY90" s="230">
        <f t="shared" si="20"/>
        <v>40.719253539012676</v>
      </c>
      <c r="AZ90" s="230">
        <f t="shared" si="20"/>
        <v>42.755216215963316</v>
      </c>
      <c r="BA90" s="230">
        <f t="shared" si="20"/>
        <v>44.892977026761486</v>
      </c>
      <c r="BB90" s="230">
        <f t="shared" si="20"/>
        <v>47.137625878099563</v>
      </c>
      <c r="BC90" s="230">
        <f t="shared" si="20"/>
        <v>49.494507172004546</v>
      </c>
      <c r="BD90" s="2039" t="str">
        <f t="shared" si="18"/>
        <v>IPC</v>
      </c>
      <c r="BH90" s="1509" t="s">
        <v>1985</v>
      </c>
      <c r="BI90" s="2499"/>
      <c r="BJ90" s="2499"/>
      <c r="BK90" s="2499"/>
      <c r="BL90" s="2499"/>
      <c r="BM90" s="2499"/>
      <c r="BN90" s="2499"/>
      <c r="BO90" s="2499"/>
      <c r="BY90" s="2499"/>
    </row>
    <row r="91" spans="4:77" ht="17.399999999999999">
      <c r="E91" s="778"/>
      <c r="F91" s="778"/>
      <c r="G91" s="778"/>
      <c r="H91" s="1440"/>
      <c r="I91" s="34" t="s">
        <v>1863</v>
      </c>
      <c r="J91" s="34"/>
      <c r="K91" s="34"/>
      <c r="L91" s="34"/>
      <c r="M91" s="34"/>
      <c r="N91" s="34"/>
      <c r="O91" s="82"/>
      <c r="P91" s="230"/>
      <c r="Q91" s="256"/>
      <c r="R91" s="256"/>
      <c r="S91" s="230"/>
      <c r="T91" s="230"/>
      <c r="U91" s="230"/>
      <c r="V91" s="230"/>
      <c r="W91" s="230"/>
      <c r="X91" s="230"/>
      <c r="Y91" s="230"/>
      <c r="Z91" s="230"/>
      <c r="AA91" s="230"/>
      <c r="AB91" s="230"/>
      <c r="AC91" s="230"/>
      <c r="AD91" s="230"/>
      <c r="AE91" s="230"/>
      <c r="AF91" s="230"/>
      <c r="AG91" s="230"/>
      <c r="AH91" s="230"/>
      <c r="AI91" s="230"/>
      <c r="AK91" s="256"/>
      <c r="AL91" s="2565"/>
      <c r="AM91" s="259"/>
      <c r="AN91" s="259"/>
      <c r="AO91" s="259"/>
      <c r="AP91" s="259"/>
      <c r="AQ91" s="259"/>
      <c r="AR91" s="259"/>
      <c r="AS91" s="259"/>
      <c r="AT91" s="259"/>
      <c r="AU91" s="259"/>
      <c r="AV91" s="259"/>
      <c r="AW91" s="259"/>
      <c r="AX91" s="259"/>
      <c r="AY91" s="259"/>
      <c r="AZ91" s="259"/>
      <c r="BA91" s="259"/>
      <c r="BB91" s="259"/>
      <c r="BC91" s="259"/>
      <c r="BD91" s="2039">
        <f t="shared" si="18"/>
        <v>0</v>
      </c>
      <c r="BH91" s="1509" t="s">
        <v>1986</v>
      </c>
      <c r="BI91" s="2499"/>
      <c r="BJ91" s="2499"/>
      <c r="BK91" s="2499"/>
      <c r="BL91" s="2499"/>
      <c r="BM91" s="2499"/>
      <c r="BN91" s="2499"/>
      <c r="BO91" s="2499"/>
    </row>
    <row r="92" spans="4:77" ht="17.399999999999999">
      <c r="D92" s="1444"/>
      <c r="E92" s="778"/>
      <c r="F92" s="778"/>
      <c r="G92" s="778"/>
      <c r="H92" s="1440"/>
      <c r="I92" s="34" t="s">
        <v>1793</v>
      </c>
      <c r="J92" s="39"/>
      <c r="K92" s="240"/>
      <c r="L92" s="34"/>
      <c r="M92" s="34"/>
      <c r="N92" s="34"/>
      <c r="O92" s="82"/>
      <c r="P92" s="209"/>
      <c r="Q92" s="209"/>
      <c r="R92" s="209"/>
      <c r="S92" s="209"/>
      <c r="T92" s="209"/>
      <c r="U92" s="209"/>
      <c r="V92" s="209"/>
      <c r="W92" s="209"/>
      <c r="X92" s="209"/>
      <c r="Y92" s="209"/>
      <c r="Z92" s="209"/>
      <c r="AA92" s="209"/>
      <c r="AB92" s="209"/>
      <c r="AC92" s="209"/>
      <c r="AD92" s="209"/>
      <c r="AE92" s="209"/>
      <c r="AF92" s="209"/>
      <c r="AG92" s="209"/>
      <c r="AH92" s="209"/>
      <c r="AI92" s="209"/>
      <c r="AK92" s="256"/>
      <c r="AL92" s="2565" t="str">
        <f t="shared" si="19"/>
        <v>qIM</v>
      </c>
      <c r="AM92" s="259">
        <f>AM13</f>
        <v>0.23384588522954772</v>
      </c>
      <c r="AN92" s="259">
        <f t="shared" ref="AN92:BC92" si="21">AN13</f>
        <v>0.23484588522954772</v>
      </c>
      <c r="AO92" s="259">
        <f t="shared" si="21"/>
        <v>0.23584588522954772</v>
      </c>
      <c r="AP92" s="259">
        <f t="shared" si="21"/>
        <v>0.23684588522954772</v>
      </c>
      <c r="AQ92" s="259">
        <f t="shared" si="21"/>
        <v>0.23784588522954772</v>
      </c>
      <c r="AR92" s="259">
        <f t="shared" si="21"/>
        <v>0.23884588522954772</v>
      </c>
      <c r="AS92" s="259">
        <f t="shared" si="21"/>
        <v>0.23984588522954772</v>
      </c>
      <c r="AT92" s="259">
        <f t="shared" si="21"/>
        <v>0.24084588522954772</v>
      </c>
      <c r="AU92" s="259">
        <f t="shared" si="21"/>
        <v>0.24184588522954772</v>
      </c>
      <c r="AV92" s="259">
        <f t="shared" si="21"/>
        <v>0.24284588522954773</v>
      </c>
      <c r="AW92" s="259">
        <f t="shared" si="21"/>
        <v>0.24384588522954773</v>
      </c>
      <c r="AX92" s="259">
        <f t="shared" si="21"/>
        <v>0.24484588522954773</v>
      </c>
      <c r="AY92" s="259">
        <f t="shared" si="21"/>
        <v>0.24584588522954773</v>
      </c>
      <c r="AZ92" s="259">
        <f t="shared" si="21"/>
        <v>0.24684588522954773</v>
      </c>
      <c r="BA92" s="259">
        <f t="shared" si="21"/>
        <v>0.24784588522954773</v>
      </c>
      <c r="BB92" s="259">
        <f t="shared" si="21"/>
        <v>0.24884588522954773</v>
      </c>
      <c r="BC92" s="259">
        <f t="shared" si="21"/>
        <v>0.24984588522954773</v>
      </c>
      <c r="BD92" s="2039" t="str">
        <f t="shared" si="18"/>
        <v>qIM</v>
      </c>
      <c r="BH92" s="1509" t="s">
        <v>1987</v>
      </c>
      <c r="BI92" s="2499"/>
      <c r="BJ92" s="2499"/>
      <c r="BK92" s="2499"/>
      <c r="BL92" s="2499"/>
      <c r="BM92" s="2499"/>
      <c r="BN92" s="2499"/>
      <c r="BO92" s="2499"/>
    </row>
    <row r="93" spans="4:77" ht="17.399999999999999">
      <c r="F93" s="778"/>
      <c r="G93" s="778"/>
      <c r="H93" s="1440"/>
      <c r="I93" s="34"/>
      <c r="J93" s="34"/>
      <c r="K93" s="34"/>
      <c r="L93" s="34"/>
      <c r="M93" s="34"/>
      <c r="N93" s="34"/>
      <c r="O93" s="82"/>
      <c r="P93" s="230"/>
      <c r="Q93" s="209"/>
      <c r="R93" s="209"/>
      <c r="S93" s="209"/>
      <c r="T93" s="209"/>
      <c r="U93" s="230"/>
      <c r="V93" s="230"/>
      <c r="W93" s="230"/>
      <c r="X93" s="230"/>
      <c r="Y93" s="230"/>
      <c r="Z93" s="230"/>
      <c r="AA93" s="230"/>
      <c r="AB93" s="230"/>
      <c r="AC93" s="230"/>
      <c r="AD93" s="230"/>
      <c r="AE93" s="230"/>
      <c r="AF93" s="230"/>
      <c r="AG93" s="230"/>
      <c r="AH93" s="230"/>
      <c r="AI93" s="230"/>
      <c r="AK93" s="256"/>
      <c r="AL93" s="2566" t="s">
        <v>537</v>
      </c>
      <c r="AM93" s="259">
        <f>AM29</f>
        <v>6.2657301553075972E-2</v>
      </c>
      <c r="AN93" s="259">
        <f t="shared" ref="AN93:BC93" si="22">AN29</f>
        <v>6.413628040928876E-2</v>
      </c>
      <c r="AO93" s="259">
        <f t="shared" si="22"/>
        <v>6.4875769837395153E-2</v>
      </c>
      <c r="AP93" s="259">
        <f t="shared" si="22"/>
        <v>6.524551455144835E-2</v>
      </c>
      <c r="AQ93" s="259">
        <f t="shared" si="22"/>
        <v>6.5430386908474941E-2</v>
      </c>
      <c r="AR93" s="259">
        <f t="shared" si="22"/>
        <v>6.552282308698823E-2</v>
      </c>
      <c r="AS93" s="259">
        <f t="shared" si="22"/>
        <v>6.5569041176244874E-2</v>
      </c>
      <c r="AT93" s="259">
        <f t="shared" si="22"/>
        <v>6.5592150220873197E-2</v>
      </c>
      <c r="AU93" s="259">
        <f t="shared" si="22"/>
        <v>6.5603704743187358E-2</v>
      </c>
      <c r="AV93" s="259">
        <f t="shared" si="22"/>
        <v>6.5609482004344438E-2</v>
      </c>
      <c r="AW93" s="259">
        <f t="shared" si="22"/>
        <v>6.5612370634922978E-2</v>
      </c>
      <c r="AX93" s="259">
        <f t="shared" si="22"/>
        <v>6.5613814950212249E-2</v>
      </c>
      <c r="AY93" s="259">
        <f t="shared" si="22"/>
        <v>6.5614537107856891E-2</v>
      </c>
      <c r="AZ93" s="259">
        <f t="shared" si="22"/>
        <v>6.5614898186679205E-2</v>
      </c>
      <c r="BA93" s="259">
        <f t="shared" si="22"/>
        <v>6.5615078726090362E-2</v>
      </c>
      <c r="BB93" s="259">
        <f t="shared" si="22"/>
        <v>6.5615168995795947E-2</v>
      </c>
      <c r="BC93" s="259">
        <f t="shared" si="22"/>
        <v>6.5615214130648747E-2</v>
      </c>
      <c r="BD93" s="2039" t="str">
        <f t="shared" si="18"/>
        <v>n1</v>
      </c>
      <c r="BH93" s="1509" t="s">
        <v>1988</v>
      </c>
      <c r="BI93" s="2499"/>
      <c r="BJ93" s="2499"/>
      <c r="BK93" s="2499"/>
      <c r="BL93" s="2499"/>
      <c r="BM93" s="2499"/>
      <c r="BN93" s="2499"/>
      <c r="BO93" s="2499"/>
    </row>
    <row r="94" spans="4:77" ht="17.399999999999999">
      <c r="D94" s="1444"/>
      <c r="E94" s="778"/>
      <c r="F94" s="778"/>
      <c r="G94" s="778"/>
      <c r="H94" s="1440"/>
      <c r="I94" s="85"/>
      <c r="J94" s="240"/>
      <c r="K94" s="34"/>
      <c r="L94" s="34"/>
      <c r="M94" s="34"/>
      <c r="N94" s="34"/>
      <c r="O94" s="82"/>
      <c r="P94" s="241"/>
      <c r="S94" s="241"/>
      <c r="T94" s="241"/>
      <c r="U94" s="241"/>
      <c r="V94" s="241"/>
      <c r="W94" s="241"/>
      <c r="X94" s="241"/>
      <c r="Y94" s="241"/>
      <c r="Z94" s="241"/>
      <c r="AA94" s="241"/>
      <c r="AB94" s="241"/>
      <c r="AC94" s="241"/>
      <c r="AD94" s="241"/>
      <c r="AE94" s="241"/>
      <c r="AI94" s="241"/>
      <c r="AK94" s="374"/>
      <c r="AL94" s="2567" t="s">
        <v>540</v>
      </c>
      <c r="AM94" s="2577">
        <f>AM30</f>
        <v>6.264383228631655E-2</v>
      </c>
      <c r="AN94" s="2577">
        <f t="shared" ref="AN94:BC94" si="23">AN30</f>
        <v>6.5175930666389853E-2</v>
      </c>
      <c r="AO94" s="2577">
        <f t="shared" si="23"/>
        <v>6.6948399532441166E-2</v>
      </c>
      <c r="AP94" s="2577">
        <f t="shared" si="23"/>
        <v>6.818912773867708E-2</v>
      </c>
      <c r="AQ94" s="2577">
        <f t="shared" si="23"/>
        <v>6.9057637483042222E-2</v>
      </c>
      <c r="AR94" s="2577">
        <f t="shared" si="23"/>
        <v>6.9665594304097828E-2</v>
      </c>
      <c r="AS94" s="2577">
        <f t="shared" si="23"/>
        <v>7.0091164078836754E-2</v>
      </c>
      <c r="AT94" s="2577">
        <f t="shared" si="23"/>
        <v>7.0389062921154003E-2</v>
      </c>
      <c r="AU94" s="2577">
        <f t="shared" si="23"/>
        <v>7.059759211077607E-2</v>
      </c>
      <c r="AV94" s="2577">
        <f t="shared" si="23"/>
        <v>7.0743562543511523E-2</v>
      </c>
      <c r="AW94" s="2577">
        <f t="shared" si="23"/>
        <v>7.0845741846426336E-2</v>
      </c>
      <c r="AX94" s="2577">
        <f t="shared" si="23"/>
        <v>7.0917267358466707E-2</v>
      </c>
      <c r="AY94" s="2577">
        <f t="shared" si="23"/>
        <v>7.0967335216894967E-2</v>
      </c>
      <c r="AZ94" s="2577">
        <f t="shared" si="23"/>
        <v>7.1002382717794743E-2</v>
      </c>
      <c r="BA94" s="2577">
        <f t="shared" si="23"/>
        <v>7.1026915968424587E-2</v>
      </c>
      <c r="BB94" s="2577">
        <f t="shared" si="23"/>
        <v>7.1044089243865474E-2</v>
      </c>
      <c r="BC94" s="2577">
        <f t="shared" si="23"/>
        <v>7.10561105366741E-2</v>
      </c>
      <c r="BD94" s="2039" t="str">
        <f t="shared" si="18"/>
        <v>n2</v>
      </c>
      <c r="BH94" s="1509" t="s">
        <v>1989</v>
      </c>
      <c r="BI94" s="2499"/>
      <c r="BJ94" s="2499"/>
      <c r="BK94" s="2499"/>
      <c r="BL94" s="2499"/>
      <c r="BM94" s="2499"/>
      <c r="BN94" s="2499"/>
      <c r="BO94" s="2499"/>
    </row>
    <row r="95" spans="4:77" ht="15.6">
      <c r="D95" s="1445"/>
      <c r="E95" s="778"/>
      <c r="F95" s="778"/>
      <c r="G95" s="824"/>
      <c r="H95" s="1440"/>
      <c r="I95" s="34"/>
      <c r="J95" s="34"/>
      <c r="K95" s="34"/>
      <c r="L95" s="34"/>
      <c r="M95" s="34"/>
      <c r="N95" s="34"/>
      <c r="O95" s="82"/>
      <c r="P95" s="230"/>
      <c r="Q95" s="230"/>
      <c r="R95" s="230"/>
      <c r="S95" s="230"/>
      <c r="T95" s="230"/>
      <c r="U95" s="230"/>
      <c r="V95" s="230"/>
      <c r="W95" s="230"/>
      <c r="X95" s="230"/>
      <c r="Y95" s="230"/>
      <c r="Z95" s="230"/>
      <c r="AA95" s="230"/>
      <c r="AB95" s="230"/>
      <c r="AC95" s="230"/>
      <c r="AD95" s="230"/>
      <c r="AE95" s="230"/>
      <c r="AF95" s="230"/>
      <c r="AK95" s="259"/>
      <c r="AL95" s="2568" t="s">
        <v>453</v>
      </c>
      <c r="AM95" s="259">
        <f>AM10</f>
        <v>0.52932881874065285</v>
      </c>
      <c r="AN95" s="259">
        <f t="shared" ref="AN95:BC95" si="24">AN10</f>
        <v>0.53032881874065285</v>
      </c>
      <c r="AO95" s="259">
        <f t="shared" si="24"/>
        <v>0.53132881874065285</v>
      </c>
      <c r="AP95" s="259">
        <f t="shared" si="24"/>
        <v>0.53232881874065285</v>
      </c>
      <c r="AQ95" s="259">
        <f t="shared" si="24"/>
        <v>0.53332881874065285</v>
      </c>
      <c r="AR95" s="259">
        <f t="shared" si="24"/>
        <v>0.53432881874065286</v>
      </c>
      <c r="AS95" s="259">
        <f t="shared" si="24"/>
        <v>0.53532881874065286</v>
      </c>
      <c r="AT95" s="259">
        <f t="shared" si="24"/>
        <v>0.53632881874065286</v>
      </c>
      <c r="AU95" s="259">
        <f t="shared" si="24"/>
        <v>0.53732881874065286</v>
      </c>
      <c r="AV95" s="259">
        <f t="shared" si="24"/>
        <v>0.53832881874065286</v>
      </c>
      <c r="AW95" s="259">
        <f t="shared" si="24"/>
        <v>0.53932881874065286</v>
      </c>
      <c r="AX95" s="259">
        <f t="shared" si="24"/>
        <v>0.54032881874065286</v>
      </c>
      <c r="AY95" s="259">
        <f t="shared" si="24"/>
        <v>0.54132881874065286</v>
      </c>
      <c r="AZ95" s="259">
        <f t="shared" si="24"/>
        <v>0.54232881874065286</v>
      </c>
      <c r="BA95" s="259">
        <f t="shared" si="24"/>
        <v>0.54332881874065286</v>
      </c>
      <c r="BB95" s="259">
        <f t="shared" si="24"/>
        <v>0.54432881874065286</v>
      </c>
      <c r="BC95" s="259">
        <f t="shared" si="24"/>
        <v>0.54532881874065287</v>
      </c>
      <c r="BD95" s="2039" t="str">
        <f t="shared" si="18"/>
        <v>aS</v>
      </c>
      <c r="BN95" s="2499"/>
      <c r="BO95" s="2499"/>
    </row>
    <row r="96" spans="4:77" ht="17.25" customHeight="1">
      <c r="D96" s="1149"/>
      <c r="E96" s="765"/>
      <c r="F96" s="765"/>
      <c r="G96" s="824"/>
      <c r="H96" s="1455"/>
      <c r="I96" s="34"/>
      <c r="J96" s="34"/>
      <c r="K96" s="240"/>
      <c r="L96" s="34"/>
      <c r="M96" s="34"/>
      <c r="N96" s="34"/>
      <c r="O96" s="82"/>
      <c r="P96" s="209"/>
      <c r="Q96" s="209"/>
      <c r="R96" s="209"/>
      <c r="S96" s="209"/>
      <c r="T96" s="209"/>
      <c r="U96" s="209"/>
      <c r="V96" s="209"/>
      <c r="W96" s="209"/>
      <c r="X96" s="209"/>
      <c r="Y96" s="209"/>
      <c r="Z96" s="209"/>
      <c r="AA96" s="209"/>
      <c r="AB96" s="209"/>
      <c r="AC96" s="209"/>
      <c r="AD96" s="209"/>
      <c r="AE96" s="209"/>
      <c r="AF96" s="209"/>
      <c r="AG96" s="209"/>
      <c r="AH96" s="209"/>
      <c r="AI96" s="209"/>
      <c r="AK96" s="2124"/>
      <c r="AL96" s="2038"/>
      <c r="AM96" s="2124"/>
      <c r="AN96" s="2124"/>
      <c r="AO96" s="2124"/>
      <c r="AP96" s="2124"/>
      <c r="AQ96" s="2124"/>
      <c r="AR96" s="2124"/>
      <c r="AS96" s="2124"/>
      <c r="AT96" s="2124"/>
      <c r="AU96" s="2124"/>
      <c r="AV96" s="2124"/>
      <c r="AW96" s="2124"/>
      <c r="AX96" s="2124"/>
      <c r="AY96" s="2124"/>
      <c r="AZ96" s="2124"/>
      <c r="BA96" s="2124"/>
      <c r="BB96" s="2124"/>
      <c r="BC96" s="2124"/>
      <c r="BD96" s="2039"/>
      <c r="BH96" s="1509" t="s">
        <v>1969</v>
      </c>
      <c r="BI96" s="2499"/>
      <c r="BJ96" s="2499"/>
      <c r="BK96" s="2499"/>
      <c r="BL96" s="2499"/>
      <c r="BM96" s="2499"/>
      <c r="BN96" s="2499"/>
      <c r="BO96" s="2499"/>
    </row>
    <row r="97" spans="1:71" ht="15.75" customHeight="1" thickBot="1">
      <c r="D97" s="1446"/>
      <c r="E97" s="557"/>
      <c r="F97" s="557"/>
      <c r="G97" s="1647"/>
      <c r="H97" s="1441"/>
      <c r="I97" s="240"/>
      <c r="J97" s="240"/>
      <c r="K97" s="240"/>
      <c r="L97" s="240"/>
      <c r="M97" s="240"/>
      <c r="N97" s="240"/>
      <c r="O97" s="82">
        <v>1</v>
      </c>
      <c r="P97" s="256">
        <v>2</v>
      </c>
      <c r="Q97" s="256">
        <v>3</v>
      </c>
      <c r="R97" s="256">
        <v>4</v>
      </c>
      <c r="S97" s="256">
        <v>5</v>
      </c>
      <c r="T97" s="256">
        <v>6</v>
      </c>
      <c r="U97" s="256">
        <v>7</v>
      </c>
      <c r="V97" s="256">
        <v>8</v>
      </c>
      <c r="W97" s="256">
        <v>9</v>
      </c>
      <c r="X97" s="256">
        <v>10</v>
      </c>
      <c r="Y97" s="256">
        <v>11</v>
      </c>
      <c r="Z97" s="256">
        <v>12</v>
      </c>
      <c r="AA97" s="256">
        <v>13</v>
      </c>
      <c r="AB97" s="256">
        <v>14</v>
      </c>
      <c r="AC97" s="256">
        <v>15</v>
      </c>
      <c r="AD97" s="256">
        <v>16</v>
      </c>
      <c r="AE97" s="256">
        <v>17</v>
      </c>
      <c r="AF97" s="256">
        <v>18</v>
      </c>
      <c r="AG97" s="256">
        <v>19</v>
      </c>
      <c r="AH97" s="256">
        <v>20</v>
      </c>
      <c r="AI97" s="256">
        <v>21</v>
      </c>
      <c r="AJ97" s="256">
        <v>22</v>
      </c>
      <c r="AK97" s="256">
        <v>23</v>
      </c>
      <c r="AL97" s="256">
        <v>24</v>
      </c>
      <c r="AM97" s="256">
        <v>25</v>
      </c>
      <c r="AN97" s="256">
        <v>26</v>
      </c>
      <c r="AO97" s="256">
        <v>27</v>
      </c>
      <c r="AP97" s="256">
        <v>28</v>
      </c>
      <c r="AQ97" s="256">
        <v>29</v>
      </c>
      <c r="AR97" s="256">
        <v>30</v>
      </c>
      <c r="AS97" s="256">
        <v>31</v>
      </c>
      <c r="AT97" s="256">
        <v>32</v>
      </c>
      <c r="AU97" s="256">
        <v>33</v>
      </c>
      <c r="AV97" s="256">
        <v>34</v>
      </c>
      <c r="AW97" s="256">
        <v>35</v>
      </c>
      <c r="AX97" s="256">
        <v>36</v>
      </c>
      <c r="AY97" s="256">
        <v>37</v>
      </c>
      <c r="AZ97" s="256">
        <v>38</v>
      </c>
      <c r="BA97" s="256">
        <v>39</v>
      </c>
      <c r="BB97" s="256">
        <v>40</v>
      </c>
      <c r="BC97" s="256">
        <v>41</v>
      </c>
      <c r="BD97" s="2039"/>
      <c r="BH97" s="1509" t="s">
        <v>1990</v>
      </c>
      <c r="BI97" s="2499"/>
      <c r="BJ97" s="2499"/>
      <c r="BK97" s="2499"/>
      <c r="BL97" s="2499"/>
      <c r="BM97" s="2499"/>
      <c r="BN97" s="2499"/>
      <c r="BO97" s="2499"/>
    </row>
    <row r="98" spans="1:71" ht="17.399999999999999">
      <c r="A98" s="24"/>
      <c r="B98" s="24"/>
      <c r="C98" s="24"/>
      <c r="D98" s="24"/>
      <c r="E98" s="24"/>
      <c r="F98" s="24"/>
      <c r="G98" s="55"/>
      <c r="H98" s="232"/>
      <c r="I98" s="1996" t="s">
        <v>960</v>
      </c>
      <c r="J98" s="1997"/>
      <c r="K98" s="1997"/>
      <c r="L98" s="287"/>
      <c r="M98" s="287"/>
      <c r="N98" s="1454"/>
      <c r="O98" s="2133" t="s">
        <v>889</v>
      </c>
      <c r="P98" s="48">
        <v>1996</v>
      </c>
      <c r="Q98" s="48">
        <v>1997</v>
      </c>
      <c r="R98" s="48">
        <v>1998</v>
      </c>
      <c r="S98" s="48">
        <v>1999</v>
      </c>
      <c r="T98" s="48">
        <v>2000</v>
      </c>
      <c r="U98" s="48">
        <v>2001</v>
      </c>
      <c r="V98" s="48">
        <v>2002</v>
      </c>
      <c r="W98" s="48">
        <v>2003</v>
      </c>
      <c r="X98" s="48">
        <v>2004</v>
      </c>
      <c r="Y98" s="48">
        <v>2005</v>
      </c>
      <c r="Z98" s="48">
        <v>2006</v>
      </c>
      <c r="AA98" s="48">
        <v>2007</v>
      </c>
      <c r="AB98" s="48">
        <v>2008</v>
      </c>
      <c r="AC98" s="48">
        <v>2009</v>
      </c>
      <c r="AD98" s="48">
        <v>2010</v>
      </c>
      <c r="AE98" s="48">
        <v>2011</v>
      </c>
      <c r="AF98" s="48">
        <v>2012</v>
      </c>
      <c r="AG98" s="48">
        <v>2013</v>
      </c>
      <c r="AH98" s="48">
        <v>2014</v>
      </c>
      <c r="AI98" s="48">
        <v>2015</v>
      </c>
      <c r="AJ98" s="48">
        <v>2016</v>
      </c>
      <c r="AK98" s="48">
        <v>2017</v>
      </c>
      <c r="AL98" s="48">
        <v>2018</v>
      </c>
      <c r="AM98" s="48">
        <v>2019</v>
      </c>
      <c r="AN98" s="48">
        <v>2020</v>
      </c>
      <c r="AO98" s="48">
        <v>2021</v>
      </c>
      <c r="AP98" s="48">
        <v>2022</v>
      </c>
      <c r="AQ98" s="48">
        <v>2023</v>
      </c>
      <c r="AR98" s="48">
        <v>2024</v>
      </c>
      <c r="AS98" s="48">
        <v>2025</v>
      </c>
      <c r="AT98" s="48">
        <v>2026</v>
      </c>
      <c r="AU98" s="48">
        <v>2027</v>
      </c>
      <c r="AV98" s="48">
        <v>2028</v>
      </c>
      <c r="AW98" s="48">
        <v>2029</v>
      </c>
      <c r="AX98" s="48">
        <v>2030</v>
      </c>
      <c r="AY98" s="48">
        <v>2031</v>
      </c>
      <c r="AZ98" s="48">
        <v>2032</v>
      </c>
      <c r="BA98" s="48">
        <v>2033</v>
      </c>
      <c r="BB98" s="48">
        <v>2034</v>
      </c>
      <c r="BC98" s="48">
        <v>2035</v>
      </c>
      <c r="BD98" s="2039"/>
      <c r="BH98" s="1509" t="s">
        <v>1231</v>
      </c>
      <c r="BI98" s="2499"/>
      <c r="BJ98" s="2499"/>
      <c r="BK98" s="2499"/>
      <c r="BL98" s="2499"/>
      <c r="BM98" s="2499"/>
      <c r="BN98" s="2499"/>
    </row>
    <row r="99" spans="1:71" ht="17.399999999999999">
      <c r="A99" s="1999"/>
      <c r="B99" s="1631"/>
      <c r="C99" s="55"/>
      <c r="D99" s="55"/>
      <c r="E99" s="24"/>
      <c r="F99" s="24"/>
      <c r="G99" s="1452" t="s">
        <v>660</v>
      </c>
      <c r="H99" s="232">
        <v>6</v>
      </c>
      <c r="I99" s="2570" t="s">
        <v>1574</v>
      </c>
      <c r="J99" s="2571" t="s">
        <v>2076</v>
      </c>
      <c r="K99" s="2571"/>
      <c r="L99" s="2571" t="s">
        <v>2270</v>
      </c>
      <c r="M99" s="2571"/>
      <c r="N99" s="2572"/>
      <c r="O99" s="1430">
        <f>ОТЧЁТ!U79</f>
        <v>266.97399999999999</v>
      </c>
      <c r="P99" s="249">
        <f>ОТЧЁТ!V195</f>
        <v>218.65170599999999</v>
      </c>
      <c r="Q99" s="249">
        <f>ОТЧЁТ!W195</f>
        <v>207.71912069999999</v>
      </c>
      <c r="R99" s="249">
        <f>ОТЧЁТ!X195</f>
        <v>182.79282621599998</v>
      </c>
      <c r="S99" s="249">
        <f>ОТЧЁТ!Y195</f>
        <v>191.9324675268</v>
      </c>
      <c r="T99" s="249">
        <f>ОТЧЁТ!Z195</f>
        <v>225.32871687646318</v>
      </c>
      <c r="U99" s="249">
        <f>ОТЧЁТ!AA195</f>
        <v>247.86158856410952</v>
      </c>
      <c r="V99" s="249">
        <f>ОТЧЁТ!AB195</f>
        <v>254.80171304390458</v>
      </c>
      <c r="W99" s="249">
        <f>ОТЧЁТ!AC195</f>
        <v>286.65192717439265</v>
      </c>
      <c r="X99" s="249">
        <f>ОТЧЁТ!AD195</f>
        <v>325.92324119728443</v>
      </c>
      <c r="Y99" s="249">
        <f>ОТЧЁТ!AE195</f>
        <v>359.16741179940749</v>
      </c>
      <c r="Z99" s="249">
        <f>ОТЧЁТ!AF195</f>
        <v>419.14836956990854</v>
      </c>
      <c r="AA99" s="249">
        <f>ОТЧЁТ!AG195</f>
        <v>514.2950494622778</v>
      </c>
      <c r="AB99" s="249">
        <f>ОТЧЁТ!AH195</f>
        <v>563.15307916119423</v>
      </c>
      <c r="AC99" s="249">
        <f>ОТЧЁТ!AI195</f>
        <v>487.12741347443301</v>
      </c>
      <c r="AD99" s="249">
        <f>ОТЧЁТ!AJ195</f>
        <v>517.81644052332229</v>
      </c>
      <c r="AE99" s="249">
        <f>ОТЧЁТ!AK195</f>
        <v>573.74061609984119</v>
      </c>
      <c r="AF99" s="249">
        <f>ОТЧЁТ!AL195</f>
        <v>612.75497799463039</v>
      </c>
      <c r="AG99" s="249">
        <f>ОТЧЁТ!AM195</f>
        <v>617.65701781858741</v>
      </c>
      <c r="AH99" s="249">
        <f>ОТЧЁТ!AN195</f>
        <v>608.39216255130862</v>
      </c>
      <c r="AI99" s="249">
        <f>ОТЧЁТ!AO195</f>
        <v>546.94455413362641</v>
      </c>
      <c r="AJ99" s="249">
        <f>ОТЧЁТ!AP195</f>
        <v>545.85066502535915</v>
      </c>
      <c r="AK99" s="249">
        <f>ОТЧЁТ!AQ195</f>
        <v>572.05149694657644</v>
      </c>
      <c r="AL99" s="249">
        <f>ОТЧЁТ!AR195</f>
        <v>596.64971131527921</v>
      </c>
      <c r="AM99" s="249">
        <f ca="1">0.156*AM88-299.7</f>
        <v>628.00541669800305</v>
      </c>
      <c r="AN99" s="249">
        <f t="shared" ref="AN99:BC99" ca="1" si="25">0.156*AN88-299.7</f>
        <v>653.33632938239043</v>
      </c>
      <c r="AO99" s="249">
        <f t="shared" ca="1" si="25"/>
        <v>696.7576153240384</v>
      </c>
      <c r="AP99" s="249">
        <f t="shared" ca="1" si="25"/>
        <v>731.85649943448288</v>
      </c>
      <c r="AQ99" s="249">
        <f t="shared" ca="1" si="25"/>
        <v>766.50187452867749</v>
      </c>
      <c r="AR99" s="249">
        <f t="shared" ca="1" si="25"/>
        <v>801.51909210335725</v>
      </c>
      <c r="AS99" s="249">
        <f t="shared" ca="1" si="25"/>
        <v>837.44724258142992</v>
      </c>
      <c r="AT99" s="249">
        <f t="shared" ca="1" si="25"/>
        <v>874.65128583892897</v>
      </c>
      <c r="AU99" s="249">
        <f t="shared" ca="1" si="25"/>
        <v>913.39094360972149</v>
      </c>
      <c r="AV99" s="249">
        <f t="shared" ca="1" si="25"/>
        <v>953.86307548107766</v>
      </c>
      <c r="AW99" s="249">
        <f t="shared" ca="1" si="25"/>
        <v>996.22778840728051</v>
      </c>
      <c r="AX99" s="249">
        <f t="shared" ca="1" si="25"/>
        <v>1040.6245652048178</v>
      </c>
      <c r="AY99" s="249">
        <f t="shared" ca="1" si="25"/>
        <v>1087.1822680012208</v>
      </c>
      <c r="AZ99" s="249">
        <f t="shared" ca="1" si="25"/>
        <v>1136.0253831947407</v>
      </c>
      <c r="BA99" s="249">
        <f t="shared" ca="1" si="25"/>
        <v>1187.2779610337795</v>
      </c>
      <c r="BB99" s="249">
        <f t="shared" ca="1" si="25"/>
        <v>1241.0661424988336</v>
      </c>
      <c r="BC99" s="249">
        <f t="shared" ca="1" si="25"/>
        <v>1297.5198222028268</v>
      </c>
      <c r="BD99" s="2039" t="str">
        <f>G99</f>
        <v>INS</v>
      </c>
      <c r="BH99" s="1509" t="s">
        <v>1991</v>
      </c>
      <c r="BI99" s="2499"/>
      <c r="BJ99" s="2499"/>
      <c r="BK99" s="2499"/>
      <c r="BL99" s="2499"/>
      <c r="BM99" s="2499"/>
      <c r="BN99" s="2499"/>
    </row>
    <row r="100" spans="1:71" ht="18" thickBot="1">
      <c r="G100" s="1452"/>
      <c r="H100" s="232"/>
      <c r="I100" s="2570"/>
      <c r="J100" s="2571"/>
      <c r="K100" s="2571"/>
      <c r="L100" s="2571"/>
      <c r="M100" s="2571"/>
      <c r="N100" s="2572"/>
      <c r="O100" s="1430"/>
      <c r="P100" s="248"/>
      <c r="Q100" s="248"/>
      <c r="R100" s="248"/>
      <c r="S100" s="248"/>
      <c r="T100" s="248"/>
      <c r="U100" s="248"/>
      <c r="V100" s="248"/>
      <c r="W100" s="248"/>
      <c r="X100" s="248"/>
      <c r="Y100" s="248"/>
      <c r="Z100" s="248"/>
      <c r="AA100" s="248"/>
      <c r="AB100" s="248"/>
      <c r="AC100" s="248"/>
      <c r="AD100" s="248"/>
      <c r="AE100" s="248"/>
      <c r="AF100" s="248"/>
      <c r="AG100" s="248"/>
      <c r="AH100" s="248"/>
      <c r="AI100" s="248"/>
      <c r="AJ100" s="248"/>
      <c r="AK100" s="248"/>
      <c r="AL100" s="248"/>
      <c r="AM100" s="247"/>
      <c r="AN100" s="247"/>
      <c r="AO100" s="247"/>
      <c r="AP100" s="247"/>
      <c r="AQ100" s="247"/>
      <c r="AR100" s="247"/>
      <c r="AS100" s="247"/>
      <c r="AT100" s="247"/>
      <c r="AU100" s="247"/>
      <c r="AV100" s="247"/>
      <c r="AW100" s="247"/>
      <c r="AX100" s="247"/>
      <c r="AY100" s="247"/>
      <c r="AZ100" s="247"/>
      <c r="BA100" s="247"/>
      <c r="BB100" s="247"/>
      <c r="BC100" s="247"/>
      <c r="BD100" s="2039">
        <f>G100</f>
        <v>0</v>
      </c>
      <c r="BH100" s="1509"/>
      <c r="BI100" s="2499"/>
      <c r="BJ100" s="2499"/>
      <c r="BK100" s="2499"/>
      <c r="BL100" s="2499"/>
      <c r="BM100" s="2499"/>
      <c r="BN100" s="2499"/>
    </row>
    <row r="101" spans="1:71" ht="16.2" thickBot="1">
      <c r="G101" s="1452"/>
      <c r="H101" s="2134"/>
      <c r="I101" s="1996" t="s">
        <v>2255</v>
      </c>
      <c r="J101" s="1997"/>
      <c r="K101" s="1997"/>
      <c r="L101" s="287"/>
      <c r="M101" s="287"/>
      <c r="N101" s="1454"/>
      <c r="O101" s="2684" t="s">
        <v>889</v>
      </c>
      <c r="BD101" s="2039"/>
    </row>
    <row r="102" spans="1:71" ht="17.399999999999999">
      <c r="A102" s="55" t="s">
        <v>953</v>
      </c>
      <c r="B102" s="55"/>
      <c r="C102" s="55"/>
      <c r="D102" s="55"/>
      <c r="E102" s="1631"/>
      <c r="F102" s="1631"/>
      <c r="G102" s="1452" t="s">
        <v>439</v>
      </c>
      <c r="H102" s="232">
        <v>4</v>
      </c>
      <c r="I102" s="2570" t="s">
        <v>1712</v>
      </c>
      <c r="J102" s="2571" t="s">
        <v>1970</v>
      </c>
      <c r="K102" s="2571"/>
      <c r="L102" s="2571" t="s">
        <v>2211</v>
      </c>
      <c r="M102" s="2571"/>
      <c r="N102" s="2572"/>
      <c r="O102" s="1430">
        <f>ОТЧЁТ!U79</f>
        <v>266.97399999999999</v>
      </c>
      <c r="P102" s="249">
        <f>ОТЧЁТ!V79</f>
        <v>375.95800000000003</v>
      </c>
      <c r="Q102" s="249">
        <f>ОТЧЁТ!W79</f>
        <v>408.79700000000003</v>
      </c>
      <c r="R102" s="249">
        <f>ОТЧЁТ!X79</f>
        <v>407.08600000000001</v>
      </c>
      <c r="S102" s="249">
        <f>ОТЧЁТ!Y79</f>
        <v>670.43899999999996</v>
      </c>
      <c r="T102" s="249">
        <f>ОТЧЁТ!Z79</f>
        <v>1165.2339999999999</v>
      </c>
      <c r="U102" s="249">
        <f>ОТЧЁТ!AA79</f>
        <v>1504.7</v>
      </c>
      <c r="V102" s="249">
        <f>ОТЧЁТ!AB79</f>
        <v>1762.4</v>
      </c>
      <c r="W102" s="249">
        <f>ОТЧЁТ!AC79</f>
        <v>2186.4</v>
      </c>
      <c r="X102" s="249">
        <f>ОТЧЁТ!AD79</f>
        <v>2865</v>
      </c>
      <c r="Y102" s="249">
        <f>ОТЧЁТ!AE79</f>
        <v>3611.1</v>
      </c>
      <c r="Z102" s="249">
        <f>ОТЧЁТ!AF79</f>
        <v>4730</v>
      </c>
      <c r="AA102" s="249">
        <f>ОТЧЁТ!AG79</f>
        <v>6716.2219999999998</v>
      </c>
      <c r="AB102" s="249">
        <f>ОТЧЁТ!AH79</f>
        <v>8781.616</v>
      </c>
      <c r="AC102" s="249">
        <f>ОТЧЁТ!AI79</f>
        <v>7976.0129999999999</v>
      </c>
      <c r="AD102" s="249">
        <f>ОТЧЁТ!AJ79</f>
        <v>9152.1</v>
      </c>
      <c r="AE102" s="249">
        <f>ОТЧЁТ!AK79</f>
        <v>11035.652</v>
      </c>
      <c r="AF102" s="249">
        <f>ОТЧЁТ!AL79</f>
        <v>12586.090400000001</v>
      </c>
      <c r="AG102" s="249">
        <f>ОТЧЁТ!AM79</f>
        <v>13450.2382</v>
      </c>
      <c r="AH102" s="249">
        <f>ОТЧЁТ!AN79</f>
        <v>13902.6453</v>
      </c>
      <c r="AI102" s="249">
        <f>ОТЧЁТ!AO79</f>
        <v>13897.2</v>
      </c>
      <c r="AJ102" s="249">
        <f>ОТЧЁТ!AP79</f>
        <v>14748.8</v>
      </c>
      <c r="AK102" s="249">
        <f>ОТЧЁТ!AQ79</f>
        <v>16027.3</v>
      </c>
      <c r="AL102" s="249">
        <f>ОТЧЁТ!AR79</f>
        <v>17595</v>
      </c>
      <c r="AM102" s="961">
        <f ca="1">AM99*AM24</f>
        <v>19198.018613235323</v>
      </c>
      <c r="AN102" s="961">
        <f t="shared" ref="AN102:BC102" ca="1" si="26">AN99*AN24</f>
        <v>20907.152382759548</v>
      </c>
      <c r="AO102" s="961">
        <f t="shared" ca="1" si="26"/>
        <v>23966.947585200789</v>
      </c>
      <c r="AP102" s="961">
        <f t="shared" ca="1" si="26"/>
        <v>26693.673842929325</v>
      </c>
      <c r="AQ102" s="961">
        <f t="shared" ca="1" si="26"/>
        <v>29628.220696331431</v>
      </c>
      <c r="AR102" s="961">
        <f t="shared" ca="1" si="26"/>
        <v>32816.359288204039</v>
      </c>
      <c r="AS102" s="961">
        <f t="shared" ca="1" si="26"/>
        <v>36300.021388694469</v>
      </c>
      <c r="AT102" s="961">
        <f t="shared" ca="1" si="26"/>
        <v>40119.853577359325</v>
      </c>
      <c r="AU102" s="961">
        <f t="shared" ca="1" si="26"/>
        <v>44317.014972890371</v>
      </c>
      <c r="AV102" s="961">
        <f t="shared" ca="1" si="26"/>
        <v>48934.491778409472</v>
      </c>
      <c r="AW102" s="961">
        <f t="shared" ca="1" si="26"/>
        <v>54018.109338652022</v>
      </c>
      <c r="AX102" s="961">
        <f t="shared" ca="1" si="26"/>
        <v>59617.36164631819</v>
      </c>
      <c r="AY102" s="961">
        <f t="shared" ca="1" si="26"/>
        <v>65786.138460181653</v>
      </c>
      <c r="AZ102" s="961">
        <f t="shared" ca="1" si="26"/>
        <v>72583.404250626743</v>
      </c>
      <c r="BA102" s="961">
        <f t="shared" ca="1" si="26"/>
        <v>80073.866348080104</v>
      </c>
      <c r="BB102" s="961">
        <f t="shared" ca="1" si="26"/>
        <v>88328.658827396532</v>
      </c>
      <c r="BC102" s="961">
        <f t="shared" ca="1" si="26"/>
        <v>97426.061772860456</v>
      </c>
      <c r="BD102" s="2039" t="str">
        <f>G102</f>
        <v>IN</v>
      </c>
      <c r="BH102" s="1509"/>
      <c r="BI102" s="2499"/>
      <c r="BJ102" s="669"/>
      <c r="BK102" s="2498" t="s">
        <v>1992</v>
      </c>
      <c r="BL102" s="669"/>
      <c r="BM102" s="669"/>
      <c r="BN102" s="669"/>
      <c r="BO102" s="669"/>
      <c r="BP102" s="669"/>
      <c r="BQ102" s="669"/>
      <c r="BR102" s="669"/>
      <c r="BS102" s="669"/>
    </row>
    <row r="103" spans="1:71" ht="17.399999999999999">
      <c r="A103" s="55" t="s">
        <v>2077</v>
      </c>
      <c r="B103" s="55"/>
      <c r="C103" s="55"/>
      <c r="D103" s="55"/>
      <c r="E103" s="1631"/>
      <c r="F103" s="1631"/>
      <c r="BH103" s="1509"/>
      <c r="BI103" s="2499"/>
      <c r="BJ103" s="2499"/>
      <c r="BK103" s="2499"/>
      <c r="BL103" s="2499"/>
      <c r="BM103" s="2499"/>
      <c r="BN103" s="2499"/>
    </row>
    <row r="104" spans="1:71" ht="17.399999999999999">
      <c r="A104" s="55" t="s">
        <v>1713</v>
      </c>
      <c r="B104" s="55"/>
      <c r="C104" s="55"/>
      <c r="D104" s="55"/>
      <c r="E104" s="1631"/>
      <c r="F104" s="1631"/>
      <c r="BH104" s="1509" t="s">
        <v>1996</v>
      </c>
      <c r="BI104" s="2499"/>
      <c r="BJ104" s="2499"/>
      <c r="BM104" s="2499"/>
      <c r="BO104" s="1509" t="s">
        <v>2008</v>
      </c>
      <c r="BP104" s="2499"/>
    </row>
    <row r="105" spans="1:71" ht="17.399999999999999">
      <c r="A105" s="55" t="s">
        <v>2078</v>
      </c>
      <c r="B105" s="55"/>
      <c r="C105" s="55"/>
      <c r="D105" s="55"/>
      <c r="E105" s="1631"/>
      <c r="F105" s="1631"/>
      <c r="G105" s="1452"/>
      <c r="H105" s="232"/>
      <c r="I105" s="2570"/>
      <c r="J105" s="2571"/>
      <c r="K105" s="2571"/>
      <c r="L105" s="2571"/>
      <c r="M105" s="2571"/>
      <c r="N105" s="2572"/>
      <c r="O105" s="1430"/>
      <c r="P105" s="248"/>
      <c r="Q105" s="248"/>
      <c r="R105" s="248"/>
      <c r="S105" s="248"/>
      <c r="T105" s="248"/>
      <c r="U105" s="248"/>
      <c r="V105" s="248"/>
      <c r="W105" s="248"/>
      <c r="X105" s="248"/>
      <c r="Y105" s="248"/>
      <c r="Z105" s="248"/>
      <c r="AA105" s="248"/>
      <c r="AB105" s="248"/>
      <c r="AC105" s="248"/>
      <c r="AD105" s="248"/>
      <c r="AE105" s="248"/>
      <c r="AF105" s="248"/>
      <c r="AG105" s="248"/>
      <c r="AH105" s="248"/>
      <c r="AI105" s="248"/>
      <c r="AJ105" s="248"/>
      <c r="AK105" s="248"/>
      <c r="AL105" s="248"/>
      <c r="AM105" s="248"/>
      <c r="AN105" s="248"/>
      <c r="AO105" s="248"/>
      <c r="AP105" s="248"/>
      <c r="AQ105" s="248"/>
      <c r="AR105" s="248"/>
      <c r="AS105" s="248"/>
      <c r="AT105" s="248"/>
      <c r="AU105" s="248"/>
      <c r="AV105" s="248"/>
      <c r="AW105" s="248"/>
      <c r="AX105" s="248"/>
      <c r="AY105" s="248"/>
      <c r="AZ105" s="248"/>
      <c r="BA105" s="248"/>
      <c r="BB105" s="248"/>
      <c r="BC105" s="248"/>
      <c r="BD105" s="2039">
        <f t="shared" ref="BD105:BD127" si="27">G105</f>
        <v>0</v>
      </c>
      <c r="BH105" s="1509" t="s">
        <v>2005</v>
      </c>
      <c r="BI105" s="2499"/>
      <c r="BJ105" s="2499"/>
      <c r="BM105" s="2499"/>
      <c r="BO105" s="1509" t="s">
        <v>2009</v>
      </c>
      <c r="BP105" s="2499"/>
    </row>
    <row r="106" spans="1:71" ht="17.399999999999999">
      <c r="A106" s="55" t="s">
        <v>2079</v>
      </c>
      <c r="B106" s="55"/>
      <c r="C106" s="55"/>
      <c r="D106" s="55"/>
      <c r="E106" s="1631"/>
      <c r="F106" s="1631"/>
      <c r="G106" s="1452" t="s">
        <v>432</v>
      </c>
      <c r="H106" s="232">
        <v>8</v>
      </c>
      <c r="I106" s="2570" t="s">
        <v>1574</v>
      </c>
      <c r="J106" s="2571" t="s">
        <v>1973</v>
      </c>
      <c r="K106" s="2571"/>
      <c r="L106" s="2571" t="s">
        <v>1973</v>
      </c>
      <c r="M106" s="2571"/>
      <c r="N106" s="2572"/>
      <c r="O106" s="2573">
        <f>ОТЧЁТ!U69</f>
        <v>719.79349999999999</v>
      </c>
      <c r="P106" s="249">
        <f>ОТЧЁТ!V69</f>
        <v>1007.827</v>
      </c>
      <c r="Q106" s="249">
        <f>ОТЧЁТ!W69</f>
        <v>1235.2137</v>
      </c>
      <c r="R106" s="249">
        <f>ОТЧЁТ!X69</f>
        <v>1462.2840000000001</v>
      </c>
      <c r="S106" s="249">
        <f>ОТЧЁТ!Y69</f>
        <v>2526.1678999999999</v>
      </c>
      <c r="T106" s="249">
        <f>ОТЧЁТ!Z69</f>
        <v>3295.2372999999998</v>
      </c>
      <c r="U106" s="249">
        <f>ОТЧЁТ!AA69</f>
        <v>4318.1211000000003</v>
      </c>
      <c r="V106" s="249">
        <f>ОТЧЁТ!AB69</f>
        <v>5409.1576999999997</v>
      </c>
      <c r="W106" s="249">
        <f>ОТЧЁТ!AC69</f>
        <v>6537.4014999999999</v>
      </c>
      <c r="X106" s="249">
        <f>ОТЧЁТ!AD69</f>
        <v>8438.4840999999997</v>
      </c>
      <c r="Y106" s="249">
        <f>ОТЧЁТ!AE69</f>
        <v>10652.8578</v>
      </c>
      <c r="Z106" s="249">
        <f>ОТЧЁТ!AF69</f>
        <v>12974.743399999999</v>
      </c>
      <c r="AA106" s="249">
        <f>ОТЧЁТ!AG69</f>
        <v>16031.739799999999</v>
      </c>
      <c r="AB106" s="249">
        <f>ОТЧЁТ!AH69</f>
        <v>19966.954699999998</v>
      </c>
      <c r="AC106" s="249">
        <f>ОТЧЁТ!AI69</f>
        <v>20986.036</v>
      </c>
      <c r="AD106" s="249">
        <f>ОТЧЁТ!AJ69</f>
        <v>23617.623</v>
      </c>
      <c r="AE106" s="249">
        <f>ОТЧЁТ!AK69</f>
        <v>29939.463500000002</v>
      </c>
      <c r="AF106" s="249">
        <f>ОТЧЁТ!AL69</f>
        <v>34492.361700000001</v>
      </c>
      <c r="AG106" s="249">
        <f>ОТЧЁТ!AM69</f>
        <v>38465.140799999994</v>
      </c>
      <c r="AH106" s="249">
        <f>ОТЧЁТ!AN69</f>
        <v>41954.83</v>
      </c>
      <c r="AI106" s="249">
        <f>ОТЧЁТ!AO69</f>
        <v>43242.32</v>
      </c>
      <c r="AJ106" s="249">
        <f>ОТЧЁТ!AP69</f>
        <v>45317.05</v>
      </c>
      <c r="AK106" s="249">
        <f>ОТЧЁТ!AQ69</f>
        <v>48135.66</v>
      </c>
      <c r="AL106" s="249">
        <f>ОТЧЁТ!AR69</f>
        <v>50851.05</v>
      </c>
      <c r="AM106" s="961">
        <f ca="1">0.5229*AM89 -378.17</f>
        <v>55095.866167753229</v>
      </c>
      <c r="AN106" s="961">
        <f t="shared" ref="AN106:BC106" ca="1" si="28">0.5229*AN89 -378.17</f>
        <v>58865.110187198043</v>
      </c>
      <c r="AO106" s="961">
        <f t="shared" ca="1" si="28"/>
        <v>66727.551004361841</v>
      </c>
      <c r="AP106" s="961">
        <f t="shared" ca="1" si="28"/>
        <v>73500.40619141607</v>
      </c>
      <c r="AQ106" s="961">
        <f t="shared" ca="1" si="28"/>
        <v>80804.77243598699</v>
      </c>
      <c r="AR106" s="961">
        <f t="shared" ca="1" si="28"/>
        <v>88741.757510683863</v>
      </c>
      <c r="AS106" s="961">
        <f t="shared" ca="1" si="28"/>
        <v>97406.102494231876</v>
      </c>
      <c r="AT106" s="961">
        <f t="shared" ca="1" si="28"/>
        <v>106891.29627504833</v>
      </c>
      <c r="AU106" s="961">
        <f t="shared" ca="1" si="28"/>
        <v>117293.21324623218</v>
      </c>
      <c r="AV106" s="961">
        <f t="shared" ca="1" si="28"/>
        <v>128712.81634808327</v>
      </c>
      <c r="AW106" s="961">
        <f t="shared" ca="1" si="28"/>
        <v>141258.28260823787</v>
      </c>
      <c r="AX106" s="961">
        <f t="shared" ca="1" si="28"/>
        <v>155046.78781318307</v>
      </c>
      <c r="AY106" s="961">
        <f t="shared" ca="1" si="28"/>
        <v>170206.10857050453</v>
      </c>
      <c r="AZ106" s="961">
        <f t="shared" ca="1" si="28"/>
        <v>186876.14920079385</v>
      </c>
      <c r="BA106" s="961">
        <f t="shared" ca="1" si="28"/>
        <v>205210.46810982257</v>
      </c>
      <c r="BB106" s="961">
        <f t="shared" ca="1" si="28"/>
        <v>225377.8573214034</v>
      </c>
      <c r="BC106" s="961">
        <f t="shared" ca="1" si="28"/>
        <v>247564.01564541538</v>
      </c>
      <c r="BD106" s="2039" t="str">
        <f t="shared" si="27"/>
        <v>YD</v>
      </c>
      <c r="BH106" s="1509" t="s">
        <v>1716</v>
      </c>
      <c r="BI106" s="2499"/>
      <c r="BJ106" s="2499"/>
      <c r="BM106" s="2499"/>
      <c r="BN106" s="2499"/>
      <c r="BO106" s="1509" t="s">
        <v>2010</v>
      </c>
      <c r="BP106" s="2499"/>
    </row>
    <row r="107" spans="1:71" ht="17.399999999999999">
      <c r="A107" s="55" t="s">
        <v>2080</v>
      </c>
      <c r="B107" s="55"/>
      <c r="C107" s="55"/>
      <c r="D107" s="55"/>
      <c r="E107" s="1631"/>
      <c r="F107" s="1631"/>
      <c r="G107" s="1452" t="s">
        <v>736</v>
      </c>
      <c r="H107" s="232">
        <v>9</v>
      </c>
      <c r="I107" s="2570" t="s">
        <v>1574</v>
      </c>
      <c r="J107" s="2571" t="s">
        <v>2087</v>
      </c>
      <c r="K107" s="2571"/>
      <c r="L107" s="2571" t="s">
        <v>2087</v>
      </c>
      <c r="M107" s="2570"/>
      <c r="N107" s="2572"/>
      <c r="O107" s="1430">
        <f>НАСТРОЙКА!P54</f>
        <v>719.79349999999999</v>
      </c>
      <c r="P107" s="249">
        <f>НАСТРОЙКА!Q54</f>
        <v>684.5236185</v>
      </c>
      <c r="Q107" s="249">
        <f>НАСТРОЙКА!R54</f>
        <v>718.74979942499999</v>
      </c>
      <c r="R107" s="249">
        <f>НАСТРОЙКА!S54</f>
        <v>694.31230624454997</v>
      </c>
      <c r="S107" s="249">
        <f>НАСТРОЙКА!T54</f>
        <v>677.64881089468076</v>
      </c>
      <c r="T107" s="249">
        <f>НАСТРОЙКА!U54</f>
        <v>717.63009073746684</v>
      </c>
      <c r="U107" s="249">
        <f>НАСТРОЙКА!V54</f>
        <v>776.47575817793916</v>
      </c>
      <c r="V107" s="249">
        <f>НАСТРОЙКА!W54</f>
        <v>836.26439155764047</v>
      </c>
      <c r="W107" s="249">
        <f>НАСТРОЙКА!X54</f>
        <v>900.65674970757868</v>
      </c>
      <c r="X107" s="249">
        <f>НАСТРОЙКА!Y54</f>
        <v>1013.238843421026</v>
      </c>
      <c r="Y107" s="249">
        <f>НАСТРОЙКА!Z54</f>
        <v>1136.8539823183912</v>
      </c>
      <c r="Z107" s="249">
        <f>НАСТРОЙКА!AA54</f>
        <v>1275.5501681612352</v>
      </c>
      <c r="AA107" s="249">
        <f>НАСТРОЙКА!AB54</f>
        <v>1457.9538422082919</v>
      </c>
      <c r="AB107" s="249">
        <f>НАСТРОЙКА!AC54</f>
        <v>1612.4969494823708</v>
      </c>
      <c r="AC107" s="249">
        <f>НАСТРОЙКА!AD54</f>
        <v>1530.2596050587699</v>
      </c>
      <c r="AD107" s="249">
        <f>НАСТРОЙКА!AE54</f>
        <v>1614.4238833370021</v>
      </c>
      <c r="AE107" s="249">
        <f>НАСТРОЙКА!AF54</f>
        <v>1724.2047074039183</v>
      </c>
      <c r="AF107" s="249">
        <f>НАСТРОЙКА!AG54</f>
        <v>1860.4168792888279</v>
      </c>
      <c r="AG107" s="249">
        <f>НАСТРОЙКА!AH54</f>
        <v>1957.1585570118471</v>
      </c>
      <c r="AH107" s="249">
        <f>НАСТРОЙКА!AI54</f>
        <v>1996.301728152084</v>
      </c>
      <c r="AI107" s="249">
        <f>НАСТРОЙКА!AJ54</f>
        <v>1808.6493657057883</v>
      </c>
      <c r="AJ107" s="249">
        <f>НАСТРОЙКА!AK54</f>
        <v>1774.2850277573784</v>
      </c>
      <c r="AK107" s="249">
        <f>НАСТРОЙКА!AL54</f>
        <v>1832.8364336733716</v>
      </c>
      <c r="AL107" s="249">
        <f>НАСТРОЙКА!AM54</f>
        <v>1874.991671647859</v>
      </c>
      <c r="AM107" s="249">
        <f ca="1">AM106/AM18</f>
        <v>1959.0058728473491</v>
      </c>
      <c r="AN107" s="249">
        <f t="shared" ref="AN107:BC107" ca="1" si="29">AN106/AN18</f>
        <v>2029.9076012103717</v>
      </c>
      <c r="AO107" s="249">
        <f t="shared" ca="1" si="29"/>
        <v>2150.4627488181045</v>
      </c>
      <c r="AP107" s="249">
        <f t="shared" ca="1" si="29"/>
        <v>2254.2751097993009</v>
      </c>
      <c r="AQ107" s="249">
        <f t="shared" ca="1" si="29"/>
        <v>2358.6315140661391</v>
      </c>
      <c r="AR107" s="249">
        <f t="shared" ca="1" si="29"/>
        <v>2465.3111067190257</v>
      </c>
      <c r="AS107" s="249">
        <f t="shared" ca="1" si="29"/>
        <v>2575.5173964250348</v>
      </c>
      <c r="AT107" s="249">
        <f t="shared" ca="1" si="29"/>
        <v>2690.1010247262957</v>
      </c>
      <c r="AU107" s="249">
        <f t="shared" ca="1" si="29"/>
        <v>2809.6984742577524</v>
      </c>
      <c r="AV107" s="249">
        <f t="shared" ca="1" si="29"/>
        <v>2934.8185439297308</v>
      </c>
      <c r="AW107" s="249">
        <f t="shared" ca="1" si="29"/>
        <v>3065.8963680352676</v>
      </c>
      <c r="AX107" s="249">
        <f t="shared" ca="1" si="29"/>
        <v>3203.3272699728095</v>
      </c>
      <c r="AY107" s="249">
        <f t="shared" ca="1" si="29"/>
        <v>3347.488090103554</v>
      </c>
      <c r="AZ107" s="249">
        <f t="shared" ca="1" si="29"/>
        <v>3498.7507371449051</v>
      </c>
      <c r="BA107" s="249">
        <f t="shared" ca="1" si="29"/>
        <v>3657.4909164306637</v>
      </c>
      <c r="BB107" s="249">
        <f t="shared" ca="1" si="29"/>
        <v>3824.093872061017</v>
      </c>
      <c r="BC107" s="249">
        <f t="shared" ca="1" si="29"/>
        <v>3998.9582860698602</v>
      </c>
      <c r="BD107" s="2039" t="str">
        <f t="shared" si="27"/>
        <v>YDS</v>
      </c>
      <c r="BH107" s="1509" t="s">
        <v>1727</v>
      </c>
      <c r="BI107" s="2499"/>
      <c r="BJ107" s="2499"/>
      <c r="BM107" s="2499"/>
      <c r="BN107" s="2499"/>
      <c r="BO107" s="1509" t="s">
        <v>1993</v>
      </c>
      <c r="BP107" s="2499"/>
      <c r="BQ107" s="2499"/>
      <c r="BR107" s="2499"/>
      <c r="BS107" s="2499"/>
    </row>
    <row r="108" spans="1:71" ht="17.399999999999999">
      <c r="A108" s="55" t="s">
        <v>2078</v>
      </c>
      <c r="E108" s="1631"/>
      <c r="F108" s="1631"/>
      <c r="G108" s="1452"/>
      <c r="H108" s="232"/>
      <c r="I108" s="2570"/>
      <c r="J108" s="2571"/>
      <c r="K108" s="2571"/>
      <c r="L108" s="2571"/>
      <c r="M108" s="2571"/>
      <c r="N108" s="2572"/>
      <c r="O108" s="1430"/>
      <c r="P108" s="32"/>
      <c r="Q108" s="32"/>
      <c r="R108" s="32"/>
      <c r="S108" s="32"/>
      <c r="T108" s="32"/>
      <c r="U108" s="32"/>
      <c r="V108" s="32"/>
      <c r="W108" s="32"/>
      <c r="X108" s="32"/>
      <c r="Y108" s="32"/>
      <c r="Z108" s="32"/>
      <c r="AA108" s="32"/>
      <c r="AB108" s="32"/>
      <c r="AC108" s="32"/>
      <c r="AD108" s="32"/>
      <c r="AE108" s="32"/>
      <c r="AF108" s="32"/>
      <c r="AG108" s="32"/>
      <c r="AH108" s="32"/>
      <c r="AI108" s="32"/>
      <c r="AJ108" s="32"/>
      <c r="AK108" s="32"/>
      <c r="AL108" s="32"/>
      <c r="AM108" s="248"/>
      <c r="AN108" s="248"/>
      <c r="AO108" s="248"/>
      <c r="AP108" s="248"/>
      <c r="AQ108" s="248"/>
      <c r="AR108" s="248"/>
      <c r="AS108" s="248"/>
      <c r="AT108" s="248"/>
      <c r="AU108" s="248"/>
      <c r="AV108" s="248"/>
      <c r="AW108" s="248"/>
      <c r="AX108" s="248"/>
      <c r="AY108" s="248"/>
      <c r="AZ108" s="248"/>
      <c r="BA108" s="248"/>
      <c r="BB108" s="248"/>
      <c r="BC108" s="248"/>
      <c r="BD108" s="2039">
        <f t="shared" si="27"/>
        <v>0</v>
      </c>
      <c r="BH108" s="1509" t="s">
        <v>2007</v>
      </c>
      <c r="BI108" s="2499"/>
      <c r="BJ108" s="2499"/>
      <c r="BM108" s="2499"/>
      <c r="BN108" s="2499"/>
      <c r="BO108" s="1509" t="s">
        <v>1994</v>
      </c>
      <c r="BP108" s="2499"/>
      <c r="BQ108" s="2499"/>
      <c r="BR108" s="2499"/>
      <c r="BS108" s="2499"/>
    </row>
    <row r="109" spans="1:71" ht="17.399999999999999">
      <c r="A109" s="55" t="s">
        <v>2081</v>
      </c>
      <c r="B109" s="55"/>
      <c r="C109" s="55"/>
      <c r="D109" s="55"/>
      <c r="E109" s="1631"/>
      <c r="F109" s="1631"/>
      <c r="G109" s="1452" t="s">
        <v>434</v>
      </c>
      <c r="H109" s="232">
        <v>11</v>
      </c>
      <c r="I109" s="2570" t="s">
        <v>1574</v>
      </c>
      <c r="J109" s="2571" t="s">
        <v>2088</v>
      </c>
      <c r="K109" s="2571"/>
      <c r="L109" s="2571" t="s">
        <v>2115</v>
      </c>
      <c r="M109" s="2571"/>
      <c r="N109" s="2572"/>
      <c r="O109" s="1430">
        <f>ОТЧЁТ!U70</f>
        <v>272.50150000000002</v>
      </c>
      <c r="P109" s="249">
        <f>ОТЧЁТ!V70</f>
        <v>391.38130000000001</v>
      </c>
      <c r="Q109" s="249">
        <f>ОТЧЁТ!W70</f>
        <v>493.57350000000002</v>
      </c>
      <c r="R109" s="249">
        <f>ОТЧЁТ!X70</f>
        <v>492.62060000000002</v>
      </c>
      <c r="S109" s="249">
        <f>ОТЧЁТ!Y70</f>
        <v>703.20910000000003</v>
      </c>
      <c r="T109" s="249">
        <f>ОТЧЁТ!Z70</f>
        <v>1102.4971</v>
      </c>
      <c r="U109" s="249">
        <f>ОТЧЁТ!AA70</f>
        <v>1469.9576</v>
      </c>
      <c r="V109" s="249">
        <f>ОТЧЁТ!AB70</f>
        <v>1942.4418000000001</v>
      </c>
      <c r="W109" s="249">
        <f>ОТЧЁТ!AC70</f>
        <v>2366.3687</v>
      </c>
      <c r="X109" s="249">
        <f>ОТЧЁТ!AD70</f>
        <v>2889.8145</v>
      </c>
      <c r="Y109" s="249">
        <f>ОТЧЁТ!AE70</f>
        <v>3645.9185000000002</v>
      </c>
      <c r="Z109" s="249">
        <f>ОТЧЁТ!AF70</f>
        <v>4680.4097000000002</v>
      </c>
      <c r="AA109" s="249">
        <f>ОТЧЁТ!AG70</f>
        <v>5750.9641000000001</v>
      </c>
      <c r="AB109" s="249">
        <f>ОТЧЁТ!AH70</f>
        <v>7359.8441999999995</v>
      </c>
      <c r="AC109" s="249">
        <f>ОТЧЁТ!AI70</f>
        <v>8066.7</v>
      </c>
      <c r="AD109" s="249">
        <f>ОТЧЁТ!AJ70</f>
        <v>8671.3230000000003</v>
      </c>
      <c r="AE109" s="249">
        <f>ОТЧЁТ!AK70</f>
        <v>10527.4218</v>
      </c>
      <c r="AF109" s="249">
        <f>ОТЧЁТ!AL70</f>
        <v>12155.9717</v>
      </c>
      <c r="AG109" s="249">
        <f>ОТЧЁТ!AM70</f>
        <v>13551.946099999999</v>
      </c>
      <c r="AH109" s="249">
        <f>ОТЧЁТ!AN70</f>
        <v>14173.19</v>
      </c>
      <c r="AI109" s="249">
        <f>ОТЧЁТ!AO70</f>
        <v>14684.12</v>
      </c>
      <c r="AJ109" s="249">
        <f>ОТЧЁТ!AP70</f>
        <v>15728.49</v>
      </c>
      <c r="AK109" s="249">
        <f>ОТЧЁТ!AQ70</f>
        <v>16649.189999999999</v>
      </c>
      <c r="AL109" s="249">
        <f>ОТЧЁТ!AR70</f>
        <v>18049.3</v>
      </c>
      <c r="AM109" s="249">
        <f ca="1">0.1814*AM89-46.206</f>
        <v>19198.372620826995</v>
      </c>
      <c r="AN109" s="249">
        <f t="shared" ref="AN109:BC109" ca="1" si="30">0.1814*AN89-46.206</f>
        <v>20505.96654916375</v>
      </c>
      <c r="AO109" s="249">
        <f t="shared" ca="1" si="30"/>
        <v>23233.537335611469</v>
      </c>
      <c r="AP109" s="249">
        <f t="shared" ca="1" si="30"/>
        <v>25583.118385394675</v>
      </c>
      <c r="AQ109" s="249">
        <f t="shared" ca="1" si="30"/>
        <v>28117.086709673054</v>
      </c>
      <c r="AR109" s="249">
        <f t="shared" ca="1" si="30"/>
        <v>30870.517752989203</v>
      </c>
      <c r="AS109" s="249">
        <f t="shared" ca="1" si="30"/>
        <v>33876.278280844643</v>
      </c>
      <c r="AT109" s="249">
        <f t="shared" ca="1" si="30"/>
        <v>37166.800659578825</v>
      </c>
      <c r="AU109" s="249">
        <f t="shared" ca="1" si="30"/>
        <v>40775.34481443205</v>
      </c>
      <c r="AV109" s="249">
        <f t="shared" ca="1" si="30"/>
        <v>44736.93594595966</v>
      </c>
      <c r="AW109" s="249">
        <f t="shared" ca="1" si="30"/>
        <v>49089.101904253876</v>
      </c>
      <c r="AX109" s="249">
        <f t="shared" ca="1" si="30"/>
        <v>53872.492311936141</v>
      </c>
      <c r="AY109" s="249">
        <f t="shared" ca="1" si="30"/>
        <v>59131.434337903091</v>
      </c>
      <c r="AZ109" s="249">
        <f t="shared" ca="1" si="30"/>
        <v>64914.462393620212</v>
      </c>
      <c r="BA109" s="249">
        <f t="shared" ca="1" si="30"/>
        <v>71274.847649114192</v>
      </c>
      <c r="BB109" s="249">
        <f t="shared" ca="1" si="30"/>
        <v>78271.145991016587</v>
      </c>
      <c r="BC109" s="249">
        <f t="shared" ca="1" si="30"/>
        <v>85967.778463718394</v>
      </c>
      <c r="BD109" s="2039" t="str">
        <f t="shared" si="27"/>
        <v>YG</v>
      </c>
      <c r="BH109" s="1509" t="s">
        <v>2006</v>
      </c>
      <c r="BI109" s="2499"/>
      <c r="BJ109" s="2499"/>
      <c r="BL109" s="2499"/>
      <c r="BM109" s="2499"/>
      <c r="BN109" s="2499"/>
      <c r="BO109" s="1509" t="s">
        <v>2013</v>
      </c>
      <c r="BP109" s="2499"/>
      <c r="BQ109" s="2499"/>
      <c r="BR109" s="2499"/>
      <c r="BS109" s="2499"/>
    </row>
    <row r="110" spans="1:71" ht="17.399999999999999">
      <c r="A110" s="55" t="s">
        <v>2082</v>
      </c>
      <c r="B110" s="55"/>
      <c r="C110" s="55"/>
      <c r="D110" s="55"/>
      <c r="E110" s="1631"/>
      <c r="F110" s="1631"/>
      <c r="G110" s="1452" t="s">
        <v>729</v>
      </c>
      <c r="H110" s="232">
        <v>12</v>
      </c>
      <c r="I110" s="2570" t="s">
        <v>1574</v>
      </c>
      <c r="J110" s="2571" t="s">
        <v>1576</v>
      </c>
      <c r="K110" s="2571"/>
      <c r="L110" s="2571" t="s">
        <v>1576</v>
      </c>
      <c r="M110" s="2571"/>
      <c r="N110" s="2572"/>
      <c r="O110" s="1430">
        <f>O109</f>
        <v>272.50150000000002</v>
      </c>
      <c r="P110" s="249">
        <f>НАСТРОЙКА!Q44</f>
        <v>280.94904650000001</v>
      </c>
      <c r="Q110" s="249">
        <f>НАСТРОЙКА!R44</f>
        <v>274.206269384</v>
      </c>
      <c r="R110" s="249">
        <f>НАСТРОЙКА!S44</f>
        <v>276.94833207783995</v>
      </c>
      <c r="S110" s="249">
        <f>НАСТРОЙКА!T44</f>
        <v>285.53373037225299</v>
      </c>
      <c r="T110" s="249">
        <f>НАСТРОЙКА!U44</f>
        <v>291.24440497969806</v>
      </c>
      <c r="U110" s="249">
        <f>НАСТРОЙКА!V44</f>
        <v>288.91444973986046</v>
      </c>
      <c r="V110" s="249">
        <f>НАСТРОЙКА!W44</f>
        <v>296.42622543309682</v>
      </c>
      <c r="W110" s="249">
        <f>НАСТРОЙКА!X44</f>
        <v>303.54045484349115</v>
      </c>
      <c r="X110" s="249">
        <f>НАСТРОЙКА!Y44</f>
        <v>309.9148043952045</v>
      </c>
      <c r="Y110" s="249">
        <f>НАСТРОЙКА!Z44</f>
        <v>314.25361165673735</v>
      </c>
      <c r="Z110" s="249">
        <f>НАСТРОЙКА!AA44</f>
        <v>321.48144472484233</v>
      </c>
      <c r="AA110" s="249">
        <f>НАСТРОЙКА!AB44</f>
        <v>330.16144373241303</v>
      </c>
      <c r="AB110" s="249">
        <f>НАСТРОЙКА!AC44</f>
        <v>341.38693281931506</v>
      </c>
      <c r="AC110" s="249">
        <f>НАСТРОЙКА!AD44</f>
        <v>339.33861122239915</v>
      </c>
      <c r="AD110" s="249">
        <f>НАСТРОЙКА!AE44</f>
        <v>334.24853205406316</v>
      </c>
      <c r="AE110" s="249">
        <f>НАСТРОЙКА!AF44</f>
        <v>338.92801150282008</v>
      </c>
      <c r="AF110" s="249">
        <f>НАСТРОЙКА!AG44</f>
        <v>347.74013980189346</v>
      </c>
      <c r="AG110" s="249">
        <f>НАСТРОЙКА!AH44</f>
        <v>350.86980106011055</v>
      </c>
      <c r="AH110" s="249">
        <f>НАСТРОЙКА!AI44</f>
        <v>343.5015352378482</v>
      </c>
      <c r="AI110" s="249">
        <f>НАСТРОЙКА!AJ44</f>
        <v>331.13547996928565</v>
      </c>
      <c r="AJ110" s="249">
        <f>НАСТРОЙКА!AK44</f>
        <v>336.10251216882494</v>
      </c>
      <c r="AK110" s="249">
        <f>НАСТРОЙКА!AL44</f>
        <v>344.50507497304551</v>
      </c>
      <c r="AL110" s="249">
        <f>НАСТРОЙКА!AM44</f>
        <v>345.5385901979646</v>
      </c>
      <c r="AM110" s="247">
        <f ca="1">AM109/AM19</f>
        <v>361.04157574541892</v>
      </c>
      <c r="AN110" s="247">
        <f t="shared" ref="AN110:BC110" ca="1" si="31">AN109/AN19</f>
        <v>365.84002458231004</v>
      </c>
      <c r="AO110" s="247">
        <f t="shared" ca="1" si="31"/>
        <v>392.95578692095023</v>
      </c>
      <c r="AP110" s="247">
        <f t="shared" ca="1" si="31"/>
        <v>410.30102329748155</v>
      </c>
      <c r="AQ110" s="247">
        <f t="shared" ca="1" si="31"/>
        <v>427.69858982501438</v>
      </c>
      <c r="AR110" s="247">
        <f t="shared" ca="1" si="31"/>
        <v>445.47361712567323</v>
      </c>
      <c r="AS110" s="247">
        <f t="shared" ca="1" si="31"/>
        <v>463.84349032723929</v>
      </c>
      <c r="AT110" s="247">
        <f t="shared" ca="1" si="31"/>
        <v>482.95983141769261</v>
      </c>
      <c r="AU110" s="247">
        <f t="shared" ca="1" si="31"/>
        <v>502.93449053792648</v>
      </c>
      <c r="AV110" s="247">
        <f t="shared" ca="1" si="31"/>
        <v>523.85565976656869</v>
      </c>
      <c r="AW110" s="247">
        <f t="shared" ca="1" si="31"/>
        <v>545.79788373054771</v>
      </c>
      <c r="AX110" s="247">
        <f t="shared" ca="1" si="31"/>
        <v>568.82829837477755</v>
      </c>
      <c r="AY110" s="247">
        <f t="shared" ca="1" si="31"/>
        <v>593.01053861571529</v>
      </c>
      <c r="AZ110" s="247">
        <f t="shared" ca="1" si="31"/>
        <v>618.40720565708386</v>
      </c>
      <c r="BA110" s="247">
        <f t="shared" ca="1" si="31"/>
        <v>645.08144499914954</v>
      </c>
      <c r="BB110" s="247">
        <f t="shared" ca="1" si="31"/>
        <v>673.09797619161884</v>
      </c>
      <c r="BC110" s="247">
        <f t="shared" ca="1" si="31"/>
        <v>702.52378554740142</v>
      </c>
      <c r="BD110" s="2039" t="str">
        <f t="shared" si="27"/>
        <v>YGS</v>
      </c>
      <c r="BH110" s="1509" t="s">
        <v>2218</v>
      </c>
      <c r="BI110" s="2499"/>
      <c r="BJ110" s="2499"/>
      <c r="BK110" s="1509"/>
      <c r="BL110" s="2499"/>
      <c r="BM110" s="2499"/>
      <c r="BN110" s="2499"/>
      <c r="BO110" s="1509" t="s">
        <v>1996</v>
      </c>
      <c r="BP110" s="2499"/>
      <c r="BQ110" s="2499"/>
      <c r="BR110" s="2499"/>
      <c r="BS110" s="2499"/>
    </row>
    <row r="111" spans="1:71" ht="17.399999999999999">
      <c r="A111" s="1999" t="s">
        <v>2084</v>
      </c>
      <c r="B111" s="1631"/>
      <c r="C111" s="55"/>
      <c r="D111" s="55"/>
      <c r="E111" s="1631"/>
      <c r="F111" s="1631"/>
      <c r="G111" s="1452"/>
      <c r="H111" s="232"/>
      <c r="I111" s="2570"/>
      <c r="J111" s="2571"/>
      <c r="K111" s="2571"/>
      <c r="L111" s="2571"/>
      <c r="M111" s="2571"/>
      <c r="N111" s="2572"/>
      <c r="O111" s="1430"/>
      <c r="P111" s="248"/>
      <c r="Q111" s="248"/>
      <c r="R111" s="248"/>
      <c r="S111" s="248"/>
      <c r="T111" s="248"/>
      <c r="U111" s="248"/>
      <c r="V111" s="248"/>
      <c r="W111" s="248"/>
      <c r="X111" s="248"/>
      <c r="Y111" s="248"/>
      <c r="Z111" s="248"/>
      <c r="AA111" s="248"/>
      <c r="AB111" s="248"/>
      <c r="AC111" s="248"/>
      <c r="AD111" s="248"/>
      <c r="AE111" s="248"/>
      <c r="AF111" s="248"/>
      <c r="AG111" s="248"/>
      <c r="AH111" s="248"/>
      <c r="AI111" s="248"/>
      <c r="AJ111" s="248"/>
      <c r="AK111" s="248"/>
      <c r="AL111" s="248"/>
      <c r="AM111" s="248"/>
      <c r="AN111" s="248"/>
      <c r="AO111" s="248"/>
      <c r="AP111" s="248"/>
      <c r="AQ111" s="248"/>
      <c r="AR111" s="248"/>
      <c r="AS111" s="248"/>
      <c r="AT111" s="248"/>
      <c r="AU111" s="248"/>
      <c r="AV111" s="248"/>
      <c r="AW111" s="248"/>
      <c r="AX111" s="248"/>
      <c r="AY111" s="248"/>
      <c r="AZ111" s="248"/>
      <c r="BA111" s="248"/>
      <c r="BB111" s="248"/>
      <c r="BC111" s="248"/>
      <c r="BD111" s="2039">
        <f>G111</f>
        <v>0</v>
      </c>
      <c r="BH111" s="1509" t="s">
        <v>1236</v>
      </c>
      <c r="BL111" s="2499"/>
      <c r="BM111" s="2499"/>
      <c r="BN111" s="2499"/>
      <c r="BO111" s="1509" t="s">
        <v>452</v>
      </c>
      <c r="BP111" s="2499"/>
      <c r="BQ111" s="2499"/>
      <c r="BR111" s="2499"/>
      <c r="BS111" s="2499"/>
    </row>
    <row r="112" spans="1:71" ht="16.5" customHeight="1">
      <c r="A112" s="55" t="s">
        <v>2083</v>
      </c>
      <c r="B112" s="55"/>
      <c r="C112" s="55"/>
      <c r="D112" s="55"/>
      <c r="E112" s="1631"/>
      <c r="F112" s="1631"/>
      <c r="G112" s="1452"/>
      <c r="H112" s="232"/>
      <c r="I112" s="2570"/>
      <c r="J112" s="2571"/>
      <c r="K112" s="2571"/>
      <c r="L112" s="2571"/>
      <c r="M112" s="2571"/>
      <c r="N112" s="2572"/>
      <c r="O112" s="1430"/>
      <c r="P112" s="248"/>
      <c r="Q112" s="248"/>
      <c r="R112" s="248"/>
      <c r="S112" s="248"/>
      <c r="T112" s="248"/>
      <c r="U112" s="248"/>
      <c r="V112" s="248"/>
      <c r="W112" s="248"/>
      <c r="X112" s="248"/>
      <c r="Y112" s="248"/>
      <c r="Z112" s="248"/>
      <c r="AA112" s="248"/>
      <c r="AB112" s="248"/>
      <c r="AC112" s="248"/>
      <c r="AD112" s="248"/>
      <c r="AE112" s="248"/>
      <c r="AF112" s="248"/>
      <c r="AG112" s="248"/>
      <c r="AH112" s="248"/>
      <c r="AI112" s="248"/>
      <c r="AJ112" s="248"/>
      <c r="AK112" s="248"/>
      <c r="AL112" s="248"/>
      <c r="AM112" s="248"/>
      <c r="AN112" s="248"/>
      <c r="AO112" s="248"/>
      <c r="AP112" s="248"/>
      <c r="AQ112" s="248"/>
      <c r="AR112" s="248"/>
      <c r="AS112" s="248"/>
      <c r="AT112" s="248"/>
      <c r="AU112" s="248"/>
      <c r="AV112" s="248"/>
      <c r="AW112" s="248"/>
      <c r="AX112" s="248"/>
      <c r="AY112" s="248"/>
      <c r="AZ112" s="248"/>
      <c r="BA112" s="248"/>
      <c r="BB112" s="248"/>
      <c r="BC112" s="248"/>
      <c r="BD112" s="2039">
        <f t="shared" si="27"/>
        <v>0</v>
      </c>
      <c r="BH112" s="1509" t="s">
        <v>2012</v>
      </c>
      <c r="BI112" s="2499"/>
      <c r="BJ112" s="2499"/>
      <c r="BL112" s="2499"/>
      <c r="BM112" s="2499"/>
      <c r="BN112" s="2499"/>
      <c r="BO112" s="1509" t="s">
        <v>1999</v>
      </c>
      <c r="BP112" s="2499"/>
      <c r="BQ112" s="2499"/>
      <c r="BR112" s="2499"/>
      <c r="BS112" s="2499"/>
    </row>
    <row r="113" spans="1:72" ht="16.5" customHeight="1">
      <c r="BH113" s="1509" t="s">
        <v>2014</v>
      </c>
      <c r="BI113" s="2499"/>
      <c r="BJ113" s="2499"/>
      <c r="BL113" s="2499"/>
      <c r="BM113" s="2499"/>
      <c r="BN113" s="2499"/>
      <c r="BO113" s="1509" t="s">
        <v>1236</v>
      </c>
      <c r="BP113" s="2499"/>
      <c r="BR113" s="1509" t="s">
        <v>2026</v>
      </c>
      <c r="BS113" s="2499"/>
      <c r="BT113" s="1509"/>
    </row>
    <row r="114" spans="1:72" ht="16.5" customHeight="1">
      <c r="A114" s="55" t="s">
        <v>2085</v>
      </c>
      <c r="G114" s="1452" t="s">
        <v>733</v>
      </c>
      <c r="H114" s="232">
        <v>16</v>
      </c>
      <c r="I114" s="2570" t="s">
        <v>1575</v>
      </c>
      <c r="J114" s="2571" t="s">
        <v>2089</v>
      </c>
      <c r="K114" s="2571"/>
      <c r="L114" s="2571" t="s">
        <v>2116</v>
      </c>
      <c r="M114" s="2571"/>
      <c r="N114" s="2572"/>
      <c r="O114" s="1430">
        <f t="array" ref="O114:AL114">TRANSPOSE(ОТЧЁТ!CR136:CR159)</f>
        <v>24.299299999999999</v>
      </c>
      <c r="P114" s="247">
        <v>24.445095799999997</v>
      </c>
      <c r="Q114" s="247">
        <v>24.249535033599997</v>
      </c>
      <c r="R114" s="247">
        <v>24.370782708767997</v>
      </c>
      <c r="S114" s="247">
        <v>24.029591750845242</v>
      </c>
      <c r="T114" s="247">
        <v>24.41406521885877</v>
      </c>
      <c r="U114" s="247">
        <v>24.877932458017082</v>
      </c>
      <c r="V114" s="247">
        <v>25.076955917681218</v>
      </c>
      <c r="W114" s="247">
        <v>25.102032873598898</v>
      </c>
      <c r="X114" s="247">
        <v>22.315707224629421</v>
      </c>
      <c r="Y114" s="247">
        <v>18.231932802522234</v>
      </c>
      <c r="Z114" s="247">
        <v>17.921989944879357</v>
      </c>
      <c r="AA114" s="247">
        <v>18.405883673391099</v>
      </c>
      <c r="AB114" s="247">
        <v>18.148201301963624</v>
      </c>
      <c r="AC114" s="247">
        <v>16.696345197806533</v>
      </c>
      <c r="AD114" s="247">
        <v>16.612863471817501</v>
      </c>
      <c r="AE114" s="247">
        <v>15.798833161698441</v>
      </c>
      <c r="AF114" s="247">
        <v>15.640844830081457</v>
      </c>
      <c r="AG114" s="247">
        <v>15.453154692120481</v>
      </c>
      <c r="AH114" s="247">
        <v>15.453154692120481</v>
      </c>
      <c r="AI114" s="247">
        <v>15.005013206048986</v>
      </c>
      <c r="AJ114" s="247">
        <v>15.155063338109475</v>
      </c>
      <c r="AK114" s="247">
        <v>15.230838654800023</v>
      </c>
      <c r="AL114" s="247">
        <v>15.916226394266022</v>
      </c>
      <c r="AM114" s="1039">
        <f>$O114*AM31</f>
        <v>16.567344746758721</v>
      </c>
      <c r="AN114" s="1039">
        <f t="shared" ref="AN114:BC114" si="32">$O114*AN31</f>
        <v>17.185907181626785</v>
      </c>
      <c r="AO114" s="1039">
        <f t="shared" si="32"/>
        <v>17.773541494751445</v>
      </c>
      <c r="AP114" s="1039">
        <f t="shared" si="32"/>
        <v>18.331794092219873</v>
      </c>
      <c r="AQ114" s="1039">
        <f t="shared" si="32"/>
        <v>18.862134059814881</v>
      </c>
      <c r="AR114" s="1039">
        <f t="shared" si="32"/>
        <v>19.365957029030135</v>
      </c>
      <c r="AS114" s="1039">
        <f t="shared" si="32"/>
        <v>19.844588849784628</v>
      </c>
      <c r="AT114" s="1039">
        <f t="shared" si="32"/>
        <v>20.299289079501396</v>
      </c>
      <c r="AU114" s="1039">
        <f t="shared" si="32"/>
        <v>20.731254297732328</v>
      </c>
      <c r="AV114" s="1039">
        <f t="shared" si="32"/>
        <v>21.14162125505171</v>
      </c>
      <c r="AW114" s="1039">
        <f t="shared" si="32"/>
        <v>21.531469864505123</v>
      </c>
      <c r="AX114" s="1039">
        <f t="shared" si="32"/>
        <v>21.901826043485869</v>
      </c>
      <c r="AY114" s="1039">
        <f t="shared" si="32"/>
        <v>22.253664413517573</v>
      </c>
      <c r="AZ114" s="1039">
        <f t="shared" si="32"/>
        <v>22.587910865047693</v>
      </c>
      <c r="BA114" s="1039">
        <f t="shared" si="32"/>
        <v>22.905444994001307</v>
      </c>
      <c r="BB114" s="1039">
        <f t="shared" si="32"/>
        <v>23.20710241650724</v>
      </c>
      <c r="BC114" s="1039">
        <f t="shared" si="32"/>
        <v>23.493676967887875</v>
      </c>
      <c r="BD114" s="2039" t="str">
        <f t="shared" si="27"/>
        <v>YNKS</v>
      </c>
      <c r="BH114" s="1509" t="s">
        <v>2015</v>
      </c>
      <c r="BI114" s="2499"/>
      <c r="BJ114" s="2499"/>
      <c r="BL114" s="2499"/>
      <c r="BM114" s="2499"/>
      <c r="BN114" s="2499"/>
      <c r="BO114" s="1509" t="s">
        <v>1995</v>
      </c>
      <c r="BP114" s="2499"/>
      <c r="BQ114" s="2499"/>
      <c r="BR114" s="2499"/>
      <c r="BS114" s="2499"/>
    </row>
    <row r="115" spans="1:72" ht="17.399999999999999">
      <c r="A115" s="55" t="s">
        <v>2086</v>
      </c>
      <c r="B115" s="55"/>
      <c r="C115" s="55"/>
      <c r="D115" s="55"/>
      <c r="E115" s="1631"/>
      <c r="F115" s="1631"/>
      <c r="G115" s="1452" t="s">
        <v>731</v>
      </c>
      <c r="H115" s="232">
        <v>17</v>
      </c>
      <c r="I115" s="2570" t="s">
        <v>2117</v>
      </c>
      <c r="J115" s="2571" t="s">
        <v>2090</v>
      </c>
      <c r="K115" s="2571"/>
      <c r="L115" s="2571"/>
      <c r="M115" s="2570"/>
      <c r="N115" s="2572"/>
      <c r="O115" s="1430">
        <f>ОТЧЁТ!U71</f>
        <v>24.299299999999999</v>
      </c>
      <c r="P115" s="247">
        <f>ОТЧЁТ!V71</f>
        <v>36.661499999999997</v>
      </c>
      <c r="Q115" s="247">
        <f>ОТЧЁТ!W71</f>
        <v>47.3504</v>
      </c>
      <c r="R115" s="247">
        <f>ОТЧЁТ!X71</f>
        <v>48.8855</v>
      </c>
      <c r="S115" s="247">
        <f>ОТЧЁТ!Y71</f>
        <v>56.301099999999998</v>
      </c>
      <c r="T115" s="247">
        <f>ОТЧЁТ!Z71</f>
        <v>79.116500000000002</v>
      </c>
      <c r="U115" s="247">
        <f>ОТЧЁТ!AA71</f>
        <v>98.781899999999993</v>
      </c>
      <c r="V115" s="247">
        <f>ОТЧЁТ!AB71</f>
        <v>132.51599999999999</v>
      </c>
      <c r="W115" s="247">
        <f>ОТЧЁТ!AC71</f>
        <v>154.91739999999999</v>
      </c>
      <c r="X115" s="247">
        <f>ОТЧЁТ!AD71</f>
        <v>149.55099999999999</v>
      </c>
      <c r="Y115" s="247">
        <f>ОТЧЁТ!AE71</f>
        <v>139.37289999999999</v>
      </c>
      <c r="Z115" s="247">
        <f>ОТЧЁТ!AF71</f>
        <v>154.58760000000001</v>
      </c>
      <c r="AA115" s="247">
        <f>ОТЧЁТ!AG71</f>
        <v>185.87559999999999</v>
      </c>
      <c r="AB115" s="247">
        <f>ОТЧЁТ!AH71</f>
        <v>216.71250000000001</v>
      </c>
      <c r="AC115" s="247">
        <f>ОТЧЁТ!AI71</f>
        <v>216.99639999999999</v>
      </c>
      <c r="AD115" s="247">
        <f>ОТЧЁТ!AJ71</f>
        <v>225.726</v>
      </c>
      <c r="AE115" s="247">
        <f>ОТЧЁТ!AK71</f>
        <v>225.33240000000001</v>
      </c>
      <c r="AF115" s="247">
        <f>ОТЧЁТ!AL71</f>
        <v>247.44670000000002</v>
      </c>
      <c r="AG115" s="247">
        <f>ОТЧЁТ!AM71</f>
        <v>257.19670000000002</v>
      </c>
      <c r="AH115" s="247">
        <f>ОТЧЁТ!AN71</f>
        <v>290.19099999999997</v>
      </c>
      <c r="AI115" s="247">
        <f>ОТЧЁТ!AO71</f>
        <v>314.08699999999999</v>
      </c>
      <c r="AJ115" s="247">
        <f>ОТЧЁТ!AP71</f>
        <v>344.22899999999998</v>
      </c>
      <c r="AK115" s="247">
        <f>ОТЧЁТ!AQ71</f>
        <v>380.678</v>
      </c>
      <c r="AL115" s="247">
        <f>ОТЧЁТ!AR71</f>
        <v>432.62599999999998</v>
      </c>
      <c r="AM115" s="247">
        <f>AM20*AM114</f>
        <v>468.93357188756613</v>
      </c>
      <c r="AN115" s="247">
        <f t="shared" ref="AN115:BC115" si="33">AN20*AN114</f>
        <v>506.95077013950305</v>
      </c>
      <c r="AO115" s="247">
        <f t="shared" si="33"/>
        <v>546.94437076209749</v>
      </c>
      <c r="AP115" s="247">
        <f t="shared" si="33"/>
        <v>588.66326592482324</v>
      </c>
      <c r="AQ115" s="247">
        <f t="shared" si="33"/>
        <v>632.20557137036371</v>
      </c>
      <c r="AR115" s="247">
        <f t="shared" si="33"/>
        <v>677.67372074839955</v>
      </c>
      <c r="AS115" s="247">
        <f t="shared" si="33"/>
        <v>725.17471089328967</v>
      </c>
      <c r="AT115" s="247">
        <f t="shared" si="33"/>
        <v>774.82035789654697</v>
      </c>
      <c r="AU115" s="247">
        <f t="shared" si="33"/>
        <v>826.72756458730612</v>
      </c>
      <c r="AV115" s="247">
        <f t="shared" si="33"/>
        <v>881.01860006096365</v>
      </c>
      <c r="AW115" s="247">
        <f t="shared" si="33"/>
        <v>937.82139192468981</v>
      </c>
      <c r="AX115" s="247">
        <f t="shared" si="33"/>
        <v>997.26983195863636</v>
      </c>
      <c r="AY115" s="247">
        <f t="shared" si="33"/>
        <v>1059.5040959234509</v>
      </c>
      <c r="AZ115" s="247">
        <f t="shared" si="33"/>
        <v>1124.6709782782552</v>
      </c>
      <c r="BA115" s="247">
        <f t="shared" si="33"/>
        <v>1192.9242426085996</v>
      </c>
      <c r="BB115" s="247">
        <f t="shared" si="33"/>
        <v>1264.4249886011958</v>
      </c>
      <c r="BC115" s="247">
        <f t="shared" si="33"/>
        <v>1339.3420364414917</v>
      </c>
      <c r="BD115" s="2039" t="str">
        <f t="shared" si="27"/>
        <v>YNK</v>
      </c>
      <c r="BH115" s="1509" t="s">
        <v>716</v>
      </c>
      <c r="BI115" s="2499"/>
      <c r="BJ115" s="2499"/>
      <c r="BL115" s="2499"/>
      <c r="BM115" s="2499"/>
      <c r="BN115" s="2499"/>
      <c r="BO115" s="1509" t="s">
        <v>1997</v>
      </c>
      <c r="BP115" s="2499"/>
      <c r="BQ115" s="2499"/>
      <c r="BR115" s="2499"/>
      <c r="BS115" s="2499"/>
    </row>
    <row r="116" spans="1:72" ht="17.399999999999999">
      <c r="A116" s="55" t="s">
        <v>2260</v>
      </c>
      <c r="B116" s="55"/>
      <c r="C116" s="55"/>
      <c r="D116" s="55"/>
      <c r="E116" s="1631"/>
      <c r="F116" s="1631"/>
      <c r="G116" s="1452" t="s">
        <v>1705</v>
      </c>
      <c r="H116" s="232">
        <v>20</v>
      </c>
      <c r="I116" s="2570" t="s">
        <v>2261</v>
      </c>
      <c r="J116" s="2571" t="s">
        <v>2091</v>
      </c>
      <c r="K116" s="2571"/>
      <c r="L116" s="2571"/>
      <c r="M116" s="2570"/>
      <c r="N116" s="2572"/>
      <c r="O116" s="1430">
        <f t="array" ref="O116:AL116">TRANSPOSE(ОТЧЁТ!EF372:EF395)</f>
        <v>514.85530000000006</v>
      </c>
      <c r="P116" s="247">
        <v>543.23611590000019</v>
      </c>
      <c r="Q116" s="247">
        <v>547.65902196419995</v>
      </c>
      <c r="R116" s="247">
        <v>454.69111671309309</v>
      </c>
      <c r="S116" s="247">
        <v>485.77471878717267</v>
      </c>
      <c r="T116" s="247">
        <v>630.56855618427767</v>
      </c>
      <c r="U116" s="247">
        <v>693.84709359525198</v>
      </c>
      <c r="V116" s="247">
        <v>755.03985015142803</v>
      </c>
      <c r="W116" s="247">
        <v>856.34626241419789</v>
      </c>
      <c r="X116" s="247">
        <v>959.43779717956363</v>
      </c>
      <c r="Y116" s="247">
        <v>1039.2254401560776</v>
      </c>
      <c r="Z116" s="247">
        <v>1171.4070713444628</v>
      </c>
      <c r="AA116" s="247">
        <v>1325.353284075698</v>
      </c>
      <c r="AB116" s="247">
        <v>1415.7084330046953</v>
      </c>
      <c r="AC116" s="247">
        <v>955.59745566122933</v>
      </c>
      <c r="AD116" s="247">
        <v>1199.8140185252826</v>
      </c>
      <c r="AE116" s="247">
        <v>1381.4696147268057</v>
      </c>
      <c r="AF116" s="247">
        <v>1432.7169214123069</v>
      </c>
      <c r="AG116" s="247">
        <v>1431.6281795485993</v>
      </c>
      <c r="AH116" s="247">
        <v>1309.0676111217113</v>
      </c>
      <c r="AI116" s="247">
        <v>1124.7320412710553</v>
      </c>
      <c r="AJ116" s="247">
        <v>1119.2869569831842</v>
      </c>
      <c r="AK116" s="247">
        <v>1266.1979652485475</v>
      </c>
      <c r="AL116" s="247">
        <v>1309.2948926238066</v>
      </c>
      <c r="AM116" s="247">
        <f>$O116*AM32</f>
        <v>1335.1530490489624</v>
      </c>
      <c r="AN116" s="247">
        <f t="shared" ref="AN116:BC116" si="34">$O116*AN32</f>
        <v>1350.6679429040557</v>
      </c>
      <c r="AO116" s="247">
        <f t="shared" si="34"/>
        <v>1359.9768792171119</v>
      </c>
      <c r="AP116" s="247">
        <f t="shared" si="34"/>
        <v>1365.5622410049457</v>
      </c>
      <c r="AQ116" s="247">
        <f t="shared" si="34"/>
        <v>1368.9134580776458</v>
      </c>
      <c r="AR116" s="247">
        <f t="shared" si="34"/>
        <v>1370.9241883212662</v>
      </c>
      <c r="AS116" s="247">
        <f t="shared" si="34"/>
        <v>1372.1306264674383</v>
      </c>
      <c r="AT116" s="247">
        <f t="shared" si="34"/>
        <v>1372.8544893551416</v>
      </c>
      <c r="AU116" s="247">
        <f t="shared" si="34"/>
        <v>1373.2888070877636</v>
      </c>
      <c r="AV116" s="247">
        <f t="shared" si="34"/>
        <v>1373.5493977273368</v>
      </c>
      <c r="AW116" s="247">
        <f t="shared" si="34"/>
        <v>1373.7057521110808</v>
      </c>
      <c r="AX116" s="247">
        <f t="shared" si="34"/>
        <v>1373.799564741327</v>
      </c>
      <c r="AY116" s="247">
        <f t="shared" si="34"/>
        <v>1373.8558523194747</v>
      </c>
      <c r="AZ116" s="247">
        <f t="shared" si="34"/>
        <v>1373.8896248663636</v>
      </c>
      <c r="BA116" s="247">
        <f t="shared" si="34"/>
        <v>1373.9098883944969</v>
      </c>
      <c r="BB116" s="247">
        <f t="shared" si="34"/>
        <v>1373.9220465113767</v>
      </c>
      <c r="BC116" s="247">
        <f t="shared" si="34"/>
        <v>1373.9293413815049</v>
      </c>
      <c r="BD116" s="2039" t="str">
        <f>G116</f>
        <v>EXMS</v>
      </c>
      <c r="BH116" s="1509" t="s">
        <v>1739</v>
      </c>
      <c r="BI116" s="2499"/>
      <c r="BJ116" s="2499"/>
      <c r="BL116" s="2499"/>
      <c r="BM116" s="2499"/>
      <c r="BN116" s="2499"/>
      <c r="BO116" s="1509" t="s">
        <v>772</v>
      </c>
      <c r="BP116" s="2499"/>
      <c r="BQ116" s="2499"/>
      <c r="BR116" s="2499"/>
      <c r="BS116" s="2499"/>
    </row>
    <row r="117" spans="1:72" ht="17.399999999999999">
      <c r="A117" s="55" t="s">
        <v>2095</v>
      </c>
      <c r="B117" s="55"/>
      <c r="C117" s="55"/>
      <c r="D117" s="55"/>
      <c r="E117" s="1631"/>
      <c r="F117" s="1631"/>
      <c r="G117" s="1452" t="s">
        <v>1707</v>
      </c>
      <c r="H117" s="232">
        <v>19</v>
      </c>
      <c r="I117" s="2570" t="s">
        <v>2262</v>
      </c>
      <c r="J117" s="2571" t="s">
        <v>2091</v>
      </c>
      <c r="K117" s="2571"/>
      <c r="L117" s="2571"/>
      <c r="M117" s="2570"/>
      <c r="N117" s="2572"/>
      <c r="O117" s="1430">
        <f t="array" ref="O117:AL117">TRANSPOSE(ОТЧЁТ!ED372:ED395)</f>
        <v>514.85530000000006</v>
      </c>
      <c r="P117" s="249">
        <v>622.76160000000016</v>
      </c>
      <c r="Q117" s="249">
        <v>685.29009999999994</v>
      </c>
      <c r="R117" s="249">
        <v>807.4396999999999</v>
      </c>
      <c r="S117" s="249">
        <v>2129.4647999999997</v>
      </c>
      <c r="T117" s="249">
        <v>3419.3656999999998</v>
      </c>
      <c r="U117" s="249">
        <v>3757.9725999999996</v>
      </c>
      <c r="V117" s="249">
        <v>4220.6663999999982</v>
      </c>
      <c r="W117" s="249">
        <v>5224.5250999999989</v>
      </c>
      <c r="X117" s="249">
        <v>6554.3608999999979</v>
      </c>
      <c r="Y117" s="249">
        <v>8334.9118999999992</v>
      </c>
      <c r="Z117" s="249">
        <v>10048.0623</v>
      </c>
      <c r="AA117" s="249">
        <v>11346.638300000001</v>
      </c>
      <c r="AB117" s="249">
        <v>14668.053799999998</v>
      </c>
      <c r="AC117" s="249">
        <v>10210.714599999998</v>
      </c>
      <c r="AD117" s="249">
        <v>14849.832000000011</v>
      </c>
      <c r="AE117" s="249">
        <v>20565.427600000003</v>
      </c>
      <c r="AF117" s="249">
        <v>22468.884300000005</v>
      </c>
      <c r="AG117" s="249">
        <v>22328.994099999989</v>
      </c>
      <c r="AH117" s="249">
        <v>25406.479199999991</v>
      </c>
      <c r="AI117" s="249">
        <v>28559.893</v>
      </c>
      <c r="AJ117" s="249">
        <v>27631.494999999999</v>
      </c>
      <c r="AK117" s="249">
        <v>30155.721999999994</v>
      </c>
      <c r="AL117" s="249">
        <v>37948.993999999992</v>
      </c>
      <c r="AM117" s="249">
        <f>AM22*AM116</f>
        <v>37768.73095249461</v>
      </c>
      <c r="AN117" s="249">
        <f t="shared" ref="AN117:BC117" si="35">AN22*AN116</f>
        <v>40918.880382251082</v>
      </c>
      <c r="AO117" s="249">
        <f t="shared" si="35"/>
        <v>44210.660153062825</v>
      </c>
      <c r="AP117" s="249">
        <f t="shared" si="35"/>
        <v>47669.589769566235</v>
      </c>
      <c r="AQ117" s="249">
        <f t="shared" si="35"/>
        <v>51351.33032659586</v>
      </c>
      <c r="AR117" s="249">
        <f t="shared" si="35"/>
        <v>55302.31422842374</v>
      </c>
      <c r="AS117" s="249">
        <f t="shared" si="35"/>
        <v>59564.10999615163</v>
      </c>
      <c r="AT117" s="249">
        <f t="shared" si="35"/>
        <v>64176.318564498994</v>
      </c>
      <c r="AU117" s="249">
        <f t="shared" si="35"/>
        <v>69178.542203175195</v>
      </c>
      <c r="AV117" s="249">
        <f t="shared" si="35"/>
        <v>74611.772324890291</v>
      </c>
      <c r="AW117" s="249">
        <f t="shared" si="35"/>
        <v>80519.418411111459</v>
      </c>
      <c r="AX117" s="249">
        <f t="shared" si="35"/>
        <v>86948.12133700632</v>
      </c>
      <c r="AY117" s="249">
        <f t="shared" si="35"/>
        <v>93948.444142035121</v>
      </c>
      <c r="AZ117" s="249">
        <f t="shared" si="35"/>
        <v>101575.50136704383</v>
      </c>
      <c r="BA117" s="249">
        <f t="shared" si="35"/>
        <v>109889.56784281164</v>
      </c>
      <c r="BB117" s="249">
        <f t="shared" si="35"/>
        <v>118956.69505504586</v>
      </c>
      <c r="BC117" s="249">
        <f t="shared" si="35"/>
        <v>128849.35524322341</v>
      </c>
      <c r="BD117" s="2039" t="str">
        <f t="shared" si="27"/>
        <v>EXM</v>
      </c>
      <c r="BH117" s="1509" t="s">
        <v>1999</v>
      </c>
      <c r="BI117" s="2499"/>
      <c r="BJ117" s="2499"/>
      <c r="BL117" s="2499"/>
      <c r="BM117" s="2499"/>
      <c r="BN117" s="2499"/>
      <c r="BO117" s="1509" t="s">
        <v>1998</v>
      </c>
      <c r="BP117" s="2499"/>
      <c r="BQ117" s="2499"/>
      <c r="BR117" s="2499"/>
      <c r="BS117" s="2499"/>
    </row>
    <row r="118" spans="1:72" ht="17.399999999999999">
      <c r="A118" s="55"/>
      <c r="B118" s="55"/>
      <c r="C118" s="55"/>
      <c r="D118" s="55"/>
      <c r="E118" s="1631"/>
      <c r="F118" s="1631"/>
      <c r="G118" s="1452"/>
      <c r="H118" s="232"/>
      <c r="I118" s="2570"/>
      <c r="J118" s="2571"/>
      <c r="K118" s="2571"/>
      <c r="L118" s="2571"/>
      <c r="M118" s="2570"/>
      <c r="N118" s="2572"/>
      <c r="O118" s="30"/>
      <c r="P118" s="35"/>
      <c r="Q118" s="35"/>
      <c r="R118" s="35"/>
      <c r="S118" s="35"/>
      <c r="T118" s="35"/>
      <c r="U118" s="35"/>
      <c r="V118" s="35"/>
      <c r="W118" s="35"/>
      <c r="X118" s="35"/>
      <c r="Y118" s="35"/>
      <c r="Z118" s="35"/>
      <c r="AA118" s="35"/>
      <c r="AB118" s="35"/>
      <c r="AC118" s="35"/>
      <c r="AD118" s="35"/>
      <c r="AE118" s="35"/>
      <c r="AF118" s="35"/>
      <c r="AG118" s="35"/>
      <c r="AH118" s="35"/>
      <c r="AI118" s="35"/>
      <c r="AJ118" s="35"/>
      <c r="AK118" s="35"/>
      <c r="AL118" s="35"/>
      <c r="AM118" s="35"/>
      <c r="AN118" s="35"/>
      <c r="AO118" s="35"/>
      <c r="AP118" s="35"/>
      <c r="AQ118" s="35"/>
      <c r="AR118" s="35"/>
      <c r="AS118" s="35"/>
      <c r="AT118" s="35"/>
      <c r="AU118" s="35"/>
      <c r="AV118" s="35"/>
      <c r="AW118" s="35"/>
      <c r="AX118" s="35"/>
      <c r="AY118" s="35"/>
      <c r="AZ118" s="35"/>
      <c r="BA118" s="35"/>
      <c r="BB118" s="35"/>
      <c r="BC118" s="35"/>
      <c r="BD118" s="2710">
        <f t="shared" si="27"/>
        <v>0</v>
      </c>
      <c r="BH118" s="1509"/>
      <c r="BI118" s="2499"/>
      <c r="BJ118" s="2499"/>
      <c r="BL118" s="2499"/>
      <c r="BM118" s="2499"/>
      <c r="BN118" s="2499"/>
      <c r="BO118" s="1509"/>
      <c r="BP118" s="2499"/>
      <c r="BQ118" s="2499"/>
      <c r="BR118" s="2499"/>
      <c r="BS118" s="2499"/>
    </row>
    <row r="119" spans="1:72" ht="17.399999999999999">
      <c r="A119" s="55" t="s">
        <v>2096</v>
      </c>
      <c r="B119" s="55"/>
      <c r="C119" s="55"/>
      <c r="D119" s="55"/>
      <c r="E119" s="1631"/>
      <c r="F119" s="1631"/>
      <c r="G119" s="1452" t="s">
        <v>658</v>
      </c>
      <c r="H119" s="232">
        <v>21</v>
      </c>
      <c r="I119" s="2570" t="s">
        <v>2118</v>
      </c>
      <c r="J119" s="2571" t="s">
        <v>1986</v>
      </c>
      <c r="K119" s="2571"/>
      <c r="L119" s="2571"/>
      <c r="M119" s="2570"/>
      <c r="N119" s="2572"/>
      <c r="O119" s="1430">
        <f>ОТЧЁТ!U194</f>
        <v>369.90269999999998</v>
      </c>
      <c r="P119" s="247">
        <f>ОТЧЁТ!V194</f>
        <v>374.71143509999996</v>
      </c>
      <c r="Q119" s="247">
        <f>ОТЧЁТ!W194</f>
        <v>376.21028084039995</v>
      </c>
      <c r="R119" s="247">
        <f>ОТЧЁТ!X194</f>
        <v>310.74969197417033</v>
      </c>
      <c r="S119" s="247">
        <f>ОТЧЁТ!Y194</f>
        <v>257.92224433856137</v>
      </c>
      <c r="T119" s="247">
        <f>ОТЧЁТ!Z194</f>
        <v>341.48905150425526</v>
      </c>
      <c r="U119" s="247">
        <f>ОТЧЁТ!AA194</f>
        <v>405.34750413555099</v>
      </c>
      <c r="V119" s="247">
        <f>ОТЧЁТ!AB194</f>
        <v>464.52823973934142</v>
      </c>
      <c r="W119" s="247">
        <f>ОТЧЁТ!AC194</f>
        <v>544.89162521424748</v>
      </c>
      <c r="X119" s="247">
        <f>ОТЧЁТ!AD194</f>
        <v>671.85137388916723</v>
      </c>
      <c r="Y119" s="247">
        <f>ОТЧЁТ!AE194</f>
        <v>783.37870195476899</v>
      </c>
      <c r="Z119" s="247">
        <f>ОТЧЁТ!AF194</f>
        <v>950.23836547113478</v>
      </c>
      <c r="AA119" s="247">
        <f>ОТЧЁТ!AG194</f>
        <v>1199.2008172245721</v>
      </c>
      <c r="AB119" s="247">
        <f>ОТЧЁТ!AH194</f>
        <v>1376.6825381738088</v>
      </c>
      <c r="AC119" s="247">
        <f>ОТЧЁТ!AI194</f>
        <v>958.17104656897084</v>
      </c>
      <c r="AD119" s="247">
        <f>ОТЧЁТ!AJ194</f>
        <v>1205.3791765837652</v>
      </c>
      <c r="AE119" s="247">
        <f>ОТЧЁТ!AK194</f>
        <v>1450.0711494302695</v>
      </c>
      <c r="AF119" s="247">
        <f>ОТЧЁТ!AL194</f>
        <v>1590.7280509250056</v>
      </c>
      <c r="AG119" s="247">
        <f>ОТЧЁТ!AM194</f>
        <v>1646.4035327073807</v>
      </c>
      <c r="AH119" s="247">
        <f>ОТЧЁТ!AN194</f>
        <v>1526.2160748197421</v>
      </c>
      <c r="AI119" s="247">
        <f>ОТЧЁТ!AO194</f>
        <v>1143.1358400399868</v>
      </c>
      <c r="AJ119" s="247">
        <f>ОТЧЁТ!AP194</f>
        <v>1101.9829497985472</v>
      </c>
      <c r="AK119" s="247">
        <f>ОТЧЁТ!AQ194</f>
        <v>1293.7279830634943</v>
      </c>
      <c r="AL119" s="247">
        <f>ОТЧЁТ!AR194</f>
        <v>1328.6586386062086</v>
      </c>
      <c r="AM119" s="249">
        <f ca="1">AM13*AM88</f>
        <v>1390.6416307691729</v>
      </c>
      <c r="AN119" s="249">
        <f t="shared" ref="AN119:BC119" ca="1" si="36">AN13*AN88</f>
        <v>1434.7221822418351</v>
      </c>
      <c r="AO119" s="249">
        <f t="shared" ca="1" si="36"/>
        <v>1506.4771049988587</v>
      </c>
      <c r="AP119" s="249">
        <f t="shared" ca="1" si="36"/>
        <v>1566.1532838003432</v>
      </c>
      <c r="AQ119" s="249">
        <f t="shared" ca="1" si="36"/>
        <v>1625.5880043633108</v>
      </c>
      <c r="AR119" s="249">
        <f t="shared" ca="1" si="36"/>
        <v>1686.0362108019563</v>
      </c>
      <c r="AS119" s="249">
        <f t="shared" ca="1" si="36"/>
        <v>1748.3338912389893</v>
      </c>
      <c r="AT119" s="249">
        <f t="shared" ca="1" si="36"/>
        <v>1813.0620192841955</v>
      </c>
      <c r="AU119" s="249">
        <f t="shared" ca="1" si="36"/>
        <v>1880.6477764182082</v>
      </c>
      <c r="AV119" s="249">
        <f t="shared" ca="1" si="36"/>
        <v>1951.4271458735684</v>
      </c>
      <c r="AW119" s="249">
        <f t="shared" ca="1" si="36"/>
        <v>2025.6837099855345</v>
      </c>
      <c r="AX119" s="249">
        <f t="shared" ca="1" si="36"/>
        <v>2103.6727862979637</v>
      </c>
      <c r="AY119" s="249">
        <f t="shared" ca="1" si="36"/>
        <v>2185.636531320019</v>
      </c>
      <c r="AZ119" s="249">
        <f t="shared" ca="1" si="36"/>
        <v>2271.8134818028038</v>
      </c>
      <c r="BA119" s="249">
        <f t="shared" ca="1" si="36"/>
        <v>2362.4446735208016</v>
      </c>
      <c r="BB119" s="249">
        <f t="shared" ca="1" si="36"/>
        <v>2457.7776580887034</v>
      </c>
      <c r="BC119" s="249">
        <f t="shared" ca="1" si="36"/>
        <v>2558.0692332336289</v>
      </c>
      <c r="BD119" s="2039" t="str">
        <f t="shared" si="27"/>
        <v>IMS</v>
      </c>
      <c r="BH119" s="1509"/>
      <c r="BI119" s="2499"/>
      <c r="BJ119" s="2499"/>
      <c r="BL119" s="2499"/>
      <c r="BM119" s="2499"/>
      <c r="BN119" s="2499"/>
      <c r="BO119" s="1509" t="s">
        <v>2004</v>
      </c>
      <c r="BP119" s="2499"/>
      <c r="BQ119" s="2499"/>
      <c r="BR119" s="2499"/>
      <c r="BS119" s="2499"/>
    </row>
    <row r="120" spans="1:72" ht="17.399999999999999">
      <c r="A120" s="55" t="s">
        <v>2047</v>
      </c>
      <c r="B120" s="55"/>
      <c r="C120" s="55"/>
      <c r="D120" s="55"/>
      <c r="E120" s="1631"/>
      <c r="F120" s="1631"/>
      <c r="G120" s="1452" t="s">
        <v>1894</v>
      </c>
      <c r="H120" s="232">
        <v>22</v>
      </c>
      <c r="I120" s="2570" t="s">
        <v>2119</v>
      </c>
      <c r="J120" s="2571" t="s">
        <v>2092</v>
      </c>
      <c r="K120" s="2571"/>
      <c r="L120" s="2571"/>
      <c r="M120" s="2570"/>
      <c r="N120" s="2572"/>
      <c r="O120" s="1430">
        <f t="shared" ref="O120:BC120" si="37">0.25*O12+0.75*O14</f>
        <v>1.65</v>
      </c>
      <c r="P120" s="248">
        <f t="shared" si="37"/>
        <v>2.0634999999999999</v>
      </c>
      <c r="Q120" s="248">
        <f t="shared" si="37"/>
        <v>2.3889849999999999</v>
      </c>
      <c r="R120" s="248">
        <f t="shared" si="37"/>
        <v>4.2947883400000002</v>
      </c>
      <c r="S120" s="248">
        <f t="shared" si="37"/>
        <v>8.7072610841000007</v>
      </c>
      <c r="T120" s="248">
        <f t="shared" si="37"/>
        <v>10.1028178230882</v>
      </c>
      <c r="U120" s="248">
        <f t="shared" si="37"/>
        <v>10.930931938182606</v>
      </c>
      <c r="V120" s="248">
        <f t="shared" si="37"/>
        <v>12.025335160848179</v>
      </c>
      <c r="W120" s="248">
        <f t="shared" si="37"/>
        <v>12.362875380149962</v>
      </c>
      <c r="X120" s="248">
        <f t="shared" si="37"/>
        <v>12.441649299627507</v>
      </c>
      <c r="Y120" s="248">
        <f t="shared" si="37"/>
        <v>12.885216573286904</v>
      </c>
      <c r="Z120" s="248">
        <f t="shared" si="37"/>
        <v>13.125636064882727</v>
      </c>
      <c r="AA120" s="248">
        <f t="shared" si="37"/>
        <v>13.479879315784306</v>
      </c>
      <c r="AB120" s="248">
        <f t="shared" si="37"/>
        <v>14.240751288920462</v>
      </c>
      <c r="AC120" s="248">
        <f t="shared" si="37"/>
        <v>16.689517402345462</v>
      </c>
      <c r="AD120" s="248">
        <f t="shared" si="37"/>
        <v>17.088688530271398</v>
      </c>
      <c r="AE120" s="248">
        <f t="shared" si="37"/>
        <v>17.42560853061795</v>
      </c>
      <c r="AF120" s="248">
        <f t="shared" si="37"/>
        <v>18.511248071932613</v>
      </c>
      <c r="AG120" s="248">
        <f t="shared" si="37"/>
        <v>19.396558572572268</v>
      </c>
      <c r="AH120" s="248">
        <f t="shared" si="37"/>
        <v>21.171590538442096</v>
      </c>
      <c r="AI120" s="248">
        <f t="shared" si="37"/>
        <v>28.729683217901126</v>
      </c>
      <c r="AJ120" s="248">
        <f t="shared" si="37"/>
        <v>33.675109643345991</v>
      </c>
      <c r="AK120" s="248">
        <f t="shared" si="37"/>
        <v>31.008032895393978</v>
      </c>
      <c r="AL120" s="248">
        <f t="shared" si="37"/>
        <v>30.917946096737758</v>
      </c>
      <c r="AM120" s="248">
        <f t="shared" si="37"/>
        <v>34.387591658078591</v>
      </c>
      <c r="AN120" s="248">
        <f t="shared" si="37"/>
        <v>33.33077815849024</v>
      </c>
      <c r="AO120" s="248">
        <f t="shared" si="37"/>
        <v>37.216067066414759</v>
      </c>
      <c r="AP120" s="248">
        <f t="shared" si="37"/>
        <v>38.478495419735495</v>
      </c>
      <c r="AQ120" s="248">
        <f t="shared" si="37"/>
        <v>39.787795190722271</v>
      </c>
      <c r="AR120" s="248">
        <f t="shared" si="37"/>
        <v>41.146309950258384</v>
      </c>
      <c r="AS120" s="248">
        <f t="shared" si="37"/>
        <v>42.556500447771299</v>
      </c>
      <c r="AT120" s="248">
        <f t="shared" si="37"/>
        <v>44.020950470159868</v>
      </c>
      <c r="AU120" s="248">
        <f t="shared" si="37"/>
        <v>45.542372993667861</v>
      </c>
      <c r="AV120" s="248">
        <f t="shared" si="37"/>
        <v>47.123616643351255</v>
      </c>
      <c r="AW120" s="248">
        <f t="shared" si="37"/>
        <v>48.767672475518822</v>
      </c>
      <c r="AX120" s="248">
        <f t="shared" si="37"/>
        <v>50.477681099294756</v>
      </c>
      <c r="AY120" s="248">
        <f t="shared" si="37"/>
        <v>52.256940154259503</v>
      </c>
      <c r="AZ120" s="248">
        <f t="shared" si="37"/>
        <v>54.108912161972484</v>
      </c>
      <c r="BA120" s="248">
        <f t="shared" si="37"/>
        <v>56.037232770071107</v>
      </c>
      <c r="BB120" s="248">
        <f t="shared" si="37"/>
        <v>58.045719408574669</v>
      </c>
      <c r="BC120" s="248">
        <f t="shared" si="37"/>
        <v>60.138380379003401</v>
      </c>
      <c r="BD120" s="2039" t="str">
        <f t="shared" si="27"/>
        <v>FA</v>
      </c>
      <c r="BH120" s="1509"/>
      <c r="BI120" s="2499"/>
      <c r="BJ120" s="2499"/>
      <c r="BL120" s="2499"/>
      <c r="BM120" s="2499"/>
      <c r="BN120" s="2499"/>
      <c r="BO120" s="1509" t="s">
        <v>1727</v>
      </c>
      <c r="BP120" s="2499"/>
      <c r="BQ120" s="2499"/>
      <c r="BR120" s="2499"/>
      <c r="BS120" s="2499"/>
    </row>
    <row r="121" spans="1:72" ht="17.399999999999999">
      <c r="A121" s="1631" t="s">
        <v>921</v>
      </c>
      <c r="B121" s="55"/>
      <c r="C121" s="55"/>
      <c r="D121" s="55"/>
      <c r="E121" s="1631"/>
      <c r="F121" s="1631"/>
      <c r="G121" s="1452"/>
      <c r="H121" s="232"/>
      <c r="I121" s="2570"/>
      <c r="J121" s="2571"/>
      <c r="K121" s="2571"/>
      <c r="L121" s="2571"/>
      <c r="M121" s="2570"/>
      <c r="N121" s="2572"/>
      <c r="O121" s="1430"/>
      <c r="P121" s="248"/>
      <c r="Q121" s="248"/>
      <c r="R121" s="248"/>
      <c r="S121" s="248"/>
      <c r="T121" s="248"/>
      <c r="U121" s="248"/>
      <c r="V121" s="248"/>
      <c r="W121" s="248"/>
      <c r="X121" s="248"/>
      <c r="Y121" s="248"/>
      <c r="Z121" s="248"/>
      <c r="AA121" s="248"/>
      <c r="AB121" s="248"/>
      <c r="AC121" s="248"/>
      <c r="AD121" s="248"/>
      <c r="AE121" s="248"/>
      <c r="AF121" s="248"/>
      <c r="AG121" s="248"/>
      <c r="AH121" s="248"/>
      <c r="AI121" s="248"/>
      <c r="AJ121" s="248"/>
      <c r="AK121" s="248"/>
      <c r="AL121" s="248"/>
      <c r="AM121" s="248"/>
      <c r="AN121" s="248"/>
      <c r="AO121" s="248"/>
      <c r="AP121" s="248"/>
      <c r="AQ121" s="248"/>
      <c r="AR121" s="248"/>
      <c r="AS121" s="248"/>
      <c r="AT121" s="248"/>
      <c r="AU121" s="248"/>
      <c r="AV121" s="248"/>
      <c r="AW121" s="248"/>
      <c r="AX121" s="248"/>
      <c r="AY121" s="248"/>
      <c r="AZ121" s="248"/>
      <c r="BA121" s="248"/>
      <c r="BB121" s="248"/>
      <c r="BC121" s="248"/>
      <c r="BD121" s="2039">
        <f t="shared" si="27"/>
        <v>0</v>
      </c>
      <c r="BH121" s="1509"/>
      <c r="BI121" s="2499"/>
      <c r="BJ121" s="2499"/>
      <c r="BL121" s="2499"/>
      <c r="BM121" s="2499"/>
      <c r="BN121" s="2499"/>
      <c r="BO121" s="1509"/>
      <c r="BP121" s="2499"/>
      <c r="BQ121" s="2499"/>
      <c r="BR121" s="2499"/>
      <c r="BS121" s="2499"/>
    </row>
    <row r="122" spans="1:72" ht="17.399999999999999" hidden="1">
      <c r="A122" s="55"/>
      <c r="B122" s="55"/>
      <c r="C122" s="55"/>
      <c r="D122" s="55"/>
      <c r="E122" s="1631"/>
      <c r="F122" s="1631"/>
      <c r="G122" s="1452"/>
      <c r="H122" s="232">
        <v>24</v>
      </c>
      <c r="I122" s="2570" t="s">
        <v>1711</v>
      </c>
      <c r="J122" s="2571"/>
      <c r="K122" s="2571"/>
      <c r="L122" s="2571"/>
      <c r="M122" s="2570"/>
      <c r="N122" s="2572"/>
      <c r="O122" s="1430"/>
      <c r="P122" s="249"/>
      <c r="Q122" s="249"/>
      <c r="R122" s="249"/>
      <c r="S122" s="249"/>
      <c r="T122" s="249"/>
      <c r="U122" s="249"/>
      <c r="V122" s="249"/>
      <c r="W122" s="249"/>
      <c r="X122" s="249"/>
      <c r="Y122" s="249"/>
      <c r="Z122" s="249"/>
      <c r="AA122" s="249"/>
      <c r="AB122" s="249"/>
      <c r="AC122" s="249"/>
      <c r="AD122" s="249"/>
      <c r="AE122" s="249"/>
      <c r="AF122" s="249"/>
      <c r="AG122" s="249"/>
      <c r="AH122" s="249"/>
      <c r="AI122" s="249"/>
      <c r="AJ122" s="249"/>
      <c r="AK122" s="249"/>
      <c r="AL122" s="249"/>
      <c r="AM122" s="249"/>
      <c r="AN122" s="249"/>
      <c r="AO122" s="249"/>
      <c r="AP122" s="249"/>
      <c r="AQ122" s="249"/>
      <c r="AR122" s="249"/>
      <c r="AS122" s="249"/>
      <c r="AT122" s="249"/>
      <c r="AU122" s="249"/>
      <c r="AV122" s="249"/>
      <c r="AW122" s="249"/>
      <c r="AX122" s="249"/>
      <c r="AY122" s="249"/>
      <c r="AZ122" s="249"/>
      <c r="BA122" s="249"/>
      <c r="BB122" s="249"/>
      <c r="BC122" s="249"/>
      <c r="BD122" s="2039">
        <f t="shared" si="27"/>
        <v>0</v>
      </c>
      <c r="BH122" s="1509"/>
      <c r="BI122" s="2499"/>
      <c r="BJ122" s="669"/>
      <c r="BK122" s="2498" t="s">
        <v>2016</v>
      </c>
      <c r="BL122" s="669"/>
      <c r="BM122" s="669"/>
      <c r="BN122" s="669"/>
      <c r="BO122" s="669"/>
      <c r="BP122" s="669"/>
      <c r="BQ122" s="669"/>
      <c r="BR122" s="669"/>
      <c r="BS122" s="669"/>
    </row>
    <row r="123" spans="1:72" ht="17.399999999999999" hidden="1">
      <c r="A123" s="55"/>
      <c r="B123" s="55"/>
      <c r="C123" s="55"/>
      <c r="D123" s="55"/>
      <c r="E123" s="1631"/>
      <c r="F123" s="1631"/>
      <c r="G123" s="1452"/>
      <c r="H123" s="232">
        <v>25</v>
      </c>
      <c r="I123" s="2570" t="s">
        <v>1711</v>
      </c>
      <c r="J123" s="2571"/>
      <c r="K123" s="2571"/>
      <c r="L123" s="2571"/>
      <c r="M123" s="2570"/>
      <c r="N123" s="2572"/>
      <c r="O123" s="1430"/>
      <c r="P123" s="249"/>
      <c r="Q123" s="249"/>
      <c r="R123" s="249"/>
      <c r="S123" s="249"/>
      <c r="T123" s="249"/>
      <c r="U123" s="249"/>
      <c r="V123" s="249"/>
      <c r="W123" s="249"/>
      <c r="X123" s="249"/>
      <c r="Y123" s="249"/>
      <c r="Z123" s="249"/>
      <c r="AA123" s="249"/>
      <c r="AB123" s="249"/>
      <c r="AC123" s="249"/>
      <c r="AD123" s="249"/>
      <c r="AE123" s="249"/>
      <c r="AF123" s="249"/>
      <c r="AG123" s="249"/>
      <c r="AH123" s="249"/>
      <c r="AI123" s="249"/>
      <c r="AJ123" s="249"/>
      <c r="AK123" s="249"/>
      <c r="AL123" s="249"/>
      <c r="AM123" s="249"/>
      <c r="AN123" s="249"/>
      <c r="AO123" s="249"/>
      <c r="AP123" s="249"/>
      <c r="AQ123" s="249"/>
      <c r="AR123" s="249"/>
      <c r="AS123" s="249"/>
      <c r="AT123" s="249"/>
      <c r="AU123" s="249"/>
      <c r="AV123" s="249"/>
      <c r="AW123" s="249"/>
      <c r="AX123" s="249"/>
      <c r="AY123" s="249"/>
      <c r="AZ123" s="249"/>
      <c r="BA123" s="249"/>
      <c r="BB123" s="249"/>
      <c r="BC123" s="249"/>
      <c r="BD123" s="2039">
        <f t="shared" si="27"/>
        <v>0</v>
      </c>
      <c r="BH123" s="1509"/>
      <c r="BI123" s="2499"/>
      <c r="BJ123" s="2499"/>
      <c r="BL123" s="2499"/>
      <c r="BM123" s="2499"/>
      <c r="BN123" s="2499"/>
      <c r="BO123" s="1509"/>
      <c r="BP123" s="2499"/>
      <c r="BQ123" s="2499"/>
      <c r="BR123" s="2499"/>
      <c r="BS123" s="2499"/>
    </row>
    <row r="124" spans="1:72" ht="17.399999999999999">
      <c r="A124" s="1631" t="s">
        <v>704</v>
      </c>
      <c r="B124" s="55"/>
      <c r="C124" s="55"/>
      <c r="D124" s="55"/>
      <c r="E124" s="1631"/>
      <c r="F124" s="1631"/>
      <c r="G124" s="1452" t="s">
        <v>401</v>
      </c>
      <c r="H124" s="232">
        <v>26</v>
      </c>
      <c r="I124" s="2570" t="s">
        <v>2120</v>
      </c>
      <c r="J124" s="2571" t="s">
        <v>1989</v>
      </c>
      <c r="K124" s="2571"/>
      <c r="L124" s="2571"/>
      <c r="M124" s="2570"/>
      <c r="N124" s="2572"/>
      <c r="O124" s="1430">
        <f>ОТЧЁТ!U52</f>
        <v>369.90269999999998</v>
      </c>
      <c r="P124" s="247">
        <f>ОТЧЁТ!V52</f>
        <v>438.69400000000002</v>
      </c>
      <c r="Q124" s="247">
        <f>ОТЧЁТ!W52</f>
        <v>527.71100000000001</v>
      </c>
      <c r="R124" s="247">
        <f>ОТЧЁТ!X52</f>
        <v>645.63400000000001</v>
      </c>
      <c r="S124" s="247">
        <f>ОТЧЁТ!Y52</f>
        <v>1262.3489999999999</v>
      </c>
      <c r="T124" s="247">
        <f>ОТЧЁТ!Z52</f>
        <v>1755.8040000000001</v>
      </c>
      <c r="U124" s="247">
        <f>ОТЧЁТ!AA52</f>
        <v>2165.9279999999999</v>
      </c>
      <c r="V124" s="247">
        <f>ОТЧЁТ!AB52</f>
        <v>2646.2040000000002</v>
      </c>
      <c r="W124" s="247">
        <f>ОТЧЁТ!AC52</f>
        <v>3153.9</v>
      </c>
      <c r="X124" s="247">
        <f>ОТЧЁТ!AD52</f>
        <v>3773.9</v>
      </c>
      <c r="Y124" s="247">
        <f>ОТЧЁТ!AE52</f>
        <v>4648.3</v>
      </c>
      <c r="Z124" s="247">
        <f>ОТЧЁТ!AF52</f>
        <v>5653.4198999999999</v>
      </c>
      <c r="AA124" s="247">
        <f>ОТЧЁТ!AG52</f>
        <v>7162.2107999999998</v>
      </c>
      <c r="AB124" s="247">
        <f>ОТЧЁТ!AH52</f>
        <v>9110.9865000000009</v>
      </c>
      <c r="AC124" s="247">
        <f>ОТЧЁТ!AI52</f>
        <v>7954.3271000000004</v>
      </c>
      <c r="AD124" s="247">
        <f>ОТЧЁТ!AJ52</f>
        <v>9789.6139999999996</v>
      </c>
      <c r="AE124" s="247">
        <f>ОТЧЁТ!AK52</f>
        <v>12010.7569</v>
      </c>
      <c r="AF124" s="247">
        <f>ОТЧЁТ!AL52</f>
        <v>13786.8717</v>
      </c>
      <c r="AG124" s="247">
        <f>ОТЧЁТ!AM52</f>
        <v>14919.620800000001</v>
      </c>
      <c r="AH124" s="247">
        <f>ОТЧЁТ!AN52</f>
        <v>16351.5355</v>
      </c>
      <c r="AI124" s="247">
        <f>ОТЧЁТ!AO52</f>
        <v>17153.419999999998</v>
      </c>
      <c r="AJ124" s="247">
        <f>ОТЧЁТ!AP52</f>
        <v>17689.044000000002</v>
      </c>
      <c r="AK124" s="247">
        <f>ОТЧЁТ!AQ52</f>
        <v>19072.95</v>
      </c>
      <c r="AL124" s="247">
        <f>ОТЧЁТ!AR52</f>
        <v>21574.3</v>
      </c>
      <c r="AM124" s="249">
        <f ca="1">AM27*AM119</f>
        <v>25640.734380293674</v>
      </c>
      <c r="AN124" s="249">
        <f t="shared" ref="AN124:BC124" ca="1" si="38">AN27*AN119</f>
        <v>28406.526924412959</v>
      </c>
      <c r="AO124" s="249">
        <f t="shared" ca="1" si="38"/>
        <v>30351.884464371291</v>
      </c>
      <c r="AP124" s="249">
        <f t="shared" ca="1" si="38"/>
        <v>32749.208977862472</v>
      </c>
      <c r="AQ124" s="249">
        <f t="shared" ca="1" si="38"/>
        <v>35278.418883987208</v>
      </c>
      <c r="AR124" s="249">
        <f t="shared" ca="1" si="38"/>
        <v>37974.643708385534</v>
      </c>
      <c r="AS124" s="249">
        <f t="shared" ca="1" si="38"/>
        <v>40867.914650062667</v>
      </c>
      <c r="AT124" s="249">
        <f t="shared" ca="1" si="38"/>
        <v>43985.723064046746</v>
      </c>
      <c r="AU124" s="249">
        <f t="shared" ca="1" si="38"/>
        <v>47354.730263102982</v>
      </c>
      <c r="AV124" s="249">
        <f t="shared" ca="1" si="38"/>
        <v>51001.941579764993</v>
      </c>
      <c r="AW124" s="249">
        <f t="shared" ca="1" si="38"/>
        <v>54955.54564837028</v>
      </c>
      <c r="AX124" s="249">
        <f t="shared" ca="1" si="38"/>
        <v>59245.548310103972</v>
      </c>
      <c r="AY124" s="249">
        <f t="shared" ca="1" si="38"/>
        <v>63904.284855152713</v>
      </c>
      <c r="AZ124" s="249">
        <f t="shared" ca="1" si="38"/>
        <v>68966.865182533758</v>
      </c>
      <c r="BA124" s="249">
        <f t="shared" ca="1" si="38"/>
        <v>74471.587923891377</v>
      </c>
      <c r="BB124" s="249">
        <f t="shared" ca="1" si="38"/>
        <v>80460.347833868276</v>
      </c>
      <c r="BC124" s="249">
        <f t="shared" ca="1" si="38"/>
        <v>86979.053361668019</v>
      </c>
      <c r="BD124" s="2039" t="str">
        <f t="shared" si="27"/>
        <v>IM</v>
      </c>
      <c r="BH124" s="1509"/>
      <c r="BI124" s="2499"/>
      <c r="BJ124" s="669"/>
      <c r="BK124" s="2498" t="s">
        <v>2018</v>
      </c>
      <c r="BL124" s="669"/>
      <c r="BM124" s="669"/>
      <c r="BN124" s="669"/>
      <c r="BO124" s="669"/>
      <c r="BP124" s="669"/>
      <c r="BQ124" s="669"/>
      <c r="BR124" s="669"/>
      <c r="BS124" s="669"/>
    </row>
    <row r="125" spans="1:72" ht="17.399999999999999">
      <c r="A125" s="1631" t="s">
        <v>2097</v>
      </c>
      <c r="B125" s="55"/>
      <c r="C125" s="55"/>
      <c r="D125" s="55"/>
      <c r="E125" s="1631"/>
      <c r="F125" s="1631"/>
      <c r="G125" s="1452" t="s">
        <v>425</v>
      </c>
      <c r="H125" s="232">
        <v>27</v>
      </c>
      <c r="I125" s="2570" t="s">
        <v>2121</v>
      </c>
      <c r="J125" s="2571" t="s">
        <v>2093</v>
      </c>
      <c r="K125" s="2571"/>
      <c r="L125" s="2571"/>
      <c r="M125" s="2570"/>
      <c r="N125" s="2572"/>
      <c r="O125" s="1430">
        <v>1428.5209000000002</v>
      </c>
      <c r="P125" s="247">
        <f t="shared" ref="P125:BC125" si="39">P102+P106+P109+P115+P117-P124+P9</f>
        <v>2007.8252000000002</v>
      </c>
      <c r="Q125" s="247">
        <f t="shared" si="39"/>
        <v>2342.5136999999995</v>
      </c>
      <c r="R125" s="247">
        <f t="shared" si="39"/>
        <v>2629.6228999999998</v>
      </c>
      <c r="S125" s="247">
        <f t="shared" si="39"/>
        <v>4823.2328999999991</v>
      </c>
      <c r="T125" s="247">
        <f t="shared" si="39"/>
        <v>7305.6466</v>
      </c>
      <c r="U125" s="247">
        <f t="shared" si="39"/>
        <v>8943.5825999999997</v>
      </c>
      <c r="V125" s="247">
        <f t="shared" si="39"/>
        <v>10819.270899999998</v>
      </c>
      <c r="W125" s="247">
        <f t="shared" si="39"/>
        <v>13208.250299999998</v>
      </c>
      <c r="X125" s="247">
        <f t="shared" si="39"/>
        <v>17027.166999999998</v>
      </c>
      <c r="Y125" s="247">
        <f t="shared" si="39"/>
        <v>21609.765799999997</v>
      </c>
      <c r="Z125" s="247">
        <f t="shared" si="39"/>
        <v>26917.203699999998</v>
      </c>
      <c r="AA125" s="247">
        <f t="shared" si="39"/>
        <v>33247.513200000001</v>
      </c>
      <c r="AB125" s="247">
        <f t="shared" si="39"/>
        <v>41276.84919999999</v>
      </c>
      <c r="AC125" s="247">
        <f t="shared" si="39"/>
        <v>38807.270899999996</v>
      </c>
      <c r="AD125" s="247">
        <f t="shared" si="39"/>
        <v>46308.53100000001</v>
      </c>
      <c r="AE125" s="247">
        <f t="shared" si="39"/>
        <v>60282.540400000005</v>
      </c>
      <c r="AF125" s="247">
        <f t="shared" si="39"/>
        <v>68163.883100000006</v>
      </c>
      <c r="AG125" s="247">
        <f t="shared" si="39"/>
        <v>73133.895099999965</v>
      </c>
      <c r="AH125" s="247">
        <f t="shared" si="39"/>
        <v>79058</v>
      </c>
      <c r="AI125" s="247">
        <f t="shared" si="39"/>
        <v>83094</v>
      </c>
      <c r="AJ125" s="247">
        <f t="shared" si="39"/>
        <v>86014.000000000015</v>
      </c>
      <c r="AK125" s="247">
        <f t="shared" si="39"/>
        <v>92275.6</v>
      </c>
      <c r="AL125" s="247">
        <f t="shared" si="39"/>
        <v>103302.67</v>
      </c>
      <c r="AM125" s="247">
        <f t="shared" ca="1" si="39"/>
        <v>106089.18754590405</v>
      </c>
      <c r="AN125" s="247">
        <f t="shared" ca="1" si="39"/>
        <v>113297.53334709894</v>
      </c>
      <c r="AO125" s="247">
        <f t="shared" ca="1" si="39"/>
        <v>128333.75598462771</v>
      </c>
      <c r="AP125" s="249">
        <f t="shared" ca="1" si="39"/>
        <v>141286.24247736865</v>
      </c>
      <c r="AQ125" s="249">
        <f t="shared" ca="1" si="39"/>
        <v>155255.19685597051</v>
      </c>
      <c r="AR125" s="249">
        <f t="shared" ca="1" si="39"/>
        <v>170433.97879266372</v>
      </c>
      <c r="AS125" s="249">
        <f t="shared" ca="1" si="39"/>
        <v>187003.77222075325</v>
      </c>
      <c r="AT125" s="249">
        <f t="shared" ca="1" si="39"/>
        <v>205143.36637033528</v>
      </c>
      <c r="AU125" s="249">
        <f t="shared" ca="1" si="39"/>
        <v>225036.11253821413</v>
      </c>
      <c r="AV125" s="249">
        <f t="shared" ca="1" si="39"/>
        <v>246875.09341763868</v>
      </c>
      <c r="AW125" s="249">
        <f t="shared" ca="1" si="39"/>
        <v>270867.18800580967</v>
      </c>
      <c r="AX125" s="249">
        <f t="shared" ca="1" si="39"/>
        <v>297236.48463029845</v>
      </c>
      <c r="AY125" s="249">
        <f t="shared" ca="1" si="39"/>
        <v>326227.34475139517</v>
      </c>
      <c r="AZ125" s="249">
        <f t="shared" ca="1" si="39"/>
        <v>358107.32300782914</v>
      </c>
      <c r="BA125" s="249">
        <f t="shared" ca="1" si="39"/>
        <v>393170.08626854577</v>
      </c>
      <c r="BB125" s="249">
        <f t="shared" ca="1" si="39"/>
        <v>431738.43434959528</v>
      </c>
      <c r="BC125" s="249">
        <f t="shared" ca="1" si="39"/>
        <v>474167.49979999114</v>
      </c>
      <c r="BD125" s="2039" t="str">
        <f t="shared" si="27"/>
        <v>WWP</v>
      </c>
      <c r="BH125" s="1509"/>
      <c r="BI125" s="2499"/>
      <c r="BJ125" s="2499"/>
      <c r="BL125" s="2499"/>
      <c r="BM125" s="2499"/>
      <c r="BN125" s="2499"/>
    </row>
    <row r="126" spans="1:72" ht="20.399999999999999">
      <c r="A126" s="1631"/>
      <c r="B126" s="55"/>
      <c r="C126" s="55"/>
      <c r="D126" s="55"/>
      <c r="G126" s="1452"/>
      <c r="H126" s="232">
        <v>28</v>
      </c>
      <c r="I126" s="2570"/>
      <c r="J126" s="2571"/>
      <c r="K126" s="2571"/>
      <c r="L126" s="2571"/>
      <c r="M126" s="2575" t="s">
        <v>430</v>
      </c>
      <c r="N126" s="2576"/>
      <c r="O126" s="1430">
        <f>ОТЧЁТ!U65</f>
        <v>1428.5209000000002</v>
      </c>
      <c r="P126" s="247">
        <f>ОТЧЁТ!V65</f>
        <v>2007.8252000000007</v>
      </c>
      <c r="Q126" s="247">
        <f>ОТЧЁТ!W65</f>
        <v>2342.5136999999995</v>
      </c>
      <c r="R126" s="247">
        <f>ОТЧЁТ!X65</f>
        <v>2629.6228999999998</v>
      </c>
      <c r="S126" s="247">
        <f>ОТЧЁТ!Y65</f>
        <v>4823.2329000000009</v>
      </c>
      <c r="T126" s="247">
        <f>ОТЧЁТ!Z65</f>
        <v>7305.6466</v>
      </c>
      <c r="U126" s="247">
        <f>ОТЧЁТ!AA65</f>
        <v>8943.5826000000015</v>
      </c>
      <c r="V126" s="247">
        <f>ОТЧЁТ!AB65</f>
        <v>10819.212299999999</v>
      </c>
      <c r="W126" s="247">
        <f>ОТЧЁТ!AC65</f>
        <v>13208.2338</v>
      </c>
      <c r="X126" s="247">
        <f>ОТЧЁТ!AD65</f>
        <v>17027.190900000001</v>
      </c>
      <c r="Y126" s="247">
        <f>ОТЧЁТ!AE65</f>
        <v>21609.765500000001</v>
      </c>
      <c r="Z126" s="247">
        <f>ОТЧЁТ!AF65</f>
        <v>26917.201400000002</v>
      </c>
      <c r="AA126" s="247">
        <f>ОТЧЁТ!AG65</f>
        <v>33247.513200000001</v>
      </c>
      <c r="AB126" s="247">
        <f>ОТЧЁТ!AH65</f>
        <v>41276.849199999997</v>
      </c>
      <c r="AC126" s="247">
        <f>ОТЧЁТ!AI65</f>
        <v>38807.218999999997</v>
      </c>
      <c r="AD126" s="247">
        <f>ОТЧЁТ!AJ65</f>
        <v>46308.540999999997</v>
      </c>
      <c r="AE126" s="247">
        <f>ОТЧЁТ!AK65</f>
        <v>60282.540399999998</v>
      </c>
      <c r="AF126" s="247">
        <f>ОТЧЁТ!AL65</f>
        <v>68163.883099999992</v>
      </c>
      <c r="AG126" s="247">
        <f>ОТЧЁТ!AM65</f>
        <v>73133.895099999994</v>
      </c>
      <c r="AH126" s="247">
        <f>ОТЧЁТ!AN65</f>
        <v>79058.48</v>
      </c>
      <c r="AI126" s="247">
        <f>ОТЧЁТ!AO65</f>
        <v>83094.3</v>
      </c>
      <c r="AJ126" s="247">
        <f>ОТЧЁТ!AP65</f>
        <v>86014.2</v>
      </c>
      <c r="AK126" s="247">
        <f>ОТЧЁТ!AQ65</f>
        <v>92101.34</v>
      </c>
      <c r="AL126" s="247">
        <f>ОТЧЁТ!AR65</f>
        <v>103875.8</v>
      </c>
      <c r="AM126" s="249"/>
      <c r="AN126" s="249"/>
      <c r="AO126" s="249"/>
      <c r="AP126" s="249"/>
      <c r="AQ126" s="249"/>
      <c r="AR126" s="249"/>
      <c r="AS126" s="249"/>
      <c r="AT126" s="249"/>
      <c r="AU126" s="249"/>
      <c r="AV126" s="249"/>
      <c r="AW126" s="249"/>
      <c r="AX126" s="249"/>
      <c r="AY126" s="249"/>
      <c r="AZ126" s="249"/>
      <c r="BA126" s="249"/>
      <c r="BB126" s="249"/>
      <c r="BC126" s="249"/>
      <c r="BD126" s="2039">
        <f t="shared" si="27"/>
        <v>0</v>
      </c>
      <c r="BH126" s="1509"/>
      <c r="BI126" s="2499"/>
      <c r="BJ126" s="2499"/>
      <c r="BL126" s="2499"/>
      <c r="BM126" s="2499"/>
      <c r="BN126" s="2499"/>
    </row>
    <row r="127" spans="1:72" ht="17.399999999999999">
      <c r="A127" s="1631" t="s">
        <v>775</v>
      </c>
      <c r="B127" s="55"/>
      <c r="C127" s="55"/>
      <c r="D127" s="55"/>
      <c r="E127" s="1631"/>
      <c r="F127" s="1631"/>
      <c r="G127" s="1452" t="s">
        <v>747</v>
      </c>
      <c r="H127" s="232">
        <v>29</v>
      </c>
      <c r="I127" s="2570" t="s">
        <v>2122</v>
      </c>
      <c r="J127" s="2571" t="s">
        <v>2093</v>
      </c>
      <c r="K127" s="2571"/>
      <c r="L127" s="2571"/>
      <c r="M127" s="2570"/>
      <c r="N127" s="2572"/>
      <c r="O127" s="1430">
        <v>1428.5209000000002</v>
      </c>
      <c r="P127" s="247">
        <f t="shared" ref="P127:BC127" si="40">P99+P107+P110+P114+P116-P119</f>
        <v>1377.0941476</v>
      </c>
      <c r="Q127" s="247">
        <f t="shared" si="40"/>
        <v>1396.3734656663999</v>
      </c>
      <c r="R127" s="247">
        <f t="shared" si="40"/>
        <v>1322.365671986081</v>
      </c>
      <c r="S127" s="247">
        <f t="shared" si="40"/>
        <v>1406.9970749931902</v>
      </c>
      <c r="T127" s="247">
        <f t="shared" si="40"/>
        <v>1547.6967824925091</v>
      </c>
      <c r="U127" s="247">
        <f t="shared" si="40"/>
        <v>1626.6293183996272</v>
      </c>
      <c r="V127" s="247">
        <f t="shared" si="40"/>
        <v>1703.0808963644097</v>
      </c>
      <c r="W127" s="247">
        <f t="shared" si="40"/>
        <v>1827.4058017990119</v>
      </c>
      <c r="X127" s="247">
        <f t="shared" si="40"/>
        <v>1958.9790195285411</v>
      </c>
      <c r="Y127" s="247">
        <f t="shared" si="40"/>
        <v>2084.3536767783671</v>
      </c>
      <c r="Z127" s="247">
        <f t="shared" si="40"/>
        <v>2255.2706782741934</v>
      </c>
      <c r="AA127" s="247">
        <f t="shared" si="40"/>
        <v>2446.9686859274998</v>
      </c>
      <c r="AB127" s="247">
        <f t="shared" si="40"/>
        <v>2574.2110575957295</v>
      </c>
      <c r="AC127" s="247">
        <f t="shared" si="40"/>
        <v>2370.8483840456679</v>
      </c>
      <c r="AD127" s="247">
        <f t="shared" si="40"/>
        <v>2477.5365613277227</v>
      </c>
      <c r="AE127" s="247">
        <f t="shared" si="40"/>
        <v>2584.0706334648139</v>
      </c>
      <c r="AF127" s="247">
        <f t="shared" si="40"/>
        <v>2678.5417124027344</v>
      </c>
      <c r="AG127" s="247">
        <f t="shared" si="40"/>
        <v>2726.3631774238838</v>
      </c>
      <c r="AH127" s="247">
        <f t="shared" si="40"/>
        <v>2746.5001169353309</v>
      </c>
      <c r="AI127" s="247">
        <f t="shared" si="40"/>
        <v>2683.3306142458187</v>
      </c>
      <c r="AJ127" s="247">
        <f t="shared" si="40"/>
        <v>2688.6972754743083</v>
      </c>
      <c r="AK127" s="247">
        <f t="shared" si="40"/>
        <v>2737.0938264328465</v>
      </c>
      <c r="AL127" s="247">
        <f t="shared" si="40"/>
        <v>2813.7324535729672</v>
      </c>
      <c r="AM127" s="247">
        <f t="shared" ca="1" si="40"/>
        <v>2909.1316283173196</v>
      </c>
      <c r="AN127" s="247">
        <f t="shared" ca="1" si="40"/>
        <v>2982.2156230189194</v>
      </c>
      <c r="AO127" s="247">
        <f t="shared" ca="1" si="40"/>
        <v>3111.4494667760982</v>
      </c>
      <c r="AP127" s="247">
        <f t="shared" ca="1" si="40"/>
        <v>3214.1733838280879</v>
      </c>
      <c r="AQ127" s="247">
        <f t="shared" ca="1" si="40"/>
        <v>3315.0195661939806</v>
      </c>
      <c r="AR127" s="247">
        <f t="shared" ca="1" si="40"/>
        <v>3416.5577504963967</v>
      </c>
      <c r="AS127" s="247">
        <f t="shared" ca="1" si="40"/>
        <v>3520.4494534119376</v>
      </c>
      <c r="AT127" s="247">
        <f t="shared" ca="1" si="40"/>
        <v>3627.8039011333649</v>
      </c>
      <c r="AU127" s="247">
        <f t="shared" ca="1" si="40"/>
        <v>3739.3961933726878</v>
      </c>
      <c r="AV127" s="247">
        <f t="shared" ca="1" si="40"/>
        <v>3855.8011522861971</v>
      </c>
      <c r="AW127" s="247">
        <f t="shared" ca="1" si="40"/>
        <v>3977.4755521631478</v>
      </c>
      <c r="AX127" s="247">
        <f t="shared" ca="1" si="40"/>
        <v>4104.8087380392553</v>
      </c>
      <c r="AY127" s="247">
        <f t="shared" ca="1" si="40"/>
        <v>4238.1538821334652</v>
      </c>
      <c r="AZ127" s="247">
        <f t="shared" ca="1" si="40"/>
        <v>4377.8473799253379</v>
      </c>
      <c r="BA127" s="247">
        <f t="shared" ca="1" si="40"/>
        <v>4524.2209823312896</v>
      </c>
      <c r="BB127" s="247">
        <f t="shared" ca="1" si="40"/>
        <v>4677.609481590649</v>
      </c>
      <c r="BC127" s="247">
        <f t="shared" ca="1" si="40"/>
        <v>4838.3556789358518</v>
      </c>
      <c r="BD127" s="2039" t="str">
        <f t="shared" si="27"/>
        <v>WWPS</v>
      </c>
      <c r="BH127" s="1509" t="s">
        <v>1835</v>
      </c>
      <c r="BI127" s="2499"/>
      <c r="BJ127" s="2499"/>
      <c r="BK127" s="2499"/>
      <c r="BL127" s="2499"/>
      <c r="BM127" s="2499"/>
      <c r="BN127" s="2499"/>
      <c r="BO127" s="1509" t="s">
        <v>2000</v>
      </c>
      <c r="BP127" s="2499"/>
      <c r="BQ127" s="2499"/>
      <c r="BR127" s="2499"/>
      <c r="BS127" s="2499"/>
    </row>
    <row r="128" spans="1:72" ht="20.399999999999999">
      <c r="A128" s="1631"/>
      <c r="B128" s="55"/>
      <c r="C128" s="55"/>
      <c r="D128" s="55"/>
      <c r="E128" s="1631"/>
      <c r="F128" s="1631"/>
      <c r="G128" s="1452"/>
      <c r="H128" s="232">
        <v>30</v>
      </c>
      <c r="I128" s="2570"/>
      <c r="J128" s="2571"/>
      <c r="K128" s="2571"/>
      <c r="L128" s="2571"/>
      <c r="M128" s="2575" t="s">
        <v>430</v>
      </c>
      <c r="N128" s="2576"/>
      <c r="O128" s="1430">
        <v>1428.5209000000002</v>
      </c>
      <c r="P128" s="247">
        <f>ОТЧЁТ!V199</f>
        <v>1377.0941476</v>
      </c>
      <c r="Q128" s="247">
        <f>ОТЧЁТ!W199</f>
        <v>1396.3734656664001</v>
      </c>
      <c r="R128" s="247">
        <f>ОТЧЁТ!X199</f>
        <v>1322.3656719860808</v>
      </c>
      <c r="S128" s="247">
        <f>ОТЧЁТ!Y199</f>
        <v>1406.9970749931899</v>
      </c>
      <c r="T128" s="247">
        <f>ОТЧЁТ!Z199</f>
        <v>1547.6967824925091</v>
      </c>
      <c r="U128" s="247">
        <f>ОТЧЁТ!AA199</f>
        <v>1626.629318399627</v>
      </c>
      <c r="V128" s="247">
        <f>ОТЧЁТ!AB199</f>
        <v>1703.0808963644092</v>
      </c>
      <c r="W128" s="247">
        <f>ОТЧЁТ!AC199</f>
        <v>1827.405801799011</v>
      </c>
      <c r="X128" s="247">
        <f>ОТЧЁТ!AD199</f>
        <v>1958.97901952854</v>
      </c>
      <c r="Y128" s="247">
        <f>ОТЧЁТ!AE199</f>
        <v>2084.3536767783667</v>
      </c>
      <c r="Z128" s="247">
        <f>ОТЧЁТ!AF199</f>
        <v>2255.270678274193</v>
      </c>
      <c r="AA128" s="247">
        <f>ОТЧЁТ!AG199</f>
        <v>2446.9686859274993</v>
      </c>
      <c r="AB128" s="247">
        <f>ОТЧЁТ!AH199</f>
        <v>2574.2110575957295</v>
      </c>
      <c r="AC128" s="247">
        <f>ОТЧЁТ!AI199</f>
        <v>2370.848384045667</v>
      </c>
      <c r="AD128" s="247">
        <f>ОТЧЁТ!AJ199</f>
        <v>2477.5365613277218</v>
      </c>
      <c r="AE128" s="247">
        <f>ОТЧЁТ!AK199</f>
        <v>2584.0706334648135</v>
      </c>
      <c r="AF128" s="247">
        <f>ОТЧЁТ!AL199</f>
        <v>2678.541712402734</v>
      </c>
      <c r="AG128" s="247">
        <f>ОТЧЁТ!AM199</f>
        <v>2726.3631774238834</v>
      </c>
      <c r="AH128" s="247">
        <f>ОТЧЁТ!AN199</f>
        <v>2746.5001169353304</v>
      </c>
      <c r="AI128" s="247">
        <f>ОТЧЁТ!AO199</f>
        <v>2683.3306142458177</v>
      </c>
      <c r="AJ128" s="247">
        <f>ОТЧЁТ!AP199</f>
        <v>2688.6972754743092</v>
      </c>
      <c r="AK128" s="247">
        <f>ОТЧЁТ!AQ199</f>
        <v>2737.093826432847</v>
      </c>
      <c r="AL128" s="247">
        <f>ОТЧЁТ!AR199</f>
        <v>2813.7324535729667</v>
      </c>
      <c r="AM128" s="249"/>
      <c r="AN128" s="249"/>
      <c r="AO128" s="249"/>
      <c r="AP128" s="249"/>
      <c r="AQ128" s="249"/>
      <c r="AR128" s="249"/>
      <c r="AS128" s="249"/>
      <c r="AT128" s="249"/>
      <c r="AU128" s="249"/>
      <c r="AV128" s="249"/>
      <c r="AW128" s="249"/>
      <c r="AX128" s="249"/>
      <c r="AY128" s="249"/>
      <c r="AZ128" s="249"/>
      <c r="BA128" s="249"/>
      <c r="BB128" s="249"/>
      <c r="BC128" s="249"/>
      <c r="BD128" s="2039">
        <f t="shared" ref="BD128:BD166" si="41">G128</f>
        <v>0</v>
      </c>
      <c r="BH128" s="1509"/>
      <c r="BI128" s="2499"/>
      <c r="BJ128" s="2499"/>
      <c r="BK128" s="2499"/>
      <c r="BL128" s="2499"/>
      <c r="BM128" s="2499"/>
      <c r="BN128" s="2499"/>
      <c r="BO128" s="1509"/>
      <c r="BP128" s="2499"/>
      <c r="BQ128" s="2499"/>
      <c r="BR128" s="2499"/>
      <c r="BS128" s="2499"/>
    </row>
    <row r="129" spans="1:71" ht="17.399999999999999">
      <c r="A129" s="1631" t="s">
        <v>2098</v>
      </c>
      <c r="B129" s="55"/>
      <c r="C129" s="55"/>
      <c r="D129" s="55"/>
      <c r="E129" s="1631"/>
      <c r="F129" s="1631"/>
      <c r="G129" s="1452" t="s">
        <v>971</v>
      </c>
      <c r="H129" s="232">
        <v>31</v>
      </c>
      <c r="I129" s="2570" t="s">
        <v>2123</v>
      </c>
      <c r="J129" s="2571" t="s">
        <v>2094</v>
      </c>
      <c r="K129" s="2571"/>
      <c r="L129" s="2571"/>
      <c r="M129" s="2570"/>
      <c r="N129" s="2572"/>
      <c r="O129" s="1430">
        <f>1</f>
        <v>1</v>
      </c>
      <c r="P129" s="245">
        <f>ОТЧЁТ!V152</f>
        <v>0.96399999999999997</v>
      </c>
      <c r="Q129" s="245">
        <f>ОТЧЁТ!W152</f>
        <v>0.97749600000000003</v>
      </c>
      <c r="R129" s="245">
        <f>ОТЧЁТ!X152</f>
        <v>0.92568871200000002</v>
      </c>
      <c r="S129" s="245">
        <f>ОТЧЁТ!Y152</f>
        <v>0.98493278956800012</v>
      </c>
      <c r="T129" s="245">
        <f>ОТЧЁТ!Z152</f>
        <v>1.0834260685248003</v>
      </c>
      <c r="U129" s="245">
        <f>ОТЧЁТ!AA152</f>
        <v>1.138680798019565</v>
      </c>
      <c r="V129" s="245">
        <f>ОТЧЁТ!AB152</f>
        <v>1.1921987955264846</v>
      </c>
      <c r="W129" s="245">
        <f>ОТЧЁТ!AC152</f>
        <v>1.2792293075999179</v>
      </c>
      <c r="X129" s="245">
        <f>ОТЧЁТ!AD152</f>
        <v>1.3713338177471122</v>
      </c>
      <c r="Y129" s="245">
        <f>ОТЧЁТ!AE152</f>
        <v>1.4590991820829273</v>
      </c>
      <c r="Z129" s="245">
        <f>ОТЧЁТ!AF152</f>
        <v>1.5787453150137274</v>
      </c>
      <c r="AA129" s="245">
        <f>ОТЧЁТ!AG152</f>
        <v>1.7129386667898943</v>
      </c>
      <c r="AB129" s="245">
        <f>ОТЧЁТ!AH152</f>
        <v>1.8020114774629687</v>
      </c>
      <c r="AC129" s="245">
        <f>ОТЧЁТ!AI152</f>
        <v>1.6596525707433942</v>
      </c>
      <c r="AD129" s="245">
        <f>ОТЧЁТ!AJ152</f>
        <v>1.7343369364268468</v>
      </c>
      <c r="AE129" s="245">
        <f>ОТЧЁТ!AK152</f>
        <v>1.808913424693201</v>
      </c>
      <c r="AF129" s="245">
        <f>ОТЧЁТ!AL152</f>
        <v>1.8750455190419226</v>
      </c>
      <c r="AG129" s="245">
        <f>ОТЧЁТ!AM152</f>
        <v>1.9085217286102596</v>
      </c>
      <c r="AH129" s="245">
        <f>ОТЧЁТ!AN152</f>
        <v>1.9226180848563927</v>
      </c>
      <c r="AI129" s="245">
        <f>ОТЧЁТ!AO152</f>
        <v>1.8783978689046956</v>
      </c>
      <c r="AJ129" s="245">
        <f>ОТЧЁТ!AP152</f>
        <v>1.8821546646425049</v>
      </c>
      <c r="AK129" s="245">
        <f>ОТЧЁТ!AQ152</f>
        <v>1.9160334486060699</v>
      </c>
      <c r="AL129" s="245">
        <f>ОТЧЁТ!AR152</f>
        <v>1.96968238516704</v>
      </c>
      <c r="AM129" s="245">
        <f ca="1">AM127/$O$128</f>
        <v>2.0364641695598009</v>
      </c>
      <c r="AN129" s="245">
        <f t="shared" ref="AN129:BC129" ca="1" si="42">AN127/$O$128</f>
        <v>2.0876247754015491</v>
      </c>
      <c r="AO129" s="245">
        <f t="shared" ca="1" si="42"/>
        <v>2.1780916658454892</v>
      </c>
      <c r="AP129" s="245">
        <f t="shared" ca="1" si="42"/>
        <v>2.2500009512133055</v>
      </c>
      <c r="AQ129" s="245">
        <f t="shared" ca="1" si="42"/>
        <v>2.3205957758083766</v>
      </c>
      <c r="AR129" s="245">
        <f t="shared" ca="1" si="42"/>
        <v>2.3916750188928955</v>
      </c>
      <c r="AS129" s="245">
        <f t="shared" ca="1" si="42"/>
        <v>2.4644017832794307</v>
      </c>
      <c r="AT129" s="245">
        <f t="shared" ca="1" si="42"/>
        <v>2.5395525547672171</v>
      </c>
      <c r="AU129" s="245">
        <f t="shared" ca="1" si="42"/>
        <v>2.6176699223460345</v>
      </c>
      <c r="AV129" s="245">
        <f t="shared" ca="1" si="42"/>
        <v>2.6991562757578111</v>
      </c>
      <c r="AW129" s="245">
        <f t="shared" ca="1" si="42"/>
        <v>2.7843313683147004</v>
      </c>
      <c r="AX129" s="245">
        <f t="shared" ca="1" si="42"/>
        <v>2.8734677511818374</v>
      </c>
      <c r="AY129" s="245">
        <f t="shared" ca="1" si="42"/>
        <v>2.966812653656985</v>
      </c>
      <c r="AZ129" s="245">
        <f t="shared" ca="1" si="42"/>
        <v>3.0646015609049453</v>
      </c>
      <c r="BA129" s="245">
        <f t="shared" ca="1" si="42"/>
        <v>3.1670667067813212</v>
      </c>
      <c r="BB129" s="245">
        <f t="shared" ca="1" si="42"/>
        <v>3.274442454143057</v>
      </c>
      <c r="BC129" s="245">
        <f t="shared" ca="1" si="42"/>
        <v>3.3869687723405733</v>
      </c>
      <c r="BD129" s="2039" t="str">
        <f t="shared" si="41"/>
        <v>Pw</v>
      </c>
      <c r="BH129" s="1509" t="s">
        <v>2001</v>
      </c>
      <c r="BI129" s="2499"/>
      <c r="BJ129" s="2499"/>
      <c r="BK129" s="2499"/>
      <c r="BL129" s="2499"/>
      <c r="BM129" s="2499"/>
      <c r="BN129" s="2499"/>
      <c r="BO129" s="1509" t="s">
        <v>2027</v>
      </c>
      <c r="BP129" s="2499"/>
      <c r="BQ129" s="2499"/>
      <c r="BR129" s="2499"/>
      <c r="BS129" s="2499"/>
    </row>
    <row r="130" spans="1:71" ht="17.399999999999999">
      <c r="A130" s="1631" t="s">
        <v>2099</v>
      </c>
      <c r="B130" s="55"/>
      <c r="C130" s="55"/>
      <c r="D130" s="55"/>
      <c r="E130" s="1631"/>
      <c r="F130" s="1631"/>
      <c r="G130" s="1452" t="s">
        <v>630</v>
      </c>
      <c r="H130" s="232">
        <v>32</v>
      </c>
      <c r="I130" s="2570" t="s">
        <v>2124</v>
      </c>
      <c r="J130" s="2571" t="s">
        <v>1239</v>
      </c>
      <c r="K130" s="2571"/>
      <c r="L130" s="2571"/>
      <c r="M130" s="2570"/>
      <c r="N130" s="2572"/>
      <c r="O130" s="1430">
        <v>1</v>
      </c>
      <c r="P130" s="245">
        <f>ОТЧЁТ!V179</f>
        <v>1.458015926869807</v>
      </c>
      <c r="Q130" s="245">
        <f>ОТЧЁТ!W179</f>
        <v>1.6775696170093486</v>
      </c>
      <c r="R130" s="245">
        <f>ОТЧЁТ!X179</f>
        <v>1.988574685283935</v>
      </c>
      <c r="S130" s="245">
        <f>ОТЧЁТ!Y179</f>
        <v>3.4280333525379545</v>
      </c>
      <c r="T130" s="245">
        <f>ОТЧЁТ!Z179</f>
        <v>4.7203345530217637</v>
      </c>
      <c r="U130" s="245">
        <f>ОТЧЁТ!AA179</f>
        <v>5.4982302967459242</v>
      </c>
      <c r="V130" s="245">
        <f>ОТЧЁТ!AB179</f>
        <v>6.3527295286418424</v>
      </c>
      <c r="W130" s="245">
        <f>ОТЧЁТ!AC179</f>
        <v>7.2278602743829534</v>
      </c>
      <c r="X130" s="245">
        <f>ОТЧЁТ!AD179</f>
        <v>8.6918699640274202</v>
      </c>
      <c r="Y130" s="245">
        <f>ОТЧЁТ!AE179</f>
        <v>10.367609749128871</v>
      </c>
      <c r="Z130" s="245">
        <f>ОТЧЁТ!AF179</f>
        <v>11.935242035159135</v>
      </c>
      <c r="AA130" s="245">
        <f>ОТЧЁТ!AG179</f>
        <v>13.587224630705832</v>
      </c>
      <c r="AB130" s="245">
        <f>ОТЧЁТ!AH179</f>
        <v>16.03475716499792</v>
      </c>
      <c r="AC130" s="245">
        <f>ОТЧЁТ!AI179</f>
        <v>16.368494611949213</v>
      </c>
      <c r="AD130" s="245">
        <f>ОТЧЁТ!AJ179</f>
        <v>18.691365335566658</v>
      </c>
      <c r="AE130" s="245">
        <f>ОТЧЁТ!AK179</f>
        <v>23.328518818067689</v>
      </c>
      <c r="AF130" s="245">
        <f>ОТЧЁТ!AL179</f>
        <v>25.448132013167307</v>
      </c>
      <c r="AG130" s="245">
        <f>ОТЧЁТ!AM179</f>
        <v>26.82470761987901</v>
      </c>
      <c r="AH130" s="245">
        <f>ОТЧЁТ!AN179</f>
        <v>28.785172632075849</v>
      </c>
      <c r="AI130" s="245">
        <f>ОТЧЁТ!AO179</f>
        <v>30.966851255246702</v>
      </c>
      <c r="AJ130" s="245">
        <f>ОТЧЁТ!AP179</f>
        <v>31.991031785021747</v>
      </c>
      <c r="AK130" s="245">
        <f>ОТЧЁТ!AQ179</f>
        <v>33.649317794864295</v>
      </c>
      <c r="AL130" s="245">
        <f>ОТЧЁТ!AR179</f>
        <v>36.91744034444185</v>
      </c>
      <c r="AM130" s="248">
        <f ca="1">AM125/AM127</f>
        <v>36.467647772702342</v>
      </c>
      <c r="AN130" s="248">
        <f t="shared" ref="AN130:BC130" ca="1" si="43">AN125/AN127</f>
        <v>37.991060228035089</v>
      </c>
      <c r="AO130" s="248">
        <f t="shared" ca="1" si="43"/>
        <v>41.245650091691715</v>
      </c>
      <c r="AP130" s="248">
        <f t="shared" ca="1" si="43"/>
        <v>43.957256067218253</v>
      </c>
      <c r="AQ130" s="248">
        <f t="shared" ca="1" si="43"/>
        <v>46.833870436011068</v>
      </c>
      <c r="AR130" s="248">
        <f t="shared" ca="1" si="43"/>
        <v>49.88470596403679</v>
      </c>
      <c r="AS130" s="248">
        <f t="shared" ca="1" si="43"/>
        <v>53.11928908381671</v>
      </c>
      <c r="AT130" s="248">
        <f t="shared" ca="1" si="43"/>
        <v>56.547534530806999</v>
      </c>
      <c r="AU130" s="248">
        <f t="shared" ca="1" si="43"/>
        <v>60.179799331518936</v>
      </c>
      <c r="AV130" s="248">
        <f t="shared" ca="1" si="43"/>
        <v>64.026925577129546</v>
      </c>
      <c r="AW130" s="248">
        <f t="shared" ca="1" si="43"/>
        <v>68.100277287310718</v>
      </c>
      <c r="AX130" s="248">
        <f t="shared" ca="1" si="43"/>
        <v>72.41177448191641</v>
      </c>
      <c r="AY130" s="248">
        <f t="shared" ca="1" si="43"/>
        <v>76.973926342470122</v>
      </c>
      <c r="AZ130" s="248">
        <f t="shared" ca="1" si="43"/>
        <v>81.799864620665801</v>
      </c>
      <c r="BA130" s="248">
        <f t="shared" ca="1" si="43"/>
        <v>86.903378018893505</v>
      </c>
      <c r="BB130" s="248">
        <f t="shared" ca="1" si="43"/>
        <v>92.298948009396469</v>
      </c>
      <c r="BC130" s="248">
        <f t="shared" ca="1" si="43"/>
        <v>98.001786405310241</v>
      </c>
      <c r="BD130" s="2039" t="str">
        <f t="shared" si="41"/>
        <v>Dw</v>
      </c>
      <c r="BH130" s="1509" t="s">
        <v>2019</v>
      </c>
      <c r="BI130" s="2499"/>
      <c r="BJ130" s="2499"/>
      <c r="BL130" s="2499"/>
      <c r="BM130" s="2499"/>
      <c r="BN130" s="2499"/>
      <c r="BO130" s="1509" t="s">
        <v>2002</v>
      </c>
      <c r="BP130" s="2499"/>
      <c r="BQ130" s="1509"/>
      <c r="BR130" s="2499"/>
    </row>
    <row r="131" spans="1:71" ht="17.399999999999999">
      <c r="A131" s="1631" t="s">
        <v>2125</v>
      </c>
      <c r="B131" s="55"/>
      <c r="C131" s="55"/>
      <c r="D131" s="55"/>
      <c r="E131" s="1631"/>
      <c r="F131" s="1631"/>
      <c r="G131" s="1452" t="s">
        <v>588</v>
      </c>
      <c r="H131" s="232">
        <v>33</v>
      </c>
      <c r="I131" s="2570" t="s">
        <v>2102</v>
      </c>
      <c r="J131" s="2571"/>
      <c r="K131" s="2571"/>
      <c r="L131" s="2571"/>
      <c r="M131" s="2570"/>
      <c r="N131" s="2572"/>
      <c r="O131" s="1430">
        <f>НАСТРОЙКА!P29</f>
        <v>2876.5160999999998</v>
      </c>
      <c r="P131" s="247">
        <f>НАСТРОЙКА!Q29</f>
        <v>2795.9736491999997</v>
      </c>
      <c r="Q131" s="247">
        <f>НАСТРОЙКА!R29</f>
        <v>2835.1172802888</v>
      </c>
      <c r="R131" s="247">
        <f>НАСТРОЙКА!S29</f>
        <v>2690.5262989940711</v>
      </c>
      <c r="S131" s="247">
        <f>НАСТРОЙКА!T29</f>
        <v>2846.5768243357275</v>
      </c>
      <c r="T131" s="247">
        <f>НАСТРОЙКА!U29</f>
        <v>3114.1550458232859</v>
      </c>
      <c r="U131" s="247">
        <f>НАСТРОЙКА!V29</f>
        <v>3266.7486430686267</v>
      </c>
      <c r="V131" s="247">
        <f>НАСТРОЙКА!W29</f>
        <v>3410.4855833636466</v>
      </c>
      <c r="W131" s="247">
        <f>НАСТРОЙКА!X29</f>
        <v>3669.6824876992837</v>
      </c>
      <c r="X131" s="247">
        <f>НАСТРОЙКА!Y29</f>
        <v>3963.2570867152263</v>
      </c>
      <c r="Y131" s="247">
        <f>НАСТРОЙКА!Z29</f>
        <v>4189.1627406579937</v>
      </c>
      <c r="Z131" s="247">
        <f>НАСТРОЙКА!AA29</f>
        <v>4561.998224576555</v>
      </c>
      <c r="AA131" s="247">
        <f>НАСТРОЙКА!AB29</f>
        <v>4963.4540683392925</v>
      </c>
      <c r="AB131" s="247">
        <f>НАСТРОЙКА!AC29</f>
        <v>5211.6267717562569</v>
      </c>
      <c r="AC131" s="247">
        <f>НАСТРОЙКА!AD29</f>
        <v>4825.9663906462947</v>
      </c>
      <c r="AD131" s="247">
        <f>НАСТРОЙКА!AE29</f>
        <v>5067.2647101786097</v>
      </c>
      <c r="AE131" s="247">
        <f>НАСТРОЙКА!AF29</f>
        <v>5285.1570927162893</v>
      </c>
      <c r="AF131" s="247">
        <f>НАСТРОЙКА!AG29</f>
        <v>5491.2782193322246</v>
      </c>
      <c r="AG131" s="247">
        <f>НАСТРОЙКА!AH29</f>
        <v>5606.5950619382011</v>
      </c>
      <c r="AH131" s="247">
        <f>НАСТРОЙКА!AI29</f>
        <v>5651.4478224337072</v>
      </c>
      <c r="AI131" s="247">
        <f>НАСТРОЙКА!AJ29</f>
        <v>5577.9790007420688</v>
      </c>
      <c r="AJ131" s="247">
        <f>НАСТРОЙКА!AK29</f>
        <v>5644.9147487509736</v>
      </c>
      <c r="AK131" s="247">
        <f>НАСТРОЙКА!AL29</f>
        <v>5786.0376174697476</v>
      </c>
      <c r="AL131" s="247">
        <f>НАСТРОЙКА!AM29</f>
        <v>5930.688557906491</v>
      </c>
      <c r="AM131" s="247">
        <f ca="1">AM127/(1-AM95)</f>
        <v>6180.8152785847806</v>
      </c>
      <c r="AN131" s="247">
        <f t="shared" ref="AN131:BC131" ca="1" si="44">AN127/(1-AN95)</f>
        <v>6349.5818819936785</v>
      </c>
      <c r="AO131" s="247">
        <f t="shared" ca="1" si="44"/>
        <v>6638.8751670530492</v>
      </c>
      <c r="AP131" s="247">
        <f t="shared" ca="1" si="44"/>
        <v>6872.7206478127364</v>
      </c>
      <c r="AQ131" s="247">
        <f t="shared" ca="1" si="44"/>
        <v>7103.544635535779</v>
      </c>
      <c r="AR131" s="247">
        <f t="shared" ca="1" si="44"/>
        <v>7336.8460149429056</v>
      </c>
      <c r="AS131" s="247">
        <f t="shared" ca="1" si="44"/>
        <v>7576.2164631575624</v>
      </c>
      <c r="AT131" s="247">
        <f t="shared" ca="1" si="44"/>
        <v>7824.0875166753358</v>
      </c>
      <c r="AU131" s="247">
        <f t="shared" ca="1" si="44"/>
        <v>8082.1895653721194</v>
      </c>
      <c r="AV131" s="247">
        <f t="shared" ca="1" si="44"/>
        <v>8351.8341815669301</v>
      </c>
      <c r="AW131" s="247">
        <f t="shared" ca="1" si="44"/>
        <v>8634.0880740354405</v>
      </c>
      <c r="AX131" s="247">
        <f t="shared" ca="1" si="44"/>
        <v>8929.8805437257033</v>
      </c>
      <c r="AY131" s="247">
        <f t="shared" ca="1" si="44"/>
        <v>9240.0701314981452</v>
      </c>
      <c r="AZ131" s="247">
        <f t="shared" ca="1" si="44"/>
        <v>9565.4862250209208</v>
      </c>
      <c r="BA131" s="247">
        <f t="shared" ca="1" si="44"/>
        <v>9906.9553061241877</v>
      </c>
      <c r="BB131" s="247">
        <f t="shared" ca="1" si="44"/>
        <v>10265.317786090949</v>
      </c>
      <c r="BC131" s="247">
        <f t="shared" ca="1" si="44"/>
        <v>10641.439084691019</v>
      </c>
      <c r="BD131" s="2039" t="str">
        <f t="shared" si="41"/>
        <v>XS</v>
      </c>
      <c r="BH131" s="1509" t="s">
        <v>2021</v>
      </c>
      <c r="BI131" s="2499"/>
      <c r="BJ131" s="2499"/>
      <c r="BL131" s="2499"/>
      <c r="BM131" s="2499"/>
      <c r="BN131" s="2499"/>
      <c r="BO131" s="1509" t="s">
        <v>2020</v>
      </c>
      <c r="BP131" s="2499"/>
      <c r="BQ131" s="2499"/>
      <c r="BR131" s="2499"/>
      <c r="BS131" s="2499"/>
    </row>
    <row r="132" spans="1:71" ht="17.399999999999999">
      <c r="A132" s="1631" t="s">
        <v>2126</v>
      </c>
      <c r="B132" s="55"/>
      <c r="C132" s="55"/>
      <c r="D132" s="55"/>
      <c r="E132" s="1631"/>
      <c r="F132" s="1631"/>
      <c r="G132" s="1452" t="s">
        <v>715</v>
      </c>
      <c r="H132" s="232">
        <v>34</v>
      </c>
      <c r="I132" s="2570" t="s">
        <v>2103</v>
      </c>
      <c r="J132" s="2571"/>
      <c r="K132" s="2571"/>
      <c r="L132" s="2571"/>
      <c r="M132" s="2571"/>
      <c r="N132" s="2572"/>
      <c r="O132" s="1430">
        <v>1</v>
      </c>
      <c r="P132" s="245">
        <f>ОТЧЁТ!V153</f>
        <v>0.97199999999999998</v>
      </c>
      <c r="Q132" s="245">
        <f>ОТЧЁТ!W153</f>
        <v>0.98560800000000004</v>
      </c>
      <c r="R132" s="245">
        <f>ОТЧЁТ!X153</f>
        <v>0.93534199200000001</v>
      </c>
      <c r="S132" s="245">
        <f>ОТЧЁТ!Y153</f>
        <v>0.98959182753600006</v>
      </c>
      <c r="T132" s="245">
        <f>ОТЧЁТ!Z153</f>
        <v>1.0826134593243841</v>
      </c>
      <c r="U132" s="245">
        <f>ОТЧЁТ!AA153</f>
        <v>1.1356615188312789</v>
      </c>
      <c r="V132" s="245">
        <f>ОТЧЁТ!AB153</f>
        <v>1.1856306256598552</v>
      </c>
      <c r="W132" s="245">
        <f>ОТЧЁТ!AC153</f>
        <v>1.2757385532100043</v>
      </c>
      <c r="X132" s="245">
        <f>ОТЧЁТ!AD153</f>
        <v>1.3777976374668046</v>
      </c>
      <c r="Y132" s="245">
        <f>ОТЧЁТ!AE153</f>
        <v>1.4563321028024123</v>
      </c>
      <c r="Z132" s="245">
        <f>ОТЧЁТ!AF153</f>
        <v>1.5859456599518269</v>
      </c>
      <c r="AA132" s="245">
        <f>ОТЧЁТ!AG153</f>
        <v>1.7255088780275878</v>
      </c>
      <c r="AB132" s="245">
        <f>ОТЧЁТ!AH153</f>
        <v>1.8117843219289673</v>
      </c>
      <c r="AC132" s="245">
        <f>ОТЧЁТ!AI153</f>
        <v>1.6777122821062238</v>
      </c>
      <c r="AD132" s="245">
        <f>ОТЧЁТ!AJ153</f>
        <v>1.7615978962115351</v>
      </c>
      <c r="AE132" s="245">
        <f>ОТЧЁТ!AK153</f>
        <v>1.837346605748631</v>
      </c>
      <c r="AF132" s="245">
        <f>ОТЧЁТ!AL153</f>
        <v>1.9090031233728277</v>
      </c>
      <c r="AG132" s="245">
        <f>ОТЧЁТ!AM153</f>
        <v>1.949092188963657</v>
      </c>
      <c r="AH132" s="245">
        <f>ОТЧЁТ!AN153</f>
        <v>1.9646849264753663</v>
      </c>
      <c r="AI132" s="245">
        <f>ОТЧЁТ!AO153</f>
        <v>1.9391440224311864</v>
      </c>
      <c r="AJ132" s="245">
        <f>ОТЧЁТ!AP153</f>
        <v>1.9624137507003607</v>
      </c>
      <c r="AK132" s="245">
        <f>ОТЧЁТ!AQ153</f>
        <v>2.0114740944678697</v>
      </c>
      <c r="AL132" s="245">
        <f>ОТЧЁТ!AR153</f>
        <v>2.0617609468295663</v>
      </c>
      <c r="AM132" s="248">
        <f ca="1">AM131/$O$131</f>
        <v>2.1487156906873497</v>
      </c>
      <c r="AN132" s="248">
        <f t="shared" ref="AN132:BC132" ca="1" si="45">AN131/$O$131</f>
        <v>2.2073861787158706</v>
      </c>
      <c r="AO132" s="248">
        <f t="shared" ca="1" si="45"/>
        <v>2.3079568951667087</v>
      </c>
      <c r="AP132" s="248">
        <f t="shared" ca="1" si="45"/>
        <v>2.3892515838213932</v>
      </c>
      <c r="AQ132" s="248">
        <f t="shared" ca="1" si="45"/>
        <v>2.4694958722934941</v>
      </c>
      <c r="AR132" s="248">
        <f t="shared" ca="1" si="45"/>
        <v>2.5506014080515338</v>
      </c>
      <c r="AS132" s="248">
        <f t="shared" ca="1" si="45"/>
        <v>2.633816811648495</v>
      </c>
      <c r="AT132" s="248">
        <f t="shared" ca="1" si="45"/>
        <v>2.7199873891459658</v>
      </c>
      <c r="AU132" s="248">
        <f t="shared" ca="1" si="45"/>
        <v>2.8097146980585714</v>
      </c>
      <c r="AV132" s="248">
        <f t="shared" ca="1" si="45"/>
        <v>2.9034546970089723</v>
      </c>
      <c r="AW132" s="248">
        <f t="shared" ca="1" si="45"/>
        <v>3.0015782195814724</v>
      </c>
      <c r="AX132" s="248">
        <f t="shared" ca="1" si="45"/>
        <v>3.1044083305237553</v>
      </c>
      <c r="AY132" s="248">
        <f t="shared" ca="1" si="45"/>
        <v>3.2122434953512502</v>
      </c>
      <c r="AZ132" s="248">
        <f t="shared" ca="1" si="45"/>
        <v>3.3253720446831223</v>
      </c>
      <c r="BA132" s="248">
        <f t="shared" ca="1" si="45"/>
        <v>3.4440812989449938</v>
      </c>
      <c r="BB132" s="248">
        <f t="shared" ca="1" si="45"/>
        <v>3.5686634210359363</v>
      </c>
      <c r="BC132" s="248">
        <f t="shared" ca="1" si="45"/>
        <v>3.6994192678744331</v>
      </c>
      <c r="BD132" s="2039" t="str">
        <f t="shared" si="41"/>
        <v>Px</v>
      </c>
      <c r="BH132" s="1509" t="s">
        <v>2022</v>
      </c>
      <c r="BI132" s="2499"/>
      <c r="BJ132" s="2499"/>
      <c r="BL132" s="2499"/>
      <c r="BM132" s="2499"/>
      <c r="BN132" s="1509"/>
    </row>
    <row r="133" spans="1:71" ht="17.399999999999999" hidden="1">
      <c r="A133" s="1631"/>
      <c r="B133" s="55"/>
      <c r="C133" s="55"/>
      <c r="D133" s="55"/>
      <c r="E133" s="1631"/>
      <c r="F133" s="1631"/>
      <c r="G133" s="1452"/>
      <c r="H133" s="232">
        <v>35</v>
      </c>
      <c r="I133" s="2570" t="s">
        <v>1711</v>
      </c>
      <c r="J133" s="2571"/>
      <c r="K133" s="2571"/>
      <c r="L133" s="2571"/>
      <c r="M133" s="2571"/>
      <c r="N133" s="2572"/>
      <c r="O133" s="1430"/>
      <c r="P133" s="247"/>
      <c r="Q133" s="247"/>
      <c r="R133" s="247"/>
      <c r="S133" s="247"/>
      <c r="T133" s="247"/>
      <c r="U133" s="247"/>
      <c r="V133" s="247"/>
      <c r="W133" s="247"/>
      <c r="X133" s="247"/>
      <c r="Y133" s="247"/>
      <c r="Z133" s="247"/>
      <c r="AA133" s="247"/>
      <c r="AB133" s="247"/>
      <c r="AC133" s="247"/>
      <c r="AD133" s="247"/>
      <c r="AE133" s="247"/>
      <c r="AF133" s="247"/>
      <c r="AG133" s="247"/>
      <c r="AH133" s="247"/>
      <c r="AI133" s="247"/>
      <c r="AJ133" s="247"/>
      <c r="AK133" s="247"/>
      <c r="AL133" s="247"/>
      <c r="AM133" s="247"/>
      <c r="AN133" s="247"/>
      <c r="AO133" s="247"/>
      <c r="AP133" s="247"/>
      <c r="AQ133" s="247"/>
      <c r="AR133" s="247"/>
      <c r="AS133" s="247"/>
      <c r="AT133" s="247"/>
      <c r="AU133" s="247"/>
      <c r="AV133" s="247"/>
      <c r="AW133" s="247"/>
      <c r="AX133" s="247"/>
      <c r="AY133" s="247"/>
      <c r="AZ133" s="247"/>
      <c r="BA133" s="247"/>
      <c r="BB133" s="247"/>
      <c r="BC133" s="247"/>
      <c r="BD133" s="2039">
        <f t="shared" si="41"/>
        <v>0</v>
      </c>
      <c r="BH133" s="1509"/>
      <c r="BI133" s="2499"/>
      <c r="BJ133" s="2499"/>
      <c r="BL133" s="2499"/>
      <c r="BM133" s="2499"/>
      <c r="BN133" s="1509"/>
      <c r="BO133" s="1509"/>
      <c r="BP133" s="2499"/>
      <c r="BQ133" s="1509"/>
      <c r="BR133" s="2499"/>
    </row>
    <row r="134" spans="1:71" ht="17.399999999999999" hidden="1">
      <c r="A134" s="1631"/>
      <c r="B134" s="55"/>
      <c r="C134" s="55"/>
      <c r="D134" s="55"/>
      <c r="E134" s="1631"/>
      <c r="F134" s="1631"/>
      <c r="G134" s="1452"/>
      <c r="H134" s="232">
        <v>36</v>
      </c>
      <c r="I134" s="2570" t="s">
        <v>1711</v>
      </c>
      <c r="J134" s="2571"/>
      <c r="K134" s="2571"/>
      <c r="L134" s="2571"/>
      <c r="M134" s="2571"/>
      <c r="N134" s="2572"/>
      <c r="O134" s="1430"/>
      <c r="P134" s="247"/>
      <c r="Q134" s="247"/>
      <c r="R134" s="247"/>
      <c r="S134" s="247"/>
      <c r="T134" s="247"/>
      <c r="U134" s="247"/>
      <c r="V134" s="247"/>
      <c r="W134" s="247"/>
      <c r="X134" s="247"/>
      <c r="Y134" s="247"/>
      <c r="Z134" s="247"/>
      <c r="AA134" s="247"/>
      <c r="AB134" s="247"/>
      <c r="AC134" s="247"/>
      <c r="AD134" s="247"/>
      <c r="AE134" s="247"/>
      <c r="AF134" s="247"/>
      <c r="AG134" s="247"/>
      <c r="AH134" s="247"/>
      <c r="AI134" s="247"/>
      <c r="AJ134" s="247"/>
      <c r="AK134" s="247"/>
      <c r="AL134" s="247"/>
      <c r="AM134" s="247"/>
      <c r="AN134" s="247"/>
      <c r="AO134" s="247"/>
      <c r="AP134" s="247"/>
      <c r="AQ134" s="247"/>
      <c r="AR134" s="247"/>
      <c r="AS134" s="247"/>
      <c r="AT134" s="247"/>
      <c r="AU134" s="247"/>
      <c r="AV134" s="247"/>
      <c r="AW134" s="247"/>
      <c r="AX134" s="247"/>
      <c r="AY134" s="247"/>
      <c r="AZ134" s="247"/>
      <c r="BA134" s="247"/>
      <c r="BB134" s="247"/>
      <c r="BC134" s="247"/>
      <c r="BD134" s="2039">
        <f t="shared" si="41"/>
        <v>0</v>
      </c>
      <c r="BH134" s="1509"/>
      <c r="BI134" s="2499"/>
      <c r="BJ134" s="2499"/>
      <c r="BL134" s="2499"/>
      <c r="BM134" s="2499"/>
      <c r="BN134" s="1509"/>
      <c r="BO134" s="1509"/>
      <c r="BP134" s="2499"/>
      <c r="BQ134" s="1509"/>
      <c r="BR134" s="2499"/>
    </row>
    <row r="135" spans="1:71" ht="17.399999999999999">
      <c r="A135" s="1631" t="s">
        <v>2127</v>
      </c>
      <c r="B135" s="55"/>
      <c r="C135" s="55"/>
      <c r="D135" s="55"/>
      <c r="E135" s="1631"/>
      <c r="F135" s="1631"/>
      <c r="G135" s="1452" t="s">
        <v>619</v>
      </c>
      <c r="H135" s="232">
        <v>37</v>
      </c>
      <c r="I135" s="2570" t="s">
        <v>2104</v>
      </c>
      <c r="J135" s="2571"/>
      <c r="K135" s="2571"/>
      <c r="L135" s="2571"/>
      <c r="M135" s="2571"/>
      <c r="N135" s="2572"/>
      <c r="O135" s="1430">
        <f>НАСТРОЙКА!P14</f>
        <v>2767.6205</v>
      </c>
      <c r="P135" s="249">
        <f>НАСТРОЙКА!Q14</f>
        <v>2690.1271259999999</v>
      </c>
      <c r="Q135" s="249">
        <f>НАСТРОЙКА!R14</f>
        <v>2727.788905764</v>
      </c>
      <c r="R135" s="249">
        <f>НАСТРОЙКА!S14</f>
        <v>2588.6716715700359</v>
      </c>
      <c r="S135" s="249">
        <f>НАСТРОЙКА!T14</f>
        <v>2738.8146285210983</v>
      </c>
      <c r="T135" s="249">
        <f>НАСТРОЙКА!U14</f>
        <v>2996.2632036020818</v>
      </c>
      <c r="U135" s="249">
        <f>НАСТРОЙКА!V14</f>
        <v>3143.0801005785834</v>
      </c>
      <c r="V135" s="249">
        <f>НАСТРОЙКА!W14</f>
        <v>3281.3756250040415</v>
      </c>
      <c r="W135" s="249">
        <f>НАСТРОЙКА!X14</f>
        <v>3530.7601725043487</v>
      </c>
      <c r="X135" s="249">
        <f>НАСТРОЙКА!Y14</f>
        <v>3813.2209863046965</v>
      </c>
      <c r="Y135" s="249">
        <f>НАСТРОЙКА!Z14</f>
        <v>4030.5745825240638</v>
      </c>
      <c r="Z135" s="249">
        <f>НАСТРОЙКА!AA14</f>
        <v>4389.2957203687056</v>
      </c>
      <c r="AA135" s="249">
        <f>НАСТРОЙКА!AB14</f>
        <v>4775.553743761152</v>
      </c>
      <c r="AB135" s="249">
        <f>НАСТРОЙКА!AC14</f>
        <v>5014.3314309492098</v>
      </c>
      <c r="AC135" s="249">
        <f>НАСТРОЙКА!AD14</f>
        <v>4643.2709050589683</v>
      </c>
      <c r="AD135" s="249">
        <f>НАСТРОЙКА!AE14</f>
        <v>4875.4344503119164</v>
      </c>
      <c r="AE135" s="249">
        <f>НАСТРОЙКА!AF14</f>
        <v>5085.0781316753291</v>
      </c>
      <c r="AF135" s="249">
        <f>НАСТРОЙКА!AG14</f>
        <v>5283.3961788106672</v>
      </c>
      <c r="AG135" s="249">
        <f>НАСТРОЙКА!AH14</f>
        <v>5394.3474985656912</v>
      </c>
      <c r="AH135" s="249">
        <f>НАСТРОЙКА!AI14</f>
        <v>5437.5022785542169</v>
      </c>
      <c r="AI135" s="249">
        <f>НАСТРОЙКА!AJ14</f>
        <v>5366.8147489330113</v>
      </c>
      <c r="AJ135" s="249">
        <f>НАСТРОЙКА!AK14</f>
        <v>5431.2165259202075</v>
      </c>
      <c r="AK135" s="249">
        <f>НАСТРОЙКА!AL14</f>
        <v>5566.9969390682127</v>
      </c>
      <c r="AL135" s="249">
        <f>НАСТРОЙКА!AM14</f>
        <v>5706.1718625449175</v>
      </c>
      <c r="AM135" s="249">
        <f ca="1">$O$135*AM132</f>
        <v>5946.8295942179684</v>
      </c>
      <c r="AN135" s="249">
        <f t="shared" ref="AN135:BC135" ca="1" si="46">$O$135*AN132</f>
        <v>6109.2072396307076</v>
      </c>
      <c r="AO135" s="249">
        <f t="shared" ca="1" si="46"/>
        <v>6387.5488161797339</v>
      </c>
      <c r="AP135" s="249">
        <f t="shared" ca="1" si="46"/>
        <v>6612.5416630415566</v>
      </c>
      <c r="AQ135" s="249">
        <f t="shared" ca="1" si="46"/>
        <v>6834.6274008248565</v>
      </c>
      <c r="AR135" s="249">
        <f t="shared" ca="1" si="46"/>
        <v>7059.0967442522897</v>
      </c>
      <c r="AS135" s="249">
        <f t="shared" ca="1" si="46"/>
        <v>7289.4054011630133</v>
      </c>
      <c r="AT135" s="249">
        <f t="shared" ca="1" si="46"/>
        <v>7527.8928579418525</v>
      </c>
      <c r="AU135" s="249">
        <f t="shared" ca="1" si="46"/>
        <v>7776.2239974982122</v>
      </c>
      <c r="AV135" s="249">
        <f t="shared" ca="1" si="46"/>
        <v>8035.6607402633208</v>
      </c>
      <c r="AW135" s="249">
        <f t="shared" ca="1" si="46"/>
        <v>8307.2294128671838</v>
      </c>
      <c r="AX135" s="249">
        <f t="shared" ca="1" si="46"/>
        <v>8591.8241359283202</v>
      </c>
      <c r="AY135" s="249">
        <f t="shared" ca="1" si="46"/>
        <v>8890.2709487257744</v>
      </c>
      <c r="AZ135" s="249">
        <f t="shared" ca="1" si="46"/>
        <v>9203.3678409919248</v>
      </c>
      <c r="BA135" s="249">
        <f t="shared" ca="1" si="46"/>
        <v>9531.9100066267929</v>
      </c>
      <c r="BB135" s="249">
        <f t="shared" ca="1" si="46"/>
        <v>9876.7060416591885</v>
      </c>
      <c r="BC135" s="249">
        <f t="shared" ca="1" si="46"/>
        <v>10238.588603864273</v>
      </c>
      <c r="BD135" s="2039" t="str">
        <f t="shared" si="41"/>
        <v>XOS</v>
      </c>
      <c r="BH135" s="1509" t="s">
        <v>2023</v>
      </c>
      <c r="BI135" s="2499"/>
      <c r="BJ135" s="2499"/>
      <c r="BN135" s="1509"/>
      <c r="BO135" s="1509"/>
      <c r="BP135" s="2499"/>
      <c r="BQ135" s="1509"/>
      <c r="BR135" s="2499"/>
    </row>
    <row r="136" spans="1:71" ht="17.399999999999999">
      <c r="A136" s="1631" t="s">
        <v>2128</v>
      </c>
      <c r="B136" s="55"/>
      <c r="C136" s="55"/>
      <c r="D136" s="55"/>
      <c r="E136" s="1631"/>
      <c r="F136" s="1631"/>
      <c r="G136" s="1452" t="s">
        <v>582</v>
      </c>
      <c r="H136" s="232">
        <v>38</v>
      </c>
      <c r="I136" s="2570" t="s">
        <v>2105</v>
      </c>
      <c r="J136" s="2571"/>
      <c r="K136" s="2571"/>
      <c r="L136" s="2571"/>
      <c r="M136" s="2571"/>
      <c r="N136" s="2572"/>
      <c r="O136" s="1430">
        <f>НАСТРОЙКА!P34</f>
        <v>1447.9951999999998</v>
      </c>
      <c r="P136" s="249">
        <f>НАСТРОЙКА!Q34</f>
        <v>1418.8795016000001</v>
      </c>
      <c r="Q136" s="249">
        <f>НАСТРОЙКА!R34</f>
        <v>1438.7438146224004</v>
      </c>
      <c r="R136" s="249">
        <f>НАСТРОЙКА!S34</f>
        <v>1368.1606270079908</v>
      </c>
      <c r="S136" s="249">
        <f>НАСТРОЙКА!T34</f>
        <v>1439.579749342538</v>
      </c>
      <c r="T136" s="249">
        <f>НАСТРОЙКА!U34</f>
        <v>1566.4582633307773</v>
      </c>
      <c r="U136" s="249">
        <f>НАСТРОЙКА!V34</f>
        <v>1640.1193246690002</v>
      </c>
      <c r="V136" s="249">
        <f>НАСТРОЙКА!W34</f>
        <v>1707.4046869992378</v>
      </c>
      <c r="W136" s="249">
        <f>НАСТРОЙКА!X34</f>
        <v>1842.2766859002736</v>
      </c>
      <c r="X136" s="249">
        <f>НАСТРОЙКА!Y34</f>
        <v>2004.2780671866872</v>
      </c>
      <c r="Y136" s="249">
        <f>НАСТРОЙКА!Z34</f>
        <v>2104.809063879628</v>
      </c>
      <c r="Z136" s="249">
        <f>НАСТРОЙКА!AA34</f>
        <v>2306.727546302363</v>
      </c>
      <c r="AA136" s="249">
        <f>НАСТРОЙКА!AB34</f>
        <v>2516.485382411794</v>
      </c>
      <c r="AB136" s="249">
        <f>НАСТРОЙКА!AC34</f>
        <v>2637.4157141605283</v>
      </c>
      <c r="AC136" s="249">
        <f>НАСТРОЙКА!AD34</f>
        <v>2455.1180066006277</v>
      </c>
      <c r="AD136" s="249">
        <f>НАСТРОЙКА!AE34</f>
        <v>2589.7281488508879</v>
      </c>
      <c r="AE136" s="249">
        <f>НАСТРОЙКА!AF34</f>
        <v>2701.0864592514768</v>
      </c>
      <c r="AF136" s="249">
        <f>НАСТРОЙКА!AG34</f>
        <v>2812.7365069294915</v>
      </c>
      <c r="AG136" s="249">
        <f>НАСТРОЙКА!AH34</f>
        <v>2880.2318845143186</v>
      </c>
      <c r="AH136" s="249">
        <f>НАСТРОЙКА!AI34</f>
        <v>2904.9477054983777</v>
      </c>
      <c r="AI136" s="249">
        <f>НАСТРОЙКА!AJ34</f>
        <v>2894.648386496252</v>
      </c>
      <c r="AJ136" s="249">
        <f>НАСТРОЙКА!AK34</f>
        <v>2956.2174732766653</v>
      </c>
      <c r="AK136" s="249">
        <f>НАСТРОЙКА!AL34</f>
        <v>3048.9437910369015</v>
      </c>
      <c r="AL136" s="249">
        <f>НАСТРОЙКА!AM34</f>
        <v>3116.9561043335252</v>
      </c>
      <c r="AM136" s="247">
        <f ca="1">AM95*AM131</f>
        <v>3271.683650267461</v>
      </c>
      <c r="AN136" s="247">
        <f t="shared" ref="AN136:BC136" ca="1" si="47">AN95*AN131</f>
        <v>3367.3662589747591</v>
      </c>
      <c r="AO136" s="247">
        <f t="shared" ca="1" si="47"/>
        <v>3527.4257002769509</v>
      </c>
      <c r="AP136" s="247">
        <f t="shared" ca="1" si="47"/>
        <v>3658.5472639846485</v>
      </c>
      <c r="AQ136" s="247">
        <f t="shared" ca="1" si="47"/>
        <v>3788.5250693417984</v>
      </c>
      <c r="AR136" s="247">
        <f t="shared" ca="1" si="47"/>
        <v>3920.2882644465089</v>
      </c>
      <c r="AS136" s="247">
        <f t="shared" ca="1" si="47"/>
        <v>4055.7670097456248</v>
      </c>
      <c r="AT136" s="247">
        <f t="shared" ca="1" si="47"/>
        <v>4196.2836155419709</v>
      </c>
      <c r="AU136" s="247">
        <f t="shared" ca="1" si="47"/>
        <v>4342.7933719994317</v>
      </c>
      <c r="AV136" s="247">
        <f t="shared" ca="1" si="47"/>
        <v>4496.033029280733</v>
      </c>
      <c r="AW136" s="247">
        <f t="shared" ca="1" si="47"/>
        <v>4656.6125218722927</v>
      </c>
      <c r="AX136" s="247">
        <f t="shared" ca="1" si="47"/>
        <v>4825.071805686448</v>
      </c>
      <c r="AY136" s="247">
        <f t="shared" ca="1" si="47"/>
        <v>5001.91624936468</v>
      </c>
      <c r="AZ136" s="247">
        <f t="shared" ca="1" si="47"/>
        <v>5187.6388450955828</v>
      </c>
      <c r="BA136" s="247">
        <f t="shared" ca="1" si="47"/>
        <v>5382.7343237928981</v>
      </c>
      <c r="BB136" s="247">
        <f t="shared" ca="1" si="47"/>
        <v>5587.7083045003001</v>
      </c>
      <c r="BC136" s="247">
        <f t="shared" ca="1" si="47"/>
        <v>5803.0834057551674</v>
      </c>
      <c r="BD136" s="2039" t="str">
        <f t="shared" si="41"/>
        <v>ZS</v>
      </c>
      <c r="BH136" s="1509" t="s">
        <v>2024</v>
      </c>
      <c r="BI136" s="2499"/>
      <c r="BJ136" s="2499"/>
      <c r="BN136" s="2499"/>
      <c r="BO136" s="1509"/>
      <c r="BP136" s="2499"/>
      <c r="BQ136" s="1509"/>
      <c r="BR136" s="2499"/>
    </row>
    <row r="137" spans="1:71" ht="17.399999999999999">
      <c r="A137" s="1631" t="s">
        <v>2129</v>
      </c>
      <c r="B137" s="55"/>
      <c r="C137" s="55"/>
      <c r="D137" s="55"/>
      <c r="E137" s="1631"/>
      <c r="F137" s="1631"/>
      <c r="G137" s="1452" t="s">
        <v>654</v>
      </c>
      <c r="H137" s="232">
        <v>39</v>
      </c>
      <c r="I137" s="2570" t="s">
        <v>2256</v>
      </c>
      <c r="J137" s="2571"/>
      <c r="K137" s="2571"/>
      <c r="L137" s="2571"/>
      <c r="M137" s="2571"/>
      <c r="N137" s="2572"/>
      <c r="O137" s="1430">
        <v>1</v>
      </c>
      <c r="P137" s="248">
        <f>НАСТРОЙКА!Q33</f>
        <v>1.3890656660960248</v>
      </c>
      <c r="Q137" s="248">
        <f>НАСТРОЙКА!R33</f>
        <v>1.5288420201321875</v>
      </c>
      <c r="R137" s="248">
        <f>НАСТРОЙКА!S33</f>
        <v>1.6012135978440234</v>
      </c>
      <c r="S137" s="248">
        <f>НАСТРОЙКА!T33</f>
        <v>2.7614512511832352</v>
      </c>
      <c r="T137" s="248">
        <f>НАСТРОЙКА!U33</f>
        <v>3.8813756116757316</v>
      </c>
      <c r="U137" s="248">
        <f>НАСТРОЙКА!V33</f>
        <v>4.9244555432757879</v>
      </c>
      <c r="V137" s="248">
        <f>НАСТРОЙКА!W33</f>
        <v>5.5076003782834864</v>
      </c>
      <c r="W137" s="248">
        <f>НАСТРОЙКА!X33</f>
        <v>6.3255097831872691</v>
      </c>
      <c r="X137" s="248">
        <f>НАСТРОЙКА!Y33</f>
        <v>7.3003121869901326</v>
      </c>
      <c r="Y137" s="248">
        <f>НАСТРОЙКА!Z33</f>
        <v>8.7907908216125801</v>
      </c>
      <c r="Z137" s="248">
        <f>НАСТРОЙКА!AA33</f>
        <v>10.077706332186347</v>
      </c>
      <c r="AA137" s="248">
        <f>НАСТРОЙКА!AB33</f>
        <v>11.630372067549995</v>
      </c>
      <c r="AB137" s="248">
        <f>НАСТРОЙКА!AC33</f>
        <v>13.808577618030881</v>
      </c>
      <c r="AC137" s="248">
        <f>НАСТРОЙКА!AD33</f>
        <v>13.964756035279709</v>
      </c>
      <c r="AD137" s="248">
        <f>НАСТРОЙКА!AE33</f>
        <v>16.223531809175668</v>
      </c>
      <c r="AE137" s="248">
        <f>НАСТРОЙКА!AF33</f>
        <v>18.09503717757504</v>
      </c>
      <c r="AF137" s="248">
        <f>НАСТРОЙКА!AG33</f>
        <v>19.232494464635629</v>
      </c>
      <c r="AG137" s="248">
        <f>НАСТРОЙКА!AH33</f>
        <v>20.587243519803909</v>
      </c>
      <c r="AH137" s="248">
        <f>НАСТРОЙКА!AI33</f>
        <v>22.05840052773225</v>
      </c>
      <c r="AI137" s="248">
        <f>НАСТРОЙКА!AJ33</f>
        <v>24.641576618684894</v>
      </c>
      <c r="AJ137" s="248">
        <f>НАСТРОЙКА!AK33</f>
        <v>25.837490201740536</v>
      </c>
      <c r="AK137" s="248">
        <f>НАСТРОЙКА!AL33</f>
        <v>27.279512414925115</v>
      </c>
      <c r="AL137" s="248">
        <f>НАСТРОЙКА!AM33</f>
        <v>29.751686227172179</v>
      </c>
      <c r="AM137" s="248">
        <f ca="1">0.888*AM130-3.038</f>
        <v>29.345271222159678</v>
      </c>
      <c r="AN137" s="248">
        <f t="shared" ref="AN137:BC137" ca="1" si="48">0.888*AN130-3.038</f>
        <v>30.698061482495159</v>
      </c>
      <c r="AO137" s="248">
        <f t="shared" ca="1" si="48"/>
        <v>33.588137281422249</v>
      </c>
      <c r="AP137" s="248">
        <f t="shared" ca="1" si="48"/>
        <v>35.996043387689809</v>
      </c>
      <c r="AQ137" s="248">
        <f t="shared" ca="1" si="48"/>
        <v>38.550476947177835</v>
      </c>
      <c r="AR137" s="248">
        <f t="shared" ca="1" si="48"/>
        <v>41.259618896064673</v>
      </c>
      <c r="AS137" s="248">
        <f t="shared" ca="1" si="48"/>
        <v>44.131928706429242</v>
      </c>
      <c r="AT137" s="248">
        <f t="shared" ca="1" si="48"/>
        <v>47.176210663356621</v>
      </c>
      <c r="AU137" s="248">
        <f t="shared" ca="1" si="48"/>
        <v>50.401661806388816</v>
      </c>
      <c r="AV137" s="248">
        <f t="shared" ca="1" si="48"/>
        <v>53.817909912491039</v>
      </c>
      <c r="AW137" s="248">
        <f t="shared" ca="1" si="48"/>
        <v>57.435046231131921</v>
      </c>
      <c r="AX137" s="248">
        <f t="shared" ca="1" si="48"/>
        <v>61.263655739941782</v>
      </c>
      <c r="AY137" s="248">
        <f t="shared" ca="1" si="48"/>
        <v>65.314846592113469</v>
      </c>
      <c r="AZ137" s="248">
        <f t="shared" ca="1" si="48"/>
        <v>69.600279783151237</v>
      </c>
      <c r="BA137" s="248">
        <f t="shared" ca="1" si="48"/>
        <v>74.132199680777433</v>
      </c>
      <c r="BB137" s="248">
        <f t="shared" ca="1" si="48"/>
        <v>78.923465832344064</v>
      </c>
      <c r="BC137" s="248">
        <f t="shared" ca="1" si="48"/>
        <v>83.987586327915494</v>
      </c>
      <c r="BD137" s="2039" t="str">
        <f>G137</f>
        <v>Dz</v>
      </c>
      <c r="BH137" s="1509" t="s">
        <v>2025</v>
      </c>
      <c r="BI137" s="2499"/>
      <c r="BJ137" s="2499"/>
      <c r="BO137" s="1509"/>
      <c r="BP137" s="2499"/>
      <c r="BQ137" s="1509"/>
      <c r="BR137" s="2499"/>
    </row>
    <row r="138" spans="1:71" ht="17.399999999999999">
      <c r="A138" s="1631" t="s">
        <v>2130</v>
      </c>
      <c r="B138" s="55"/>
      <c r="C138" s="55"/>
      <c r="D138" s="55"/>
      <c r="E138" s="1631"/>
      <c r="F138" s="1631"/>
      <c r="G138" s="1452" t="s">
        <v>721</v>
      </c>
      <c r="H138" s="232">
        <v>40</v>
      </c>
      <c r="I138" s="2570" t="s">
        <v>2106</v>
      </c>
      <c r="J138" s="2571"/>
      <c r="K138" s="2571"/>
      <c r="L138" s="2571"/>
      <c r="M138" s="2571"/>
      <c r="N138" s="2572"/>
      <c r="O138" s="1430">
        <f>ОТЧЁТ!U56</f>
        <v>1447.9952000000001</v>
      </c>
      <c r="P138" s="249">
        <f>ОТЧЁТ!V56</f>
        <v>1970.9168</v>
      </c>
      <c r="Q138" s="249">
        <f>ОТЧЁТ!W56</f>
        <v>2199.6120000000001</v>
      </c>
      <c r="R138" s="249">
        <f>ОТЧЁТ!X56</f>
        <v>2190.7174</v>
      </c>
      <c r="S138" s="249">
        <f>ОТЧЁТ!Y56</f>
        <v>3975.3292999999999</v>
      </c>
      <c r="T138" s="249">
        <f>ОТЧЁТ!Z56</f>
        <v>6080.0128999999997</v>
      </c>
      <c r="U138" s="249">
        <f>ОТЧЁТ!AA56</f>
        <v>8076.6947</v>
      </c>
      <c r="V138" s="249">
        <f>ОТЧЁТ!AB56</f>
        <v>9403.7026999999998</v>
      </c>
      <c r="W138" s="249">
        <f>ОТЧЁТ!AC56</f>
        <v>11653.3392</v>
      </c>
      <c r="X138" s="249">
        <f>ОТЧЁТ!AD56</f>
        <v>14631.855600000001</v>
      </c>
      <c r="Y138" s="249">
        <f>ОТЧЁТ!AE56</f>
        <v>18502.9362</v>
      </c>
      <c r="Z138" s="249">
        <f>ОТЧЁТ!AF56</f>
        <v>23246.522799999999</v>
      </c>
      <c r="AA138" s="249">
        <f>ОТЧЁТ!AG56</f>
        <v>29267.6613</v>
      </c>
      <c r="AB138" s="249">
        <f>ОТЧЁТ!AH56</f>
        <v>36418.959600000002</v>
      </c>
      <c r="AC138" s="249">
        <f>ОТЧЁТ!AI56</f>
        <v>34285.124000000003</v>
      </c>
      <c r="AD138" s="249">
        <f>ОТЧЁТ!AJ56</f>
        <v>42014.536999999997</v>
      </c>
      <c r="AE138" s="249">
        <f>ОТЧЁТ!AK56</f>
        <v>48876.259899999997</v>
      </c>
      <c r="AF138" s="249">
        <f>ОТЧЁТ!AL56</f>
        <v>54095.939299999998</v>
      </c>
      <c r="AG138" s="249">
        <f>ОТЧЁТ!AM56</f>
        <v>59296.035200000006</v>
      </c>
      <c r="AH138" s="249">
        <f>ОТЧЁТ!AN56</f>
        <v>64078.5</v>
      </c>
      <c r="AI138" s="249">
        <f>ОТЧЁТ!AO56</f>
        <v>71328.7</v>
      </c>
      <c r="AJ138" s="249">
        <f>ОТЧЁТ!AP56</f>
        <v>76381.240000000005</v>
      </c>
      <c r="AK138" s="249">
        <f>ОТЧЁТ!AQ56</f>
        <v>83173.7</v>
      </c>
      <c r="AL138" s="249">
        <f>ОТЧЁТ!AR56</f>
        <v>92734.7</v>
      </c>
      <c r="AM138" s="249">
        <f ca="1">AM137*AM136</f>
        <v>96008.444070204045</v>
      </c>
      <c r="AN138" s="249">
        <f t="shared" ref="AN138:BC138" ca="1" si="49">AN137*AN136</f>
        <v>103371.61645208688</v>
      </c>
      <c r="AO138" s="249">
        <f t="shared" ca="1" si="49"/>
        <v>118479.65867091923</v>
      </c>
      <c r="AP138" s="249">
        <f t="shared" ca="1" si="49"/>
        <v>131693.22605030524</v>
      </c>
      <c r="AQ138" s="249">
        <f t="shared" ca="1" si="49"/>
        <v>146049.44834946631</v>
      </c>
      <c r="AR138" s="249">
        <f t="shared" ca="1" si="49"/>
        <v>161749.59975377776</v>
      </c>
      <c r="AS138" s="249">
        <f t="shared" ca="1" si="49"/>
        <v>178988.82052398162</v>
      </c>
      <c r="AT138" s="249">
        <f t="shared" ca="1" si="49"/>
        <v>197964.7598499998</v>
      </c>
      <c r="AU138" s="249">
        <f t="shared" ca="1" si="49"/>
        <v>218884.00283054225</v>
      </c>
      <c r="AV138" s="249">
        <f t="shared" ca="1" si="49"/>
        <v>241967.10053341466</v>
      </c>
      <c r="AW138" s="249">
        <f t="shared" ca="1" si="49"/>
        <v>267452.75547420292</v>
      </c>
      <c r="AX138" s="249">
        <f t="shared" ca="1" si="49"/>
        <v>295601.53802407382</v>
      </c>
      <c r="AY138" s="249">
        <f t="shared" ca="1" si="49"/>
        <v>326699.39249385364</v>
      </c>
      <c r="AZ138" s="249">
        <f t="shared" ca="1" si="49"/>
        <v>361061.11503259611</v>
      </c>
      <c r="BA138" s="249">
        <f t="shared" ca="1" si="49"/>
        <v>399033.93571998959</v>
      </c>
      <c r="BB138" s="249">
        <f t="shared" ca="1" si="49"/>
        <v>441001.30545133463</v>
      </c>
      <c r="BC138" s="249">
        <f t="shared" ca="1" si="49"/>
        <v>487386.96850895596</v>
      </c>
      <c r="BD138" s="2039" t="str">
        <f t="shared" si="41"/>
        <v>Z</v>
      </c>
      <c r="BH138" s="1509" t="s">
        <v>2073</v>
      </c>
      <c r="BI138" s="2499"/>
      <c r="BJ138" s="2499"/>
      <c r="BO138" s="1509"/>
      <c r="BP138" s="2499"/>
      <c r="BQ138" s="1509"/>
      <c r="BR138" s="2499"/>
    </row>
    <row r="139" spans="1:71" ht="17.399999999999999">
      <c r="A139" s="1631" t="s">
        <v>2131</v>
      </c>
      <c r="B139" s="55"/>
      <c r="C139" s="55"/>
      <c r="D139" s="55"/>
      <c r="E139" s="1631"/>
      <c r="F139" s="1631"/>
      <c r="G139" s="1452" t="s">
        <v>408</v>
      </c>
      <c r="H139" s="232">
        <v>41</v>
      </c>
      <c r="I139" s="2570" t="s">
        <v>2107</v>
      </c>
      <c r="J139" s="2571"/>
      <c r="K139" s="2571"/>
      <c r="L139" s="2571"/>
      <c r="M139" s="2571"/>
      <c r="N139" s="2572"/>
      <c r="O139" s="1430">
        <f>НАСТРОЙКА!P25</f>
        <v>2876.5160999999998</v>
      </c>
      <c r="P139" s="2579">
        <f>НАСТРОЙКА!Q25</f>
        <v>3978.7420000000006</v>
      </c>
      <c r="Q139" s="2579">
        <f>НАСТРОЙКА!R25</f>
        <v>4542.1256999999996</v>
      </c>
      <c r="R139" s="2579">
        <f>НАСТРОЙКА!S25</f>
        <v>4820.3402999999998</v>
      </c>
      <c r="S139" s="2579">
        <f>НАСТРОЙКА!T25</f>
        <v>8798.5622000000003</v>
      </c>
      <c r="T139" s="2579">
        <f>НАСТРОЙКА!U25</f>
        <v>13385.6595</v>
      </c>
      <c r="U139" s="2579">
        <f>НАСТРОЙКА!V25</f>
        <v>17020.277300000002</v>
      </c>
      <c r="V139" s="2579">
        <f>НАСТРОЙКА!W25</f>
        <v>20222.973599999998</v>
      </c>
      <c r="W139" s="2579">
        <f>НАСТРОЙКА!X25</f>
        <v>24861.589499999998</v>
      </c>
      <c r="X139" s="2579">
        <f>НАСТРОЙКА!Y25</f>
        <v>31659.022599999997</v>
      </c>
      <c r="Y139" s="2579">
        <f>НАСТРОЙКА!Z25</f>
        <v>40112.701999999997</v>
      </c>
      <c r="Z139" s="2579">
        <f>НАСТРОЙКА!AA25</f>
        <v>50163.726499999997</v>
      </c>
      <c r="AA139" s="2579">
        <f>НАСТРОЙКА!AB25</f>
        <v>62515.174500000001</v>
      </c>
      <c r="AB139" s="2579">
        <f>НАСТРОЙКА!AC25</f>
        <v>77695.808799999999</v>
      </c>
      <c r="AC139" s="2579">
        <f>НАСТРОЙКА!AD25</f>
        <v>73092.394899999999</v>
      </c>
      <c r="AD139" s="2579">
        <f>НАСТРОЙКА!AE25</f>
        <v>88323.067999999999</v>
      </c>
      <c r="AE139" s="2579">
        <f>НАСТРОЙКА!AF25</f>
        <v>109158.8003</v>
      </c>
      <c r="AF139" s="2579">
        <f>НАСТРОЙКА!AG25</f>
        <v>122259.8224</v>
      </c>
      <c r="AG139" s="2579">
        <f>НАСТРОЙКА!AH25</f>
        <v>132429.93029999998</v>
      </c>
      <c r="AH139" s="2579">
        <f>НАСТРОЙКА!AI25</f>
        <v>143137.046</v>
      </c>
      <c r="AI139" s="2579">
        <f>НАСТРОЙКА!AJ25</f>
        <v>154422.9596</v>
      </c>
      <c r="AJ139" s="2579">
        <f>НАСТРОЙКА!AK25</f>
        <v>162395.42000000001</v>
      </c>
      <c r="AK139" s="2579">
        <f>НАСТРОЙКА!AL25</f>
        <v>175275.06</v>
      </c>
      <c r="AL139" s="2579">
        <f>НАСТРОЙКА!AM25</f>
        <v>196610.47</v>
      </c>
      <c r="AM139" s="249">
        <f ca="1">AM89+AM138</f>
        <v>202097.63161610809</v>
      </c>
      <c r="AN139" s="249">
        <f t="shared" ref="AN139:BC139" ca="1" si="50">AN89+AN138</f>
        <v>216669.14979918581</v>
      </c>
      <c r="AO139" s="249">
        <f t="shared" ca="1" si="50"/>
        <v>246813.41465554695</v>
      </c>
      <c r="AP139" s="249">
        <f t="shared" ca="1" si="50"/>
        <v>272979.46852767386</v>
      </c>
      <c r="AQ139" s="249">
        <f t="shared" ca="1" si="50"/>
        <v>301304.64520543686</v>
      </c>
      <c r="AR139" s="249">
        <f t="shared" ca="1" si="50"/>
        <v>332183.57854644151</v>
      </c>
      <c r="AS139" s="249">
        <f t="shared" ca="1" si="50"/>
        <v>365992.59274473484</v>
      </c>
      <c r="AT139" s="249">
        <f t="shared" ca="1" si="50"/>
        <v>403108.12622033508</v>
      </c>
      <c r="AU139" s="249">
        <f t="shared" ca="1" si="50"/>
        <v>443920.11536875635</v>
      </c>
      <c r="AV139" s="249">
        <f t="shared" ca="1" si="50"/>
        <v>488842.19395105331</v>
      </c>
      <c r="AW139" s="249">
        <f t="shared" ca="1" si="50"/>
        <v>538319.94348001259</v>
      </c>
      <c r="AX139" s="249">
        <f t="shared" ca="1" si="50"/>
        <v>592838.02265437227</v>
      </c>
      <c r="AY139" s="249">
        <f t="shared" ca="1" si="50"/>
        <v>652926.73724524886</v>
      </c>
      <c r="AZ139" s="249">
        <f t="shared" ca="1" si="50"/>
        <v>719168.4380404253</v>
      </c>
      <c r="BA139" s="249">
        <f t="shared" ca="1" si="50"/>
        <v>792204.0219885353</v>
      </c>
      <c r="BB139" s="249">
        <f t="shared" ca="1" si="50"/>
        <v>872739.73980093002</v>
      </c>
      <c r="BC139" s="249">
        <f t="shared" ca="1" si="50"/>
        <v>961554.46830894705</v>
      </c>
      <c r="BD139" s="2039" t="str">
        <f t="shared" si="41"/>
        <v>X</v>
      </c>
      <c r="BH139" s="1509" t="s">
        <v>1791</v>
      </c>
      <c r="BO139" s="1509"/>
      <c r="BP139" s="2499"/>
      <c r="BQ139" s="1509"/>
      <c r="BR139" s="2499"/>
    </row>
    <row r="140" spans="1:71" ht="15" customHeight="1">
      <c r="A140" s="1631" t="s">
        <v>2132</v>
      </c>
      <c r="B140" s="55"/>
      <c r="C140" s="55"/>
      <c r="D140" s="55"/>
      <c r="E140" s="1631"/>
      <c r="F140" s="1631"/>
      <c r="G140" s="1452" t="s">
        <v>398</v>
      </c>
      <c r="H140" s="232">
        <v>42</v>
      </c>
      <c r="I140" s="2570" t="s">
        <v>2108</v>
      </c>
      <c r="J140" s="2571"/>
      <c r="K140" s="2571"/>
      <c r="L140" s="2571"/>
      <c r="M140" s="2571"/>
      <c r="N140" s="2572"/>
      <c r="O140" s="1430">
        <f>ОТЧЁТ!U51</f>
        <v>2767.6205</v>
      </c>
      <c r="P140" s="2578">
        <f>ОТЧЁТ!V51</f>
        <v>3799.1260000000002</v>
      </c>
      <c r="Q140" s="249">
        <f>ОТЧЁТ!W51</f>
        <v>4327.5309999999999</v>
      </c>
      <c r="R140" s="249">
        <f>ОТЧЁТ!X51</f>
        <v>4573.9769999999999</v>
      </c>
      <c r="S140" s="249">
        <f>ОТЧЁТ!Y51</f>
        <v>8303.2019999999993</v>
      </c>
      <c r="T140" s="249">
        <f>ОТЧЁТ!Z51</f>
        <v>12552.212</v>
      </c>
      <c r="U140" s="249">
        <f>ОТЧЁТ!AA51</f>
        <v>15922.788</v>
      </c>
      <c r="V140" s="249">
        <f>ОТЧЁТ!AB51</f>
        <v>18973.673599999998</v>
      </c>
      <c r="W140" s="249">
        <f>ОТЧЁТ!AC51</f>
        <v>23273.089499999998</v>
      </c>
      <c r="X140" s="249">
        <f>ОТЧЁТ!AD51</f>
        <v>29490.622599999999</v>
      </c>
      <c r="Y140" s="249">
        <f>ОТЧЁТ!AE51</f>
        <v>37020.601999999999</v>
      </c>
      <c r="Z140" s="249">
        <f>ОТЧЁТ!AF51</f>
        <v>46223.866499999996</v>
      </c>
      <c r="AA140" s="249">
        <f>ОТЧЁТ!AG51</f>
        <v>57752.1325</v>
      </c>
      <c r="AB140" s="249">
        <f>ОТЧЁТ!AH51</f>
        <v>71601.657999999996</v>
      </c>
      <c r="AC140" s="249">
        <f>ОТЧЁТ!AI51</f>
        <v>68116.5</v>
      </c>
      <c r="AD140" s="249">
        <f>ОТЧЁТ!AJ51</f>
        <v>82054.600000000006</v>
      </c>
      <c r="AE140" s="249">
        <f>ОТЧЁТ!AK51</f>
        <v>100960.3907</v>
      </c>
      <c r="AF140" s="249">
        <f>ОТЧЁТ!AL51</f>
        <v>113092.1725</v>
      </c>
      <c r="AG140" s="249">
        <f>ОТЧЁТ!AM51</f>
        <v>123165.48509999999</v>
      </c>
      <c r="AH140" s="249">
        <f>ОТЧЁТ!AN51</f>
        <v>132844.9</v>
      </c>
      <c r="AI140" s="249">
        <f>ОТЧЁТ!AO51</f>
        <v>145956.1</v>
      </c>
      <c r="AJ140" s="249">
        <f>ОТЧЁТ!AP51</f>
        <v>153856.5</v>
      </c>
      <c r="AK140" s="249">
        <f>ОТЧЁТ!AQ51</f>
        <v>166329.29999999999</v>
      </c>
      <c r="AL140" s="249">
        <f>ОТЧЁТ!AR51</f>
        <v>185534.2</v>
      </c>
      <c r="AM140" s="249">
        <f ca="1">AM139/(1+AM93)</f>
        <v>190181.37956681044</v>
      </c>
      <c r="AN140" s="249">
        <f t="shared" ref="AN140:BC140" ca="1" si="51">AN139/(1+AN93)</f>
        <v>203610.33994240887</v>
      </c>
      <c r="AO140" s="249">
        <f t="shared" ca="1" si="51"/>
        <v>231776.72142285196</v>
      </c>
      <c r="AP140" s="249">
        <f t="shared" ca="1" si="51"/>
        <v>256259.67422413372</v>
      </c>
      <c r="AQ140" s="249">
        <f t="shared" ca="1" si="51"/>
        <v>282800.87456461875</v>
      </c>
      <c r="AR140" s="249">
        <f t="shared" ca="1" si="51"/>
        <v>311756.41792829282</v>
      </c>
      <c r="AS140" s="249">
        <f t="shared" ca="1" si="51"/>
        <v>343471.49607568205</v>
      </c>
      <c r="AT140" s="249">
        <f t="shared" ca="1" si="51"/>
        <v>378294.9472148231</v>
      </c>
      <c r="AU140" s="249">
        <f t="shared" ca="1" si="51"/>
        <v>416590.25150981615</v>
      </c>
      <c r="AV140" s="249">
        <f t="shared" ca="1" si="51"/>
        <v>458744.22310091672</v>
      </c>
      <c r="AW140" s="249">
        <f t="shared" ca="1" si="51"/>
        <v>505174.26253156748</v>
      </c>
      <c r="AX140" s="249">
        <f t="shared" ca="1" si="51"/>
        <v>556334.77563545934</v>
      </c>
      <c r="AY140" s="249">
        <f t="shared" ca="1" si="51"/>
        <v>612723.18883461552</v>
      </c>
      <c r="AZ140" s="249">
        <f t="shared" ca="1" si="51"/>
        <v>674885.87036856357</v>
      </c>
      <c r="BA140" s="249">
        <f t="shared" ca="1" si="51"/>
        <v>743424.18552822154</v>
      </c>
      <c r="BB140" s="249">
        <f t="shared" ca="1" si="51"/>
        <v>819000.85996652429</v>
      </c>
      <c r="BC140" s="249">
        <f t="shared" ca="1" si="51"/>
        <v>902346.79043448472</v>
      </c>
      <c r="BD140" s="2039" t="str">
        <f t="shared" si="41"/>
        <v>XO</v>
      </c>
      <c r="BH140" s="1509" t="s">
        <v>2028</v>
      </c>
      <c r="BI140" s="2499"/>
      <c r="BJ140" s="1509"/>
      <c r="BK140" s="2499"/>
      <c r="BO140" s="1509"/>
      <c r="BP140" s="2499"/>
      <c r="BQ140" s="1509"/>
      <c r="BR140" s="2499"/>
    </row>
    <row r="141" spans="1:71" ht="17.399999999999999">
      <c r="A141" s="1631" t="s">
        <v>2133</v>
      </c>
      <c r="B141" s="55"/>
      <c r="C141" s="55"/>
      <c r="D141" s="55"/>
      <c r="E141" s="1631"/>
      <c r="F141" s="1631"/>
      <c r="G141" s="1452" t="s">
        <v>718</v>
      </c>
      <c r="H141" s="232">
        <v>43</v>
      </c>
      <c r="I141" s="2570" t="s">
        <v>2109</v>
      </c>
      <c r="J141" s="2571"/>
      <c r="K141" s="2571"/>
      <c r="L141" s="2571"/>
      <c r="M141" s="2571"/>
      <c r="N141" s="2572"/>
      <c r="O141" s="1430">
        <v>1</v>
      </c>
      <c r="P141" s="248">
        <f>ОТЧЁТ!V180</f>
        <v>1.4230255714814841</v>
      </c>
      <c r="Q141" s="248">
        <f>ОТЧЁТ!W180</f>
        <v>1.6020944641617485</v>
      </c>
      <c r="R141" s="248">
        <f>ОТЧЁТ!X180</f>
        <v>1.7915975405266318</v>
      </c>
      <c r="S141" s="248">
        <f>ОТЧЁТ!Y180</f>
        <v>3.0909273639762795</v>
      </c>
      <c r="T141" s="248">
        <f>ОТЧЁТ!Z180</f>
        <v>4.2983278940953449</v>
      </c>
      <c r="U141" s="248">
        <f>ОТЧЁТ!AA180</f>
        <v>5.2101582214210298</v>
      </c>
      <c r="V141" s="248">
        <f>ОТЧЁТ!AB180</f>
        <v>5.9296464112464475</v>
      </c>
      <c r="W141" s="248">
        <f>ОТЧЁТ!AC180</f>
        <v>6.7748611993914016</v>
      </c>
      <c r="X141" s="248">
        <f>ОТЧЁТ!AD180</f>
        <v>7.9881324646136438</v>
      </c>
      <c r="Y141" s="248">
        <f>ОТЧЁТ!AE180</f>
        <v>9.5753506090096341</v>
      </c>
      <c r="Z141" s="248">
        <f>ОТЧЁТ!AF180</f>
        <v>10.995998689731229</v>
      </c>
      <c r="AA141" s="248">
        <f>ОТЧЁТ!AG180</f>
        <v>12.595094794725632</v>
      </c>
      <c r="AB141" s="248">
        <f>ОТЧЁТ!AH180</f>
        <v>14.90816825584335</v>
      </c>
      <c r="AC141" s="248">
        <f>ОТЧЁТ!AI180</f>
        <v>15.145649385720535</v>
      </c>
      <c r="AD141" s="248">
        <f>ОТЧЁТ!AJ180</f>
        <v>17.430127110309737</v>
      </c>
      <c r="AE141" s="248">
        <f>ОТЧЁТ!AK180</f>
        <v>20.653842144150566</v>
      </c>
      <c r="AF141" s="248">
        <f>ОТЧЁТ!AL180</f>
        <v>22.264364965078673</v>
      </c>
      <c r="AG141" s="248">
        <f>ОТЧЁТ!AM180</f>
        <v>23.620384357528209</v>
      </c>
      <c r="AH141" s="248">
        <f>ОТЧЁТ!AN180</f>
        <v>25.327500226014692</v>
      </c>
      <c r="AI141" s="248">
        <f>ОТЧЁТ!AO180</f>
        <v>27.684392425904839</v>
      </c>
      <c r="AJ141" s="248">
        <f>ОТЧЁТ!AP180</f>
        <v>28.768445092272216</v>
      </c>
      <c r="AK141" s="248">
        <f>ОТЧЁТ!AQ180</f>
        <v>30.292761918932754</v>
      </c>
      <c r="AL141" s="248">
        <f>ОТЧЁТ!AR180</f>
        <v>33.151373247864946</v>
      </c>
      <c r="AM141" s="245">
        <f ca="1">AM139/AM131</f>
        <v>32.69756860657747</v>
      </c>
      <c r="AN141" s="245">
        <f t="shared" ref="AN141:BC141" ca="1" si="52">AN139/AN131</f>
        <v>34.123372818235829</v>
      </c>
      <c r="AO141" s="245">
        <f t="shared" ca="1" si="52"/>
        <v>37.176992855719824</v>
      </c>
      <c r="AP141" s="245">
        <f t="shared" ca="1" si="52"/>
        <v>39.719273125781761</v>
      </c>
      <c r="AQ141" s="245">
        <f t="shared" ca="1" si="52"/>
        <v>42.416097971447634</v>
      </c>
      <c r="AR141" s="245">
        <f t="shared" ca="1" si="52"/>
        <v>45.276073379471974</v>
      </c>
      <c r="AS141" s="245">
        <f t="shared" ca="1" si="52"/>
        <v>48.308096069393322</v>
      </c>
      <c r="AT141" s="245">
        <f t="shared" ca="1" si="52"/>
        <v>51.521423470941251</v>
      </c>
      <c r="AU141" s="245">
        <f t="shared" ca="1" si="52"/>
        <v>54.925724245657115</v>
      </c>
      <c r="AV141" s="245">
        <f t="shared" ca="1" si="52"/>
        <v>58.531118233879873</v>
      </c>
      <c r="AW141" s="245">
        <f t="shared" ca="1" si="52"/>
        <v>62.348210820185678</v>
      </c>
      <c r="AX141" s="245">
        <f t="shared" ca="1" si="52"/>
        <v>66.38812465088472</v>
      </c>
      <c r="AY141" s="245">
        <f t="shared" ca="1" si="52"/>
        <v>70.662530473606495</v>
      </c>
      <c r="AZ141" s="245">
        <f t="shared" ca="1" si="52"/>
        <v>75.183678186610152</v>
      </c>
      <c r="BA141" s="245">
        <f t="shared" ca="1" si="52"/>
        <v>79.96442877851868</v>
      </c>
      <c r="BB141" s="245">
        <f t="shared" ca="1" si="52"/>
        <v>85.018287595874895</v>
      </c>
      <c r="BC141" s="245">
        <f t="shared" ca="1" si="52"/>
        <v>90.359439231509384</v>
      </c>
      <c r="BD141" s="2039" t="str">
        <f t="shared" si="41"/>
        <v>Dx</v>
      </c>
      <c r="BH141" s="1509" t="s">
        <v>1994</v>
      </c>
      <c r="BI141" s="2499"/>
      <c r="BJ141" s="2499"/>
      <c r="BK141" s="2499"/>
      <c r="BO141" s="1509"/>
      <c r="BP141" s="2499"/>
      <c r="BQ141" s="1509"/>
      <c r="BR141" s="2499"/>
    </row>
    <row r="142" spans="1:71" ht="17.399999999999999">
      <c r="A142" s="1631" t="s">
        <v>2134</v>
      </c>
      <c r="B142" s="55"/>
      <c r="C142" s="55"/>
      <c r="D142" s="55"/>
      <c r="E142" s="1631"/>
      <c r="F142" s="1631"/>
      <c r="G142" s="1452" t="s">
        <v>702</v>
      </c>
      <c r="H142" s="232">
        <v>44</v>
      </c>
      <c r="I142" s="2570" t="s">
        <v>2110</v>
      </c>
      <c r="J142" s="2571"/>
      <c r="K142" s="2571"/>
      <c r="L142" s="2571"/>
      <c r="M142" s="2571"/>
      <c r="N142" s="2572"/>
      <c r="O142" s="1430">
        <v>1</v>
      </c>
      <c r="P142" s="245">
        <f>НАСТРОЙКА!Q13</f>
        <v>1.4122477570972609</v>
      </c>
      <c r="Q142" s="245">
        <f>НАСТРОЙКА!R13</f>
        <v>1.5864611043969121</v>
      </c>
      <c r="R142" s="245">
        <f>НАСТРОЙКА!S13</f>
        <v>1.7669204828999698</v>
      </c>
      <c r="S142" s="245">
        <f>НАСТРОЙКА!T13</f>
        <v>3.0316772495419131</v>
      </c>
      <c r="T142" s="245">
        <f>НАСТРОЙКА!U13</f>
        <v>4.1892888398154868</v>
      </c>
      <c r="U142" s="245">
        <f>НАСТРОЙКА!V13</f>
        <v>5.0659822500447591</v>
      </c>
      <c r="V142" s="245">
        <f>НАСТРОЙКА!W13</f>
        <v>5.7822315297952604</v>
      </c>
      <c r="W142" s="245">
        <f>НАСТРОЙКА!X13</f>
        <v>6.5915237407621836</v>
      </c>
      <c r="X142" s="245">
        <f>НАСТРОЙКА!Y13</f>
        <v>7.7337827274937645</v>
      </c>
      <c r="Y142" s="245">
        <f>НАСТРОЙКА!Z13</f>
        <v>9.1849440425976727</v>
      </c>
      <c r="Z142" s="245">
        <f>НАСТРОЙКА!AA13</f>
        <v>10.5310440318469</v>
      </c>
      <c r="AA142" s="245">
        <f>НАСТРОЙКА!AB13</f>
        <v>12.093285009188341</v>
      </c>
      <c r="AB142" s="245">
        <f>НАСТРОЙКА!AC13</f>
        <v>14.279402745112492</v>
      </c>
      <c r="AC142" s="245">
        <f>НАСТРОЙКА!AD13</f>
        <v>14.669938798054028</v>
      </c>
      <c r="AD142" s="245">
        <f>НАСТРОЙКА!AE13</f>
        <v>16.830212945381799</v>
      </c>
      <c r="AE142" s="245">
        <f>НАСТРОЙКА!AF13</f>
        <v>19.85424571376991</v>
      </c>
      <c r="AF142" s="245">
        <f>НАСТРОЙКА!AG13</f>
        <v>21.405203901528715</v>
      </c>
      <c r="AG142" s="245">
        <f>НАСТРОЙКА!AH13</f>
        <v>22.832323118365768</v>
      </c>
      <c r="AH142" s="245">
        <f>НАСТРОЙКА!AI13</f>
        <v>24.43123573923766</v>
      </c>
      <c r="AI142" s="245">
        <f>НАСТРОЙКА!AJ13</f>
        <v>27.196038400434425</v>
      </c>
      <c r="AJ142" s="245">
        <f>НАСТРОЙКА!AK13</f>
        <v>28.328183799288354</v>
      </c>
      <c r="AK142" s="245">
        <f>НАСТРОЙКА!AL13</f>
        <v>29.877742312507845</v>
      </c>
      <c r="AL142" s="245">
        <f>НАСТРОЙКА!AM13</f>
        <v>32.514653338403463</v>
      </c>
      <c r="AM142" s="248">
        <f ca="1">AM140/AM135</f>
        <v>31.980297493595838</v>
      </c>
      <c r="AN142" s="248">
        <f t="shared" ref="AN142:BC142" ca="1" si="53">AN140/AN135</f>
        <v>33.328438855630772</v>
      </c>
      <c r="AO142" s="248">
        <f t="shared" ca="1" si="53"/>
        <v>36.285706472529633</v>
      </c>
      <c r="AP142" s="248">
        <f t="shared" ca="1" si="53"/>
        <v>38.753581796906595</v>
      </c>
      <c r="AQ142" s="248">
        <f t="shared" ca="1" si="53"/>
        <v>41.377657914532122</v>
      </c>
      <c r="AR142" s="248">
        <f t="shared" ca="1" si="53"/>
        <v>44.163783161370247</v>
      </c>
      <c r="AS142" s="248">
        <f t="shared" ca="1" si="53"/>
        <v>47.119274779377989</v>
      </c>
      <c r="AT142" s="248">
        <f t="shared" ca="1" si="53"/>
        <v>50.252435090880134</v>
      </c>
      <c r="AU142" s="248">
        <f t="shared" ca="1" si="53"/>
        <v>53.572305998881035</v>
      </c>
      <c r="AV142" s="248">
        <f t="shared" ca="1" si="53"/>
        <v>57.088550391673721</v>
      </c>
      <c r="AW142" s="248">
        <f t="shared" ca="1" si="53"/>
        <v>60.811401422127091</v>
      </c>
      <c r="AX142" s="248">
        <f t="shared" ca="1" si="53"/>
        <v>64.751648408286357</v>
      </c>
      <c r="AY142" s="248">
        <f t="shared" ca="1" si="53"/>
        <v>68.920642842998618</v>
      </c>
      <c r="AZ142" s="248">
        <f t="shared" ca="1" si="53"/>
        <v>73.330315817934903</v>
      </c>
      <c r="BA142" s="248">
        <f t="shared" ca="1" si="53"/>
        <v>77.993202307971515</v>
      </c>
      <c r="BB142" s="248">
        <f t="shared" ca="1" si="53"/>
        <v>82.922469952233214</v>
      </c>
      <c r="BC142" s="248">
        <f t="shared" ca="1" si="53"/>
        <v>88.131951125950977</v>
      </c>
      <c r="BD142" s="2039" t="str">
        <f t="shared" si="41"/>
        <v>DOx</v>
      </c>
      <c r="BH142" s="1509" t="s">
        <v>2029</v>
      </c>
      <c r="BI142" s="2499"/>
      <c r="BJ142" s="2499"/>
      <c r="BK142" s="1509"/>
      <c r="BO142" s="1509"/>
      <c r="BP142" s="2499"/>
      <c r="BQ142" s="1509"/>
      <c r="BR142" s="2499"/>
    </row>
    <row r="143" spans="1:71" ht="17.399999999999999">
      <c r="A143" s="1631" t="s">
        <v>2135</v>
      </c>
      <c r="B143" s="55"/>
      <c r="C143" s="55"/>
      <c r="D143" s="55"/>
      <c r="E143" s="1631"/>
      <c r="F143" s="1631"/>
      <c r="G143" s="1452" t="s">
        <v>768</v>
      </c>
      <c r="H143" s="232">
        <v>45</v>
      </c>
      <c r="I143" s="2570" t="s">
        <v>2111</v>
      </c>
      <c r="J143" s="2571"/>
      <c r="K143" s="2571"/>
      <c r="L143" s="2571"/>
      <c r="M143" s="2571"/>
      <c r="N143" s="2571"/>
      <c r="O143" s="246">
        <f>ОТЧЁТ!U57</f>
        <v>0.50338504971343634</v>
      </c>
      <c r="P143" s="245">
        <f>ОТЧЁТ!V57</f>
        <v>0.4953618002876285</v>
      </c>
      <c r="Q143" s="245">
        <f>ОТЧЁТ!W57</f>
        <v>0.48426929267941665</v>
      </c>
      <c r="R143" s="245">
        <f>ОТЧЁТ!X57</f>
        <v>0.45447359805696708</v>
      </c>
      <c r="S143" s="245">
        <f>ОТЧЁТ!Y57</f>
        <v>0.45181578644747206</v>
      </c>
      <c r="T143" s="245">
        <f>ОТЧЁТ!Z57</f>
        <v>0.45421840440510231</v>
      </c>
      <c r="U143" s="245">
        <f>ОТЧЁТ!AA57</f>
        <v>0.47453367284444886</v>
      </c>
      <c r="V143" s="245">
        <f>ОТЧЁТ!AB57</f>
        <v>0.46500098778747362</v>
      </c>
      <c r="W143" s="245">
        <f>ОТЧЁТ!AC57</f>
        <v>0.46872864665390768</v>
      </c>
      <c r="X143" s="245">
        <f>ОТЧЁТ!AD57</f>
        <v>0.46217016187985543</v>
      </c>
      <c r="Y143" s="245">
        <f>ОТЧЁТ!AE57</f>
        <v>0.46127374316494563</v>
      </c>
      <c r="Z143" s="245">
        <f>ОТЧЁТ!AF57</f>
        <v>0.46341299624141757</v>
      </c>
      <c r="AA143" s="245">
        <f>ОТЧЁТ!AG57</f>
        <v>0.46816891313324255</v>
      </c>
      <c r="AB143" s="245">
        <f>ОТЧЁТ!AH57</f>
        <v>0.46873776285343211</v>
      </c>
      <c r="AC143" s="245">
        <f>ОТЧЁТ!AI57</f>
        <v>0.46906554432792302</v>
      </c>
      <c r="AD143" s="245">
        <f>ОТЧЁТ!AJ57</f>
        <v>0.47569154866767077</v>
      </c>
      <c r="AE143" s="245">
        <f>ОТЧЁТ!AK57</f>
        <v>0.44775372911459155</v>
      </c>
      <c r="AF143" s="245">
        <f>ОТЧЁТ!AL57</f>
        <v>0.44246702013857986</v>
      </c>
      <c r="AG143" s="245">
        <f>ОТЧЁТ!AM57</f>
        <v>0.44775403162769772</v>
      </c>
      <c r="AH143" s="245">
        <f>ОТЧЁТ!AN57</f>
        <v>0.4476723656851212</v>
      </c>
      <c r="AI143" s="245">
        <f>ОТЧЁТ!AO57</f>
        <v>0.46190475940081643</v>
      </c>
      <c r="AJ143" s="245">
        <f>ОТЧЁТ!AP57</f>
        <v>0.47034109705803279</v>
      </c>
      <c r="AK143" s="245">
        <f>ОТЧЁТ!AQ57</f>
        <v>0.47453242920013833</v>
      </c>
      <c r="AL143" s="245">
        <f>ОТЧЁТ!AR57</f>
        <v>0.47166714977081325</v>
      </c>
      <c r="AM143" s="245">
        <f ca="1">AM95*AM137/AM141</f>
        <v>0.4750597189212768</v>
      </c>
      <c r="AN143" s="245">
        <f t="shared" ref="AN143:BC143" ca="1" si="54">AN95*AN137/AN141</f>
        <v>0.47709430044791418</v>
      </c>
      <c r="AO143" s="245">
        <f t="shared" ca="1" si="54"/>
        <v>0.48003735468053699</v>
      </c>
      <c r="AP143" s="245">
        <f t="shared" ca="1" si="54"/>
        <v>0.48242905138836323</v>
      </c>
      <c r="AQ143" s="245">
        <f t="shared" ca="1" si="54"/>
        <v>0.48472352044186451</v>
      </c>
      <c r="AR143" s="245">
        <f t="shared" ca="1" si="54"/>
        <v>0.48692834384395695</v>
      </c>
      <c r="AS143" s="245">
        <f t="shared" ca="1" si="54"/>
        <v>0.48905039083350837</v>
      </c>
      <c r="AT143" s="245">
        <f t="shared" ca="1" si="54"/>
        <v>0.4910959292886945</v>
      </c>
      <c r="AU143" s="245">
        <f t="shared" ca="1" si="54"/>
        <v>0.493070701805705</v>
      </c>
      <c r="AV143" s="245">
        <f t="shared" ca="1" si="54"/>
        <v>0.49497998234915519</v>
      </c>
      <c r="AW143" s="245">
        <f t="shared" ca="1" si="54"/>
        <v>0.49682862155400204</v>
      </c>
      <c r="AX143" s="245">
        <f t="shared" ca="1" si="54"/>
        <v>0.49862108489693002</v>
      </c>
      <c r="AY143" s="245">
        <f t="shared" ca="1" si="54"/>
        <v>0.50036148599492958</v>
      </c>
      <c r="AZ143" s="245">
        <f t="shared" ca="1" si="54"/>
        <v>0.50205361627994649</v>
      </c>
      <c r="BA143" s="245">
        <f t="shared" ca="1" si="54"/>
        <v>0.50370097177537976</v>
      </c>
      <c r="BB143" s="245">
        <f t="shared" ca="1" si="54"/>
        <v>0.50530677742705521</v>
      </c>
      <c r="BC143" s="245">
        <f t="shared" ca="1" si="54"/>
        <v>0.50687400929674509</v>
      </c>
      <c r="BD143" s="2039" t="str">
        <f t="shared" si="41"/>
        <v>a</v>
      </c>
      <c r="BH143" s="1509" t="s">
        <v>750</v>
      </c>
      <c r="BI143" s="2499"/>
      <c r="BJ143" s="2499"/>
      <c r="BK143" s="1509"/>
      <c r="BO143" s="1509"/>
      <c r="BP143" s="2499"/>
      <c r="BQ143" s="1509"/>
      <c r="BR143" s="2499"/>
    </row>
    <row r="144" spans="1:71" ht="17.399999999999999">
      <c r="A144" s="1631" t="s">
        <v>2136</v>
      </c>
      <c r="B144" s="55"/>
      <c r="C144" s="55"/>
      <c r="D144" s="55"/>
      <c r="E144" s="1631"/>
      <c r="F144" s="1631"/>
      <c r="G144" s="1452" t="s">
        <v>494</v>
      </c>
      <c r="H144" s="232">
        <v>46</v>
      </c>
      <c r="I144" s="2570" t="s">
        <v>1835</v>
      </c>
      <c r="J144" s="2571"/>
      <c r="K144" s="2571"/>
      <c r="L144" s="2571"/>
      <c r="M144" s="2571"/>
      <c r="N144" s="2571"/>
      <c r="O144" s="2033">
        <f>ОТЧЁТ!U103</f>
        <v>437</v>
      </c>
      <c r="P144" s="249">
        <f>ОТЧЁТ!V103</f>
        <v>558.5</v>
      </c>
      <c r="Q144" s="249">
        <f>ОТЧЁТ!W103</f>
        <v>711.6</v>
      </c>
      <c r="R144" s="249">
        <f>ОТЧЁТ!X103</f>
        <v>686.8</v>
      </c>
      <c r="S144" s="249">
        <f>ОТЧЁТ!Y103</f>
        <v>1213.5999999999999</v>
      </c>
      <c r="T144" s="249">
        <f>ОТЧЁТ!Z103</f>
        <v>2097.6999999999998</v>
      </c>
      <c r="U144" s="249">
        <f>ОТЧЁТ!AA103</f>
        <v>2683.7</v>
      </c>
      <c r="V144" s="249">
        <f>ОТЧЁТ!AB103</f>
        <v>3519.2</v>
      </c>
      <c r="W144" s="249">
        <f>ОТЧЁТ!AC103</f>
        <v>4138.7</v>
      </c>
      <c r="X144" s="249">
        <f>ОТЧЁТ!AD103</f>
        <v>5429.9</v>
      </c>
      <c r="Y144" s="249">
        <f>ОТЧЁТ!AE103</f>
        <v>8579.6</v>
      </c>
      <c r="Z144" s="249">
        <f>ОТЧЁТ!AF103</f>
        <v>10625.8</v>
      </c>
      <c r="AA144" s="249">
        <f>ОТЧЁТ!AG103</f>
        <v>13368.262000000001</v>
      </c>
      <c r="AB144" s="249">
        <f>ОТЧЁТ!AH103</f>
        <v>16003.86</v>
      </c>
      <c r="AC144" s="249">
        <f>ОТЧЁТ!AI103</f>
        <v>13599.7</v>
      </c>
      <c r="AD144" s="249">
        <f>ОТЧЁТ!AJ103</f>
        <v>16031.9</v>
      </c>
      <c r="AE144" s="249">
        <f>ОТЧЁТ!AK103</f>
        <v>20855</v>
      </c>
      <c r="AF144" s="249">
        <f>ОТЧЁТ!AL103</f>
        <v>23435</v>
      </c>
      <c r="AG144" s="249">
        <f>ОТЧЁТ!AM103</f>
        <v>24442</v>
      </c>
      <c r="AH144" s="249">
        <f>ОТЧЁТ!AN103</f>
        <v>26766</v>
      </c>
      <c r="AI144" s="249">
        <f>ОТЧЁТ!AO103</f>
        <v>26922</v>
      </c>
      <c r="AJ144" s="249">
        <f>ОТЧЁТ!AP103</f>
        <v>28182</v>
      </c>
      <c r="AK144" s="249">
        <f>ОТЧЁТ!AQ103</f>
        <v>31047</v>
      </c>
      <c r="AL144" s="249">
        <f>ОТЧЁТ!AR103</f>
        <v>37320</v>
      </c>
      <c r="AM144" s="249">
        <f ca="1">0.5355*AM89-18298</f>
        <v>38512.759930831613</v>
      </c>
      <c r="AN144" s="249">
        <f t="shared" ref="AN144:BC144" ca="1" si="55">0.5355*AN89-18298</f>
        <v>42372.829107371479</v>
      </c>
      <c r="AO144" s="249">
        <f t="shared" ca="1" si="55"/>
        <v>50424.726329768135</v>
      </c>
      <c r="AP144" s="249">
        <f t="shared" ca="1" si="55"/>
        <v>57360.782846630915</v>
      </c>
      <c r="AQ144" s="249">
        <f t="shared" ca="1" si="55"/>
        <v>64841.157916372205</v>
      </c>
      <c r="AR144" s="249">
        <f t="shared" ca="1" si="55"/>
        <v>72969.39564347142</v>
      </c>
      <c r="AS144" s="249">
        <f t="shared" ca="1" si="55"/>
        <v>81842.520024213358</v>
      </c>
      <c r="AT144" s="249">
        <f t="shared" ca="1" si="55"/>
        <v>91556.272691314531</v>
      </c>
      <c r="AU144" s="249">
        <f t="shared" ca="1" si="55"/>
        <v>102208.83826421366</v>
      </c>
      <c r="AV144" s="249">
        <f t="shared" ca="1" si="55"/>
        <v>113903.61252514549</v>
      </c>
      <c r="AW144" s="249">
        <f t="shared" ca="1" si="55"/>
        <v>126751.37917711108</v>
      </c>
      <c r="AX144" s="249">
        <f t="shared" ca="1" si="55"/>
        <v>140872.13751952481</v>
      </c>
      <c r="AY144" s="249">
        <f t="shared" ca="1" si="55"/>
        <v>156396.7431143721</v>
      </c>
      <c r="AZ144" s="249">
        <f t="shared" ca="1" si="55"/>
        <v>173468.47147069249</v>
      </c>
      <c r="BA144" s="249">
        <f t="shared" ca="1" si="55"/>
        <v>192244.58119680625</v>
      </c>
      <c r="BB144" s="249">
        <f t="shared" ca="1" si="55"/>
        <v>212897.93159420829</v>
      </c>
      <c r="BC144" s="249">
        <f t="shared" ca="1" si="55"/>
        <v>235618.69614289523</v>
      </c>
      <c r="BD144" s="2039" t="str">
        <f t="shared" si="41"/>
        <v>DBJ</v>
      </c>
      <c r="BH144" s="1509"/>
      <c r="BI144" s="2499"/>
      <c r="BJ144" s="2499"/>
      <c r="BK144" s="1509"/>
      <c r="BO144" s="1509"/>
      <c r="BP144" s="2499"/>
      <c r="BQ144" s="1509"/>
      <c r="BR144" s="2499"/>
    </row>
    <row r="145" spans="1:68" ht="17.399999999999999">
      <c r="A145" s="1631" t="s">
        <v>2137</v>
      </c>
      <c r="B145" s="55"/>
      <c r="C145" s="55"/>
      <c r="D145" s="55"/>
      <c r="E145" s="1631"/>
      <c r="F145" s="1631"/>
      <c r="G145" s="1452" t="s">
        <v>2100</v>
      </c>
      <c r="H145" s="232">
        <v>47</v>
      </c>
      <c r="I145" s="2570" t="s">
        <v>2001</v>
      </c>
      <c r="J145" s="2571"/>
      <c r="K145" s="2571"/>
      <c r="L145" s="2571"/>
      <c r="M145" s="2571"/>
      <c r="N145" s="2571"/>
      <c r="O145" s="2033">
        <f>ОТЧЁТ!U87</f>
        <v>220.8</v>
      </c>
      <c r="P145" s="249">
        <f>ОТЧЁТ!V87</f>
        <v>282.3</v>
      </c>
      <c r="Q145" s="249">
        <f>ОТЧЁТ!W87</f>
        <v>357.4</v>
      </c>
      <c r="R145" s="249">
        <f>ОТЧЁТ!X87</f>
        <v>396.9</v>
      </c>
      <c r="S145" s="249">
        <f>ОТЧЁТ!Y87</f>
        <v>625.1</v>
      </c>
      <c r="T145" s="249">
        <f>ОТЧЁТ!Z87</f>
        <v>714.6</v>
      </c>
      <c r="U145" s="249">
        <f>ОТЧЁТ!AA87</f>
        <v>1150.5999999999999</v>
      </c>
      <c r="V145" s="249">
        <f>ОТЧЁТ!AB87</f>
        <v>1609.4</v>
      </c>
      <c r="W145" s="249">
        <f>ОТЧЁТ!AC87</f>
        <v>2130.5</v>
      </c>
      <c r="X145" s="249">
        <f>ОТЧЁТ!AD87</f>
        <v>3205.2</v>
      </c>
      <c r="Y145" s="249">
        <f>ОТЧЁТ!AE87</f>
        <v>4353.8999999999996</v>
      </c>
      <c r="Z145" s="249">
        <f>ОТЧЁТ!AF87</f>
        <v>6032.1</v>
      </c>
      <c r="AA145" s="249">
        <f>ОТЧЁТ!AG87</f>
        <v>8970.7000000000007</v>
      </c>
      <c r="AB145" s="249">
        <f>ОТЧЁТ!AH87</f>
        <v>12869</v>
      </c>
      <c r="AC145" s="249">
        <f>ОТЧЁТ!AI87</f>
        <v>12975.9</v>
      </c>
      <c r="AD145" s="249">
        <f>ОТЧЁТ!AJ87</f>
        <v>15267.6</v>
      </c>
      <c r="AE145" s="249">
        <f>ОТЧЁТ!AK87</f>
        <v>20011.900000000001</v>
      </c>
      <c r="AF145" s="249">
        <f>ОТЧЁТ!AL87</f>
        <v>24204.799999999999</v>
      </c>
      <c r="AG145" s="249">
        <f>ОТЧЁТ!AM87</f>
        <v>27164.6</v>
      </c>
      <c r="AH145" s="249">
        <f>ОТЧЁТ!AN87</f>
        <v>31155.599999999999</v>
      </c>
      <c r="AI145" s="249">
        <f>ОТЧЁТ!AO87</f>
        <v>35179.699999999997</v>
      </c>
      <c r="AJ145" s="249">
        <f>ОТЧЁТ!AP87</f>
        <v>38418</v>
      </c>
      <c r="AK145" s="249">
        <f>ОТЧЁТ!AQ87</f>
        <v>42442.2</v>
      </c>
      <c r="AL145" s="249">
        <f>ОТЧЁТ!AR87</f>
        <v>47109.3</v>
      </c>
      <c r="AM145" s="249">
        <f ca="1">0.4832*AM89-7.2803</f>
        <v>51255.015122180841</v>
      </c>
      <c r="AN145" s="249">
        <f t="shared" ref="AN145:BC145" ca="1" si="56">0.4832*AN89-7.2803</f>
        <v>54738.087813318212</v>
      </c>
      <c r="AO145" s="249">
        <f t="shared" ca="1" si="56"/>
        <v>62003.590591772117</v>
      </c>
      <c r="AP145" s="249">
        <f t="shared" ca="1" si="56"/>
        <v>68262.232065064542</v>
      </c>
      <c r="AQ145" s="249">
        <f t="shared" ca="1" si="56"/>
        <v>75012.030820804954</v>
      </c>
      <c r="AR145" s="249">
        <f t="shared" ca="1" si="56"/>
        <v>82346.418252615113</v>
      </c>
      <c r="AS145" s="249">
        <f t="shared" ca="1" si="56"/>
        <v>90352.942437067977</v>
      </c>
      <c r="AT145" s="249">
        <f t="shared" ca="1" si="56"/>
        <v>99117.994330146015</v>
      </c>
      <c r="AU145" s="249">
        <f t="shared" ca="1" si="56"/>
        <v>108730.16927846508</v>
      </c>
      <c r="AV145" s="249">
        <f t="shared" ca="1" si="56"/>
        <v>119282.76483940301</v>
      </c>
      <c r="AW145" s="249">
        <f t="shared" ca="1" si="56"/>
        <v>130875.74494440724</v>
      </c>
      <c r="AX145" s="249">
        <f t="shared" ca="1" si="56"/>
        <v>143617.38907336022</v>
      </c>
      <c r="AY145" s="249">
        <f t="shared" ca="1" si="56"/>
        <v>157625.77268387415</v>
      </c>
      <c r="AZ145" s="249">
        <f t="shared" ca="1" si="56"/>
        <v>173030.17817738303</v>
      </c>
      <c r="BA145" s="249">
        <f t="shared" ca="1" si="56"/>
        <v>189972.50538496132</v>
      </c>
      <c r="BB145" s="249">
        <f t="shared" ca="1" si="56"/>
        <v>208608.73117772446</v>
      </c>
      <c r="BC145" s="249">
        <f t="shared" ca="1" si="56"/>
        <v>229110.45560335572</v>
      </c>
      <c r="BD145" s="2039" t="str">
        <f t="shared" si="41"/>
        <v>M2</v>
      </c>
      <c r="BH145" s="1509"/>
      <c r="BI145" s="2499"/>
      <c r="BJ145" s="2499"/>
      <c r="BK145" s="2499"/>
      <c r="BL145" s="2499"/>
      <c r="BM145" s="2499"/>
      <c r="BN145" s="2499"/>
      <c r="BO145" s="2499"/>
      <c r="BP145" s="2499"/>
    </row>
    <row r="146" spans="1:68" ht="17.399999999999999">
      <c r="A146" s="1631" t="s">
        <v>2138</v>
      </c>
      <c r="B146" s="55"/>
      <c r="C146" s="55"/>
      <c r="D146" s="55"/>
      <c r="E146" s="1631"/>
      <c r="F146" s="1631"/>
      <c r="G146" s="1452" t="s">
        <v>468</v>
      </c>
      <c r="H146" s="232">
        <v>48</v>
      </c>
      <c r="I146" s="2570" t="s">
        <v>2019</v>
      </c>
      <c r="J146" s="2571"/>
      <c r="K146" s="2571"/>
      <c r="L146" s="2571"/>
      <c r="M146" s="2571"/>
      <c r="N146" s="2571"/>
      <c r="O146" s="251">
        <f>ОТЧЁТ!U91</f>
        <v>64.055000000000007</v>
      </c>
      <c r="P146" s="247">
        <f>ОТЧЁТ!V91</f>
        <v>62.927999999999997</v>
      </c>
      <c r="Q146" s="247">
        <f>ОТЧЁТ!W91</f>
        <v>60.021000000000001</v>
      </c>
      <c r="R146" s="247">
        <f>ОТЧЁТ!X91</f>
        <v>58.436999999999998</v>
      </c>
      <c r="S146" s="247">
        <f>ОТЧЁТ!Y91</f>
        <v>63.082000000000001</v>
      </c>
      <c r="T146" s="247">
        <f>ОТЧЁТ!Z91</f>
        <v>65.069999999999993</v>
      </c>
      <c r="U146" s="247">
        <f>ОТЧЁТ!AA91</f>
        <v>65.123000000000005</v>
      </c>
      <c r="V146" s="247">
        <f>ОТЧЁТ!AB91</f>
        <v>66.659000000000006</v>
      </c>
      <c r="W146" s="247">
        <f>ОТЧЁТ!AC91</f>
        <v>66.338999999999999</v>
      </c>
      <c r="X146" s="247">
        <f>ОТЧЁТ!AD91</f>
        <v>67.319000000000003</v>
      </c>
      <c r="Y146" s="247">
        <f>ОТЧЁТ!AE91</f>
        <v>68.338999999999999</v>
      </c>
      <c r="Z146" s="247">
        <f>ОТЧЁТ!AF91</f>
        <v>69.168999999999997</v>
      </c>
      <c r="AA146" s="247">
        <f>ОТЧЁТ!AG91</f>
        <v>70.77</v>
      </c>
      <c r="AB146" s="247">
        <f>ОТЧЁТ!AH91</f>
        <v>71.003</v>
      </c>
      <c r="AC146" s="247">
        <f>ОТЧЁТ!AI91</f>
        <v>69.41</v>
      </c>
      <c r="AD146" s="247">
        <f>ОТЧЁТ!AJ91</f>
        <v>69.933708461473046</v>
      </c>
      <c r="AE146" s="247">
        <f>ОТЧЁТ!AK91</f>
        <v>70.85661311334043</v>
      </c>
      <c r="AF146" s="247">
        <f>ОТЧЁТ!AL91</f>
        <v>71.545415863579535</v>
      </c>
      <c r="AG146" s="247">
        <f>ОТЧЁТ!AM91</f>
        <v>71.391459581339006</v>
      </c>
      <c r="AH146" s="247">
        <f>ОТЧЁТ!AN91</f>
        <v>71.539043569577998</v>
      </c>
      <c r="AI146" s="247">
        <f>ОТЧЁТ!AO91</f>
        <v>72.323622532452006</v>
      </c>
      <c r="AJ146" s="247">
        <f>ОТЧЁТ!AP91</f>
        <v>72.393000000000001</v>
      </c>
      <c r="AK146" s="247">
        <f>ОТЧЁТ!AQ91</f>
        <v>72.141999999999996</v>
      </c>
      <c r="AL146" s="247">
        <f>ОТЧЁТ!AR91</f>
        <v>72.353999999999999</v>
      </c>
      <c r="AM146" s="245">
        <f ca="1">0.0071*AM127+52.535</f>
        <v>73.189834561052962</v>
      </c>
      <c r="AN146" s="245">
        <f t="shared" ref="AN146:BC146" ca="1" si="57">0.0071*AN127+52.535</f>
        <v>73.708730923434331</v>
      </c>
      <c r="AO146" s="245">
        <f t="shared" ca="1" si="57"/>
        <v>74.626291214110296</v>
      </c>
      <c r="AP146" s="245">
        <f t="shared" ca="1" si="57"/>
        <v>75.35563102517942</v>
      </c>
      <c r="AQ146" s="245">
        <f t="shared" ca="1" si="57"/>
        <v>76.071638919977261</v>
      </c>
      <c r="AR146" s="245">
        <f t="shared" ca="1" si="57"/>
        <v>76.792560028524406</v>
      </c>
      <c r="AS146" s="245">
        <f t="shared" ca="1" si="57"/>
        <v>77.530191119224753</v>
      </c>
      <c r="AT146" s="245">
        <f t="shared" ca="1" si="57"/>
        <v>78.292407698046887</v>
      </c>
      <c r="AU146" s="245">
        <f t="shared" ca="1" si="57"/>
        <v>79.084712972946079</v>
      </c>
      <c r="AV146" s="245">
        <f t="shared" ca="1" si="57"/>
        <v>79.911188181231992</v>
      </c>
      <c r="AW146" s="245">
        <f t="shared" ca="1" si="57"/>
        <v>80.775076420358346</v>
      </c>
      <c r="AX146" s="245">
        <f t="shared" ca="1" si="57"/>
        <v>81.679142040078716</v>
      </c>
      <c r="AY146" s="245">
        <f t="shared" ca="1" si="57"/>
        <v>82.625892563147602</v>
      </c>
      <c r="AZ146" s="245">
        <f t="shared" ca="1" si="57"/>
        <v>83.617716397469906</v>
      </c>
      <c r="BA146" s="245">
        <f t="shared" ca="1" si="57"/>
        <v>84.656968974552157</v>
      </c>
      <c r="BB146" s="245">
        <f t="shared" ca="1" si="57"/>
        <v>85.746027319293603</v>
      </c>
      <c r="BC146" s="245">
        <f t="shared" ca="1" si="57"/>
        <v>86.887325320444546</v>
      </c>
      <c r="BD146" s="2039" t="str">
        <f t="shared" si="41"/>
        <v>LZ</v>
      </c>
      <c r="BH146" s="1509"/>
      <c r="BI146" s="2499"/>
      <c r="BJ146" s="2499"/>
      <c r="BK146" s="1509"/>
    </row>
    <row r="147" spans="1:68" ht="17.399999999999999">
      <c r="A147" s="1631" t="s">
        <v>1163</v>
      </c>
      <c r="B147" s="55"/>
      <c r="C147" s="55"/>
      <c r="D147" s="55"/>
      <c r="E147" s="1631"/>
      <c r="F147" s="1631"/>
      <c r="G147" s="1452" t="s">
        <v>470</v>
      </c>
      <c r="H147" s="232">
        <v>49</v>
      </c>
      <c r="I147" s="2570" t="s">
        <v>2112</v>
      </c>
      <c r="J147" s="2571"/>
      <c r="K147" s="2571"/>
      <c r="L147" s="2571"/>
      <c r="M147" s="2571"/>
      <c r="N147" s="2571"/>
      <c r="O147" s="260">
        <f>ОТЧЁТ!U93</f>
        <v>6.6840000000000002</v>
      </c>
      <c r="P147" s="248">
        <f>ОТЧЁТ!V93</f>
        <v>6.7320000000000002</v>
      </c>
      <c r="Q147" s="248">
        <f>ОТЧЁТ!W93</f>
        <v>8.0579999999999998</v>
      </c>
      <c r="R147" s="248">
        <f>ОТЧЁТ!X93</f>
        <v>8.9019999999999992</v>
      </c>
      <c r="S147" s="248">
        <f>ОТЧЁТ!Y93</f>
        <v>9.0939999999999994</v>
      </c>
      <c r="T147" s="248">
        <f>ОТЧЁТ!Z93</f>
        <v>7.7000000000000028</v>
      </c>
      <c r="U147" s="248">
        <f>ОТЧЁТ!AA93</f>
        <v>6.421999999999997</v>
      </c>
      <c r="V147" s="248">
        <f>ОТЧЁТ!AB93</f>
        <v>5.6979999999999933</v>
      </c>
      <c r="W147" s="248">
        <f>ОТЧЁТ!AC93</f>
        <v>5.9339999999999975</v>
      </c>
      <c r="X147" s="248">
        <f>ОТЧЁТ!AD93</f>
        <v>5.6659999999999968</v>
      </c>
      <c r="Y147" s="248">
        <f>ОТЧЁТ!AE93</f>
        <v>5.2420000000000044</v>
      </c>
      <c r="Z147" s="248">
        <f>ОТЧЁТ!AF93</f>
        <v>5.25</v>
      </c>
      <c r="AA147" s="248">
        <f>ОТЧЁТ!AG93</f>
        <v>4.5190000000000055</v>
      </c>
      <c r="AB147" s="248">
        <f>ОТЧЁТ!AH93</f>
        <v>4.6970000000000027</v>
      </c>
      <c r="AC147" s="248">
        <f>ОТЧЁТ!AI93</f>
        <v>6.284000000000006</v>
      </c>
      <c r="AD147" s="248">
        <f>ОТЧЁТ!AJ93</f>
        <v>5.5441655838158379</v>
      </c>
      <c r="AE147" s="248">
        <f>ОТЧЁТ!AK93</f>
        <v>4.9223997554548067</v>
      </c>
      <c r="AF147" s="248">
        <f>ОТЧЁТ!AL93</f>
        <v>4.1306599945102453</v>
      </c>
      <c r="AG147" s="248">
        <f>ОТЧЁТ!AM93</f>
        <v>4.1374433479760002</v>
      </c>
      <c r="AH147" s="248">
        <f>ОТЧЁТ!AN93</f>
        <v>3.889373856792</v>
      </c>
      <c r="AI147" s="248">
        <f>ОТЧЁТ!AO93</f>
        <v>4.2639265933380006</v>
      </c>
      <c r="AJ147" s="248">
        <f>ОТЧЁТ!AP93</f>
        <v>4.2430000000000003</v>
      </c>
      <c r="AK147" s="248">
        <f>ОТЧЁТ!AQ93</f>
        <v>3.9670000000000001</v>
      </c>
      <c r="AL147" s="248">
        <f>ОТЧЁТ!AR93</f>
        <v>3.657</v>
      </c>
      <c r="AM147" s="248">
        <f ca="1">AM8-AM146</f>
        <v>2.710165438947044</v>
      </c>
      <c r="AN147" s="248">
        <f t="shared" ref="AN147:BC147" ca="1" si="58">AN8-AN146</f>
        <v>4.0422690765656739</v>
      </c>
      <c r="AO147" s="248">
        <f t="shared" ca="1" si="58"/>
        <v>3.0929087858897049</v>
      </c>
      <c r="AP147" s="248">
        <f t="shared" ca="1" si="58"/>
        <v>2.3211689748205657</v>
      </c>
      <c r="AQ147" s="248">
        <f t="shared" ca="1" si="58"/>
        <v>1.5415610800227313</v>
      </c>
      <c r="AR147" s="248">
        <f t="shared" ca="1" si="58"/>
        <v>0.757039971475578</v>
      </c>
      <c r="AS147" s="248">
        <f t="shared" ca="1" si="58"/>
        <v>-6.5391119224770478E-2</v>
      </c>
      <c r="AT147" s="248">
        <f t="shared" ca="1" si="58"/>
        <v>-0.91240769804689137</v>
      </c>
      <c r="AU147" s="248">
        <f t="shared" ca="1" si="58"/>
        <v>-1.7895129729460848</v>
      </c>
      <c r="AV147" s="248">
        <f t="shared" ca="1" si="58"/>
        <v>-2.7007881812319994</v>
      </c>
      <c r="AW147" s="248">
        <f t="shared" ca="1" si="58"/>
        <v>-3.6600764203583509</v>
      </c>
      <c r="AX147" s="248">
        <f t="shared" ca="1" si="58"/>
        <v>-4.6595420400787333</v>
      </c>
      <c r="AY147" s="248">
        <f t="shared" ca="1" si="58"/>
        <v>-5.701692563147617</v>
      </c>
      <c r="AZ147" s="248">
        <f t="shared" ca="1" si="58"/>
        <v>-6.7889163974699329</v>
      </c>
      <c r="BA147" s="248">
        <f t="shared" ca="1" si="58"/>
        <v>-7.9341689745521791</v>
      </c>
      <c r="BB147" s="248">
        <f t="shared" ca="1" si="58"/>
        <v>-9.1186273192936227</v>
      </c>
      <c r="BC147" s="248">
        <f t="shared" ca="1" si="58"/>
        <v>-10.355325320444564</v>
      </c>
      <c r="BD147" s="2039" t="str">
        <f t="shared" si="41"/>
        <v>BZ</v>
      </c>
      <c r="BH147" s="1509"/>
      <c r="BI147" s="2499"/>
      <c r="BJ147" s="2499"/>
      <c r="BK147" s="1509"/>
    </row>
    <row r="148" spans="1:68" ht="17.399999999999999">
      <c r="A148" s="1631" t="s">
        <v>933</v>
      </c>
      <c r="B148" s="55"/>
      <c r="C148" s="55"/>
      <c r="D148" s="55"/>
      <c r="E148" s="1631"/>
      <c r="F148" s="1631"/>
      <c r="G148" s="1452" t="s">
        <v>932</v>
      </c>
      <c r="H148" s="232">
        <v>50</v>
      </c>
      <c r="I148" s="2570" t="s">
        <v>2022</v>
      </c>
      <c r="J148" s="2571"/>
      <c r="K148" s="2571"/>
      <c r="L148" s="2571"/>
      <c r="M148" s="2571"/>
      <c r="N148" s="2571"/>
      <c r="O148" s="2033">
        <f>ОТЧЁТ!U89</f>
        <v>910.9</v>
      </c>
      <c r="P148" s="249">
        <f>ОТЧЁТ!V89</f>
        <v>1357.1</v>
      </c>
      <c r="Q148" s="249">
        <f>ОТЧЁТ!W89</f>
        <v>1656.4</v>
      </c>
      <c r="R148" s="249">
        <f>ОТЧЁТ!X89</f>
        <v>1776</v>
      </c>
      <c r="S148" s="249">
        <f>ОТЧЁТ!Y89</f>
        <v>2908.1</v>
      </c>
      <c r="T148" s="249">
        <f>ОТЧЁТ!Z89</f>
        <v>3983.9</v>
      </c>
      <c r="U148" s="249">
        <f>ОТЧЁТ!AA89</f>
        <v>5325.8</v>
      </c>
      <c r="V148" s="249">
        <f>ОТЧЁТ!AB89</f>
        <v>6831</v>
      </c>
      <c r="W148" s="249">
        <f>ОТЧЁТ!AC89</f>
        <v>8900.5</v>
      </c>
      <c r="X148" s="249">
        <f>ОТЧЁТ!AD89</f>
        <v>10976.3</v>
      </c>
      <c r="Y148" s="249">
        <f>ОТЧЁТ!AE89</f>
        <v>13819</v>
      </c>
      <c r="Z148" s="249">
        <f>ОТЧЁТ!AF89</f>
        <v>17290.099999999999</v>
      </c>
      <c r="AA148" s="249">
        <f>ОТЧЁТ!AG89</f>
        <v>21311.5</v>
      </c>
      <c r="AB148" s="249">
        <f>ОТЧЁТ!AH89</f>
        <v>25244</v>
      </c>
      <c r="AC148" s="249">
        <f>ОТЧЁТ!AI89</f>
        <v>28697.5</v>
      </c>
      <c r="AD148" s="249">
        <f>ОТЧЁТ!AJ89</f>
        <v>32498.3</v>
      </c>
      <c r="AE148" s="249">
        <f>ОТЧЁТ!AK89</f>
        <v>35648.699999999997</v>
      </c>
      <c r="AF148" s="249">
        <f>ОТЧЁТ!AL89</f>
        <v>39904</v>
      </c>
      <c r="AG148" s="249">
        <f>ОТЧЁТ!AM89</f>
        <v>44650</v>
      </c>
      <c r="AH148" s="249">
        <f>ОТЧЁТ!AN89</f>
        <v>47921</v>
      </c>
      <c r="AI148" s="249">
        <f>ОТЧЁТ!AO89</f>
        <v>53526</v>
      </c>
      <c r="AJ148" s="249">
        <f>ОТЧЁТ!AP89</f>
        <v>54117</v>
      </c>
      <c r="AK148" s="249">
        <f>ОТЧЁТ!AQ89</f>
        <v>55368</v>
      </c>
      <c r="AL148" s="249">
        <f>ОТЧЁТ!AR89</f>
        <v>57500</v>
      </c>
      <c r="AM148" s="249">
        <f ca="1">0.1909*AM89+37701</f>
        <v>57953.425902513081</v>
      </c>
      <c r="AN148" s="249">
        <f t="shared" ref="AN148:BC148" ca="1" si="59">0.1909*AN89+37701</f>
        <v>59329.499115961182</v>
      </c>
      <c r="AO148" s="249">
        <f t="shared" ca="1" si="59"/>
        <v>62199.914017465431</v>
      </c>
      <c r="AP148" s="249">
        <f t="shared" ca="1" si="59"/>
        <v>64672.543688929669</v>
      </c>
      <c r="AQ148" s="249">
        <f t="shared" ca="1" si="59"/>
        <v>67339.217079804774</v>
      </c>
      <c r="AR148" s="249">
        <f t="shared" ca="1" si="59"/>
        <v>70236.846551519498</v>
      </c>
      <c r="AS148" s="249">
        <f t="shared" ca="1" si="59"/>
        <v>73400.0201169418</v>
      </c>
      <c r="AT148" s="249">
        <f t="shared" ca="1" si="59"/>
        <v>76862.868640097004</v>
      </c>
      <c r="AU148" s="249">
        <f t="shared" ca="1" si="59"/>
        <v>80660.393883545068</v>
      </c>
      <c r="AV148" s="249">
        <f t="shared" ca="1" si="59"/>
        <v>84829.45533342722</v>
      </c>
      <c r="AW148" s="249">
        <f t="shared" ca="1" si="59"/>
        <v>89409.546190309062</v>
      </c>
      <c r="AX148" s="249">
        <f t="shared" ca="1" si="59"/>
        <v>94443.444915923974</v>
      </c>
      <c r="AY148" s="249">
        <f t="shared" ca="1" si="59"/>
        <v>99977.800113041332</v>
      </c>
      <c r="AZ148" s="249">
        <f t="shared" ca="1" si="59"/>
        <v>106063.68796219458</v>
      </c>
      <c r="BA148" s="249">
        <f t="shared" ca="1" si="59"/>
        <v>112757.16946866538</v>
      </c>
      <c r="BB148" s="249">
        <f t="shared" ca="1" si="59"/>
        <v>120119.86711733774</v>
      </c>
      <c r="BC148" s="249">
        <f t="shared" ca="1" si="59"/>
        <v>128219.5757118183</v>
      </c>
      <c r="BD148" s="2039" t="str">
        <f>G148</f>
        <v>DH</v>
      </c>
      <c r="BH148" s="1509"/>
      <c r="BI148" s="2499"/>
      <c r="BJ148" s="2499"/>
      <c r="BK148" s="1509"/>
    </row>
    <row r="149" spans="1:68" ht="15.6">
      <c r="A149" s="1631" t="s">
        <v>2139</v>
      </c>
      <c r="B149" s="55"/>
      <c r="C149" s="55"/>
      <c r="D149" s="55"/>
      <c r="E149" s="1631"/>
      <c r="F149" s="1631"/>
      <c r="G149" s="1452" t="s">
        <v>2101</v>
      </c>
      <c r="H149" s="232">
        <v>51</v>
      </c>
      <c r="I149" s="2570" t="s">
        <v>2024</v>
      </c>
      <c r="J149" s="2571"/>
      <c r="K149" s="2571"/>
      <c r="L149" s="2571"/>
      <c r="M149" s="2571"/>
      <c r="N149" s="2571"/>
      <c r="O149" s="246">
        <v>911</v>
      </c>
      <c r="P149" s="249">
        <f>P148/P14</f>
        <v>1114.2036124794745</v>
      </c>
      <c r="Q149" s="249">
        <f t="shared" ref="Q149:AL149" si="60">Q148/Q14</f>
        <v>1225.1660527522595</v>
      </c>
      <c r="R149" s="249">
        <f t="shared" si="60"/>
        <v>712.38009752483515</v>
      </c>
      <c r="S149" s="249">
        <f t="shared" si="60"/>
        <v>854.56578623072517</v>
      </c>
      <c r="T149" s="249">
        <f t="shared" si="60"/>
        <v>973.95776812855956</v>
      </c>
      <c r="U149" s="249">
        <f t="shared" si="60"/>
        <v>1097.8218276071905</v>
      </c>
      <c r="V149" s="249">
        <f t="shared" si="60"/>
        <v>1223.3647703942499</v>
      </c>
      <c r="W149" s="249">
        <f t="shared" si="60"/>
        <v>1423.2069842961212</v>
      </c>
      <c r="X149" s="249">
        <f t="shared" si="60"/>
        <v>1571.2904002535859</v>
      </c>
      <c r="Y149" s="249">
        <f t="shared" si="60"/>
        <v>1783.7975347856659</v>
      </c>
      <c r="Z149" s="249">
        <f t="shared" si="60"/>
        <v>2047.5756192741967</v>
      </c>
      <c r="AA149" s="249">
        <f t="shared" si="60"/>
        <v>2256.0193741607286</v>
      </c>
      <c r="AB149" s="249">
        <f t="shared" si="60"/>
        <v>2359.0314873246793</v>
      </c>
      <c r="AC149" s="249">
        <f t="shared" si="60"/>
        <v>2464.851363468284</v>
      </c>
      <c r="AD149" s="249">
        <f t="shared" si="60"/>
        <v>2566.0094993454422</v>
      </c>
      <c r="AE149" s="249">
        <f t="shared" si="60"/>
        <v>2652.9308469712041</v>
      </c>
      <c r="AF149" s="249">
        <f t="shared" si="60"/>
        <v>2786.2683926091672</v>
      </c>
      <c r="AG149" s="249">
        <f t="shared" si="60"/>
        <v>2928.7500835730348</v>
      </c>
      <c r="AH149" s="249">
        <f t="shared" si="60"/>
        <v>2766.9951097523658</v>
      </c>
      <c r="AI149" s="249">
        <f t="shared" si="60"/>
        <v>2737.4952055558729</v>
      </c>
      <c r="AJ149" s="249">
        <f t="shared" si="60"/>
        <v>2626.1703046199059</v>
      </c>
      <c r="AK149" s="249">
        <f t="shared" si="60"/>
        <v>2621.0890474179846</v>
      </c>
      <c r="AL149" s="249">
        <f t="shared" si="60"/>
        <v>2610.7967508452548</v>
      </c>
      <c r="AM149" s="249">
        <f ca="1">AM148/AM14</f>
        <v>2553.7506084025181</v>
      </c>
      <c r="AN149" s="249">
        <f t="shared" ref="AN149" ca="1" si="61">AN148/AN14</f>
        <v>2492.0294115444613</v>
      </c>
      <c r="AO149" s="249">
        <f t="shared" ref="AO149" ca="1" si="62">AO148/AO14</f>
        <v>2488.186715701886</v>
      </c>
      <c r="AP149" s="249">
        <f t="shared" ref="AP149" ca="1" si="63">AP148/AP14</f>
        <v>2463.904249315779</v>
      </c>
      <c r="AQ149" s="249">
        <f t="shared" ref="AQ149" ca="1" si="64">AQ148/AQ14</f>
        <v>2443.3329250431875</v>
      </c>
      <c r="AR149" s="249">
        <f t="shared" ref="AR149" ca="1" si="65">AR148/AR14</f>
        <v>2427.114641824096</v>
      </c>
      <c r="AS149" s="249">
        <f t="shared" ref="AS149" ca="1" si="66">AS148/AS14</f>
        <v>2415.6397387358898</v>
      </c>
      <c r="AT149" s="249">
        <f t="shared" ref="AT149" ca="1" si="67">AT148/AT14</f>
        <v>2409.1468669048172</v>
      </c>
      <c r="AU149" s="249">
        <f t="shared" ref="AU149" ca="1" si="68">AU148/AU14</f>
        <v>2407.785123049387</v>
      </c>
      <c r="AV149" s="249">
        <f t="shared" ref="AV149" ca="1" si="69">AV148/AV14</f>
        <v>2411.652712058527</v>
      </c>
      <c r="AW149" s="249">
        <f t="shared" ref="AW149" ca="1" si="70">AW148/AW14</f>
        <v>2420.8210148148478</v>
      </c>
      <c r="AX149" s="249">
        <f t="shared" ref="AX149" ca="1" si="71">AX148/AX14</f>
        <v>2435.3495838697208</v>
      </c>
      <c r="AY149" s="249">
        <f t="shared" ref="AY149" ca="1" si="72">AY148/AY14</f>
        <v>2455.2955033238436</v>
      </c>
      <c r="AZ149" s="249">
        <f t="shared" ref="AZ149" ca="1" si="73">AZ148/AZ14</f>
        <v>2480.7192513411751</v>
      </c>
      <c r="BA149" s="249">
        <f t="shared" ref="BA149" ca="1" si="74">BA148/BA14</f>
        <v>2511.6883961927688</v>
      </c>
      <c r="BB149" s="249">
        <f t="shared" ref="BB149" ca="1" si="75">BB148/BB14</f>
        <v>2548.2799542763178</v>
      </c>
      <c r="BC149" s="249">
        <f t="shared" ref="BC149" ca="1" si="76">BC148/BC14</f>
        <v>2590.5819259140499</v>
      </c>
      <c r="BD149" s="2039" t="str">
        <f t="shared" si="41"/>
        <v>RDH</v>
      </c>
    </row>
    <row r="150" spans="1:68" ht="15.6">
      <c r="A150" s="1631" t="s">
        <v>1794</v>
      </c>
      <c r="B150" s="55"/>
      <c r="C150" s="55"/>
      <c r="D150" s="55"/>
      <c r="E150" s="1631"/>
      <c r="F150" s="1631"/>
      <c r="G150" s="1452" t="s">
        <v>1562</v>
      </c>
      <c r="H150" s="232">
        <v>52</v>
      </c>
      <c r="I150" s="2570" t="s">
        <v>2069</v>
      </c>
      <c r="J150" s="2571"/>
      <c r="K150" s="2571"/>
      <c r="L150" s="2571"/>
      <c r="M150" s="2571"/>
      <c r="N150" s="2571"/>
      <c r="O150" s="246">
        <f>ОТЧЁТ!U89-ОТЧЁТ!U88</f>
        <v>263.02999999999997</v>
      </c>
      <c r="P150" s="249">
        <f>ОТЧЁТ!V89-ОТЧЁТ!V88</f>
        <v>334.45999999999992</v>
      </c>
      <c r="Q150" s="249">
        <f>ОТЧЁТ!W89-ОТЧЁТ!W88</f>
        <v>453.5</v>
      </c>
      <c r="R150" s="249">
        <f>ОТЧЁТ!X89-ОТЧЁТ!X88</f>
        <v>512.95299999999997</v>
      </c>
      <c r="S150" s="249">
        <f>ОТЧЁТ!Y89-ОТЧЁТ!Y88</f>
        <v>974.49399999999991</v>
      </c>
      <c r="T150" s="249">
        <f>ОТЧЁТ!Z89-ОТЧЁТ!Z88</f>
        <v>1046.67</v>
      </c>
      <c r="U150" s="249">
        <f>ОТЧЁТ!AA89-ОТЧЁТ!AA88</f>
        <v>1477.4</v>
      </c>
      <c r="V150" s="249">
        <f>ОТЧЁТ!AB89-ОТЧЁТ!AB88</f>
        <v>1765.8999999999996</v>
      </c>
      <c r="W150" s="249">
        <f>ОТЧЁТ!AC89-ОТЧЁТ!AC88</f>
        <v>2669.1130000000003</v>
      </c>
      <c r="X150" s="249">
        <f>ОТЧЁТ!AD89-ОТЧЁТ!AD88</f>
        <v>3131.262999999999</v>
      </c>
      <c r="Y150" s="249">
        <f>ОТЧЁТ!AE89-ОТЧЁТ!AE88</f>
        <v>4379.1730000000007</v>
      </c>
      <c r="Z150" s="249">
        <f>ОТЧЁТ!AF89-ОТЧЁТ!AF88</f>
        <v>5304.1949999999979</v>
      </c>
      <c r="AA150" s="249">
        <f>ОТЧЁТ!AG89-ОТЧЁТ!AG88</f>
        <v>5785.3899999999994</v>
      </c>
      <c r="AB150" s="249">
        <f>ОТЧЁТ!AH89-ОТЧЁТ!AH88</f>
        <v>5684.2400000000016</v>
      </c>
      <c r="AC150" s="249">
        <f>ОТЧЁТ!AI89-ОТЧЁТ!AI88</f>
        <v>8285.89</v>
      </c>
      <c r="AD150" s="249">
        <f>ОТЧЁТ!AJ89-ОТЧЁТ!AJ88</f>
        <v>9502.6699999999983</v>
      </c>
      <c r="AE150" s="249">
        <f>ОТЧЁТ!AK89-ОТЧЁТ!AK88</f>
        <v>9262.024599999997</v>
      </c>
      <c r="AF150" s="249">
        <f>ОТЧЁТ!AL89-ОТЧЁТ!AL88</f>
        <v>9702.8385000000017</v>
      </c>
      <c r="AG150" s="249">
        <f>ОТЧЁТ!AM89-ОТЧЁТ!AM88</f>
        <v>10857.717799999999</v>
      </c>
      <c r="AH150" s="249">
        <f>ОТЧЁТ!AN89-ОТЧЁТ!AN88</f>
        <v>10490.54</v>
      </c>
      <c r="AI150" s="249">
        <f>ОТЧЁТ!AO89-ОТЧЁТ!AO88</f>
        <v>15780.510000000002</v>
      </c>
      <c r="AJ150" s="249">
        <f>ОТЧЁТ!AP89-ОТЧЁТ!AP88</f>
        <v>12871.64</v>
      </c>
      <c r="AK150" s="249">
        <f>ОТЧЁТ!AQ89-ОТЧЁТ!AQ88</f>
        <v>11483.68</v>
      </c>
      <c r="AL150" s="249">
        <f>ОТЧЁТ!AR89-ОТЧЁТ!AR88</f>
        <v>9255.6299999999974</v>
      </c>
      <c r="AM150" s="249">
        <f ca="1">-0.2007*AM89+30064</f>
        <v>8771.9000595370599</v>
      </c>
      <c r="AN150" s="249">
        <f t="shared" ref="AN150:BC150" ca="1" si="77">-0.2007*AN89+30064</f>
        <v>7325.1850572372423</v>
      </c>
      <c r="AO150" s="249">
        <f t="shared" ca="1" si="77"/>
        <v>4307.4151738852197</v>
      </c>
      <c r="AP150" s="249">
        <f t="shared" ca="1" si="77"/>
        <v>1707.8511347921121</v>
      </c>
      <c r="AQ150" s="249">
        <f t="shared" ca="1" si="77"/>
        <v>-1095.7180089932808</v>
      </c>
      <c r="AR150" s="249">
        <f t="shared" ca="1" si="77"/>
        <v>-4142.0995436876037</v>
      </c>
      <c r="AS150" s="249">
        <f t="shared" ca="1" si="77"/>
        <v>-7467.6570847051771</v>
      </c>
      <c r="AT150" s="249">
        <f t="shared" ca="1" si="77"/>
        <v>-11108.273630526288</v>
      </c>
      <c r="AU150" s="249">
        <f t="shared" ca="1" si="77"/>
        <v>-15100.747786419575</v>
      </c>
      <c r="AV150" s="249">
        <f t="shared" ca="1" si="77"/>
        <v>-19483.831248920083</v>
      </c>
      <c r="AW150" s="249">
        <f t="shared" ca="1" si="77"/>
        <v>-24299.044632765996</v>
      </c>
      <c r="AX150" s="249">
        <f t="shared" ca="1" si="77"/>
        <v>-29591.362465300896</v>
      </c>
      <c r="AY150" s="249">
        <f t="shared" ca="1" si="77"/>
        <v>-35409.828091605006</v>
      </c>
      <c r="AZ150" s="249">
        <f t="shared" ca="1" si="77"/>
        <v>-41808.139727671311</v>
      </c>
      <c r="BA150" s="249">
        <f t="shared" ca="1" si="77"/>
        <v>-48845.236314097128</v>
      </c>
      <c r="BB150" s="249">
        <f t="shared" ca="1" si="77"/>
        <v>-56585.903773963786</v>
      </c>
      <c r="BC150" s="249">
        <f t="shared" ca="1" si="77"/>
        <v>-65101.41720985822</v>
      </c>
      <c r="BD150" s="2039" t="str">
        <f t="shared" si="41"/>
        <v>PDH</v>
      </c>
    </row>
    <row r="151" spans="1:68" ht="15.6">
      <c r="A151" s="1631" t="s">
        <v>2140</v>
      </c>
      <c r="B151" s="55"/>
      <c r="C151" s="55"/>
      <c r="D151" s="55"/>
      <c r="E151" s="1631"/>
      <c r="F151" s="1631"/>
      <c r="G151" s="1452" t="s">
        <v>461</v>
      </c>
      <c r="H151" s="232">
        <v>53</v>
      </c>
      <c r="I151" s="2570" t="s">
        <v>2073</v>
      </c>
      <c r="J151" s="2571"/>
      <c r="K151" s="2571"/>
      <c r="L151" s="2571"/>
      <c r="M151" s="2571"/>
      <c r="N151" s="2571"/>
      <c r="O151" s="246">
        <f>ОТЧЁТ!U88</f>
        <v>647.87</v>
      </c>
      <c r="P151" s="249">
        <f>ОТЧЁТ!V88</f>
        <v>1022.64</v>
      </c>
      <c r="Q151" s="249">
        <f>ОТЧЁТ!W88</f>
        <v>1202.9000000000001</v>
      </c>
      <c r="R151" s="249">
        <f>ОТЧЁТ!X88</f>
        <v>1263.047</v>
      </c>
      <c r="S151" s="249">
        <f>ОТЧЁТ!Y88</f>
        <v>1933.606</v>
      </c>
      <c r="T151" s="249">
        <f>ОТЧЁТ!Z88</f>
        <v>2937.23</v>
      </c>
      <c r="U151" s="249">
        <f>ОТЧЁТ!AA88</f>
        <v>3848.4</v>
      </c>
      <c r="V151" s="249">
        <f>ОТЧЁТ!AB88</f>
        <v>5065.1000000000004</v>
      </c>
      <c r="W151" s="249">
        <f>ОТЧЁТ!AC88</f>
        <v>6231.3869999999997</v>
      </c>
      <c r="X151" s="249">
        <f>ОТЧЁТ!AD88</f>
        <v>7845.0370000000003</v>
      </c>
      <c r="Y151" s="249">
        <f>ОТЧЁТ!AE88</f>
        <v>9439.8269999999993</v>
      </c>
      <c r="Z151" s="249">
        <f>ОТЧЁТ!AF88</f>
        <v>11985.905000000001</v>
      </c>
      <c r="AA151" s="249">
        <f>ОТЧЁТ!AG88</f>
        <v>15526.11</v>
      </c>
      <c r="AB151" s="249">
        <f>ОТЧЁТ!AH88</f>
        <v>19559.759999999998</v>
      </c>
      <c r="AC151" s="249">
        <f>ОТЧЁТ!AI88</f>
        <v>20411.61</v>
      </c>
      <c r="AD151" s="249">
        <f>ОТЧЁТ!AJ88</f>
        <v>22995.63</v>
      </c>
      <c r="AE151" s="249">
        <f>ОТЧЁТ!AK88</f>
        <v>26386.6754</v>
      </c>
      <c r="AF151" s="249">
        <f>ОТЧЁТ!AL88</f>
        <v>30201.161499999998</v>
      </c>
      <c r="AG151" s="249">
        <f>ОТЧЁТ!AM88</f>
        <v>33792.282200000001</v>
      </c>
      <c r="AH151" s="249">
        <f>ОТЧЁТ!AN88</f>
        <v>37430.46</v>
      </c>
      <c r="AI151" s="249">
        <f>ОТЧЁТ!AO88</f>
        <v>37745.49</v>
      </c>
      <c r="AJ151" s="249">
        <f>ОТЧЁТ!AP88</f>
        <v>41245.360000000001</v>
      </c>
      <c r="AK151" s="249">
        <f>ОТЧЁТ!AQ88</f>
        <v>43884.32</v>
      </c>
      <c r="AL151" s="249">
        <f>ОТЧЁТ!AR88</f>
        <v>48244.37</v>
      </c>
      <c r="AM151" s="249">
        <f ca="1">0.3889*AM89+7900.7</f>
        <v>49158.785036602079</v>
      </c>
      <c r="AN151" s="249">
        <f t="shared" ref="AN151:BC151" ca="1" si="78">0.3889*AN89+7900.7</f>
        <v>51962.110718686781</v>
      </c>
      <c r="AO151" s="249">
        <f t="shared" ca="1" si="78"/>
        <v>57809.697702421719</v>
      </c>
      <c r="AP151" s="249">
        <f t="shared" ca="1" si="78"/>
        <v>62846.91969944867</v>
      </c>
      <c r="AQ151" s="249">
        <f t="shared" ca="1" si="78"/>
        <v>68279.446057286943</v>
      </c>
      <c r="AR151" s="249">
        <f t="shared" ca="1" si="78"/>
        <v>74182.474352466917</v>
      </c>
      <c r="AS151" s="249">
        <f t="shared" ca="1" si="78"/>
        <v>80626.467016650946</v>
      </c>
      <c r="AT151" s="249">
        <f t="shared" ca="1" si="78"/>
        <v>87680.955181423386</v>
      </c>
      <c r="AU151" s="249">
        <f t="shared" ca="1" si="78"/>
        <v>95417.244166111472</v>
      </c>
      <c r="AV151" s="249">
        <f t="shared" ca="1" si="78"/>
        <v>103910.42383011969</v>
      </c>
      <c r="AW151" s="249">
        <f t="shared" ca="1" si="78"/>
        <v>113240.94941545938</v>
      </c>
      <c r="AX151" s="249">
        <f t="shared" ca="1" si="78"/>
        <v>123495.96887272307</v>
      </c>
      <c r="AY151" s="249">
        <f t="shared" ca="1" si="78"/>
        <v>134770.5143738176</v>
      </c>
      <c r="AZ151" s="249">
        <f t="shared" ca="1" si="78"/>
        <v>147168.63791774478</v>
      </c>
      <c r="BA151" s="249">
        <f t="shared" ca="1" si="78"/>
        <v>160804.54654983748</v>
      </c>
      <c r="BB151" s="249">
        <f t="shared" ca="1" si="78"/>
        <v>175803.77711855766</v>
      </c>
      <c r="BC151" s="249">
        <f t="shared" ca="1" si="78"/>
        <v>192304.44067221659</v>
      </c>
      <c r="BD151" s="2039" t="str">
        <f t="shared" si="41"/>
        <v>OT</v>
      </c>
    </row>
    <row r="152" spans="1:68" ht="15.6">
      <c r="A152" s="1631" t="s">
        <v>2141</v>
      </c>
      <c r="B152" s="55"/>
      <c r="C152" s="55"/>
      <c r="D152" s="55"/>
      <c r="E152" s="1631"/>
      <c r="F152" s="1631"/>
      <c r="G152" s="1452" t="s">
        <v>932</v>
      </c>
      <c r="H152" s="232">
        <v>54</v>
      </c>
      <c r="I152" s="2570" t="s">
        <v>1791</v>
      </c>
      <c r="J152" s="2571"/>
      <c r="K152" s="2571"/>
      <c r="L152" s="2571"/>
      <c r="M152" s="2571"/>
      <c r="N152" s="2571"/>
      <c r="O152" s="246">
        <f>O148</f>
        <v>910.9</v>
      </c>
      <c r="P152" s="249">
        <f>P148</f>
        <v>1357.1</v>
      </c>
      <c r="Q152" s="249">
        <f t="shared" ref="Q152:AM152" si="79">Q148</f>
        <v>1656.4</v>
      </c>
      <c r="R152" s="249">
        <f t="shared" si="79"/>
        <v>1776</v>
      </c>
      <c r="S152" s="249">
        <f t="shared" si="79"/>
        <v>2908.1</v>
      </c>
      <c r="T152" s="249">
        <f t="shared" si="79"/>
        <v>3983.9</v>
      </c>
      <c r="U152" s="249">
        <f t="shared" si="79"/>
        <v>5325.8</v>
      </c>
      <c r="V152" s="249">
        <f t="shared" si="79"/>
        <v>6831</v>
      </c>
      <c r="W152" s="249">
        <f t="shared" si="79"/>
        <v>8900.5</v>
      </c>
      <c r="X152" s="249">
        <f t="shared" si="79"/>
        <v>10976.3</v>
      </c>
      <c r="Y152" s="249">
        <f t="shared" si="79"/>
        <v>13819</v>
      </c>
      <c r="Z152" s="249">
        <f t="shared" si="79"/>
        <v>17290.099999999999</v>
      </c>
      <c r="AA152" s="249">
        <f t="shared" si="79"/>
        <v>21311.5</v>
      </c>
      <c r="AB152" s="249">
        <f t="shared" si="79"/>
        <v>25244</v>
      </c>
      <c r="AC152" s="249">
        <f t="shared" si="79"/>
        <v>28697.5</v>
      </c>
      <c r="AD152" s="249">
        <f t="shared" si="79"/>
        <v>32498.3</v>
      </c>
      <c r="AE152" s="249">
        <f t="shared" si="79"/>
        <v>35648.699999999997</v>
      </c>
      <c r="AF152" s="249">
        <f t="shared" si="79"/>
        <v>39904</v>
      </c>
      <c r="AG152" s="249">
        <f t="shared" si="79"/>
        <v>44650</v>
      </c>
      <c r="AH152" s="249">
        <f t="shared" si="79"/>
        <v>47921</v>
      </c>
      <c r="AI152" s="249">
        <f t="shared" si="79"/>
        <v>53526</v>
      </c>
      <c r="AJ152" s="249">
        <f t="shared" si="79"/>
        <v>54117</v>
      </c>
      <c r="AK152" s="249">
        <f t="shared" si="79"/>
        <v>55368</v>
      </c>
      <c r="AL152" s="249">
        <f t="shared" si="79"/>
        <v>57500</v>
      </c>
      <c r="AM152" s="249">
        <f t="shared" ca="1" si="79"/>
        <v>57953.425902513081</v>
      </c>
      <c r="AN152" s="249">
        <f ca="1">AN151+AN150</f>
        <v>59287.295775924023</v>
      </c>
      <c r="AO152" s="249">
        <f t="shared" ref="AO152:BC152" ca="1" si="80">AO151+AO150</f>
        <v>62117.112876306943</v>
      </c>
      <c r="AP152" s="249">
        <f t="shared" ca="1" si="80"/>
        <v>64554.770834240786</v>
      </c>
      <c r="AQ152" s="249">
        <f t="shared" ca="1" si="80"/>
        <v>67183.728048293662</v>
      </c>
      <c r="AR152" s="249">
        <f t="shared" ca="1" si="80"/>
        <v>70040.374808779306</v>
      </c>
      <c r="AS152" s="249">
        <f t="shared" ca="1" si="80"/>
        <v>73158.809931945769</v>
      </c>
      <c r="AT152" s="249">
        <f t="shared" ca="1" si="80"/>
        <v>76572.681550897105</v>
      </c>
      <c r="AU152" s="249">
        <f t="shared" ca="1" si="80"/>
        <v>80316.496379691904</v>
      </c>
      <c r="AV152" s="249">
        <f t="shared" ca="1" si="80"/>
        <v>84426.592581199598</v>
      </c>
      <c r="AW152" s="249">
        <f t="shared" ca="1" si="80"/>
        <v>88941.904782693397</v>
      </c>
      <c r="AX152" s="249">
        <f t="shared" ca="1" si="80"/>
        <v>93904.606407422165</v>
      </c>
      <c r="AY152" s="249">
        <f t="shared" ca="1" si="80"/>
        <v>99360.686282212584</v>
      </c>
      <c r="AZ152" s="249">
        <f t="shared" ca="1" si="80"/>
        <v>105360.49819007347</v>
      </c>
      <c r="BA152" s="249">
        <f t="shared" ca="1" si="80"/>
        <v>111959.31023574035</v>
      </c>
      <c r="BB152" s="249">
        <f t="shared" ca="1" si="80"/>
        <v>119217.87334459387</v>
      </c>
      <c r="BC152" s="249">
        <f t="shared" ca="1" si="80"/>
        <v>127203.02346235837</v>
      </c>
      <c r="BD152" s="2039" t="str">
        <f t="shared" si="41"/>
        <v>DH</v>
      </c>
    </row>
    <row r="153" spans="1:68" ht="15.6">
      <c r="A153" s="1631" t="s">
        <v>990</v>
      </c>
      <c r="B153" s="55"/>
      <c r="C153" s="55"/>
      <c r="D153" s="55"/>
      <c r="E153" s="1631"/>
      <c r="F153" s="1631"/>
      <c r="G153" s="1452" t="s">
        <v>486</v>
      </c>
      <c r="H153" s="232">
        <v>55</v>
      </c>
      <c r="I153" s="2570" t="s">
        <v>2113</v>
      </c>
      <c r="J153" s="2571"/>
      <c r="K153" s="2571"/>
      <c r="L153" s="2571"/>
      <c r="M153" s="2571"/>
      <c r="N153" s="2571"/>
      <c r="O153" s="246">
        <f>ОТЧЁТ!U100</f>
        <v>169.85429999999999</v>
      </c>
      <c r="P153" s="249">
        <f>ОТЧЁТ!V100</f>
        <v>285.81479999999999</v>
      </c>
      <c r="Q153" s="249">
        <f>ОТЧЁТ!W100</f>
        <v>356.27</v>
      </c>
      <c r="R153" s="249">
        <f>ОТЧЁТ!X100</f>
        <v>419.8877</v>
      </c>
      <c r="S153" s="249">
        <f>ОТЧЁТ!Y100</f>
        <v>758.1155</v>
      </c>
      <c r="T153" s="249">
        <f>ОТЧЁТ!Z100</f>
        <v>1248.4839999999999</v>
      </c>
      <c r="U153" s="249">
        <f>ОТЧЁТ!AA100</f>
        <v>1402.5825</v>
      </c>
      <c r="V153" s="249">
        <f>ОТЧЁТ!AB100</f>
        <v>1847.2429999999999</v>
      </c>
      <c r="W153" s="249">
        <f>ОТЧЁТ!AC100</f>
        <v>2112.5230000000001</v>
      </c>
      <c r="X153" s="249">
        <f>ОТЧЁТ!AD100</f>
        <v>2875.4506000000001</v>
      </c>
      <c r="Y153" s="249">
        <f>ОТЧЁТ!AE100</f>
        <v>4248.3590999999997</v>
      </c>
      <c r="Z153" s="249">
        <f>ОТЧЁТ!AF100</f>
        <v>5386.7112999999999</v>
      </c>
      <c r="AA153" s="249">
        <f>ОТЧЁТ!AG100</f>
        <v>6334.3169000000007</v>
      </c>
      <c r="AB153" s="249">
        <f>ОТЧЁТ!AH100</f>
        <v>8218.4220999999998</v>
      </c>
      <c r="AC153" s="249">
        <f>ОТЧЁТ!AI100</f>
        <v>6474.4973</v>
      </c>
      <c r="AD153" s="249">
        <f>ОТЧЁТ!AJ100</f>
        <v>8219.1679999999997</v>
      </c>
      <c r="AE153" s="249">
        <f>ОТЧЁТ!AK100</f>
        <v>8747.0033000000003</v>
      </c>
      <c r="AF153" s="249">
        <f>ОТЧЁТ!AL100</f>
        <v>9830.6887999999999</v>
      </c>
      <c r="AG153" s="249">
        <f>ОТЧЁТ!AM100</f>
        <v>10062.319500000001</v>
      </c>
      <c r="AH153" s="249">
        <f>ОТЧЁТ!AN100</f>
        <v>11004.2402</v>
      </c>
      <c r="AI153" s="249">
        <f>ОТЧЁТ!AO100</f>
        <v>9271.0213000000003</v>
      </c>
      <c r="AJ153" s="249">
        <f>ОТЧЁТ!AP100</f>
        <v>9418.86</v>
      </c>
      <c r="AK153" s="249">
        <f>ОТЧЁТ!AQ100</f>
        <v>9985.58</v>
      </c>
      <c r="AL153" s="249">
        <f>ОТЧЁТ!AR100</f>
        <v>12224.900000000001</v>
      </c>
      <c r="AM153" s="247">
        <f ca="1">AM94*(AM140+AM124)</f>
        <v>13519.92430978069</v>
      </c>
      <c r="AN153" s="247">
        <f t="shared" ref="AN153:BC153" ca="1" si="81">AN94*(AN140+AN124)</f>
        <v>15121.915228344984</v>
      </c>
      <c r="AO153" s="247">
        <f t="shared" ca="1" si="81"/>
        <v>17549.09063581963</v>
      </c>
      <c r="AP153" s="247">
        <f t="shared" ca="1" si="81"/>
        <v>19707.263654273323</v>
      </c>
      <c r="AQ153" s="247">
        <f t="shared" ca="1" si="81"/>
        <v>21965.804537836037</v>
      </c>
      <c r="AR153" s="247">
        <f t="shared" ca="1" si="81"/>
        <v>24364.222255522265</v>
      </c>
      <c r="AS153" s="247">
        <f t="shared" ca="1" si="81"/>
        <v>26938.796699141603</v>
      </c>
      <c r="AT153" s="247">
        <f t="shared" ca="1" si="81"/>
        <v>29723.940670646458</v>
      </c>
      <c r="AU153" s="247">
        <f t="shared" ca="1" si="81"/>
        <v>32753.398585045983</v>
      </c>
      <c r="AV153" s="247">
        <f t="shared" ca="1" si="81"/>
        <v>36061.259682402932</v>
      </c>
      <c r="AW153" s="247">
        <f t="shared" ca="1" si="81"/>
        <v>39682.811790804175</v>
      </c>
      <c r="AX153" s="247">
        <f t="shared" ca="1" si="81"/>
        <v>43655.274413859057</v>
      </c>
      <c r="AY153" s="247">
        <f t="shared" ca="1" si="81"/>
        <v>48018.448742302564</v>
      </c>
      <c r="AZ153" s="247">
        <f t="shared" ca="1" si="81"/>
        <v>52815.316615277574</v>
      </c>
      <c r="BA153" s="247">
        <f t="shared" ca="1" si="81"/>
        <v>58092.614371912859</v>
      </c>
      <c r="BB153" s="247">
        <f t="shared" ca="1" si="81"/>
        <v>63901.402318366112</v>
      </c>
      <c r="BC153" s="247">
        <f t="shared" ca="1" si="81"/>
        <v>70297.646513567801</v>
      </c>
      <c r="BD153" s="2039" t="str">
        <f t="shared" si="41"/>
        <v>CN2</v>
      </c>
    </row>
    <row r="154" spans="1:68" ht="15.6">
      <c r="A154" s="1631" t="s">
        <v>2142</v>
      </c>
      <c r="B154" s="55"/>
      <c r="C154" s="55"/>
      <c r="D154" s="55"/>
      <c r="E154" s="1631"/>
      <c r="F154" s="1631"/>
      <c r="G154" s="1452" t="s">
        <v>489</v>
      </c>
      <c r="H154" s="232">
        <v>56</v>
      </c>
      <c r="I154" s="2570" t="s">
        <v>2114</v>
      </c>
      <c r="J154" s="2571"/>
      <c r="K154" s="2571"/>
      <c r="L154" s="2571"/>
      <c r="M154" s="2571"/>
      <c r="N154" s="2571"/>
      <c r="O154" s="246">
        <f>ОТЧЁТ!U101</f>
        <v>610.79200000000003</v>
      </c>
      <c r="P154" s="249">
        <f>ОТЧЁТ!V101</f>
        <v>699.36699999999996</v>
      </c>
      <c r="Q154" s="249">
        <f>ОТЧЁТ!W101</f>
        <v>783.34370000000001</v>
      </c>
      <c r="R154" s="249">
        <f>ОТЧЁТ!X101</f>
        <v>946.6884</v>
      </c>
      <c r="S154" s="249">
        <f>ОТЧЁТ!Y101</f>
        <v>2131.5119</v>
      </c>
      <c r="T154" s="249">
        <f>ОТЧЁТ!Z101</f>
        <v>3119.9324000000001</v>
      </c>
      <c r="U154" s="249">
        <f>ОТЧЁТ!AA101</f>
        <v>3692.6014</v>
      </c>
      <c r="V154" s="249">
        <f>ОТЧЁТ!AB101</f>
        <v>3906.8679000000002</v>
      </c>
      <c r="W154" s="249">
        <f>ОТЧЁТ!AC101</f>
        <v>4864.3283000000001</v>
      </c>
      <c r="X154" s="249">
        <f>ОТЧЁТ!AD101</f>
        <v>6306.7037</v>
      </c>
      <c r="Y154" s="249">
        <f>ОТЧЁТ!AE101</f>
        <v>7887.1394</v>
      </c>
      <c r="Z154" s="249">
        <f>ОТЧЁТ!AF101</f>
        <v>9544.5843000000004</v>
      </c>
      <c r="AA154" s="249">
        <f>ОТЧЁТ!AG101</f>
        <v>11387.0816</v>
      </c>
      <c r="AB154" s="249">
        <f>ОТЧЁТ!AH101</f>
        <v>13498.7</v>
      </c>
      <c r="AC154" s="249">
        <f>ОТЧЁТ!AI101</f>
        <v>11921.085999999999</v>
      </c>
      <c r="AD154" s="249">
        <f>ОТЧЁТ!AJ101</f>
        <v>15093.736999999999</v>
      </c>
      <c r="AE154" s="249">
        <f>ОТЧЁТ!AK101</f>
        <v>25148.861699999998</v>
      </c>
      <c r="AF154" s="249">
        <f>ОТЧЁТ!AL101</f>
        <v>28132.032800000001</v>
      </c>
      <c r="AG154" s="249">
        <f>ОТЧЁТ!AM101</f>
        <v>29279.293399999999</v>
      </c>
      <c r="AH154" s="249">
        <f>ОТЧЁТ!AN101</f>
        <v>30623.78</v>
      </c>
      <c r="AI154" s="249">
        <f>ОТЧЁТ!AO101</f>
        <v>34077.79</v>
      </c>
      <c r="AJ154" s="249">
        <f>ОТЧЁТ!AP101</f>
        <v>35349.99</v>
      </c>
      <c r="AK154" s="249">
        <f>ОТЧЁТ!AQ101</f>
        <v>38231.449999999997</v>
      </c>
      <c r="AL154" s="249">
        <f>ОТЧЁТ!AR101</f>
        <v>43406.53</v>
      </c>
      <c r="AM154" s="249">
        <f ca="1">AM125-AM151-AM153</f>
        <v>43410.478199521276</v>
      </c>
      <c r="AN154" s="249">
        <f t="shared" ref="AN154:BC154" ca="1" si="82">AN125-AN151-AN153</f>
        <v>46213.507400067174</v>
      </c>
      <c r="AO154" s="249">
        <f t="shared" ca="1" si="82"/>
        <v>52974.967646386365</v>
      </c>
      <c r="AP154" s="249">
        <f t="shared" ca="1" si="82"/>
        <v>58732.059123646657</v>
      </c>
      <c r="AQ154" s="249">
        <f t="shared" ca="1" si="82"/>
        <v>65009.94626084753</v>
      </c>
      <c r="AR154" s="249">
        <f t="shared" ca="1" si="82"/>
        <v>71887.282184674536</v>
      </c>
      <c r="AS154" s="249">
        <f t="shared" ca="1" si="82"/>
        <v>79438.508504960701</v>
      </c>
      <c r="AT154" s="249">
        <f t="shared" ca="1" si="82"/>
        <v>87738.470518265443</v>
      </c>
      <c r="AU154" s="249">
        <f t="shared" ca="1" si="82"/>
        <v>96865.469787056674</v>
      </c>
      <c r="AV154" s="249">
        <f t="shared" ca="1" si="82"/>
        <v>106903.40990511606</v>
      </c>
      <c r="AW154" s="249">
        <f t="shared" ca="1" si="82"/>
        <v>117943.42679954611</v>
      </c>
      <c r="AX154" s="249">
        <f t="shared" ca="1" si="82"/>
        <v>130085.24134371633</v>
      </c>
      <c r="AY154" s="249">
        <f t="shared" ca="1" si="82"/>
        <v>143438.381635275</v>
      </c>
      <c r="AZ154" s="249">
        <f t="shared" ca="1" si="82"/>
        <v>158123.36847480678</v>
      </c>
      <c r="BA154" s="249">
        <f t="shared" ca="1" si="82"/>
        <v>174272.92534679541</v>
      </c>
      <c r="BB154" s="249">
        <f t="shared" ca="1" si="82"/>
        <v>192033.25491267152</v>
      </c>
      <c r="BC154" s="249">
        <f t="shared" ca="1" si="82"/>
        <v>211565.41261420675</v>
      </c>
      <c r="BD154" s="2039" t="str">
        <f t="shared" si="41"/>
        <v>WPR</v>
      </c>
    </row>
    <row r="155" spans="1:68" ht="15.6">
      <c r="A155" s="1631" t="s">
        <v>2143</v>
      </c>
      <c r="B155" s="55"/>
      <c r="C155" s="55"/>
      <c r="D155" s="55"/>
      <c r="E155" s="1631"/>
      <c r="F155" s="1631"/>
      <c r="G155" s="1452" t="s">
        <v>752</v>
      </c>
      <c r="H155" s="232">
        <v>57</v>
      </c>
      <c r="I155" s="2570" t="s">
        <v>750</v>
      </c>
      <c r="J155" s="2571"/>
      <c r="K155" s="2571"/>
      <c r="L155" s="2571"/>
      <c r="M155" s="2571"/>
      <c r="N155" s="2571"/>
      <c r="O155" s="246">
        <f>ОТЧЁТ!U58</f>
        <v>1319.6252999999999</v>
      </c>
      <c r="P155" s="249">
        <f>ОТЧЁТ!V58</f>
        <v>1828.2092000000002</v>
      </c>
      <c r="Q155" s="249">
        <f>ОТЧЁТ!W58</f>
        <v>2127.9189999999999</v>
      </c>
      <c r="R155" s="249">
        <f>ОТЧЁТ!X58</f>
        <v>2383.2595999999999</v>
      </c>
      <c r="S155" s="249">
        <f>ОТЧЁТ!Y58</f>
        <v>4327.8726999999999</v>
      </c>
      <c r="T155" s="249">
        <f>ОТЧЁТ!Z58</f>
        <v>6472.1990999999998</v>
      </c>
      <c r="U155" s="249">
        <f>ОТЧЁТ!AA58</f>
        <v>7846.0933000000005</v>
      </c>
      <c r="V155" s="249">
        <f>ОТЧЁТ!AB58</f>
        <v>9569.9708999999984</v>
      </c>
      <c r="W155" s="249">
        <f>ОТЧЁТ!AC58</f>
        <v>11619.750299999998</v>
      </c>
      <c r="X155" s="249">
        <f>ОТЧЁТ!AD58</f>
        <v>14858.766999999998</v>
      </c>
      <c r="Y155" s="249">
        <f>ОТЧЁТ!AE58</f>
        <v>18517.665799999999</v>
      </c>
      <c r="Z155" s="249">
        <f>ОТЧЁТ!AF58</f>
        <v>22977.343699999998</v>
      </c>
      <c r="AA155" s="249">
        <f>ОТЧЁТ!AG58</f>
        <v>28484.4712</v>
      </c>
      <c r="AB155" s="249">
        <f>ОТЧЁТ!AH58</f>
        <v>35182.698399999994</v>
      </c>
      <c r="AC155" s="249">
        <f>ОТЧЁТ!AI58</f>
        <v>33831.375999999997</v>
      </c>
      <c r="AD155" s="249">
        <f>ОТЧЁТ!AJ58</f>
        <v>40040.063000000009</v>
      </c>
      <c r="AE155" s="249">
        <f>ОТЧЁТ!AK58</f>
        <v>52084.130800000006</v>
      </c>
      <c r="AF155" s="249">
        <f>ОТЧЁТ!AL58</f>
        <v>58996.233200000002</v>
      </c>
      <c r="AG155" s="249">
        <f>ОТЧЁТ!AM58</f>
        <v>63869.449899999985</v>
      </c>
      <c r="AH155" s="249">
        <f>ОТЧЁТ!AN58</f>
        <v>68766.399999999994</v>
      </c>
      <c r="AI155" s="249">
        <f>ОТЧЁТ!AO58</f>
        <v>74627.400000000009</v>
      </c>
      <c r="AJ155" s="249">
        <f>ОТЧЁТ!AP58</f>
        <v>77475.259999999995</v>
      </c>
      <c r="AK155" s="249">
        <f>ОТЧЁТ!AQ58</f>
        <v>83155.599999999991</v>
      </c>
      <c r="AL155" s="249">
        <f>ОТЧЁТ!AR58</f>
        <v>92799.500000000015</v>
      </c>
      <c r="AM155" s="247">
        <f ca="1">AM140-AM138</f>
        <v>94172.935496606398</v>
      </c>
      <c r="AN155" s="247">
        <f t="shared" ref="AN155:BC155" ca="1" si="83">AN140-AN138</f>
        <v>100238.72349032199</v>
      </c>
      <c r="AO155" s="247">
        <f t="shared" ca="1" si="83"/>
        <v>113297.06275193272</v>
      </c>
      <c r="AP155" s="247">
        <f t="shared" ca="1" si="83"/>
        <v>124566.44817382848</v>
      </c>
      <c r="AQ155" s="247">
        <f t="shared" ca="1" si="83"/>
        <v>136751.42621515243</v>
      </c>
      <c r="AR155" s="247">
        <f t="shared" ca="1" si="83"/>
        <v>150006.81817451507</v>
      </c>
      <c r="AS155" s="247">
        <f t="shared" ca="1" si="83"/>
        <v>164482.67555170043</v>
      </c>
      <c r="AT155" s="247">
        <f t="shared" ca="1" si="83"/>
        <v>180330.1873648233</v>
      </c>
      <c r="AU155" s="247">
        <f t="shared" ca="1" si="83"/>
        <v>197706.24867927391</v>
      </c>
      <c r="AV155" s="247">
        <f t="shared" ca="1" si="83"/>
        <v>216777.12256750205</v>
      </c>
      <c r="AW155" s="247">
        <f t="shared" ca="1" si="83"/>
        <v>237721.50705736456</v>
      </c>
      <c r="AX155" s="247">
        <f t="shared" ca="1" si="83"/>
        <v>260733.23761138553</v>
      </c>
      <c r="AY155" s="247">
        <f t="shared" ca="1" si="83"/>
        <v>286023.79634076188</v>
      </c>
      <c r="AZ155" s="247">
        <f t="shared" ca="1" si="83"/>
        <v>313824.75533596746</v>
      </c>
      <c r="BA155" s="247">
        <f t="shared" ca="1" si="83"/>
        <v>344390.24980823195</v>
      </c>
      <c r="BB155" s="247">
        <f t="shared" ca="1" si="83"/>
        <v>377999.55451518967</v>
      </c>
      <c r="BC155" s="247">
        <f t="shared" ca="1" si="83"/>
        <v>414959.82192552875</v>
      </c>
      <c r="BD155" s="2039" t="str">
        <f t="shared" si="41"/>
        <v>WDC</v>
      </c>
    </row>
    <row r="156" spans="1:68" ht="15.6">
      <c r="A156" s="1999" t="s">
        <v>924</v>
      </c>
      <c r="B156" s="1631"/>
      <c r="C156" s="55"/>
      <c r="D156" s="55"/>
      <c r="E156" s="1631"/>
      <c r="F156" s="1631"/>
      <c r="G156" s="1452" t="s">
        <v>652</v>
      </c>
      <c r="H156" s="232">
        <v>58</v>
      </c>
      <c r="I156" s="2571" t="s">
        <v>2075</v>
      </c>
      <c r="J156" s="2571"/>
      <c r="K156" s="2571"/>
      <c r="L156" s="2571"/>
      <c r="M156" s="2571"/>
      <c r="N156" s="2572"/>
      <c r="O156" s="246">
        <f>O27</f>
        <v>1</v>
      </c>
      <c r="P156" s="962">
        <f>ОТЧЁТ!V191</f>
        <v>1.6953967315458069</v>
      </c>
      <c r="Q156" s="962">
        <f>ОТЧЁТ!W191</f>
        <v>2.415292468742241</v>
      </c>
      <c r="R156" s="962">
        <f>ОТЧЁТ!X191</f>
        <v>2.6727462335842294</v>
      </c>
      <c r="S156" s="962">
        <f>ОТЧЁТ!Y191</f>
        <v>3.4893420575027583</v>
      </c>
      <c r="T156" s="962">
        <f>ОТЧЁТ!Z191</f>
        <v>3.9448052793534916</v>
      </c>
      <c r="U156" s="962">
        <f>ОТЧЁТ!AA191</f>
        <v>4.3960246162225971</v>
      </c>
      <c r="V156" s="962">
        <f>ОТЧЁТ!AB191</f>
        <v>5.8843823618297426</v>
      </c>
      <c r="W156" s="962">
        <f>ОТЧЁТ!AC191</f>
        <v>5.9009164044902702</v>
      </c>
      <c r="X156" s="962">
        <f>ОТЧЁТ!AD191</f>
        <v>5.7361386042739939</v>
      </c>
      <c r="Y156" s="962">
        <f>ОТЧЁТ!AE191</f>
        <v>7.7188495068870884</v>
      </c>
      <c r="Z156" s="962">
        <f>ОТЧЁТ!AF191</f>
        <v>7.333907061981483</v>
      </c>
      <c r="AA156" s="962">
        <f>ОТЧЁТ!AG191</f>
        <v>7.9418012798076241</v>
      </c>
      <c r="AB156" s="962">
        <f>ОТЧЁТ!AH191</f>
        <v>9.313557709187231</v>
      </c>
      <c r="AC156" s="962">
        <f>ОТЧЁТ!AI191</f>
        <v>10.66694831320229</v>
      </c>
      <c r="AD156" s="962">
        <f>ОТЧЁТ!AJ191</f>
        <v>11.27644871677545</v>
      </c>
      <c r="AE156" s="962">
        <f>ОТЧЁТ!AK191</f>
        <v>12.282914423380722</v>
      </c>
      <c r="AF156" s="962">
        <f>ОТЧЁТ!AL191</f>
        <v>13.249096044334456</v>
      </c>
      <c r="AG156" s="962">
        <f>ОТЧЁТ!AM191</f>
        <v>14.15863931501705</v>
      </c>
      <c r="AH156" s="962">
        <f>ОТЧЁТ!AN191</f>
        <v>14.240158664898729</v>
      </c>
      <c r="AI156" s="962">
        <f>ОТЧЁТ!AO191</f>
        <v>14.837823597492827</v>
      </c>
      <c r="AJ156" s="962">
        <f>ОТЧЁТ!AP191</f>
        <v>15.707409284457475</v>
      </c>
      <c r="AK156" s="962">
        <f>ОТЧЁТ!AQ191</f>
        <v>14.777985159687598</v>
      </c>
      <c r="AL156" s="962">
        <f>ОТЧЁТ!AR191</f>
        <v>15.400454434924034</v>
      </c>
      <c r="AM156" s="248">
        <f t="shared" ref="AM156:BC156" si="84">0.1975*AM14+11.04</f>
        <v>15.521957469960693</v>
      </c>
      <c r="AN156" s="248">
        <f t="shared" si="84"/>
        <v>15.742021581735763</v>
      </c>
      <c r="AO156" s="248">
        <f t="shared" si="84"/>
        <v>15.977122660822552</v>
      </c>
      <c r="AP156" s="248">
        <f t="shared" si="84"/>
        <v>16.223978793863679</v>
      </c>
      <c r="AQ156" s="248">
        <f t="shared" si="84"/>
        <v>16.483177733556865</v>
      </c>
      <c r="AR156" s="248">
        <f t="shared" si="84"/>
        <v>16.755336620234708</v>
      </c>
      <c r="AS156" s="248">
        <f t="shared" si="84"/>
        <v>17.041103451246443</v>
      </c>
      <c r="AT156" s="248">
        <f t="shared" si="84"/>
        <v>17.341158623808766</v>
      </c>
      <c r="AU156" s="248">
        <f t="shared" si="84"/>
        <v>17.656216554999205</v>
      </c>
      <c r="AV156" s="248">
        <f t="shared" si="84"/>
        <v>17.987027382749165</v>
      </c>
      <c r="AW156" s="248">
        <f t="shared" si="84"/>
        <v>18.334378751886625</v>
      </c>
      <c r="AX156" s="248">
        <f t="shared" si="84"/>
        <v>18.699097689480954</v>
      </c>
      <c r="AY156" s="248">
        <f t="shared" si="84"/>
        <v>19.082052573955004</v>
      </c>
      <c r="AZ156" s="248">
        <f t="shared" si="84"/>
        <v>19.484155202652754</v>
      </c>
      <c r="BA156" s="248">
        <f t="shared" si="84"/>
        <v>19.906362962785394</v>
      </c>
      <c r="BB156" s="248">
        <f t="shared" si="84"/>
        <v>20.349681110924664</v>
      </c>
      <c r="BC156" s="248">
        <f t="shared" si="84"/>
        <v>20.815165166470898</v>
      </c>
      <c r="BD156" s="2039" t="str">
        <f t="shared" si="41"/>
        <v>Dww</v>
      </c>
    </row>
    <row r="157" spans="1:68" ht="15.6">
      <c r="A157" s="55" t="s">
        <v>2209</v>
      </c>
      <c r="B157" s="55"/>
      <c r="C157" s="55"/>
      <c r="D157" s="55"/>
      <c r="E157" s="1631"/>
      <c r="F157" s="1631"/>
      <c r="G157" s="1452" t="s">
        <v>1894</v>
      </c>
      <c r="H157" s="232">
        <v>60</v>
      </c>
      <c r="I157" s="2626" t="s">
        <v>2207</v>
      </c>
      <c r="J157" s="34"/>
      <c r="K157" s="34"/>
      <c r="L157" s="34"/>
      <c r="M157" s="240"/>
      <c r="N157" s="265"/>
      <c r="O157" s="1430"/>
      <c r="P157" s="959"/>
      <c r="Q157" s="959"/>
      <c r="R157" s="959"/>
      <c r="S157" s="959"/>
      <c r="T157" s="959"/>
      <c r="U157" s="959"/>
      <c r="V157" s="959"/>
      <c r="W157" s="959"/>
      <c r="X157" s="959"/>
      <c r="Y157" s="959"/>
      <c r="Z157" s="959"/>
      <c r="AA157" s="959"/>
      <c r="AB157" s="959"/>
      <c r="AC157" s="959"/>
      <c r="AD157" s="959"/>
      <c r="AE157" s="959"/>
      <c r="AF157" s="959"/>
      <c r="AG157" s="959"/>
      <c r="AH157" s="959"/>
      <c r="AI157" s="959"/>
      <c r="AJ157" s="959"/>
      <c r="AK157" s="961"/>
      <c r="AL157" s="961"/>
      <c r="AM157" s="961">
        <f ca="1">0.7*AM102+0.2*AL102+0.1*AK102</f>
        <v>18560.343029264724</v>
      </c>
      <c r="AN157" s="961">
        <f t="shared" ref="AN157:BC157" ca="1" si="85">0.7*AN102+0.2*AM102+0.1*AL102</f>
        <v>20234.110390578746</v>
      </c>
      <c r="AO157" s="961">
        <f t="shared" ca="1" si="85"/>
        <v>22878.095647515991</v>
      </c>
      <c r="AP157" s="961">
        <f t="shared" ca="1" si="85"/>
        <v>25569.67644536664</v>
      </c>
      <c r="AQ157" s="961">
        <f t="shared" ca="1" si="85"/>
        <v>28475.184014537946</v>
      </c>
      <c r="AR157" s="961">
        <f t="shared" ca="1" si="85"/>
        <v>31566.463025302044</v>
      </c>
      <c r="AS157" s="961">
        <f t="shared" ca="1" si="85"/>
        <v>34936.108899360079</v>
      </c>
      <c r="AT157" s="961">
        <f t="shared" ca="1" si="85"/>
        <v>38625.537710710822</v>
      </c>
      <c r="AU157" s="961">
        <f t="shared" ca="1" si="85"/>
        <v>42675.883335364568</v>
      </c>
      <c r="AV157" s="961">
        <f t="shared" ca="1" si="85"/>
        <v>47129.532597200639</v>
      </c>
      <c r="AW157" s="961">
        <f t="shared" ca="1" si="85"/>
        <v>52031.276390027342</v>
      </c>
      <c r="AX157" s="961">
        <f t="shared" ca="1" si="85"/>
        <v>57429.224197994088</v>
      </c>
      <c r="AY157" s="961">
        <f t="shared" ca="1" si="85"/>
        <v>63375.580185255996</v>
      </c>
      <c r="AZ157" s="961">
        <f t="shared" ca="1" si="85"/>
        <v>69927.346832106865</v>
      </c>
      <c r="BA157" s="961">
        <f t="shared" ca="1" si="85"/>
        <v>77147.001139799584</v>
      </c>
      <c r="BB157" s="961">
        <f t="shared" ca="1" si="85"/>
        <v>85103.17487385626</v>
      </c>
      <c r="BC157" s="961">
        <f t="shared" ca="1" si="85"/>
        <v>93871.361641289637</v>
      </c>
      <c r="BD157" s="2039" t="str">
        <f t="shared" si="41"/>
        <v>FA</v>
      </c>
    </row>
    <row r="158" spans="1:68" ht="15.6">
      <c r="A158" s="55" t="s">
        <v>2212</v>
      </c>
      <c r="B158" s="55"/>
      <c r="C158" s="55"/>
      <c r="D158" s="55"/>
      <c r="E158" s="1631"/>
      <c r="F158" s="1631"/>
      <c r="G158" s="1452" t="s">
        <v>450</v>
      </c>
      <c r="H158" s="232">
        <v>61</v>
      </c>
      <c r="I158" s="2626" t="s">
        <v>2208</v>
      </c>
      <c r="J158" s="34"/>
      <c r="K158" s="34"/>
      <c r="L158" s="34"/>
      <c r="M158" s="240"/>
      <c r="N158" s="265"/>
      <c r="O158" s="1430">
        <f>ОТЧЁТ!U83</f>
        <v>230.40700000000001</v>
      </c>
      <c r="P158" s="959">
        <f>ОТЧЁТ!V83</f>
        <v>334.30200000000002</v>
      </c>
      <c r="Q158" s="959">
        <f>ОТЧЁТ!W83</f>
        <v>406.47199999999998</v>
      </c>
      <c r="R158" s="959">
        <f>ОТЧЁТ!X83</f>
        <v>428.56400000000002</v>
      </c>
      <c r="S158" s="959">
        <f>ОТЧЁТ!Y83</f>
        <v>597.30600000000004</v>
      </c>
      <c r="T158" s="959">
        <f>ОТЧЁТ!Z83</f>
        <v>843.37800000000004</v>
      </c>
      <c r="U158" s="959">
        <f>ОТЧЁТ!AA83</f>
        <v>1117.655</v>
      </c>
      <c r="V158" s="959">
        <f>ОТЧЁТ!AB83</f>
        <v>1615.0630000000001</v>
      </c>
      <c r="W158" s="959">
        <f>ОТЧЁТ!AC83</f>
        <v>1815.6579999999999</v>
      </c>
      <c r="X158" s="959">
        <f>ОТЧЁТ!AD83</f>
        <v>1972.1120000000001</v>
      </c>
      <c r="Y158" s="959">
        <f>ОТЧЁТ!AE83</f>
        <v>2943.6860000000001</v>
      </c>
      <c r="Z158" s="959">
        <f>ОТЧЁТ!AF83</f>
        <v>3252.4360000000001</v>
      </c>
      <c r="AA158" s="959">
        <f>ОТЧЁТ!AG83</f>
        <v>4296.4110000000001</v>
      </c>
      <c r="AB158" s="959">
        <f>ОТЧЁТ!AH83</f>
        <v>5744.8469999999998</v>
      </c>
      <c r="AC158" s="959">
        <f>ОТЧЁТ!AI83</f>
        <v>6356.223</v>
      </c>
      <c r="AD158" s="959">
        <f>ОТЧЁТ!AJ83</f>
        <v>6275.9309999999996</v>
      </c>
      <c r="AE158" s="959">
        <f>ОТЧЁТ!AK83</f>
        <v>8813.3140000000003</v>
      </c>
      <c r="AF158" s="959">
        <f>ОТЧЁТ!AL83</f>
        <v>10338.4</v>
      </c>
      <c r="AG158" s="959">
        <f>ОТЧЁТ!AM83</f>
        <v>11160.485000000001</v>
      </c>
      <c r="AH158" s="959">
        <f>ОТЧЁТ!AN83</f>
        <v>10888</v>
      </c>
      <c r="AI158" s="959">
        <f>ОТЧЁТ!AO83</f>
        <v>10721</v>
      </c>
      <c r="AJ158" s="959">
        <f>ОТЧЁТ!AP83</f>
        <v>13256</v>
      </c>
      <c r="AK158" s="959">
        <f>ОТЧЁТ!AQ83</f>
        <v>12484.1</v>
      </c>
      <c r="AL158" s="959">
        <f>ОТЧЁТ!AR83</f>
        <v>14909.4</v>
      </c>
      <c r="AM158" s="961">
        <f ca="1">0.9558*AM157-1632.2</f>
        <v>16107.775867371223</v>
      </c>
      <c r="AN158" s="961">
        <f t="shared" ref="AN158:BC158" ca="1" si="86">0.9558*AN157-1632.2</f>
        <v>17707.562711315164</v>
      </c>
      <c r="AO158" s="961">
        <f t="shared" ca="1" si="86"/>
        <v>20234.683819895785</v>
      </c>
      <c r="AP158" s="961">
        <f t="shared" ca="1" si="86"/>
        <v>22807.296746481432</v>
      </c>
      <c r="AQ158" s="961">
        <f t="shared" ca="1" si="86"/>
        <v>25584.380881095367</v>
      </c>
      <c r="AR158" s="961">
        <f t="shared" ca="1" si="86"/>
        <v>28539.025359583691</v>
      </c>
      <c r="AS158" s="961">
        <f t="shared" ca="1" si="86"/>
        <v>31759.732886008362</v>
      </c>
      <c r="AT158" s="961">
        <f t="shared" ca="1" si="86"/>
        <v>35286.088943897405</v>
      </c>
      <c r="AU158" s="961">
        <f t="shared" ca="1" si="86"/>
        <v>39157.409291941454</v>
      </c>
      <c r="AV158" s="961">
        <f t="shared" ca="1" si="86"/>
        <v>43414.20725640437</v>
      </c>
      <c r="AW158" s="961">
        <f t="shared" ca="1" si="86"/>
        <v>48099.293973588137</v>
      </c>
      <c r="AX158" s="961">
        <f t="shared" ca="1" si="86"/>
        <v>53258.652488442749</v>
      </c>
      <c r="AY158" s="961">
        <f t="shared" ca="1" si="86"/>
        <v>58942.179541067686</v>
      </c>
      <c r="AZ158" s="961">
        <f t="shared" ca="1" si="86"/>
        <v>65204.35810212775</v>
      </c>
      <c r="BA158" s="961">
        <f t="shared" ca="1" si="86"/>
        <v>72104.903689420447</v>
      </c>
      <c r="BB158" s="961">
        <f t="shared" ca="1" si="86"/>
        <v>79709.414544431813</v>
      </c>
      <c r="BC158" s="961">
        <f t="shared" ca="1" si="86"/>
        <v>88090.047456744636</v>
      </c>
      <c r="BD158" s="2039" t="str">
        <f t="shared" si="41"/>
        <v>WW</v>
      </c>
    </row>
    <row r="159" spans="1:68" ht="15.6">
      <c r="A159" s="1999" t="s">
        <v>2074</v>
      </c>
      <c r="B159" s="1631"/>
      <c r="C159" s="55"/>
      <c r="D159" s="1999"/>
      <c r="E159" s="24"/>
      <c r="F159" s="24"/>
      <c r="G159" s="1452" t="s">
        <v>656</v>
      </c>
      <c r="H159" s="232">
        <v>62</v>
      </c>
      <c r="I159" s="2626" t="s">
        <v>2210</v>
      </c>
      <c r="J159" s="34"/>
      <c r="K159" s="34"/>
      <c r="L159" s="34"/>
      <c r="M159" s="240"/>
      <c r="N159" s="2571"/>
      <c r="O159" s="2625">
        <v>230.40700000000001</v>
      </c>
      <c r="P159" s="247">
        <f>ОТЧЁТ!V193</f>
        <v>197.18216614420064</v>
      </c>
      <c r="Q159" s="247">
        <f>ОТЧЁТ!W193</f>
        <v>168.29100626959249</v>
      </c>
      <c r="R159" s="247">
        <f>ОТЧЁТ!X193</f>
        <v>160.34593730407522</v>
      </c>
      <c r="S159" s="247">
        <f>ОТЧЁТ!Y193</f>
        <v>171.18012225705328</v>
      </c>
      <c r="T159" s="247">
        <f>ОТЧЁТ!Z193</f>
        <v>213.79458307210035</v>
      </c>
      <c r="U159" s="247">
        <f>ОТЧЁТ!AA193</f>
        <v>254.24220689655175</v>
      </c>
      <c r="V159" s="247">
        <f>ОТЧЁТ!AB193</f>
        <v>274.46601880877739</v>
      </c>
      <c r="W159" s="247">
        <f>ОТЧЁТ!AC193</f>
        <v>307.69085266457677</v>
      </c>
      <c r="X159" s="247">
        <f>ОТЧЁТ!AD193</f>
        <v>343.804802507837</v>
      </c>
      <c r="Y159" s="247">
        <f>ОТЧЁТ!AE193</f>
        <v>381.3633103448276</v>
      </c>
      <c r="Z159" s="247">
        <f>ОТЧЁТ!AF193</f>
        <v>443.47930407523512</v>
      </c>
      <c r="AA159" s="247">
        <f>ОТЧЁТ!AG193</f>
        <v>540.98696865203772</v>
      </c>
      <c r="AB159" s="247">
        <f>ОТЧЁТ!AH193</f>
        <v>616.82626332288407</v>
      </c>
      <c r="AC159" s="247">
        <f>ОТЧЁТ!AI193</f>
        <v>595.88017241379305</v>
      </c>
      <c r="AD159" s="247">
        <f>ОТЧЁТ!AJ193</f>
        <v>556.55208103448274</v>
      </c>
      <c r="AE159" s="247">
        <f>ОТЧЁТ!AK193</f>
        <v>717.5262886488664</v>
      </c>
      <c r="AF159" s="247">
        <f>ОТЧЁТ!AL193</f>
        <v>780.3098389056421</v>
      </c>
      <c r="AG159" s="247">
        <f>ОТЧЁТ!AM193</f>
        <v>788.24558996731253</v>
      </c>
      <c r="AH159" s="247">
        <f>ОТЧЁТ!AN193</f>
        <v>764.59822226829317</v>
      </c>
      <c r="AI159" s="247">
        <f>ОТЧЁТ!AO193</f>
        <v>722.545320043537</v>
      </c>
      <c r="AJ159" s="247">
        <f>ОТЧЁТ!AP193</f>
        <v>843.93293381085118</v>
      </c>
      <c r="AK159" s="247">
        <f>ОТЧЁТ!AQ193</f>
        <v>844.7768667446619</v>
      </c>
      <c r="AL159" s="247">
        <f>ОТЧЁТ!AR193</f>
        <v>968.11428928938244</v>
      </c>
      <c r="AM159" s="961">
        <f ca="1">AM158/AM160</f>
        <v>1037.7412706190087</v>
      </c>
      <c r="AN159" s="961">
        <f t="shared" ref="AN159:BC159" ca="1" si="87">AN158/AN160</f>
        <v>1124.8595118088178</v>
      </c>
      <c r="AO159" s="961">
        <f t="shared" ca="1" si="87"/>
        <v>1266.4785925136059</v>
      </c>
      <c r="AP159" s="961">
        <f t="shared" ca="1" si="87"/>
        <v>1405.7770314090728</v>
      </c>
      <c r="AQ159" s="961">
        <f t="shared" ca="1" si="87"/>
        <v>1552.1510047792572</v>
      </c>
      <c r="AR159" s="961">
        <f t="shared" ca="1" si="87"/>
        <v>1703.2797374609784</v>
      </c>
      <c r="AS159" s="961">
        <f t="shared" ca="1" si="87"/>
        <v>1863.7134019443647</v>
      </c>
      <c r="AT159" s="961">
        <f t="shared" ca="1" si="87"/>
        <v>2034.8172639082441</v>
      </c>
      <c r="AU159" s="961">
        <f t="shared" ca="1" si="87"/>
        <v>2217.7689750216828</v>
      </c>
      <c r="AV159" s="961">
        <f t="shared" ca="1" si="87"/>
        <v>2413.6399157340293</v>
      </c>
      <c r="AW159" s="961">
        <f t="shared" ca="1" si="87"/>
        <v>2623.4482566603833</v>
      </c>
      <c r="AX159" s="961">
        <f t="shared" ca="1" si="87"/>
        <v>2848.1937135610042</v>
      </c>
      <c r="AY159" s="961">
        <f t="shared" ca="1" si="87"/>
        <v>3088.8804709362121</v>
      </c>
      <c r="AZ159" s="961">
        <f t="shared" ca="1" si="87"/>
        <v>3346.5324733838202</v>
      </c>
      <c r="BA159" s="961">
        <f t="shared" ca="1" si="87"/>
        <v>3622.2038061005587</v>
      </c>
      <c r="BB159" s="961">
        <f t="shared" ca="1" si="87"/>
        <v>3916.9859276880784</v>
      </c>
      <c r="BC159" s="961">
        <f t="shared" ca="1" si="87"/>
        <v>4232.0128979154215</v>
      </c>
      <c r="BD159" s="2039" t="str">
        <f t="shared" si="41"/>
        <v>WWS</v>
      </c>
    </row>
    <row r="160" spans="1:68" ht="15.6">
      <c r="A160" s="1999" t="s">
        <v>924</v>
      </c>
      <c r="B160" s="1631"/>
      <c r="C160" s="55"/>
      <c r="D160" s="1999"/>
      <c r="E160" s="24"/>
      <c r="F160" s="24"/>
      <c r="G160" s="1452" t="s">
        <v>652</v>
      </c>
      <c r="H160" s="232">
        <v>63</v>
      </c>
      <c r="I160" s="2570" t="s">
        <v>2041</v>
      </c>
      <c r="J160" s="2571"/>
      <c r="K160" s="2571"/>
      <c r="L160" s="2571"/>
      <c r="M160" s="2571"/>
      <c r="N160" s="2571"/>
      <c r="O160" s="2625">
        <v>1</v>
      </c>
      <c r="P160" s="247">
        <f>P26</f>
        <v>1.6953967315458069</v>
      </c>
      <c r="Q160" s="247">
        <f t="shared" ref="Q160:BC160" si="88">Q26</f>
        <v>2.415292468742241</v>
      </c>
      <c r="R160" s="247">
        <f t="shared" si="88"/>
        <v>2.6727462335842294</v>
      </c>
      <c r="S160" s="247">
        <f t="shared" si="88"/>
        <v>3.4893420575027583</v>
      </c>
      <c r="T160" s="247">
        <f t="shared" si="88"/>
        <v>3.9448052793534916</v>
      </c>
      <c r="U160" s="247">
        <f t="shared" si="88"/>
        <v>4.3960246162225971</v>
      </c>
      <c r="V160" s="247">
        <f t="shared" si="88"/>
        <v>5.8843823618297426</v>
      </c>
      <c r="W160" s="247">
        <f t="shared" si="88"/>
        <v>5.9009164044902702</v>
      </c>
      <c r="X160" s="247">
        <f t="shared" si="88"/>
        <v>5.7361386042739939</v>
      </c>
      <c r="Y160" s="247">
        <f t="shared" si="88"/>
        <v>7.7188495068870884</v>
      </c>
      <c r="Z160" s="247">
        <f t="shared" si="88"/>
        <v>7.333907061981483</v>
      </c>
      <c r="AA160" s="247">
        <f t="shared" si="88"/>
        <v>7.9418012798076241</v>
      </c>
      <c r="AB160" s="247">
        <f t="shared" si="88"/>
        <v>9.313557709187231</v>
      </c>
      <c r="AC160" s="247">
        <f t="shared" si="88"/>
        <v>10.66694831320229</v>
      </c>
      <c r="AD160" s="247">
        <f t="shared" si="88"/>
        <v>11.27644871677545</v>
      </c>
      <c r="AE160" s="247">
        <f t="shared" si="88"/>
        <v>12.282914423380722</v>
      </c>
      <c r="AF160" s="247">
        <f t="shared" si="88"/>
        <v>13.249096044334456</v>
      </c>
      <c r="AG160" s="247">
        <f t="shared" si="88"/>
        <v>14.15863931501705</v>
      </c>
      <c r="AH160" s="247">
        <f t="shared" si="88"/>
        <v>14.240158664898729</v>
      </c>
      <c r="AI160" s="247">
        <f t="shared" si="88"/>
        <v>14.837823597492827</v>
      </c>
      <c r="AJ160" s="247">
        <f t="shared" si="88"/>
        <v>15.707409284457475</v>
      </c>
      <c r="AK160" s="247">
        <f t="shared" si="88"/>
        <v>14.777985159687598</v>
      </c>
      <c r="AL160" s="247">
        <f t="shared" si="88"/>
        <v>15.400454434924034</v>
      </c>
      <c r="AM160" s="247">
        <f t="shared" si="88"/>
        <v>15.521957469960693</v>
      </c>
      <c r="AN160" s="247">
        <f t="shared" si="88"/>
        <v>15.742021581735763</v>
      </c>
      <c r="AO160" s="247">
        <f t="shared" si="88"/>
        <v>15.977122660822552</v>
      </c>
      <c r="AP160" s="247">
        <f t="shared" si="88"/>
        <v>16.223978793863679</v>
      </c>
      <c r="AQ160" s="247">
        <f t="shared" si="88"/>
        <v>16.483177733556865</v>
      </c>
      <c r="AR160" s="247">
        <f t="shared" si="88"/>
        <v>16.755336620234708</v>
      </c>
      <c r="AS160" s="247">
        <f t="shared" si="88"/>
        <v>17.041103451246443</v>
      </c>
      <c r="AT160" s="247">
        <f t="shared" si="88"/>
        <v>17.341158623808766</v>
      </c>
      <c r="AU160" s="247">
        <f t="shared" si="88"/>
        <v>17.656216554999205</v>
      </c>
      <c r="AV160" s="247">
        <f t="shared" si="88"/>
        <v>17.987027382749165</v>
      </c>
      <c r="AW160" s="247">
        <f t="shared" si="88"/>
        <v>18.334378751886625</v>
      </c>
      <c r="AX160" s="247">
        <f t="shared" si="88"/>
        <v>18.699097689480954</v>
      </c>
      <c r="AY160" s="247">
        <f t="shared" si="88"/>
        <v>19.082052573955004</v>
      </c>
      <c r="AZ160" s="247">
        <f t="shared" si="88"/>
        <v>19.484155202652754</v>
      </c>
      <c r="BA160" s="247">
        <f t="shared" si="88"/>
        <v>19.906362962785394</v>
      </c>
      <c r="BB160" s="247">
        <f t="shared" si="88"/>
        <v>20.349681110924664</v>
      </c>
      <c r="BC160" s="247">
        <f t="shared" si="88"/>
        <v>20.815165166470898</v>
      </c>
      <c r="BD160" s="2039" t="str">
        <f t="shared" si="41"/>
        <v>Dww</v>
      </c>
    </row>
    <row r="161" spans="1:56" ht="15.6">
      <c r="A161" s="1999" t="s">
        <v>2214</v>
      </c>
      <c r="B161" s="1631"/>
      <c r="C161" s="55"/>
      <c r="D161" s="1999"/>
      <c r="E161" s="24"/>
      <c r="F161" s="24"/>
      <c r="G161" s="1452" t="s">
        <v>1954</v>
      </c>
      <c r="H161" s="232">
        <v>64</v>
      </c>
      <c r="I161" s="2570" t="s">
        <v>2213</v>
      </c>
      <c r="J161" s="34"/>
      <c r="K161" s="34"/>
      <c r="L161" s="34"/>
      <c r="M161" s="240"/>
      <c r="N161" s="2571"/>
      <c r="O161" s="2625"/>
      <c r="P161" s="247">
        <v>202.48816614420022</v>
      </c>
      <c r="Q161" s="247">
        <v>189.49378226959257</v>
      </c>
      <c r="R161" s="247">
        <v>176.18441097607518</v>
      </c>
      <c r="S161" s="247">
        <v>160.65281675639685</v>
      </c>
      <c r="T161" s="247">
        <v>187.42368279295744</v>
      </c>
      <c r="U161" s="247">
        <v>206.53724829158108</v>
      </c>
      <c r="V161" s="247">
        <v>220.98345966164931</v>
      </c>
      <c r="W161" s="247">
        <v>237.46825250439923</v>
      </c>
      <c r="X161" s="247">
        <v>256.2534253235163</v>
      </c>
      <c r="Y161" s="247">
        <v>275.73257377194318</v>
      </c>
      <c r="Z161" s="247">
        <v>307.51586756858018</v>
      </c>
      <c r="AA161" s="247">
        <v>361.15266329923622</v>
      </c>
      <c r="AB161" s="247">
        <v>401.51238985596126</v>
      </c>
      <c r="AC161" s="247">
        <v>397.6000187144756</v>
      </c>
      <c r="AD161" s="247">
        <v>364.71603233039366</v>
      </c>
      <c r="AE161" s="247">
        <v>454.07144842858281</v>
      </c>
      <c r="AF161" s="247">
        <v>485.7673275393671</v>
      </c>
      <c r="AG161" s="247">
        <v>495.32648732647453</v>
      </c>
      <c r="AH161" s="247">
        <v>489.41858625811881</v>
      </c>
      <c r="AI161" s="247">
        <v>475.74637297970753</v>
      </c>
      <c r="AJ161" s="247">
        <v>533.52155814132152</v>
      </c>
      <c r="AK161" s="247">
        <v>530.5291248424985</v>
      </c>
      <c r="AL161" s="247">
        <v>607.58943255341387</v>
      </c>
      <c r="AM161" s="961">
        <f ca="1">0.545*AM159+75.668</f>
        <v>641.23699248735977</v>
      </c>
      <c r="AN161" s="961">
        <f t="shared" ref="AN161:BC161" ca="1" si="89">0.545*AN159+75.668</f>
        <v>688.71643393580575</v>
      </c>
      <c r="AO161" s="961">
        <f t="shared" ca="1" si="89"/>
        <v>765.89883291991532</v>
      </c>
      <c r="AP161" s="961">
        <f t="shared" ca="1" si="89"/>
        <v>841.8164821179447</v>
      </c>
      <c r="AQ161" s="961">
        <f t="shared" ca="1" si="89"/>
        <v>921.59029760469525</v>
      </c>
      <c r="AR161" s="961">
        <f t="shared" ca="1" si="89"/>
        <v>1003.9554569162333</v>
      </c>
      <c r="AS161" s="961">
        <f t="shared" ca="1" si="89"/>
        <v>1091.3918040596789</v>
      </c>
      <c r="AT161" s="961">
        <f t="shared" ca="1" si="89"/>
        <v>1184.6434088299929</v>
      </c>
      <c r="AU161" s="961">
        <f t="shared" ca="1" si="89"/>
        <v>1284.3520913868174</v>
      </c>
      <c r="AV161" s="961">
        <f t="shared" ca="1" si="89"/>
        <v>1391.1017540750458</v>
      </c>
      <c r="AW161" s="961">
        <f t="shared" ca="1" si="89"/>
        <v>1505.4472998799092</v>
      </c>
      <c r="AX161" s="961">
        <f t="shared" ca="1" si="89"/>
        <v>1627.9335738907475</v>
      </c>
      <c r="AY161" s="961">
        <f t="shared" ca="1" si="89"/>
        <v>1759.1078566602359</v>
      </c>
      <c r="AZ161" s="961">
        <f t="shared" ca="1" si="89"/>
        <v>1899.5281979941819</v>
      </c>
      <c r="BA161" s="961">
        <f t="shared" ca="1" si="89"/>
        <v>2049.7690743248045</v>
      </c>
      <c r="BB161" s="961">
        <f t="shared" ca="1" si="89"/>
        <v>2210.4253305900029</v>
      </c>
      <c r="BC161" s="961">
        <f t="shared" ca="1" si="89"/>
        <v>2382.1150293639048</v>
      </c>
      <c r="BD161" s="2039" t="str">
        <f t="shared" si="41"/>
        <v>WBS</v>
      </c>
    </row>
    <row r="162" spans="1:56" ht="15.6">
      <c r="A162" s="1999" t="s">
        <v>2144</v>
      </c>
      <c r="B162" s="1631"/>
      <c r="C162" s="55"/>
      <c r="D162" s="1999"/>
      <c r="E162" s="24"/>
      <c r="F162" s="24"/>
      <c r="G162" s="1452" t="s">
        <v>664</v>
      </c>
      <c r="H162" s="232">
        <v>65</v>
      </c>
      <c r="I162" s="2626" t="s">
        <v>2217</v>
      </c>
      <c r="J162" s="34"/>
      <c r="K162" s="34"/>
      <c r="L162" s="34"/>
      <c r="M162" s="240"/>
      <c r="N162" s="2571"/>
      <c r="O162" s="2625">
        <f>ОТЧЁТ!U197</f>
        <v>5306</v>
      </c>
      <c r="P162" s="247">
        <f>ОТЧЁТ!V197</f>
        <v>5300.6940000000004</v>
      </c>
      <c r="Q162" s="247">
        <f>ОТЧЁТ!W197</f>
        <v>5279.4912240000003</v>
      </c>
      <c r="R162" s="247">
        <f>ОТЧЁТ!X197</f>
        <v>5263.6527503280004</v>
      </c>
      <c r="S162" s="247">
        <f>ОТЧЁТ!Y197</f>
        <v>5274.1800558286568</v>
      </c>
      <c r="T162" s="247">
        <f>ОТЧЁТ!Z197</f>
        <v>5300.5509561077997</v>
      </c>
      <c r="U162" s="247">
        <f>ОТЧЁТ!AA197</f>
        <v>5348.2559147127704</v>
      </c>
      <c r="V162" s="247">
        <f>ОТЧЁТ!AB197</f>
        <v>5401.7384738598985</v>
      </c>
      <c r="W162" s="247">
        <f>ОТЧЁТ!AC197</f>
        <v>5471.9610740200769</v>
      </c>
      <c r="X162" s="247">
        <f>ОТЧЁТ!AD197</f>
        <v>5559.5124512043985</v>
      </c>
      <c r="Y162" s="247">
        <f>ОТЧЁТ!AE197</f>
        <v>5665.1431877772829</v>
      </c>
      <c r="Z162" s="247">
        <f>ОТЧЁТ!AF197</f>
        <v>5801.1066242839379</v>
      </c>
      <c r="AA162" s="247">
        <f>ОТЧЁТ!AG197</f>
        <v>5980.9409296367394</v>
      </c>
      <c r="AB162" s="247">
        <f>ОТЧЁТ!AH197</f>
        <v>6196.2548031036622</v>
      </c>
      <c r="AC162" s="247">
        <f>ОТЧЁТ!AI197</f>
        <v>6394.5349568029797</v>
      </c>
      <c r="AD162" s="247">
        <f>ОТЧЁТ!AJ197</f>
        <v>6586.3710055070696</v>
      </c>
      <c r="AE162" s="247">
        <f>ОТЧЁТ!AK197</f>
        <v>6849.8258457273523</v>
      </c>
      <c r="AF162" s="247">
        <f>ОТЧЁТ!AL197</f>
        <v>7144.3683570936282</v>
      </c>
      <c r="AG162" s="247">
        <f>ОТЧЁТ!AM197</f>
        <v>7437.2874597344662</v>
      </c>
      <c r="AH162" s="247">
        <f>ОТЧЁТ!AN197</f>
        <v>7712.4670957446406</v>
      </c>
      <c r="AI162" s="247">
        <f>ОТЧЁТ!AO197</f>
        <v>7959.2660428084691</v>
      </c>
      <c r="AJ162" s="247">
        <f>ОТЧЁТ!AP197</f>
        <v>8269.6774184779988</v>
      </c>
      <c r="AK162" s="247">
        <f>ОТЧЁТ!AQ197</f>
        <v>8583.9251603801622</v>
      </c>
      <c r="AL162" s="247">
        <f>ОТЧЁТ!AR197</f>
        <v>8944.4500171161289</v>
      </c>
      <c r="AM162" s="961">
        <f ca="1">AL162+AM159-AM161</f>
        <v>9340.9542952477768</v>
      </c>
      <c r="AN162" s="961">
        <f t="shared" ref="AN162:BC162" ca="1" si="90">AM162+AN159-AN161</f>
        <v>9777.0973731207887</v>
      </c>
      <c r="AO162" s="961">
        <f t="shared" ca="1" si="90"/>
        <v>10277.67713271448</v>
      </c>
      <c r="AP162" s="961">
        <f t="shared" ca="1" si="90"/>
        <v>10841.637682005607</v>
      </c>
      <c r="AQ162" s="961">
        <f t="shared" ca="1" si="90"/>
        <v>11472.19838918017</v>
      </c>
      <c r="AR162" s="961">
        <f t="shared" ca="1" si="90"/>
        <v>12171.522669724915</v>
      </c>
      <c r="AS162" s="961">
        <f t="shared" ca="1" si="90"/>
        <v>12943.8442676096</v>
      </c>
      <c r="AT162" s="961">
        <f t="shared" ca="1" si="90"/>
        <v>13794.018122687852</v>
      </c>
      <c r="AU162" s="961">
        <f t="shared" ca="1" si="90"/>
        <v>14727.435006322718</v>
      </c>
      <c r="AV162" s="961">
        <f t="shared" ca="1" si="90"/>
        <v>15749.9731679817</v>
      </c>
      <c r="AW162" s="961">
        <f t="shared" ca="1" si="90"/>
        <v>16867.974124762171</v>
      </c>
      <c r="AX162" s="961">
        <f t="shared" ca="1" si="90"/>
        <v>18088.234264432431</v>
      </c>
      <c r="AY162" s="961">
        <f t="shared" ca="1" si="90"/>
        <v>19418.006878708406</v>
      </c>
      <c r="AZ162" s="961">
        <f t="shared" ca="1" si="90"/>
        <v>20865.011154098043</v>
      </c>
      <c r="BA162" s="961">
        <f t="shared" ca="1" si="90"/>
        <v>22437.445885873796</v>
      </c>
      <c r="BB162" s="961">
        <f t="shared" ca="1" si="90"/>
        <v>24144.006482971872</v>
      </c>
      <c r="BC162" s="961">
        <f t="shared" ca="1" si="90"/>
        <v>25993.90435152339</v>
      </c>
      <c r="BD162" s="2039" t="str">
        <f t="shared" si="41"/>
        <v>FS</v>
      </c>
    </row>
    <row r="163" spans="1:56" ht="15.6">
      <c r="A163" s="1999" t="s">
        <v>2216</v>
      </c>
      <c r="B163" s="1631"/>
      <c r="C163" s="55"/>
      <c r="D163" s="1999"/>
      <c r="E163" s="24"/>
      <c r="F163" s="24"/>
      <c r="G163" s="1452" t="s">
        <v>650</v>
      </c>
      <c r="H163" s="232">
        <v>66</v>
      </c>
      <c r="I163" s="2626"/>
      <c r="J163" s="34"/>
      <c r="K163" s="34"/>
      <c r="L163" s="34"/>
      <c r="M163" s="240"/>
      <c r="N163" s="2571"/>
      <c r="O163" s="2625">
        <v>1</v>
      </c>
      <c r="P163" s="247">
        <f>P25</f>
        <v>2.4661634872716665</v>
      </c>
      <c r="Q163" s="247">
        <f t="shared" ref="Q163:BC163" si="91">Q25</f>
        <v>2.5165818894824628</v>
      </c>
      <c r="R163" s="247">
        <f t="shared" si="91"/>
        <v>2.6836249787031963</v>
      </c>
      <c r="S163" s="247">
        <f t="shared" si="91"/>
        <v>2.701164323022275</v>
      </c>
      <c r="T163" s="247">
        <f t="shared" si="91"/>
        <v>3.2947518370474893</v>
      </c>
      <c r="U163" s="247">
        <f t="shared" si="91"/>
        <v>3.7846782806927575</v>
      </c>
      <c r="V163" s="247">
        <f t="shared" si="91"/>
        <v>4.5228031897927927</v>
      </c>
      <c r="W163" s="247">
        <f t="shared" si="91"/>
        <v>5.542638112686384</v>
      </c>
      <c r="X163" s="247">
        <f t="shared" si="91"/>
        <v>6.2728522161048463</v>
      </c>
      <c r="Y163" s="247">
        <f t="shared" si="91"/>
        <v>7.3244397581202456</v>
      </c>
      <c r="Z163" s="247">
        <f t="shared" si="91"/>
        <v>8.1861967165379976</v>
      </c>
      <c r="AA163" s="247">
        <f t="shared" si="91"/>
        <v>10.097240670067599</v>
      </c>
      <c r="AB163" s="247">
        <f t="shared" si="91"/>
        <v>12.014838376677151</v>
      </c>
      <c r="AC163" s="247">
        <f t="shared" si="91"/>
        <v>12.870829474853368</v>
      </c>
      <c r="AD163" s="247">
        <f t="shared" si="91"/>
        <v>14.148307151553455</v>
      </c>
      <c r="AE163" s="247">
        <f t="shared" si="91"/>
        <v>15.766970202222982</v>
      </c>
      <c r="AF163" s="247">
        <f t="shared" si="91"/>
        <v>16.974068796381736</v>
      </c>
      <c r="AG163" s="247">
        <f t="shared" si="91"/>
        <v>17.953158422730532</v>
      </c>
      <c r="AH163" s="247">
        <f t="shared" si="91"/>
        <v>19.115802786548628</v>
      </c>
      <c r="AI163" s="247">
        <f t="shared" si="91"/>
        <v>20.193444864834213</v>
      </c>
      <c r="AJ163" s="247">
        <f t="shared" si="91"/>
        <v>22.177890468882978</v>
      </c>
      <c r="AK163" s="247">
        <f t="shared" si="91"/>
        <v>22.675989872141365</v>
      </c>
      <c r="AL163" s="247">
        <f t="shared" si="91"/>
        <v>23.085153319082956</v>
      </c>
      <c r="AM163" s="247">
        <f t="shared" si="91"/>
        <v>24.669713611800503</v>
      </c>
      <c r="AN163" s="247">
        <f t="shared" si="91"/>
        <v>25.900066990139901</v>
      </c>
      <c r="AO163" s="247">
        <f t="shared" si="91"/>
        <v>27.2144903396469</v>
      </c>
      <c r="AP163" s="247">
        <f t="shared" si="91"/>
        <v>28.594634856629245</v>
      </c>
      <c r="AQ163" s="247">
        <f t="shared" si="91"/>
        <v>30.043786599460709</v>
      </c>
      <c r="AR163" s="247">
        <f t="shared" si="91"/>
        <v>31.565395929433745</v>
      </c>
      <c r="AS163" s="247">
        <f t="shared" si="91"/>
        <v>33.163085725905439</v>
      </c>
      <c r="AT163" s="247">
        <f t="shared" si="91"/>
        <v>34.840660012200708</v>
      </c>
      <c r="AU163" s="247">
        <f t="shared" si="91"/>
        <v>36.602113012810747</v>
      </c>
      <c r="AV163" s="247">
        <f t="shared" si="91"/>
        <v>38.451638663451291</v>
      </c>
      <c r="AW163" s="247">
        <f t="shared" si="91"/>
        <v>40.393640596623854</v>
      </c>
      <c r="AX163" s="247">
        <f t="shared" si="91"/>
        <v>42.432742626455045</v>
      </c>
      <c r="AY163" s="247">
        <f t="shared" si="91"/>
        <v>44.573799757777806</v>
      </c>
      <c r="AZ163" s="247">
        <f t="shared" si="91"/>
        <v>46.821909745666701</v>
      </c>
      <c r="BA163" s="247">
        <f t="shared" si="91"/>
        <v>49.182425232950038</v>
      </c>
      <c r="BB163" s="247">
        <f t="shared" si="91"/>
        <v>51.660966494597545</v>
      </c>
      <c r="BC163" s="247">
        <f t="shared" si="91"/>
        <v>54.263434819327429</v>
      </c>
      <c r="BD163" s="2039" t="str">
        <f t="shared" si="41"/>
        <v>Df</v>
      </c>
    </row>
    <row r="164" spans="1:56" ht="15.6">
      <c r="A164" s="1999" t="s">
        <v>2215</v>
      </c>
      <c r="B164" s="1631"/>
      <c r="C164" s="55"/>
      <c r="D164" s="1999"/>
      <c r="E164" s="24"/>
      <c r="F164" s="24"/>
      <c r="G164" s="2627" t="s">
        <v>447</v>
      </c>
      <c r="H164" s="232">
        <v>67</v>
      </c>
      <c r="I164" s="242"/>
      <c r="J164" s="34"/>
      <c r="K164" s="34"/>
      <c r="L164" s="34"/>
      <c r="M164" s="240"/>
      <c r="N164" s="2571"/>
      <c r="O164" s="2625">
        <f>O162</f>
        <v>5306</v>
      </c>
      <c r="P164" s="249">
        <f>ОТЧЁТ!V210</f>
        <v>13250.16</v>
      </c>
      <c r="Q164" s="249">
        <f>ОТЧЁТ!W210</f>
        <v>13411.950999999999</v>
      </c>
      <c r="R164" s="249">
        <f>ОТЧЁТ!X210</f>
        <v>14277.54</v>
      </c>
      <c r="S164" s="249">
        <f>ОТЧЁТ!Y210</f>
        <v>14334.782999999999</v>
      </c>
      <c r="T164" s="249">
        <f>ОТЧЁТ!Z210</f>
        <v>17464.171999999999</v>
      </c>
      <c r="U164" s="249">
        <f>ОТЧЁТ!AA210</f>
        <v>21495.236000000001</v>
      </c>
      <c r="V164" s="249">
        <f>ОТЧЁТ!AB210</f>
        <v>26333.273000000001</v>
      </c>
      <c r="W164" s="249">
        <f>ОТЧЁТ!AC210</f>
        <v>32173.286</v>
      </c>
      <c r="X164" s="249">
        <f>ОТЧЁТ!AD210</f>
        <v>34873.724000000002</v>
      </c>
      <c r="Y164" s="249">
        <f>ОТЧЁТ!AE210</f>
        <v>41493.567999999999</v>
      </c>
      <c r="Z164" s="249">
        <f>ОТЧЁТ!AF210</f>
        <v>47489.498</v>
      </c>
      <c r="AA164" s="249">
        <f>ОТЧЁТ!AG210</f>
        <v>60391.453999999998</v>
      </c>
      <c r="AB164" s="249">
        <f>ОТЧЁТ!AH210</f>
        <v>74471.182000000001</v>
      </c>
      <c r="AC164" s="249">
        <f>ОТЧЁТ!AI210</f>
        <v>82302.968999999997</v>
      </c>
      <c r="AD164" s="249">
        <f>ОТЧЁТ!AJ210</f>
        <v>93186</v>
      </c>
      <c r="AE164" s="249">
        <f>ОТЧЁТ!AK210</f>
        <v>108001</v>
      </c>
      <c r="AF164" s="249">
        <f>ОТЧЁТ!AL210</f>
        <v>121269</v>
      </c>
      <c r="AG164" s="249">
        <f>ОТЧЁТ!AM210</f>
        <v>133522.79999999999</v>
      </c>
      <c r="AH164" s="249">
        <f>ОТЧЁТ!AN210</f>
        <v>147430</v>
      </c>
      <c r="AI164" s="249">
        <f>ОТЧЁТ!AO210</f>
        <v>160725</v>
      </c>
      <c r="AJ164" s="249">
        <f>ОТЧЁТ!AP210</f>
        <v>183404</v>
      </c>
      <c r="AK164" s="249">
        <f>ОТЧЁТ!AQ210</f>
        <v>194649</v>
      </c>
      <c r="AL164" s="249">
        <f>ОТЧЁТ!AR210</f>
        <v>206484</v>
      </c>
      <c r="AM164" s="961">
        <f ca="1">AM163*AM162</f>
        <v>230438.66732468046</v>
      </c>
      <c r="AN164" s="961">
        <f t="shared" ref="AN164:BC164" ca="1" si="92">AN163*AN162</f>
        <v>253227.47693294927</v>
      </c>
      <c r="AO164" s="961">
        <f t="shared" ca="1" si="92"/>
        <v>279701.74504226807</v>
      </c>
      <c r="AP164" s="961">
        <f t="shared" ca="1" si="92"/>
        <v>310012.67076482263</v>
      </c>
      <c r="AQ164" s="961">
        <f t="shared" ca="1" si="92"/>
        <v>344668.28023120592</v>
      </c>
      <c r="AR164" s="961">
        <f t="shared" ca="1" si="92"/>
        <v>384198.93213394535</v>
      </c>
      <c r="AS164" s="961">
        <f t="shared" ca="1" si="92"/>
        <v>429257.81706950685</v>
      </c>
      <c r="AT164" s="961">
        <f t="shared" ca="1" si="92"/>
        <v>480592.69561470253</v>
      </c>
      <c r="AU164" s="961">
        <f t="shared" ca="1" si="92"/>
        <v>539055.24049024924</v>
      </c>
      <c r="AV164" s="961">
        <f t="shared" ca="1" si="92"/>
        <v>605612.27721428557</v>
      </c>
      <c r="AW164" s="961">
        <f t="shared" ca="1" si="92"/>
        <v>681358.88438879396</v>
      </c>
      <c r="AX164" s="961">
        <f t="shared" ca="1" si="92"/>
        <v>767533.38910968672</v>
      </c>
      <c r="AY164" s="961">
        <f t="shared" ca="1" si="92"/>
        <v>865534.35030670045</v>
      </c>
      <c r="AZ164" s="961">
        <f t="shared" ca="1" si="92"/>
        <v>976939.66909950762</v>
      </c>
      <c r="BA164" s="961">
        <f t="shared" ca="1" si="92"/>
        <v>1103528.0047003503</v>
      </c>
      <c r="BB164" s="961">
        <f t="shared" ca="1" si="92"/>
        <v>1247302.7099621559</v>
      </c>
      <c r="BC164" s="961">
        <f t="shared" ca="1" si="92"/>
        <v>1410518.534478721</v>
      </c>
      <c r="BD164" s="2039" t="str">
        <f t="shared" si="41"/>
        <v>F</v>
      </c>
    </row>
    <row r="165" spans="1:56" ht="15.6">
      <c r="A165" s="1631"/>
      <c r="B165" s="55"/>
      <c r="C165" s="55"/>
      <c r="D165" s="55"/>
      <c r="E165" s="1631"/>
      <c r="F165" s="1631"/>
      <c r="G165" s="1452" t="s">
        <v>625</v>
      </c>
      <c r="H165" s="232">
        <v>68</v>
      </c>
      <c r="I165" s="2626" t="s">
        <v>1723</v>
      </c>
      <c r="J165" s="240"/>
      <c r="K165" s="240"/>
      <c r="L165" s="240"/>
      <c r="M165" s="240"/>
      <c r="N165" s="2571"/>
      <c r="O165" s="246">
        <f t="shared" ref="O165:BC165" si="93">O135/O146</f>
        <v>43.206939348996954</v>
      </c>
      <c r="P165" s="247">
        <f t="shared" si="93"/>
        <v>42.749286899313503</v>
      </c>
      <c r="Q165" s="247">
        <f t="shared" si="93"/>
        <v>45.447241894736841</v>
      </c>
      <c r="R165" s="247">
        <f t="shared" si="93"/>
        <v>44.298503885723704</v>
      </c>
      <c r="S165" s="247">
        <f t="shared" si="93"/>
        <v>43.416737397690277</v>
      </c>
      <c r="T165" s="247">
        <f t="shared" si="93"/>
        <v>46.046768151253758</v>
      </c>
      <c r="U165" s="247">
        <f t="shared" si="93"/>
        <v>48.263748607689806</v>
      </c>
      <c r="V165" s="247">
        <f t="shared" si="93"/>
        <v>49.226295399031507</v>
      </c>
      <c r="W165" s="247">
        <f t="shared" si="93"/>
        <v>53.222993601114709</v>
      </c>
      <c r="X165" s="247">
        <f t="shared" si="93"/>
        <v>56.644052738523989</v>
      </c>
      <c r="Y165" s="247">
        <f t="shared" si="93"/>
        <v>58.979127328817569</v>
      </c>
      <c r="Z165" s="247">
        <f t="shared" si="93"/>
        <v>63.457556425113935</v>
      </c>
      <c r="AA165" s="247">
        <f t="shared" si="93"/>
        <v>67.479917249698346</v>
      </c>
      <c r="AB165" s="247">
        <f t="shared" si="93"/>
        <v>70.621402348481183</v>
      </c>
      <c r="AC165" s="247">
        <f t="shared" si="93"/>
        <v>66.896281588517056</v>
      </c>
      <c r="AD165" s="247">
        <f t="shared" si="93"/>
        <v>69.715085293922698</v>
      </c>
      <c r="AE165" s="247">
        <f t="shared" si="93"/>
        <v>71.765752104766392</v>
      </c>
      <c r="AF165" s="247">
        <f t="shared" si="93"/>
        <v>73.846746364363511</v>
      </c>
      <c r="AG165" s="247">
        <f t="shared" si="93"/>
        <v>75.560123440531513</v>
      </c>
      <c r="AH165" s="247">
        <f t="shared" si="93"/>
        <v>76.007477976215441</v>
      </c>
      <c r="AI165" s="247">
        <f t="shared" si="93"/>
        <v>74.205557755695821</v>
      </c>
      <c r="AJ165" s="247">
        <f t="shared" si="93"/>
        <v>75.024056551326893</v>
      </c>
      <c r="AK165" s="247">
        <f t="shared" si="93"/>
        <v>77.167211043056923</v>
      </c>
      <c r="AL165" s="247">
        <f t="shared" si="93"/>
        <v>78.864635853510762</v>
      </c>
      <c r="AM165" s="247">
        <f t="shared" ca="1" si="93"/>
        <v>81.252125105670046</v>
      </c>
      <c r="AN165" s="247">
        <f t="shared" ca="1" si="93"/>
        <v>82.883088110371986</v>
      </c>
      <c r="AO165" s="247">
        <f t="shared" ca="1" si="93"/>
        <v>85.593813014949617</v>
      </c>
      <c r="AP165" s="247">
        <f t="shared" ca="1" si="93"/>
        <v>87.75112852325573</v>
      </c>
      <c r="AQ165" s="247">
        <f t="shared" ca="1" si="93"/>
        <v>89.844618807470013</v>
      </c>
      <c r="AR165" s="247">
        <f t="shared" ca="1" si="93"/>
        <v>91.924227316164561</v>
      </c>
      <c r="AS165" s="247">
        <f t="shared" ca="1" si="93"/>
        <v>94.020217104243642</v>
      </c>
      <c r="AT165" s="247">
        <f t="shared" ca="1" si="93"/>
        <v>96.15099444859257</v>
      </c>
      <c r="AU165" s="247">
        <f t="shared" ca="1" si="93"/>
        <v>98.327776698871801</v>
      </c>
      <c r="AV165" s="247">
        <f t="shared" ca="1" si="93"/>
        <v>100.55739281512251</v>
      </c>
      <c r="AW165" s="247">
        <f t="shared" ca="1" si="93"/>
        <v>102.84396847408554</v>
      </c>
      <c r="AX165" s="247">
        <f t="shared" ca="1" si="93"/>
        <v>105.1899410465458</v>
      </c>
      <c r="AY165" s="247">
        <f t="shared" ca="1" si="93"/>
        <v>107.5966706433011</v>
      </c>
      <c r="AZ165" s="247">
        <f t="shared" ca="1" si="93"/>
        <v>110.06480728610761</v>
      </c>
      <c r="BA165" s="247">
        <f t="shared" ca="1" si="93"/>
        <v>112.5945107896797</v>
      </c>
      <c r="BB165" s="247">
        <f t="shared" ca="1" si="93"/>
        <v>115.18558177489867</v>
      </c>
      <c r="BC165" s="247">
        <f t="shared" ca="1" si="93"/>
        <v>117.83753920498619</v>
      </c>
      <c r="BD165" s="2039" t="str">
        <f t="shared" si="41"/>
        <v>POS</v>
      </c>
    </row>
    <row r="166" spans="1:56" ht="15.6">
      <c r="A166" s="1631"/>
      <c r="B166" s="55"/>
      <c r="C166" s="55"/>
      <c r="D166" s="55"/>
      <c r="E166" s="1631"/>
      <c r="F166" s="1631"/>
      <c r="G166" s="1452" t="s">
        <v>2203</v>
      </c>
      <c r="H166" s="232">
        <v>69</v>
      </c>
      <c r="I166" s="2626" t="s">
        <v>2204</v>
      </c>
      <c r="J166" s="240"/>
      <c r="K166" s="240"/>
      <c r="L166" s="240"/>
      <c r="M166" s="240"/>
      <c r="N166" s="2571"/>
      <c r="O166" s="2624">
        <f t="shared" ref="O166:AL166" si="94">O33/O135</f>
        <v>1.9171703634945614</v>
      </c>
      <c r="P166" s="245">
        <f t="shared" si="94"/>
        <v>1.9704250958138552</v>
      </c>
      <c r="Q166" s="245">
        <f t="shared" si="94"/>
        <v>1.9354471355331357</v>
      </c>
      <c r="R166" s="245">
        <f t="shared" si="94"/>
        <v>2.0333411950753808</v>
      </c>
      <c r="S166" s="245">
        <f t="shared" si="94"/>
        <v>1.9257163303076856</v>
      </c>
      <c r="T166" s="245">
        <f t="shared" si="94"/>
        <v>1.7690538500541351</v>
      </c>
      <c r="U166" s="245">
        <f t="shared" si="94"/>
        <v>1.7015970778881055</v>
      </c>
      <c r="V166" s="245">
        <f t="shared" si="94"/>
        <v>1.6461810810986461</v>
      </c>
      <c r="W166" s="245">
        <f t="shared" si="94"/>
        <v>1.5497968728187064</v>
      </c>
      <c r="X166" s="245">
        <f t="shared" si="94"/>
        <v>1.4579570581331533</v>
      </c>
      <c r="Y166" s="245">
        <f t="shared" si="94"/>
        <v>1.4055423294585465</v>
      </c>
      <c r="Z166" s="245">
        <f t="shared" si="94"/>
        <v>1.3216486183338398</v>
      </c>
      <c r="AA166" s="245">
        <f t="shared" si="94"/>
        <v>1.2524078359395117</v>
      </c>
      <c r="AB166" s="245">
        <f t="shared" si="94"/>
        <v>1.2357090647936515</v>
      </c>
      <c r="AC166" s="245">
        <f t="shared" si="94"/>
        <v>1.3771617223186268</v>
      </c>
      <c r="AD166" s="245">
        <f t="shared" si="94"/>
        <v>1.3509300704649387</v>
      </c>
      <c r="AE166" s="245">
        <f t="shared" si="94"/>
        <v>1.3470443655642725</v>
      </c>
      <c r="AF166" s="245">
        <f t="shared" si="94"/>
        <v>1.3522302918994573</v>
      </c>
      <c r="AG166" s="245">
        <f t="shared" si="94"/>
        <v>1.3787186423774092</v>
      </c>
      <c r="AH166" s="245">
        <f t="shared" si="94"/>
        <v>1.4183841588743782</v>
      </c>
      <c r="AI166" s="245">
        <f t="shared" si="94"/>
        <v>1.4830521296437271</v>
      </c>
      <c r="AJ166" s="245">
        <f t="shared" si="94"/>
        <v>1.5226197259879768</v>
      </c>
      <c r="AK166" s="245">
        <f t="shared" si="94"/>
        <v>1.5419310005614826</v>
      </c>
      <c r="AL166" s="245">
        <f t="shared" si="94"/>
        <v>1.5675044903268931</v>
      </c>
      <c r="AM166" s="245">
        <f ca="1">AM162/AM135</f>
        <v>1.5707452428651858</v>
      </c>
      <c r="AN166" s="245">
        <f t="shared" ref="AN166:BC166" ca="1" si="95">AN162/AN135</f>
        <v>1.6003872498703775</v>
      </c>
      <c r="AO166" s="245">
        <f t="shared" ca="1" si="95"/>
        <v>1.6090173912535912</v>
      </c>
      <c r="AP166" s="245">
        <f t="shared" ca="1" si="95"/>
        <v>1.6395568050029952</v>
      </c>
      <c r="AQ166" s="245">
        <f t="shared" ca="1" si="95"/>
        <v>1.6785404260363359</v>
      </c>
      <c r="AR166" s="245">
        <f t="shared" ca="1" si="95"/>
        <v>1.7242323077149073</v>
      </c>
      <c r="AS166" s="245">
        <f t="shared" ca="1" si="95"/>
        <v>1.7757064609884956</v>
      </c>
      <c r="AT166" s="245">
        <f t="shared" ca="1" si="95"/>
        <v>1.8323876791279381</v>
      </c>
      <c r="AU166" s="245">
        <f t="shared" ca="1" si="95"/>
        <v>1.8939057068135985</v>
      </c>
      <c r="AV166" s="245">
        <f t="shared" ca="1" si="95"/>
        <v>1.9600097212996064</v>
      </c>
      <c r="AW166" s="245">
        <f t="shared" ca="1" si="95"/>
        <v>2.0305174308338145</v>
      </c>
      <c r="AX166" s="245">
        <f t="shared" ca="1" si="95"/>
        <v>2.1052845098159185</v>
      </c>
      <c r="AY166" s="245">
        <f t="shared" ca="1" si="95"/>
        <v>2.1841861728063026</v>
      </c>
      <c r="AZ166" s="245">
        <f t="shared" ca="1" si="95"/>
        <v>2.2671060762305948</v>
      </c>
      <c r="BA166" s="245">
        <f t="shared" ca="1" si="95"/>
        <v>2.3539296814882631</v>
      </c>
      <c r="BB166" s="245">
        <f t="shared" ca="1" si="95"/>
        <v>2.4445403539534643</v>
      </c>
      <c r="BC166" s="245">
        <f t="shared" ca="1" si="95"/>
        <v>2.5388171511953033</v>
      </c>
      <c r="BD166" s="44" t="str">
        <f t="shared" si="41"/>
        <v>FOS</v>
      </c>
    </row>
    <row r="167" spans="1:56" ht="16.2" thickBot="1">
      <c r="A167" s="1631"/>
      <c r="B167" s="55"/>
      <c r="C167" s="55"/>
      <c r="D167" s="55"/>
      <c r="E167" s="1631"/>
      <c r="F167" s="1631"/>
      <c r="G167" s="2569"/>
      <c r="H167" s="232">
        <v>70</v>
      </c>
      <c r="I167" s="2000"/>
      <c r="J167" s="516"/>
      <c r="K167" s="516"/>
      <c r="L167" s="516"/>
      <c r="M167" s="516"/>
      <c r="N167" s="2001"/>
      <c r="O167" s="2002">
        <v>1995</v>
      </c>
      <c r="P167" s="257">
        <v>1996</v>
      </c>
      <c r="Q167" s="257">
        <v>1997</v>
      </c>
      <c r="R167" s="257">
        <v>1998</v>
      </c>
      <c r="S167" s="257">
        <v>1999</v>
      </c>
      <c r="T167" s="257">
        <v>2000</v>
      </c>
      <c r="U167" s="257">
        <v>2001</v>
      </c>
      <c r="V167" s="257">
        <v>2002</v>
      </c>
      <c r="W167" s="257">
        <v>2003</v>
      </c>
      <c r="X167" s="257">
        <v>2004</v>
      </c>
      <c r="Y167" s="257">
        <v>2005</v>
      </c>
      <c r="Z167" s="257">
        <v>2006</v>
      </c>
      <c r="AA167" s="257">
        <v>2007</v>
      </c>
      <c r="AB167" s="257">
        <v>2008</v>
      </c>
      <c r="AC167" s="257">
        <v>2009</v>
      </c>
      <c r="AD167" s="922">
        <v>2010</v>
      </c>
      <c r="AE167" s="257">
        <v>2011</v>
      </c>
      <c r="AF167" s="257">
        <v>2012</v>
      </c>
      <c r="AG167" s="257">
        <v>2013</v>
      </c>
      <c r="AH167" s="257">
        <v>2014</v>
      </c>
      <c r="AI167" s="257">
        <v>2015</v>
      </c>
      <c r="AJ167" s="257">
        <v>2016</v>
      </c>
      <c r="AK167" s="257">
        <v>2017</v>
      </c>
      <c r="AL167" s="257">
        <v>2018</v>
      </c>
      <c r="AM167" s="257">
        <v>2019</v>
      </c>
      <c r="AN167" s="257">
        <v>2020</v>
      </c>
      <c r="AO167" s="257">
        <v>2021</v>
      </c>
      <c r="AP167" s="257">
        <v>2022</v>
      </c>
      <c r="AQ167" s="257">
        <v>2023</v>
      </c>
      <c r="AR167" s="257">
        <v>2024</v>
      </c>
      <c r="AS167" s="257">
        <v>2025</v>
      </c>
      <c r="AT167" s="257">
        <v>2026</v>
      </c>
      <c r="AU167" s="257">
        <v>2027</v>
      </c>
      <c r="AV167" s="257">
        <v>2028</v>
      </c>
      <c r="AW167" s="257">
        <v>2029</v>
      </c>
      <c r="AX167" s="257">
        <v>2030</v>
      </c>
      <c r="AY167" s="257">
        <v>2031</v>
      </c>
      <c r="AZ167" s="257">
        <v>2032</v>
      </c>
      <c r="BA167" s="257">
        <v>2033</v>
      </c>
      <c r="BB167" s="257">
        <v>2034</v>
      </c>
      <c r="BC167" s="257">
        <v>2035</v>
      </c>
      <c r="BD167" s="44">
        <f t="shared" ref="BD167:BD189" si="96">G167</f>
        <v>0</v>
      </c>
    </row>
    <row r="168" spans="1:56" ht="15.6" hidden="1">
      <c r="A168" s="52"/>
      <c r="B168" s="52"/>
      <c r="C168" s="52"/>
      <c r="D168" s="52"/>
      <c r="E168" s="24"/>
      <c r="F168" s="52"/>
      <c r="G168" s="1452"/>
      <c r="H168" s="232"/>
      <c r="I168" s="1998"/>
      <c r="J168" s="74"/>
      <c r="K168" s="74"/>
      <c r="L168" s="74"/>
      <c r="M168" s="74"/>
      <c r="N168" s="265"/>
      <c r="O168" s="1430"/>
      <c r="P168" s="245"/>
      <c r="Q168" s="245"/>
      <c r="R168" s="245"/>
      <c r="S168" s="245"/>
      <c r="T168" s="245"/>
      <c r="U168" s="245"/>
      <c r="V168" s="249"/>
      <c r="W168" s="249"/>
      <c r="X168" s="249"/>
      <c r="Y168" s="249"/>
      <c r="Z168" s="249"/>
      <c r="AA168" s="249"/>
      <c r="AB168" s="249"/>
      <c r="AC168" s="249"/>
      <c r="AD168" s="249"/>
      <c r="AE168" s="249"/>
      <c r="AF168" s="249"/>
      <c r="AG168" s="249"/>
      <c r="AH168" s="249"/>
      <c r="AI168" s="249"/>
      <c r="AJ168" s="245"/>
      <c r="AK168" s="245"/>
      <c r="AL168" s="245"/>
      <c r="AM168" s="245"/>
      <c r="AN168" s="245"/>
      <c r="AO168" s="245"/>
      <c r="AP168" s="245"/>
      <c r="AQ168" s="245"/>
      <c r="AR168" s="245"/>
      <c r="AS168" s="245"/>
      <c r="AT168" s="245"/>
      <c r="AU168" s="245"/>
      <c r="AV168" s="245"/>
      <c r="AW168" s="245"/>
      <c r="AX168" s="245"/>
      <c r="AY168" s="245"/>
      <c r="AZ168" s="245"/>
      <c r="BA168" s="245"/>
      <c r="BB168" s="245"/>
      <c r="BC168" s="245"/>
      <c r="BD168" s="44">
        <f t="shared" si="96"/>
        <v>0</v>
      </c>
    </row>
    <row r="169" spans="1:56" ht="15.6">
      <c r="A169" s="52"/>
      <c r="B169" s="52"/>
      <c r="C169" s="52"/>
      <c r="D169" s="52"/>
      <c r="E169" s="52"/>
      <c r="G169" s="1431"/>
      <c r="H169" s="232"/>
      <c r="I169" s="1432" t="s">
        <v>998</v>
      </c>
      <c r="J169" s="1433"/>
      <c r="K169" s="1433"/>
      <c r="L169" s="1433"/>
      <c r="M169" s="1433"/>
      <c r="N169" s="1434"/>
      <c r="BD169" s="44">
        <f t="shared" si="96"/>
        <v>0</v>
      </c>
    </row>
    <row r="170" spans="1:56" ht="15.6">
      <c r="A170" s="52" t="s">
        <v>999</v>
      </c>
      <c r="B170" s="52"/>
      <c r="C170" s="52"/>
      <c r="D170" s="52"/>
      <c r="E170" s="247"/>
      <c r="F170" s="72"/>
      <c r="G170" s="1431" t="s">
        <v>1000</v>
      </c>
      <c r="H170" s="232"/>
      <c r="I170" s="1435" t="s">
        <v>1577</v>
      </c>
      <c r="J170" s="18"/>
      <c r="K170" s="18"/>
      <c r="L170" s="18"/>
      <c r="M170" s="18"/>
      <c r="N170" s="1436"/>
      <c r="BD170" s="44" t="str">
        <f t="shared" si="96"/>
        <v>RXOS</v>
      </c>
    </row>
    <row r="171" spans="1:56" ht="16.2" thickBot="1">
      <c r="A171" s="52"/>
      <c r="B171" s="52"/>
      <c r="C171" s="52"/>
      <c r="D171" s="52"/>
      <c r="E171" s="52"/>
      <c r="G171" s="1431" t="s">
        <v>619</v>
      </c>
      <c r="H171" s="232"/>
      <c r="I171" s="1437" t="s">
        <v>1585</v>
      </c>
      <c r="J171" s="54"/>
      <c r="K171" s="54"/>
      <c r="L171" s="1127"/>
      <c r="M171" s="1127"/>
      <c r="N171" s="1438"/>
      <c r="BD171" s="44" t="str">
        <f t="shared" si="96"/>
        <v>XOS</v>
      </c>
    </row>
    <row r="172" spans="1:56" ht="16.2" thickBot="1">
      <c r="A172" s="52"/>
      <c r="B172" s="52"/>
      <c r="C172" s="52"/>
      <c r="D172" s="52"/>
      <c r="E172" s="52"/>
      <c r="G172" s="1431"/>
      <c r="H172" s="232"/>
      <c r="I172" s="2003" t="s">
        <v>995</v>
      </c>
      <c r="J172" s="2004"/>
      <c r="K172" s="2004"/>
      <c r="L172" s="2004"/>
      <c r="M172" s="253"/>
      <c r="N172" s="254"/>
      <c r="O172" s="255"/>
      <c r="AB172" s="24"/>
      <c r="AD172" s="24"/>
      <c r="BD172" s="44">
        <f t="shared" si="96"/>
        <v>0</v>
      </c>
    </row>
    <row r="173" spans="1:56" ht="17.399999999999999">
      <c r="A173" s="24"/>
      <c r="B173" s="24"/>
      <c r="C173" s="24"/>
      <c r="D173" s="24"/>
      <c r="E173" s="24"/>
      <c r="H173" s="232"/>
      <c r="I173" s="2007" t="s">
        <v>1715</v>
      </c>
      <c r="J173" s="2007"/>
      <c r="K173" s="2007"/>
      <c r="L173" s="2007"/>
      <c r="M173" s="2008"/>
      <c r="N173" s="2006"/>
      <c r="O173" s="125"/>
      <c r="AB173" s="24"/>
      <c r="AD173" s="24"/>
      <c r="BD173" s="44">
        <f t="shared" si="96"/>
        <v>0</v>
      </c>
    </row>
    <row r="174" spans="1:56" ht="15.6">
      <c r="A174" s="55" t="s">
        <v>1726</v>
      </c>
      <c r="B174" s="55"/>
      <c r="C174" s="55"/>
      <c r="D174" s="55"/>
      <c r="E174" s="55"/>
      <c r="H174" s="232"/>
      <c r="I174" s="38" t="s">
        <v>1239</v>
      </c>
      <c r="J174" s="38"/>
      <c r="K174" s="38"/>
      <c r="L174" s="85"/>
      <c r="M174" s="85"/>
      <c r="N174" s="85"/>
      <c r="O174" s="125"/>
      <c r="AB174" s="24"/>
      <c r="AD174" s="24"/>
      <c r="BD174" s="44">
        <f t="shared" si="96"/>
        <v>0</v>
      </c>
    </row>
    <row r="175" spans="1:56" ht="15.6">
      <c r="A175" s="55" t="s">
        <v>1001</v>
      </c>
      <c r="B175" s="55"/>
      <c r="C175" s="55"/>
      <c r="D175" s="55"/>
      <c r="E175" s="55"/>
      <c r="G175" s="51" t="s">
        <v>973</v>
      </c>
      <c r="H175" s="232"/>
      <c r="I175" s="38" t="s">
        <v>1736</v>
      </c>
      <c r="J175" s="38"/>
      <c r="K175" s="38"/>
      <c r="L175" s="85"/>
      <c r="M175" s="85"/>
      <c r="N175" s="85"/>
      <c r="O175" s="125">
        <v>1</v>
      </c>
      <c r="P175" s="1153">
        <f t="shared" ref="P175:BC175" si="97">P127/$O127</f>
        <v>0.96399999999999986</v>
      </c>
      <c r="Q175" s="1153">
        <f t="shared" si="97"/>
        <v>0.9774959999999997</v>
      </c>
      <c r="R175" s="1153">
        <f t="shared" si="97"/>
        <v>0.92568871200000002</v>
      </c>
      <c r="S175" s="1153">
        <f t="shared" si="97"/>
        <v>0.98493278956800001</v>
      </c>
      <c r="T175" s="1153">
        <f t="shared" si="97"/>
        <v>1.0834260685247998</v>
      </c>
      <c r="U175" s="1153">
        <f t="shared" si="97"/>
        <v>1.1386807980195648</v>
      </c>
      <c r="V175" s="1153">
        <f t="shared" si="97"/>
        <v>1.1921987955264843</v>
      </c>
      <c r="W175" s="1153">
        <f t="shared" si="97"/>
        <v>1.2792293075999179</v>
      </c>
      <c r="X175" s="1153">
        <f t="shared" si="97"/>
        <v>1.3713338177471124</v>
      </c>
      <c r="Y175" s="1153">
        <f t="shared" si="97"/>
        <v>1.4590991820829271</v>
      </c>
      <c r="Z175" s="1153">
        <f t="shared" si="97"/>
        <v>1.5787453150137272</v>
      </c>
      <c r="AA175" s="1153">
        <f t="shared" si="97"/>
        <v>1.712938666789894</v>
      </c>
      <c r="AB175" s="1153">
        <f t="shared" si="97"/>
        <v>1.8020114774629683</v>
      </c>
      <c r="AC175" s="1153">
        <f t="shared" si="97"/>
        <v>1.6596525707433945</v>
      </c>
      <c r="AD175" s="1153">
        <f t="shared" si="97"/>
        <v>1.7343369364268471</v>
      </c>
      <c r="AE175" s="1153">
        <f t="shared" si="97"/>
        <v>1.8089134246932008</v>
      </c>
      <c r="AF175" s="1153">
        <f t="shared" si="97"/>
        <v>1.8750455190419224</v>
      </c>
      <c r="AG175" s="1153">
        <f t="shared" si="97"/>
        <v>1.9085217286102594</v>
      </c>
      <c r="AH175" s="1153">
        <f t="shared" si="97"/>
        <v>1.9226180848563927</v>
      </c>
      <c r="AI175" s="1153">
        <f t="shared" si="97"/>
        <v>1.8783978689046958</v>
      </c>
      <c r="AJ175" s="1153">
        <f t="shared" si="97"/>
        <v>1.882154664642504</v>
      </c>
      <c r="AK175" s="1153">
        <f t="shared" si="97"/>
        <v>1.9160334486060695</v>
      </c>
      <c r="AL175" s="1153">
        <f t="shared" si="97"/>
        <v>1.9696823851670402</v>
      </c>
      <c r="AM175" s="1153">
        <f t="shared" ca="1" si="97"/>
        <v>2.0364641695598009</v>
      </c>
      <c r="AN175" s="1153">
        <f t="shared" ca="1" si="97"/>
        <v>2.0876247754015491</v>
      </c>
      <c r="AO175" s="1153">
        <f t="shared" ca="1" si="97"/>
        <v>2.1780916658454892</v>
      </c>
      <c r="AP175" s="1153">
        <f t="shared" ca="1" si="97"/>
        <v>2.2500009512133055</v>
      </c>
      <c r="AQ175" s="1153">
        <f t="shared" ca="1" si="97"/>
        <v>2.3205957758083766</v>
      </c>
      <c r="AR175" s="1153">
        <f t="shared" ca="1" si="97"/>
        <v>2.3916750188928955</v>
      </c>
      <c r="AS175" s="1153">
        <f t="shared" ca="1" si="97"/>
        <v>2.4644017832794307</v>
      </c>
      <c r="AT175" s="1153">
        <f t="shared" ca="1" si="97"/>
        <v>2.5395525547672171</v>
      </c>
      <c r="AU175" s="1153">
        <f t="shared" ca="1" si="97"/>
        <v>2.6176699223460345</v>
      </c>
      <c r="AV175" s="1153">
        <f t="shared" ca="1" si="97"/>
        <v>2.6991562757578111</v>
      </c>
      <c r="AW175" s="1153">
        <f t="shared" ca="1" si="97"/>
        <v>2.7843313683147004</v>
      </c>
      <c r="AX175" s="1153">
        <f t="shared" ca="1" si="97"/>
        <v>2.8734677511818374</v>
      </c>
      <c r="AY175" s="1153">
        <f t="shared" ca="1" si="97"/>
        <v>2.966812653656985</v>
      </c>
      <c r="AZ175" s="1153">
        <f t="shared" ca="1" si="97"/>
        <v>3.0646015609049453</v>
      </c>
      <c r="BA175" s="1153">
        <f t="shared" ca="1" si="97"/>
        <v>3.1670667067813212</v>
      </c>
      <c r="BB175" s="1153">
        <f t="shared" ca="1" si="97"/>
        <v>3.274442454143057</v>
      </c>
      <c r="BC175" s="1153">
        <f t="shared" ca="1" si="97"/>
        <v>3.3869687723405733</v>
      </c>
      <c r="BD175" s="44" t="str">
        <f t="shared" si="96"/>
        <v>^Pw</v>
      </c>
    </row>
    <row r="176" spans="1:56" ht="15.6">
      <c r="A176" s="55" t="s">
        <v>1002</v>
      </c>
      <c r="B176" s="55"/>
      <c r="C176" s="55"/>
      <c r="D176" s="55"/>
      <c r="E176" s="55"/>
      <c r="G176" s="51" t="s">
        <v>971</v>
      </c>
      <c r="H176" s="232"/>
      <c r="I176" s="38" t="s">
        <v>1231</v>
      </c>
      <c r="J176" s="85"/>
      <c r="K176" s="85"/>
      <c r="L176" s="85"/>
      <c r="M176" s="85"/>
      <c r="N176" s="85"/>
      <c r="O176" s="125"/>
      <c r="P176" s="372"/>
      <c r="Q176" s="372"/>
      <c r="R176" s="372"/>
      <c r="S176" s="372"/>
      <c r="T176" s="372"/>
      <c r="U176" s="372"/>
      <c r="V176" s="372"/>
      <c r="W176" s="372"/>
      <c r="X176" s="372"/>
      <c r="Y176" s="372"/>
      <c r="Z176" s="372"/>
      <c r="AA176" s="372"/>
      <c r="AB176" s="372"/>
      <c r="AC176" s="372"/>
      <c r="AD176" s="458"/>
      <c r="AE176" s="372"/>
      <c r="AF176" s="372"/>
      <c r="AG176" s="372"/>
      <c r="AH176" s="372"/>
      <c r="AI176" s="372"/>
      <c r="AJ176" s="372"/>
      <c r="AK176" s="372"/>
      <c r="AL176" s="372"/>
      <c r="AM176" s="372"/>
      <c r="AN176" s="372"/>
      <c r="AO176" s="372"/>
      <c r="AP176" s="372"/>
      <c r="AQ176" s="372"/>
      <c r="AR176" s="372"/>
      <c r="AS176" s="372"/>
      <c r="AT176" s="372"/>
      <c r="AU176" s="372"/>
      <c r="AV176" s="372"/>
      <c r="AW176" s="372"/>
      <c r="AX176" s="372"/>
      <c r="AY176" s="372"/>
      <c r="AZ176" s="372"/>
      <c r="BA176" s="372"/>
      <c r="BB176" s="372"/>
      <c r="BC176" s="372"/>
      <c r="BD176" s="44" t="str">
        <f t="shared" si="96"/>
        <v>Pw</v>
      </c>
    </row>
    <row r="177" spans="1:56" ht="15.6">
      <c r="A177" s="55" t="s">
        <v>1737</v>
      </c>
      <c r="B177" s="55"/>
      <c r="C177" s="55"/>
      <c r="D177" s="55"/>
      <c r="E177" s="55"/>
      <c r="G177" s="784" t="s">
        <v>718</v>
      </c>
      <c r="H177" s="232"/>
      <c r="I177" s="38" t="s">
        <v>716</v>
      </c>
      <c r="J177" s="38"/>
      <c r="K177" s="38"/>
      <c r="L177" s="85"/>
      <c r="M177" s="85"/>
      <c r="N177" s="85"/>
      <c r="O177" s="2005"/>
      <c r="P177" s="372"/>
      <c r="Q177" s="372"/>
      <c r="R177" s="372"/>
      <c r="S177" s="372"/>
      <c r="T177" s="372"/>
      <c r="U177" s="372"/>
      <c r="V177" s="372"/>
      <c r="W177" s="372"/>
      <c r="X177" s="372"/>
      <c r="Y177" s="372"/>
      <c r="Z177" s="372"/>
      <c r="AA177" s="372"/>
      <c r="AB177" s="372"/>
      <c r="AC177" s="372"/>
      <c r="AD177" s="458"/>
      <c r="AE177" s="372"/>
      <c r="AF177" s="372"/>
      <c r="AG177" s="372"/>
      <c r="AH177" s="372"/>
      <c r="AI177" s="372"/>
      <c r="AJ177" s="372"/>
      <c r="AK177" s="372"/>
      <c r="AL177" s="372"/>
      <c r="AM177" s="372"/>
      <c r="AN177" s="372"/>
      <c r="AO177" s="372"/>
      <c r="AP177" s="372"/>
      <c r="AQ177" s="372"/>
      <c r="AR177" s="372"/>
      <c r="AS177" s="372"/>
      <c r="AT177" s="372"/>
      <c r="AU177" s="372"/>
      <c r="AV177" s="372"/>
      <c r="AW177" s="372"/>
      <c r="AX177" s="372"/>
      <c r="AY177" s="372"/>
      <c r="AZ177" s="372"/>
      <c r="BA177" s="372"/>
      <c r="BB177" s="372"/>
      <c r="BC177" s="372"/>
      <c r="BD177" s="44" t="str">
        <f t="shared" si="96"/>
        <v>Dx</v>
      </c>
    </row>
    <row r="178" spans="1:56" ht="15.6">
      <c r="A178" s="55" t="s">
        <v>1003</v>
      </c>
      <c r="B178" s="55"/>
      <c r="C178" s="55"/>
      <c r="D178" s="55"/>
      <c r="E178" s="55"/>
      <c r="G178" s="51" t="s">
        <v>715</v>
      </c>
      <c r="H178" s="232"/>
      <c r="I178" s="38" t="s">
        <v>1716</v>
      </c>
      <c r="J178" s="38"/>
      <c r="K178" s="38"/>
      <c r="L178" s="85"/>
      <c r="M178" s="85"/>
      <c r="N178" s="85"/>
      <c r="O178" s="2005"/>
      <c r="P178" s="372"/>
      <c r="Q178" s="372"/>
      <c r="R178" s="372"/>
      <c r="S178" s="372"/>
      <c r="T178" s="372"/>
      <c r="U178" s="372"/>
      <c r="V178" s="372"/>
      <c r="W178" s="372"/>
      <c r="X178" s="372"/>
      <c r="Y178" s="372"/>
      <c r="Z178" s="372"/>
      <c r="AA178" s="372"/>
      <c r="AB178" s="372"/>
      <c r="AC178" s="372"/>
      <c r="AD178" s="458"/>
      <c r="AE178" s="372"/>
      <c r="AF178" s="372"/>
      <c r="AG178" s="372"/>
      <c r="AH178" s="372"/>
      <c r="AI178" s="372"/>
      <c r="AJ178" s="372"/>
      <c r="AK178" s="372"/>
      <c r="AL178" s="372"/>
      <c r="AM178" s="372"/>
      <c r="AN178" s="372"/>
      <c r="AO178" s="372"/>
      <c r="AP178" s="372"/>
      <c r="AQ178" s="372"/>
      <c r="AR178" s="372"/>
      <c r="AS178" s="372"/>
      <c r="AT178" s="372"/>
      <c r="AU178" s="372"/>
      <c r="AV178" s="372"/>
      <c r="AW178" s="372"/>
      <c r="AX178" s="372"/>
      <c r="AY178" s="372"/>
      <c r="AZ178" s="372"/>
      <c r="BA178" s="372"/>
      <c r="BB178" s="372"/>
      <c r="BC178" s="372"/>
      <c r="BD178" s="44" t="str">
        <f t="shared" si="96"/>
        <v>Px</v>
      </c>
    </row>
    <row r="179" spans="1:56" ht="15.6">
      <c r="A179" s="55" t="s">
        <v>1738</v>
      </c>
      <c r="B179" s="55"/>
      <c r="C179" s="55"/>
      <c r="D179" s="55"/>
      <c r="E179" s="55"/>
      <c r="G179" s="243" t="s">
        <v>702</v>
      </c>
      <c r="H179" s="232"/>
      <c r="I179" s="38" t="s">
        <v>1739</v>
      </c>
      <c r="J179" s="38"/>
      <c r="K179" s="38"/>
      <c r="L179" s="85"/>
      <c r="M179" s="85"/>
      <c r="N179" s="85"/>
      <c r="O179" s="2005">
        <v>1</v>
      </c>
      <c r="P179" s="271">
        <f t="shared" ref="P179:AX179" si="98">P129/P135</f>
        <v>3.5834737722354018E-4</v>
      </c>
      <c r="Q179" s="271">
        <f t="shared" si="98"/>
        <v>3.5834737722354018E-4</v>
      </c>
      <c r="R179" s="271">
        <f t="shared" si="98"/>
        <v>3.5759216673413339E-4</v>
      </c>
      <c r="S179" s="271">
        <f t="shared" si="98"/>
        <v>3.596200996267655E-4</v>
      </c>
      <c r="T179" s="271">
        <f t="shared" si="98"/>
        <v>3.6159242192819203E-4</v>
      </c>
      <c r="U179" s="271">
        <f t="shared" si="98"/>
        <v>3.62281825973813E-4</v>
      </c>
      <c r="V179" s="271">
        <f t="shared" si="98"/>
        <v>3.6332286570362274E-4</v>
      </c>
      <c r="W179" s="271">
        <f t="shared" si="98"/>
        <v>3.6230988373604761E-4</v>
      </c>
      <c r="X179" s="271">
        <f t="shared" si="98"/>
        <v>3.5962610681948434E-4</v>
      </c>
      <c r="Y179" s="271">
        <f t="shared" si="98"/>
        <v>3.6200773666597103E-4</v>
      </c>
      <c r="Z179" s="271">
        <f t="shared" si="98"/>
        <v>3.5968078151752124E-4</v>
      </c>
      <c r="AA179" s="271">
        <f t="shared" si="98"/>
        <v>3.5868901465671923E-4</v>
      </c>
      <c r="AB179" s="271">
        <f t="shared" si="98"/>
        <v>3.5937223182749394E-4</v>
      </c>
      <c r="AC179" s="271">
        <f t="shared" si="98"/>
        <v>3.5743177701201068E-4</v>
      </c>
      <c r="AD179" s="271">
        <f t="shared" si="98"/>
        <v>3.5572972093100109E-4</v>
      </c>
      <c r="AE179" s="271">
        <f t="shared" si="98"/>
        <v>3.5572972093100104E-4</v>
      </c>
      <c r="AF179" s="271">
        <f t="shared" si="98"/>
        <v>3.5489398401768342E-4</v>
      </c>
      <c r="AG179" s="271">
        <f t="shared" si="98"/>
        <v>3.5380029356983742E-4</v>
      </c>
      <c r="AH179" s="271">
        <f t="shared" si="98"/>
        <v>3.5358478697825936E-4</v>
      </c>
      <c r="AI179" s="271">
        <f t="shared" si="98"/>
        <v>3.5000236765730442E-4</v>
      </c>
      <c r="AJ179" s="271">
        <f t="shared" si="98"/>
        <v>3.4654384623776578E-4</v>
      </c>
      <c r="AK179" s="271">
        <f t="shared" si="98"/>
        <v>3.4417720533662984E-4</v>
      </c>
      <c r="AL179" s="271">
        <f t="shared" si="98"/>
        <v>3.4518455325468827E-4</v>
      </c>
      <c r="AM179" s="271">
        <f t="shared" ca="1" si="98"/>
        <v>3.4244535467097139E-4</v>
      </c>
      <c r="AN179" s="271">
        <f t="shared" ca="1" si="98"/>
        <v>3.417177865335835E-4</v>
      </c>
      <c r="AO179" s="271">
        <f t="shared" ca="1" si="98"/>
        <v>3.4099021839619577E-4</v>
      </c>
      <c r="AP179" s="271">
        <f t="shared" ca="1" si="98"/>
        <v>3.4026265025880793E-4</v>
      </c>
      <c r="AQ179" s="271">
        <f t="shared" ca="1" si="98"/>
        <v>3.3953508212142025E-4</v>
      </c>
      <c r="AR179" s="271">
        <f t="shared" ca="1" si="98"/>
        <v>3.3880751398403242E-4</v>
      </c>
      <c r="AS179" s="271">
        <f t="shared" ca="1" si="98"/>
        <v>3.3807994584664469E-4</v>
      </c>
      <c r="AT179" s="271">
        <f t="shared" ca="1" si="98"/>
        <v>3.373523777092569E-4</v>
      </c>
      <c r="AU179" s="271">
        <f t="shared" ca="1" si="98"/>
        <v>3.3662480957186912E-4</v>
      </c>
      <c r="AV179" s="271">
        <f t="shared" ca="1" si="98"/>
        <v>3.3589724143448128E-4</v>
      </c>
      <c r="AW179" s="271">
        <f t="shared" ca="1" si="98"/>
        <v>3.3516967329709355E-4</v>
      </c>
      <c r="AX179" s="271">
        <f t="shared" ca="1" si="98"/>
        <v>3.3444210515970577E-4</v>
      </c>
      <c r="AY179" s="271"/>
      <c r="AZ179" s="271"/>
      <c r="BA179" s="271"/>
      <c r="BB179" s="271"/>
      <c r="BC179" s="271"/>
      <c r="BD179" s="44" t="str">
        <f t="shared" si="96"/>
        <v>DOx</v>
      </c>
    </row>
    <row r="180" spans="1:56" ht="15.6">
      <c r="A180" s="55" t="s">
        <v>1004</v>
      </c>
      <c r="B180" s="55"/>
      <c r="C180" s="55"/>
      <c r="D180" s="55"/>
      <c r="E180" s="55"/>
      <c r="G180" s="51" t="s">
        <v>31</v>
      </c>
      <c r="H180" s="232"/>
      <c r="I180" s="38" t="s">
        <v>1727</v>
      </c>
      <c r="J180" s="38"/>
      <c r="K180" s="38"/>
      <c r="L180" s="85"/>
      <c r="M180" s="85"/>
      <c r="N180" s="85"/>
      <c r="O180" s="101"/>
      <c r="P180" s="35"/>
      <c r="Q180" s="35"/>
      <c r="R180" s="35"/>
      <c r="S180" s="35"/>
      <c r="T180" s="35"/>
      <c r="U180" s="35"/>
      <c r="V180" s="35"/>
      <c r="W180" s="35"/>
      <c r="X180" s="35"/>
      <c r="Y180" s="35"/>
      <c r="Z180" s="35"/>
      <c r="AA180" s="35"/>
      <c r="AB180" s="35"/>
      <c r="AC180" s="35"/>
      <c r="AD180" s="35"/>
      <c r="AE180" s="35"/>
      <c r="AF180" s="35"/>
      <c r="AG180" s="35"/>
      <c r="AH180" s="35"/>
      <c r="AI180" s="35"/>
      <c r="AJ180" s="35"/>
      <c r="AK180" s="35"/>
      <c r="AL180" s="35"/>
      <c r="AM180" s="35"/>
      <c r="AN180" s="35"/>
      <c r="AO180" s="35"/>
      <c r="AP180" s="35"/>
      <c r="AQ180" s="35"/>
      <c r="AR180" s="35"/>
      <c r="AS180" s="35"/>
      <c r="AT180" s="35"/>
      <c r="AU180" s="35"/>
      <c r="AV180" s="35"/>
      <c r="AW180" s="35"/>
      <c r="AX180" s="35"/>
      <c r="AY180" s="35"/>
      <c r="AZ180" s="35"/>
      <c r="BA180" s="35"/>
      <c r="BB180" s="35"/>
      <c r="BC180" s="35"/>
      <c r="BD180" s="44" t="str">
        <f t="shared" si="96"/>
        <v>PОx</v>
      </c>
    </row>
    <row r="181" spans="1:56" ht="15.6">
      <c r="A181" s="55" t="s">
        <v>1005</v>
      </c>
      <c r="B181" s="55"/>
      <c r="C181" s="55"/>
      <c r="D181" s="55"/>
      <c r="E181" s="55"/>
      <c r="G181" s="51" t="s">
        <v>723</v>
      </c>
      <c r="H181" s="232"/>
      <c r="I181" s="38" t="s">
        <v>1728</v>
      </c>
      <c r="J181" s="38"/>
      <c r="K181" s="85"/>
      <c r="L181" s="85"/>
      <c r="M181" s="85"/>
      <c r="N181" s="85"/>
      <c r="O181" s="125"/>
      <c r="P181" s="274"/>
      <c r="Q181" s="274"/>
      <c r="R181" s="274"/>
      <c r="S181" s="274"/>
      <c r="T181" s="274"/>
      <c r="U181" s="274"/>
      <c r="V181" s="274"/>
      <c r="W181" s="274"/>
      <c r="X181" s="274"/>
      <c r="Y181" s="274"/>
      <c r="Z181" s="274"/>
      <c r="AA181" s="274"/>
      <c r="AB181" s="373"/>
      <c r="AC181" s="274"/>
      <c r="AD181" s="373"/>
      <c r="AE181" s="274"/>
      <c r="AF181" s="274"/>
      <c r="AG181" s="274"/>
      <c r="AH181" s="274"/>
      <c r="AI181" s="274"/>
      <c r="AJ181" s="274"/>
      <c r="AK181" s="274"/>
      <c r="AL181" s="274"/>
      <c r="AM181" s="274"/>
      <c r="AN181" s="274"/>
      <c r="AO181" s="274"/>
      <c r="AP181" s="274"/>
      <c r="AQ181" s="274"/>
      <c r="AR181" s="274"/>
      <c r="AS181" s="274"/>
      <c r="AT181" s="274"/>
      <c r="AU181" s="274"/>
      <c r="AV181" s="274"/>
      <c r="AW181" s="274"/>
      <c r="AX181" s="274"/>
      <c r="AY181" s="274"/>
      <c r="AZ181" s="274"/>
      <c r="BA181" s="274"/>
      <c r="BB181" s="274"/>
      <c r="BC181" s="274"/>
      <c r="BD181" s="44" t="str">
        <f t="shared" si="96"/>
        <v>Pz</v>
      </c>
    </row>
    <row r="182" spans="1:56" ht="15.6">
      <c r="A182" s="22" t="s">
        <v>1729</v>
      </c>
      <c r="B182" s="22"/>
      <c r="C182" s="22"/>
      <c r="D182" s="21"/>
      <c r="E182" s="21"/>
      <c r="G182" s="243" t="s">
        <v>1730</v>
      </c>
      <c r="H182" s="232"/>
      <c r="I182" s="38" t="s">
        <v>1718</v>
      </c>
      <c r="J182" s="38"/>
      <c r="K182" s="38"/>
      <c r="L182" s="85"/>
      <c r="M182" s="85"/>
      <c r="N182" s="85"/>
      <c r="O182" s="125">
        <v>1</v>
      </c>
      <c r="P182" s="1526">
        <f>P116/$O116</f>
        <v>1.0551238685898738</v>
      </c>
      <c r="Q182" s="1526">
        <f t="shared" ref="Q182:BC182" si="99">Q116/$O116</f>
        <v>1.0637144494078237</v>
      </c>
      <c r="R182" s="1526">
        <f t="shared" si="99"/>
        <v>0.88314350986207779</v>
      </c>
      <c r="S182" s="1526">
        <f t="shared" si="99"/>
        <v>0.94351698193098643</v>
      </c>
      <c r="T182" s="1526">
        <f t="shared" si="99"/>
        <v>1.2247490822844354</v>
      </c>
      <c r="U182" s="1526">
        <f t="shared" si="99"/>
        <v>1.3476545615734206</v>
      </c>
      <c r="V182" s="1526">
        <f t="shared" si="99"/>
        <v>1.4665088426814834</v>
      </c>
      <c r="W182" s="1526">
        <f t="shared" si="99"/>
        <v>1.6632756085335001</v>
      </c>
      <c r="X182" s="1526">
        <f t="shared" si="99"/>
        <v>1.8635096058631688</v>
      </c>
      <c r="Y182" s="1526">
        <f t="shared" si="99"/>
        <v>2.0184806102920132</v>
      </c>
      <c r="Z182" s="1526">
        <f t="shared" si="99"/>
        <v>2.2752161070197054</v>
      </c>
      <c r="AA182" s="1526">
        <f t="shared" si="99"/>
        <v>2.574224804669774</v>
      </c>
      <c r="AB182" s="1526">
        <f t="shared" si="99"/>
        <v>2.7497210051148255</v>
      </c>
      <c r="AC182" s="1526">
        <f t="shared" si="99"/>
        <v>1.8560505362598563</v>
      </c>
      <c r="AD182" s="1526">
        <f t="shared" si="99"/>
        <v>2.3303907302212532</v>
      </c>
      <c r="AE182" s="1526">
        <f t="shared" si="99"/>
        <v>2.683219177751119</v>
      </c>
      <c r="AF182" s="1526">
        <f t="shared" si="99"/>
        <v>2.7827564782033063</v>
      </c>
      <c r="AG182" s="1526">
        <f t="shared" si="99"/>
        <v>2.7806418221752773</v>
      </c>
      <c r="AH182" s="1526">
        <f t="shared" si="99"/>
        <v>2.5425932511944835</v>
      </c>
      <c r="AI182" s="1526">
        <f t="shared" si="99"/>
        <v>2.1845595087999583</v>
      </c>
      <c r="AJ182" s="1526">
        <f t="shared" si="99"/>
        <v>2.1739835580660896</v>
      </c>
      <c r="AK182" s="1526">
        <f t="shared" si="99"/>
        <v>2.4593278252133119</v>
      </c>
      <c r="AL182" s="1526">
        <f t="shared" si="99"/>
        <v>2.5430346985333676</v>
      </c>
      <c r="AM182" s="1526">
        <f t="shared" si="99"/>
        <v>2.5932588225254012</v>
      </c>
      <c r="AN182" s="1526">
        <f t="shared" si="99"/>
        <v>2.6233932969206215</v>
      </c>
      <c r="AO182" s="1526">
        <f t="shared" si="99"/>
        <v>2.6414739815577537</v>
      </c>
      <c r="AP182" s="1526">
        <f t="shared" si="99"/>
        <v>2.6523223923400332</v>
      </c>
      <c r="AQ182" s="1526">
        <f t="shared" si="99"/>
        <v>2.658831438809401</v>
      </c>
      <c r="AR182" s="1526">
        <f t="shared" si="99"/>
        <v>2.6627368666910218</v>
      </c>
      <c r="AS182" s="1526">
        <f t="shared" si="99"/>
        <v>2.6650801234199943</v>
      </c>
      <c r="AT182" s="1526">
        <f t="shared" si="99"/>
        <v>2.6664860774573778</v>
      </c>
      <c r="AU182" s="1526">
        <f t="shared" si="99"/>
        <v>2.6673296498798078</v>
      </c>
      <c r="AV182" s="1526">
        <f t="shared" si="99"/>
        <v>2.6678357933332659</v>
      </c>
      <c r="AW182" s="1526">
        <f t="shared" si="99"/>
        <v>2.6681394794053408</v>
      </c>
      <c r="AX182" s="1526">
        <f t="shared" si="99"/>
        <v>2.6683216910485856</v>
      </c>
      <c r="AY182" s="1526">
        <f t="shared" si="99"/>
        <v>2.6684310180345325</v>
      </c>
      <c r="AZ182" s="1526">
        <f t="shared" si="99"/>
        <v>2.6684966142261008</v>
      </c>
      <c r="BA182" s="1526">
        <f t="shared" si="99"/>
        <v>2.6685359719410418</v>
      </c>
      <c r="BB182" s="1526">
        <f t="shared" si="99"/>
        <v>2.6685595865700065</v>
      </c>
      <c r="BC182" s="1526">
        <f t="shared" si="99"/>
        <v>2.6685737553473854</v>
      </c>
      <c r="BD182" s="44" t="str">
        <f t="shared" si="96"/>
        <v>Pеm</v>
      </c>
    </row>
    <row r="183" spans="1:56" ht="15.6">
      <c r="A183" s="22" t="s">
        <v>1012</v>
      </c>
      <c r="B183" s="22"/>
      <c r="C183" s="22"/>
      <c r="D183" s="21"/>
      <c r="E183" s="21"/>
      <c r="G183" s="51" t="s">
        <v>705</v>
      </c>
      <c r="H183" s="232"/>
      <c r="I183" s="38" t="s">
        <v>1717</v>
      </c>
      <c r="J183" s="38"/>
      <c r="K183" s="38"/>
      <c r="L183" s="85"/>
      <c r="M183" s="85"/>
      <c r="N183" s="85"/>
      <c r="O183" s="125">
        <f>1</f>
        <v>1</v>
      </c>
      <c r="P183" s="2620">
        <f t="shared" ref="P183:BC183" si="100">P119/$O119</f>
        <v>1.0129999999999999</v>
      </c>
      <c r="Q183" s="2620">
        <f t="shared" si="100"/>
        <v>1.0170519999999998</v>
      </c>
      <c r="R183" s="2620">
        <f t="shared" si="100"/>
        <v>0.84008495199999988</v>
      </c>
      <c r="S183" s="2620">
        <f t="shared" si="100"/>
        <v>0.69727051015999986</v>
      </c>
      <c r="T183" s="2620">
        <f t="shared" si="100"/>
        <v>0.9231861554518398</v>
      </c>
      <c r="U183" s="2620">
        <f t="shared" si="100"/>
        <v>1.0958219665213338</v>
      </c>
      <c r="V183" s="2620">
        <f t="shared" si="100"/>
        <v>1.2558119736334485</v>
      </c>
      <c r="W183" s="2620">
        <f t="shared" si="100"/>
        <v>1.4730674450720351</v>
      </c>
      <c r="X183" s="2620">
        <f t="shared" si="100"/>
        <v>1.8162921597738195</v>
      </c>
      <c r="Y183" s="2620">
        <f t="shared" si="100"/>
        <v>2.1177966582962737</v>
      </c>
      <c r="Z183" s="2620">
        <f t="shared" si="100"/>
        <v>2.5688873465133799</v>
      </c>
      <c r="AA183" s="2620">
        <f t="shared" si="100"/>
        <v>3.2419358312998856</v>
      </c>
      <c r="AB183" s="2620">
        <f t="shared" si="100"/>
        <v>3.7217423343322684</v>
      </c>
      <c r="AC183" s="2620">
        <f t="shared" si="100"/>
        <v>2.5903326646952589</v>
      </c>
      <c r="AD183" s="2620">
        <f t="shared" si="100"/>
        <v>3.2586384921866354</v>
      </c>
      <c r="AE183" s="2620">
        <f t="shared" si="100"/>
        <v>3.9201421061005219</v>
      </c>
      <c r="AF183" s="2620">
        <f t="shared" si="100"/>
        <v>4.3003958903922728</v>
      </c>
      <c r="AG183" s="2620">
        <f t="shared" si="100"/>
        <v>4.4509097465560021</v>
      </c>
      <c r="AH183" s="2620">
        <f t="shared" si="100"/>
        <v>4.1259933350574141</v>
      </c>
      <c r="AI183" s="2620">
        <f t="shared" si="100"/>
        <v>3.0903690079580031</v>
      </c>
      <c r="AJ183" s="2731">
        <f t="shared" si="100"/>
        <v>2.9791157236715149</v>
      </c>
      <c r="AK183" s="2731">
        <f t="shared" si="100"/>
        <v>3.4974818595903581</v>
      </c>
      <c r="AL183" s="2731">
        <f t="shared" si="100"/>
        <v>3.5919138697992974</v>
      </c>
      <c r="AM183" s="2731">
        <f t="shared" ca="1" si="100"/>
        <v>3.7594795354810144</v>
      </c>
      <c r="AN183" s="2731">
        <f t="shared" ca="1" si="100"/>
        <v>3.8786474990364632</v>
      </c>
      <c r="AO183" s="2731">
        <f t="shared" ca="1" si="100"/>
        <v>4.0726307350523765</v>
      </c>
      <c r="AP183" s="2731">
        <f t="shared" ca="1" si="100"/>
        <v>4.2339601300567509</v>
      </c>
      <c r="AQ183" s="2731">
        <f t="shared" ca="1" si="100"/>
        <v>4.3946367635686654</v>
      </c>
      <c r="AR183" s="2731">
        <f t="shared" ca="1" si="100"/>
        <v>4.5580532686080861</v>
      </c>
      <c r="AS183" s="2731">
        <f t="shared" ca="1" si="100"/>
        <v>4.7264696668583097</v>
      </c>
      <c r="AT183" s="2731">
        <f t="shared" ca="1" si="100"/>
        <v>4.9014565702932025</v>
      </c>
      <c r="AU183" s="2731">
        <f t="shared" ca="1" si="100"/>
        <v>5.0841688271488916</v>
      </c>
      <c r="AV183" s="2731">
        <f t="shared" ca="1" si="100"/>
        <v>5.2755147390748123</v>
      </c>
      <c r="AW183" s="2731">
        <f t="shared" ca="1" si="100"/>
        <v>5.4762609464205978</v>
      </c>
      <c r="AX183" s="2731">
        <f t="shared" ca="1" si="100"/>
        <v>5.6870976781136333</v>
      </c>
      <c r="AY183" s="2731">
        <f t="shared" ca="1" si="100"/>
        <v>5.9086795833607573</v>
      </c>
      <c r="AZ183" s="2731">
        <f t="shared" ca="1" si="100"/>
        <v>6.1416515256655435</v>
      </c>
      <c r="BA183" s="2731">
        <f t="shared" ca="1" si="100"/>
        <v>6.386665124425428</v>
      </c>
      <c r="BB183" s="2731">
        <f t="shared" ca="1" si="100"/>
        <v>6.6443896140490555</v>
      </c>
      <c r="BC183" s="2731">
        <f t="shared" ca="1" si="100"/>
        <v>6.9155192250114128</v>
      </c>
      <c r="BD183" s="44" t="str">
        <f t="shared" si="96"/>
        <v>Pm</v>
      </c>
    </row>
    <row r="184" spans="1:56" ht="15.6">
      <c r="A184" s="22" t="s">
        <v>1013</v>
      </c>
      <c r="B184" s="22"/>
      <c r="C184" s="22"/>
      <c r="D184" s="21"/>
      <c r="E184" s="21"/>
      <c r="G184" s="51" t="s">
        <v>614</v>
      </c>
      <c r="H184" s="232"/>
      <c r="I184" s="38" t="s">
        <v>1250</v>
      </c>
      <c r="J184" s="85"/>
      <c r="K184" s="85"/>
      <c r="L184" s="85"/>
      <c r="M184" s="85"/>
      <c r="N184" s="85"/>
      <c r="O184" s="125">
        <v>1</v>
      </c>
      <c r="P184" s="1102">
        <f t="shared" ref="P184:BC184" si="101">P99/$O99</f>
        <v>0.81899999999999995</v>
      </c>
      <c r="Q184" s="1102">
        <f t="shared" si="101"/>
        <v>0.77805000000000002</v>
      </c>
      <c r="R184" s="1102">
        <f t="shared" si="101"/>
        <v>0.68468399999999996</v>
      </c>
      <c r="S184" s="1102">
        <f t="shared" si="101"/>
        <v>0.71891820000000006</v>
      </c>
      <c r="T184" s="1102">
        <f t="shared" si="101"/>
        <v>0.84400996679999996</v>
      </c>
      <c r="U184" s="1102">
        <f t="shared" si="101"/>
        <v>0.92841096348000007</v>
      </c>
      <c r="V184" s="1102">
        <f t="shared" si="101"/>
        <v>0.95440647045743998</v>
      </c>
      <c r="W184" s="1102">
        <f t="shared" si="101"/>
        <v>1.0737072792646201</v>
      </c>
      <c r="X184" s="1102">
        <f t="shared" si="101"/>
        <v>1.220805176523873</v>
      </c>
      <c r="Y184" s="1102">
        <f t="shared" si="101"/>
        <v>1.3453273045293082</v>
      </c>
      <c r="Z184" s="1102">
        <f t="shared" si="101"/>
        <v>1.5699969643857026</v>
      </c>
      <c r="AA184" s="1102">
        <f t="shared" si="101"/>
        <v>1.9263862753012571</v>
      </c>
      <c r="AB184" s="1102">
        <f t="shared" si="101"/>
        <v>2.1093929714548767</v>
      </c>
      <c r="AC184" s="1102">
        <f t="shared" si="101"/>
        <v>1.8246249203084683</v>
      </c>
      <c r="AD184" s="1102">
        <f t="shared" si="101"/>
        <v>1.9395762902879019</v>
      </c>
      <c r="AE184" s="1102">
        <f t="shared" si="101"/>
        <v>2.1490505296389957</v>
      </c>
      <c r="AF184" s="1102">
        <f t="shared" si="101"/>
        <v>2.2951859656544471</v>
      </c>
      <c r="AG184" s="1102">
        <f t="shared" si="101"/>
        <v>2.3135474533796829</v>
      </c>
      <c r="AH184" s="1102">
        <f t="shared" si="101"/>
        <v>2.2788442415789878</v>
      </c>
      <c r="AI184" s="1102">
        <f t="shared" si="101"/>
        <v>2.0486809731795099</v>
      </c>
      <c r="AJ184" s="1102">
        <f t="shared" si="101"/>
        <v>2.0445836112331506</v>
      </c>
      <c r="AK184" s="1102">
        <f t="shared" si="101"/>
        <v>2.142723624572342</v>
      </c>
      <c r="AL184" s="1102">
        <f t="shared" si="101"/>
        <v>2.2348607404289527</v>
      </c>
      <c r="AM184" s="1102">
        <f t="shared" ca="1" si="101"/>
        <v>2.3523092761767179</v>
      </c>
      <c r="AN184" s="1102">
        <f t="shared" ca="1" si="101"/>
        <v>2.4471908477319531</v>
      </c>
      <c r="AO184" s="1102">
        <f t="shared" ca="1" si="101"/>
        <v>2.6098332246737077</v>
      </c>
      <c r="AP184" s="1102">
        <f t="shared" ca="1" si="101"/>
        <v>2.7413025217230254</v>
      </c>
      <c r="AQ184" s="1102">
        <f t="shared" ca="1" si="101"/>
        <v>2.8710731177143747</v>
      </c>
      <c r="AR184" s="1102">
        <f t="shared" ca="1" si="101"/>
        <v>3.0022365178008243</v>
      </c>
      <c r="AS184" s="1102">
        <f t="shared" ca="1" si="101"/>
        <v>3.1368119838689532</v>
      </c>
      <c r="AT184" s="1102">
        <f t="shared" ca="1" si="101"/>
        <v>3.2761665399586812</v>
      </c>
      <c r="AU184" s="1102">
        <f t="shared" ca="1" si="101"/>
        <v>3.4212730213793159</v>
      </c>
      <c r="AV184" s="1102">
        <f t="shared" ca="1" si="101"/>
        <v>3.5728688017600128</v>
      </c>
      <c r="AW184" s="1102">
        <f t="shared" ca="1" si="101"/>
        <v>3.7315535910136588</v>
      </c>
      <c r="AX184" s="1102">
        <f t="shared" ca="1" si="101"/>
        <v>3.897849847568744</v>
      </c>
      <c r="AY184" s="1102">
        <f t="shared" ca="1" si="101"/>
        <v>4.0722402481186215</v>
      </c>
      <c r="AZ184" s="1102">
        <f t="shared" ca="1" si="101"/>
        <v>4.2551910792614294</v>
      </c>
      <c r="BA184" s="1102">
        <f t="shared" ca="1" si="101"/>
        <v>4.4471669939161851</v>
      </c>
      <c r="BB184" s="1102">
        <f t="shared" ca="1" si="101"/>
        <v>4.6486404762217806</v>
      </c>
      <c r="BC184" s="1102">
        <f t="shared" ca="1" si="101"/>
        <v>4.8600980702346552</v>
      </c>
      <c r="BD184" s="44" t="str">
        <f t="shared" si="96"/>
        <v>Pn</v>
      </c>
    </row>
    <row r="185" spans="1:56" ht="15.6">
      <c r="A185" s="22" t="s">
        <v>1010</v>
      </c>
      <c r="B185" s="22"/>
      <c r="C185" s="22"/>
      <c r="D185" s="21"/>
      <c r="E185" s="21"/>
      <c r="G185" s="51" t="s">
        <v>732</v>
      </c>
      <c r="H185" s="232"/>
      <c r="I185" s="38" t="s">
        <v>1719</v>
      </c>
      <c r="J185" s="85"/>
      <c r="K185" s="85"/>
      <c r="L185" s="85"/>
      <c r="M185" s="85"/>
      <c r="N185" s="85"/>
      <c r="O185" s="125"/>
      <c r="P185" s="274"/>
      <c r="Q185" s="274"/>
      <c r="R185" s="274"/>
      <c r="S185" s="274"/>
      <c r="T185" s="274"/>
      <c r="U185" s="274"/>
      <c r="V185" s="274"/>
      <c r="W185" s="274"/>
      <c r="X185" s="274"/>
      <c r="Y185" s="274"/>
      <c r="Z185" s="274"/>
      <c r="AA185" s="274"/>
      <c r="AB185" s="373"/>
      <c r="AC185" s="274"/>
      <c r="AD185" s="373"/>
      <c r="AE185" s="274"/>
      <c r="AF185" s="274"/>
      <c r="AG185" s="274"/>
      <c r="AH185" s="274"/>
      <c r="AI185" s="274"/>
      <c r="AJ185" s="274"/>
      <c r="AK185" s="274"/>
      <c r="AL185" s="274"/>
      <c r="AM185" s="274"/>
      <c r="AN185" s="274"/>
      <c r="AO185" s="274"/>
      <c r="AP185" s="274"/>
      <c r="AQ185" s="274"/>
      <c r="AR185" s="274"/>
      <c r="AS185" s="274"/>
      <c r="AT185" s="274"/>
      <c r="AU185" s="274"/>
      <c r="AV185" s="274"/>
      <c r="AW185" s="274"/>
      <c r="AX185" s="274"/>
      <c r="AY185" s="274"/>
      <c r="AZ185" s="274"/>
      <c r="BA185" s="274"/>
      <c r="BB185" s="274"/>
      <c r="BC185" s="274"/>
      <c r="BD185" s="44" t="str">
        <f t="shared" si="96"/>
        <v>Pnk</v>
      </c>
    </row>
    <row r="186" spans="1:56" ht="15.6">
      <c r="A186" s="22" t="s">
        <v>1009</v>
      </c>
      <c r="B186" s="55"/>
      <c r="C186" s="55"/>
      <c r="D186" s="55"/>
      <c r="E186" s="55"/>
      <c r="G186" s="243" t="s">
        <v>728</v>
      </c>
      <c r="H186" s="232"/>
      <c r="I186" s="38" t="s">
        <v>1720</v>
      </c>
      <c r="J186" s="85"/>
      <c r="K186" s="85"/>
      <c r="L186" s="85"/>
      <c r="M186" s="85"/>
      <c r="N186" s="85"/>
      <c r="O186" s="125">
        <v>1</v>
      </c>
      <c r="P186" s="209">
        <f>P110/$O$110</f>
        <v>1.0309999999999999</v>
      </c>
      <c r="Q186" s="209">
        <f t="shared" ref="Q186:BC186" si="102">Q110/$O$110</f>
        <v>1.0062559999999998</v>
      </c>
      <c r="R186" s="209">
        <f t="shared" si="102"/>
        <v>1.0163185599999998</v>
      </c>
      <c r="S186" s="209">
        <f t="shared" si="102"/>
        <v>1.0478244353599997</v>
      </c>
      <c r="T186" s="209">
        <f t="shared" si="102"/>
        <v>1.0687809240671997</v>
      </c>
      <c r="U186" s="209">
        <f t="shared" si="102"/>
        <v>1.0602306766746621</v>
      </c>
      <c r="V186" s="209">
        <f t="shared" si="102"/>
        <v>1.0877966742682033</v>
      </c>
      <c r="W186" s="209">
        <f t="shared" si="102"/>
        <v>1.1139037944506402</v>
      </c>
      <c r="X186" s="209">
        <f t="shared" si="102"/>
        <v>1.1372957741341037</v>
      </c>
      <c r="Y186" s="209">
        <f t="shared" si="102"/>
        <v>1.1532179149719812</v>
      </c>
      <c r="Z186" s="209">
        <f t="shared" si="102"/>
        <v>1.1797419270163367</v>
      </c>
      <c r="AA186" s="209">
        <f t="shared" si="102"/>
        <v>1.2115949590457777</v>
      </c>
      <c r="AB186" s="209">
        <f t="shared" si="102"/>
        <v>1.2527891876533341</v>
      </c>
      <c r="AC186" s="209">
        <f t="shared" si="102"/>
        <v>1.2452724525274141</v>
      </c>
      <c r="AD186" s="209">
        <f t="shared" si="102"/>
        <v>1.2265933657395029</v>
      </c>
      <c r="AE186" s="209">
        <f t="shared" si="102"/>
        <v>1.2437656728598561</v>
      </c>
      <c r="AF186" s="209">
        <f t="shared" si="102"/>
        <v>1.2761035803542125</v>
      </c>
      <c r="AG186" s="209">
        <f t="shared" si="102"/>
        <v>1.2875885125774005</v>
      </c>
      <c r="AH186" s="209">
        <f t="shared" si="102"/>
        <v>1.2605491538132751</v>
      </c>
      <c r="AI186" s="209">
        <f t="shared" si="102"/>
        <v>1.2151693842759972</v>
      </c>
      <c r="AJ186" s="209">
        <f t="shared" si="102"/>
        <v>1.2333969250401371</v>
      </c>
      <c r="AK186" s="209">
        <f t="shared" si="102"/>
        <v>1.2642318481661403</v>
      </c>
      <c r="AL186" s="209">
        <f t="shared" si="102"/>
        <v>1.2680245437106386</v>
      </c>
      <c r="AM186" s="209">
        <f t="shared" ca="1" si="102"/>
        <v>1.3249159206294971</v>
      </c>
      <c r="AN186" s="209">
        <f t="shared" ca="1" si="102"/>
        <v>1.342524810257228</v>
      </c>
      <c r="AO186" s="209">
        <f t="shared" ca="1" si="102"/>
        <v>1.442031647242126</v>
      </c>
      <c r="AP186" s="209">
        <f t="shared" ca="1" si="102"/>
        <v>1.5056835404483333</v>
      </c>
      <c r="AQ186" s="209">
        <f t="shared" ca="1" si="102"/>
        <v>1.5695274698488424</v>
      </c>
      <c r="AR186" s="209">
        <f t="shared" ca="1" si="102"/>
        <v>1.6347565687736516</v>
      </c>
      <c r="AS186" s="209">
        <f t="shared" ca="1" si="102"/>
        <v>1.7021685764197234</v>
      </c>
      <c r="AT186" s="209">
        <f t="shared" ca="1" si="102"/>
        <v>1.7723199006893267</v>
      </c>
      <c r="AU186" s="209">
        <f t="shared" ca="1" si="102"/>
        <v>1.8456209985557013</v>
      </c>
      <c r="AV186" s="209">
        <f t="shared" ca="1" si="102"/>
        <v>1.9223955088928635</v>
      </c>
      <c r="AW186" s="209">
        <f t="shared" ca="1" si="102"/>
        <v>2.0029169884589542</v>
      </c>
      <c r="AX186" s="209">
        <f t="shared" ca="1" si="102"/>
        <v>2.0874318063378641</v>
      </c>
      <c r="AY186" s="209">
        <f t="shared" ca="1" si="102"/>
        <v>2.1761734838733555</v>
      </c>
      <c r="AZ186" s="209">
        <f t="shared" ca="1" si="102"/>
        <v>2.2693717489888452</v>
      </c>
      <c r="BA186" s="209">
        <f t="shared" ca="1" si="102"/>
        <v>2.3672583270152621</v>
      </c>
      <c r="BB186" s="209">
        <f t="shared" ca="1" si="102"/>
        <v>2.4700707195799612</v>
      </c>
      <c r="BC186" s="209">
        <f t="shared" ca="1" si="102"/>
        <v>2.5780547466615831</v>
      </c>
      <c r="BD186" s="44" t="str">
        <f t="shared" si="96"/>
        <v>Pg</v>
      </c>
    </row>
    <row r="187" spans="1:56" ht="15.6">
      <c r="A187" s="55" t="s">
        <v>1008</v>
      </c>
      <c r="B187" s="55"/>
      <c r="C187" s="55"/>
      <c r="D187" s="55"/>
      <c r="E187" s="55"/>
      <c r="G187" s="51" t="s">
        <v>735</v>
      </c>
      <c r="H187" s="232"/>
      <c r="I187" s="38" t="s">
        <v>1734</v>
      </c>
      <c r="J187" s="85"/>
      <c r="K187" s="85"/>
      <c r="L187" s="85"/>
      <c r="M187" s="85"/>
      <c r="N187" s="85"/>
      <c r="O187" s="125">
        <v>1</v>
      </c>
      <c r="P187" s="2088">
        <f t="shared" ref="P187:BC187" si="103">P107/$O107</f>
        <v>0.95099999999999996</v>
      </c>
      <c r="Q187" s="2088">
        <f t="shared" si="103"/>
        <v>0.99855000000000005</v>
      </c>
      <c r="R187" s="2088">
        <f t="shared" si="103"/>
        <v>0.96459929999999994</v>
      </c>
      <c r="S187" s="2088">
        <f t="shared" si="103"/>
        <v>0.94144891679999998</v>
      </c>
      <c r="T187" s="2088">
        <f t="shared" si="103"/>
        <v>0.99699440289119978</v>
      </c>
      <c r="U187" s="2088">
        <f t="shared" si="103"/>
        <v>1.0787479439282783</v>
      </c>
      <c r="V187" s="2088">
        <f t="shared" si="103"/>
        <v>1.1618115356107557</v>
      </c>
      <c r="W187" s="2088">
        <f t="shared" si="103"/>
        <v>1.2512710238527838</v>
      </c>
      <c r="X187" s="2088">
        <f t="shared" si="103"/>
        <v>1.4076799018343817</v>
      </c>
      <c r="Y187" s="2088">
        <f t="shared" si="103"/>
        <v>1.5794168498581762</v>
      </c>
      <c r="Z187" s="2088">
        <f t="shared" si="103"/>
        <v>1.7721057055408742</v>
      </c>
      <c r="AA187" s="2088">
        <f t="shared" si="103"/>
        <v>2.0255168214332193</v>
      </c>
      <c r="AB187" s="2088">
        <f t="shared" si="103"/>
        <v>2.2402216045051406</v>
      </c>
      <c r="AC187" s="2088">
        <f t="shared" si="103"/>
        <v>2.1259703026753782</v>
      </c>
      <c r="AD187" s="2088">
        <f t="shared" si="103"/>
        <v>2.2428986693225239</v>
      </c>
      <c r="AE187" s="2088">
        <f t="shared" si="103"/>
        <v>2.3954157788364556</v>
      </c>
      <c r="AF187" s="2088">
        <f t="shared" si="103"/>
        <v>2.5846536253645356</v>
      </c>
      <c r="AG187" s="2088">
        <f t="shared" si="103"/>
        <v>2.7190556138834916</v>
      </c>
      <c r="AH187" s="2088">
        <f t="shared" si="103"/>
        <v>2.7734367261611617</v>
      </c>
      <c r="AI187" s="2088">
        <f t="shared" si="103"/>
        <v>2.5127336739020127</v>
      </c>
      <c r="AJ187" s="2088">
        <f t="shared" si="103"/>
        <v>2.4649917340978744</v>
      </c>
      <c r="AK187" s="2088">
        <f t="shared" si="103"/>
        <v>2.5463364613231039</v>
      </c>
      <c r="AL187" s="2088">
        <f t="shared" si="103"/>
        <v>2.6049021999335351</v>
      </c>
      <c r="AM187" s="2088">
        <f t="shared" ca="1" si="103"/>
        <v>2.7216220663945272</v>
      </c>
      <c r="AN187" s="2088">
        <f t="shared" ca="1" si="103"/>
        <v>2.8201249402924198</v>
      </c>
      <c r="AO187" s="2088">
        <f t="shared" ca="1" si="103"/>
        <v>2.9876106811441123</v>
      </c>
      <c r="AP187" s="2088">
        <f t="shared" ca="1" si="103"/>
        <v>3.1318358804286244</v>
      </c>
      <c r="AQ187" s="2088">
        <f t="shared" ca="1" si="103"/>
        <v>3.2768169121645849</v>
      </c>
      <c r="AR187" s="2088">
        <f t="shared" ca="1" si="103"/>
        <v>3.4250255201235156</v>
      </c>
      <c r="AS187" s="2088">
        <f t="shared" ca="1" si="103"/>
        <v>3.5781337236652386</v>
      </c>
      <c r="AT187" s="2088">
        <f t="shared" ca="1" si="103"/>
        <v>3.7373233083186994</v>
      </c>
      <c r="AU187" s="2088">
        <f t="shared" ca="1" si="103"/>
        <v>3.9034785313534401</v>
      </c>
      <c r="AV187" s="2088">
        <f t="shared" ca="1" si="103"/>
        <v>4.0773062606563286</v>
      </c>
      <c r="AW187" s="2088">
        <f t="shared" ca="1" si="103"/>
        <v>4.2594110227937145</v>
      </c>
      <c r="AX187" s="2088">
        <f t="shared" ca="1" si="103"/>
        <v>4.4503420355599346</v>
      </c>
      <c r="AY187" s="2088">
        <f t="shared" ca="1" si="103"/>
        <v>4.6506228384995891</v>
      </c>
      <c r="AZ187" s="2088">
        <f t="shared" ca="1" si="103"/>
        <v>4.8607701196869728</v>
      </c>
      <c r="BA187" s="2088">
        <f t="shared" ca="1" si="103"/>
        <v>5.0813058417874899</v>
      </c>
      <c r="BB187" s="2088">
        <f t="shared" ca="1" si="103"/>
        <v>5.312765219553965</v>
      </c>
      <c r="BC187" s="2088">
        <f t="shared" ca="1" si="103"/>
        <v>5.5557021368904556</v>
      </c>
      <c r="BD187" s="44" t="str">
        <f t="shared" si="96"/>
        <v>Pd</v>
      </c>
    </row>
    <row r="188" spans="1:56" ht="15.6">
      <c r="A188" s="22" t="s">
        <v>1733</v>
      </c>
      <c r="B188" s="739"/>
      <c r="C188" s="739"/>
      <c r="D188" s="739"/>
      <c r="E188" s="739"/>
      <c r="G188" s="243" t="s">
        <v>1257</v>
      </c>
      <c r="H188" s="232"/>
      <c r="I188" s="38" t="s">
        <v>1721</v>
      </c>
      <c r="J188" s="85"/>
      <c r="K188" s="85"/>
      <c r="L188" s="85"/>
      <c r="M188" s="85"/>
      <c r="N188" s="85"/>
      <c r="O188" s="125"/>
      <c r="P188" s="256"/>
      <c r="Q188" s="256"/>
      <c r="R188" s="256"/>
      <c r="S188" s="256"/>
      <c r="T188" s="256"/>
      <c r="U188" s="256"/>
      <c r="V188" s="256"/>
      <c r="W188" s="256"/>
      <c r="X188" s="256"/>
      <c r="Y188" s="256"/>
      <c r="Z188" s="256"/>
      <c r="AA188" s="256"/>
      <c r="AB188" s="256"/>
      <c r="AC188" s="256"/>
      <c r="AD188" s="256"/>
      <c r="AE188" s="256"/>
      <c r="AF188" s="256"/>
      <c r="AG188" s="256"/>
      <c r="AH188" s="256"/>
      <c r="AI188" s="256"/>
      <c r="AJ188" s="256"/>
      <c r="AK188" s="241"/>
      <c r="AL188" s="241"/>
      <c r="AM188" s="241"/>
      <c r="AN188" s="241"/>
      <c r="AO188" s="241"/>
      <c r="AP188" s="241"/>
      <c r="AQ188" s="241"/>
      <c r="AR188" s="241"/>
      <c r="AS188" s="241"/>
      <c r="AT188" s="241"/>
      <c r="AU188" s="241"/>
      <c r="AV188" s="241"/>
      <c r="AW188" s="241"/>
      <c r="AX188" s="241"/>
      <c r="AY188" s="241"/>
      <c r="AZ188" s="241"/>
      <c r="BA188" s="241"/>
      <c r="BB188" s="241"/>
      <c r="BC188" s="241"/>
      <c r="BD188" s="44" t="str">
        <f t="shared" si="96"/>
        <v>Pww</v>
      </c>
    </row>
    <row r="189" spans="1:56" ht="15.6">
      <c r="A189" s="22" t="s">
        <v>1735</v>
      </c>
      <c r="B189" s="55"/>
      <c r="C189" s="55"/>
      <c r="D189" s="55"/>
      <c r="E189" s="55"/>
      <c r="G189" s="243" t="s">
        <v>1355</v>
      </c>
      <c r="H189" s="232"/>
      <c r="I189" s="38" t="s">
        <v>1722</v>
      </c>
      <c r="J189" s="85"/>
      <c r="K189" s="85"/>
      <c r="L189" s="85"/>
      <c r="M189" s="85"/>
      <c r="N189" s="85"/>
      <c r="O189" s="125"/>
      <c r="P189" s="256"/>
      <c r="Q189" s="256"/>
      <c r="R189" s="256"/>
      <c r="S189" s="256"/>
      <c r="T189" s="256"/>
      <c r="U189" s="256"/>
      <c r="V189" s="256"/>
      <c r="W189" s="256"/>
      <c r="X189" s="256"/>
      <c r="Y189" s="256"/>
      <c r="Z189" s="256"/>
      <c r="AA189" s="256"/>
      <c r="AB189" s="256"/>
      <c r="AC189" s="256"/>
      <c r="AD189" s="256"/>
      <c r="AE189" s="256"/>
      <c r="AF189" s="256"/>
      <c r="AG189" s="256"/>
      <c r="AH189" s="256"/>
      <c r="AI189" s="256"/>
      <c r="AJ189" s="256"/>
      <c r="AK189" s="256"/>
      <c r="AL189" s="256"/>
      <c r="AM189" s="256"/>
      <c r="AN189" s="256"/>
      <c r="AO189" s="256"/>
      <c r="AP189" s="256"/>
      <c r="AQ189" s="256"/>
      <c r="AR189" s="256"/>
      <c r="AS189" s="256"/>
      <c r="AT189" s="256"/>
      <c r="AU189" s="256"/>
      <c r="AV189" s="256"/>
      <c r="AW189" s="256"/>
      <c r="AX189" s="256"/>
      <c r="AY189" s="256"/>
      <c r="AZ189" s="256"/>
      <c r="BA189" s="256"/>
      <c r="BB189" s="256"/>
      <c r="BC189" s="256"/>
      <c r="BD189" s="44" t="str">
        <f t="shared" si="96"/>
        <v>Pf</v>
      </c>
    </row>
    <row r="190" spans="1:56" ht="15.6">
      <c r="A190" s="22" t="s">
        <v>1758</v>
      </c>
      <c r="E190" s="55"/>
      <c r="G190" s="243" t="s">
        <v>1688</v>
      </c>
      <c r="H190" s="232"/>
      <c r="I190" s="38" t="s">
        <v>1749</v>
      </c>
      <c r="J190" s="85"/>
      <c r="K190" s="85"/>
      <c r="L190" s="85"/>
      <c r="M190" s="85"/>
      <c r="N190" s="85"/>
      <c r="O190" s="2005"/>
      <c r="P190" s="256"/>
      <c r="Q190" s="256"/>
      <c r="R190" s="256"/>
      <c r="S190" s="256"/>
      <c r="T190" s="256"/>
      <c r="U190" s="256"/>
      <c r="V190" s="256"/>
      <c r="W190" s="256"/>
      <c r="X190" s="256"/>
      <c r="Y190" s="256"/>
      <c r="Z190" s="256"/>
      <c r="AA190" s="256"/>
      <c r="AB190" s="256"/>
      <c r="AC190" s="256"/>
      <c r="AD190" s="256"/>
      <c r="AE190" s="256"/>
      <c r="AF190" s="256"/>
      <c r="AG190" s="256"/>
      <c r="AH190" s="256"/>
      <c r="AI190" s="256"/>
      <c r="AJ190" s="256"/>
      <c r="AK190" s="256"/>
      <c r="AL190" s="256"/>
      <c r="AM190" s="256"/>
      <c r="AN190" s="256"/>
      <c r="AO190" s="256"/>
      <c r="AP190" s="256"/>
      <c r="AQ190" s="256"/>
      <c r="AR190" s="256"/>
      <c r="AS190" s="256"/>
      <c r="AT190" s="256"/>
      <c r="AU190" s="256"/>
      <c r="AV190" s="256"/>
      <c r="AW190" s="256"/>
      <c r="AX190" s="256"/>
      <c r="AY190" s="256"/>
      <c r="AZ190" s="256"/>
      <c r="BA190" s="256"/>
      <c r="BB190" s="256"/>
      <c r="BC190" s="256"/>
      <c r="BD190" s="44"/>
    </row>
    <row r="191" spans="1:56" ht="15.6">
      <c r="A191" s="22" t="s">
        <v>961</v>
      </c>
      <c r="E191" s="55"/>
      <c r="G191" s="243" t="s">
        <v>727</v>
      </c>
      <c r="H191" s="232"/>
      <c r="I191" s="38" t="s">
        <v>1753</v>
      </c>
      <c r="J191" s="85"/>
      <c r="K191" s="85"/>
      <c r="L191" s="85"/>
      <c r="M191" s="85"/>
      <c r="N191" s="85"/>
      <c r="O191" s="2005"/>
      <c r="P191" s="256"/>
      <c r="Q191" s="256"/>
      <c r="R191" s="256"/>
      <c r="S191" s="256"/>
      <c r="T191" s="256"/>
      <c r="U191" s="256"/>
      <c r="V191" s="256"/>
      <c r="W191" s="256"/>
      <c r="X191" s="256"/>
      <c r="Y191" s="256"/>
      <c r="Z191" s="256"/>
      <c r="AA191" s="256"/>
      <c r="AB191" s="256"/>
      <c r="AC191" s="256"/>
      <c r="AD191" s="256"/>
      <c r="AE191" s="256"/>
      <c r="AF191" s="256"/>
      <c r="AG191" s="256"/>
      <c r="AH191" s="256"/>
      <c r="AI191" s="256"/>
      <c r="AJ191" s="256"/>
      <c r="AK191" s="256"/>
      <c r="AL191" s="256"/>
      <c r="AM191" s="256"/>
      <c r="AN191" s="256"/>
      <c r="AO191" s="256"/>
      <c r="AP191" s="256"/>
      <c r="AQ191" s="256"/>
      <c r="AR191" s="256"/>
      <c r="AS191" s="256"/>
      <c r="AT191" s="256"/>
      <c r="AU191" s="256"/>
      <c r="AV191" s="256"/>
      <c r="AW191" s="256"/>
      <c r="AX191" s="256"/>
      <c r="AY191" s="256"/>
      <c r="AZ191" s="256"/>
      <c r="BA191" s="256"/>
      <c r="BB191" s="256"/>
      <c r="BC191" s="256"/>
      <c r="BD191" s="44"/>
    </row>
    <row r="192" spans="1:56" ht="15.6">
      <c r="A192" s="22" t="s">
        <v>1760</v>
      </c>
      <c r="E192" s="55"/>
      <c r="G192" s="243" t="s">
        <v>636</v>
      </c>
      <c r="H192" s="232"/>
      <c r="I192" s="38" t="s">
        <v>1750</v>
      </c>
      <c r="J192" s="85"/>
      <c r="K192" s="85"/>
      <c r="L192" s="85"/>
      <c r="M192" s="85"/>
      <c r="N192" s="85"/>
      <c r="O192" s="2005"/>
      <c r="P192" s="256"/>
      <c r="Q192" s="256"/>
      <c r="R192" s="256"/>
      <c r="S192" s="256"/>
      <c r="T192" s="256"/>
      <c r="U192" s="256"/>
      <c r="V192" s="256"/>
      <c r="W192" s="256"/>
      <c r="X192" s="256"/>
      <c r="Y192" s="256"/>
      <c r="Z192" s="256"/>
      <c r="AA192" s="256"/>
      <c r="AB192" s="256"/>
      <c r="AC192" s="256"/>
      <c r="AD192" s="256"/>
      <c r="AE192" s="256"/>
      <c r="AF192" s="256"/>
      <c r="AG192" s="256"/>
      <c r="AH192" s="256"/>
      <c r="AI192" s="256"/>
      <c r="AJ192" s="256"/>
      <c r="AK192" s="256"/>
      <c r="AL192" s="256"/>
      <c r="AM192" s="256"/>
      <c r="AN192" s="256"/>
      <c r="AO192" s="256"/>
      <c r="AP192" s="256"/>
      <c r="AQ192" s="256"/>
      <c r="AR192" s="256"/>
      <c r="AS192" s="256"/>
      <c r="AT192" s="256"/>
      <c r="AU192" s="256"/>
      <c r="AV192" s="256"/>
      <c r="AW192" s="256"/>
      <c r="AX192" s="256"/>
      <c r="AY192" s="256"/>
      <c r="AZ192" s="256"/>
      <c r="BA192" s="256"/>
      <c r="BB192" s="256"/>
      <c r="BC192" s="256"/>
      <c r="BD192" s="44"/>
    </row>
    <row r="193" spans="1:56" ht="15.6">
      <c r="A193" s="22" t="s">
        <v>1759</v>
      </c>
      <c r="D193" s="55"/>
      <c r="E193" s="55"/>
      <c r="G193" s="243" t="s">
        <v>417</v>
      </c>
      <c r="H193" s="232"/>
      <c r="I193" s="38" t="s">
        <v>1752</v>
      </c>
      <c r="J193" s="85"/>
      <c r="K193" s="85"/>
      <c r="L193" s="85"/>
      <c r="M193" s="85"/>
      <c r="N193" s="85"/>
      <c r="O193" s="2005"/>
      <c r="P193" s="256"/>
      <c r="Q193" s="256"/>
      <c r="R193" s="256"/>
      <c r="S193" s="256"/>
      <c r="T193" s="256"/>
      <c r="U193" s="256"/>
      <c r="V193" s="256"/>
      <c r="W193" s="256"/>
      <c r="X193" s="256"/>
      <c r="Y193" s="256"/>
      <c r="Z193" s="256"/>
      <c r="AA193" s="256"/>
      <c r="AB193" s="256"/>
      <c r="AC193" s="256"/>
      <c r="AD193" s="256"/>
      <c r="AE193" s="256"/>
      <c r="AF193" s="256"/>
      <c r="AG193" s="256"/>
      <c r="AH193" s="256"/>
      <c r="AI193" s="256"/>
      <c r="AJ193" s="256"/>
      <c r="AK193" s="256"/>
      <c r="AL193" s="256"/>
      <c r="AM193" s="256"/>
      <c r="AN193" s="256"/>
      <c r="AO193" s="256"/>
      <c r="AP193" s="256"/>
      <c r="AQ193" s="256"/>
      <c r="AR193" s="256"/>
      <c r="AS193" s="256"/>
      <c r="AT193" s="256"/>
      <c r="AU193" s="256"/>
      <c r="AV193" s="256"/>
      <c r="AW193" s="256"/>
      <c r="AX193" s="256"/>
      <c r="AY193" s="256"/>
      <c r="AZ193" s="256"/>
      <c r="BA193" s="256"/>
      <c r="BB193" s="256"/>
      <c r="BC193" s="256"/>
      <c r="BD193" s="44"/>
    </row>
    <row r="194" spans="1:56" ht="15.6">
      <c r="A194" s="55" t="s">
        <v>1748</v>
      </c>
      <c r="B194" s="52"/>
      <c r="C194" s="52"/>
      <c r="D194" s="52"/>
      <c r="E194" s="52"/>
      <c r="G194" s="243" t="s">
        <v>427</v>
      </c>
      <c r="H194" s="232"/>
      <c r="I194" s="38" t="s">
        <v>1742</v>
      </c>
      <c r="J194" s="38"/>
      <c r="K194" s="38"/>
      <c r="L194" s="38"/>
      <c r="M194" s="85"/>
      <c r="N194" s="85"/>
      <c r="O194" s="2005"/>
      <c r="P194" s="256"/>
      <c r="Q194" s="256"/>
      <c r="R194" s="256"/>
      <c r="S194" s="256"/>
      <c r="T194" s="256"/>
      <c r="U194" s="256"/>
      <c r="V194" s="256"/>
      <c r="W194" s="256"/>
      <c r="X194" s="256"/>
      <c r="Y194" s="256"/>
      <c r="Z194" s="256"/>
      <c r="AA194" s="256"/>
      <c r="AB194" s="256"/>
      <c r="AC194" s="256"/>
      <c r="AD194" s="256"/>
      <c r="AE194" s="256"/>
      <c r="AF194" s="256"/>
      <c r="AG194" s="256"/>
      <c r="AH194" s="256"/>
      <c r="AI194" s="256"/>
      <c r="AJ194" s="256"/>
      <c r="AK194" s="256"/>
      <c r="AL194" s="256"/>
      <c r="AM194" s="256"/>
      <c r="AN194" s="256"/>
      <c r="AO194" s="256"/>
      <c r="AP194" s="256"/>
      <c r="AQ194" s="256"/>
      <c r="AR194" s="256"/>
      <c r="AS194" s="256"/>
      <c r="AT194" s="256"/>
      <c r="AU194" s="256"/>
      <c r="AV194" s="256"/>
      <c r="AW194" s="256"/>
      <c r="AX194" s="256"/>
      <c r="AY194" s="256"/>
      <c r="AZ194" s="256"/>
      <c r="BA194" s="256"/>
      <c r="BB194" s="256"/>
      <c r="BC194" s="256"/>
      <c r="BD194" s="44"/>
    </row>
    <row r="195" spans="1:56" ht="15.6">
      <c r="A195" s="55" t="s">
        <v>990</v>
      </c>
      <c r="B195" s="52"/>
      <c r="C195" s="52"/>
      <c r="D195" s="52"/>
      <c r="E195" s="52"/>
      <c r="G195" s="243" t="s">
        <v>486</v>
      </c>
      <c r="H195" s="232"/>
      <c r="I195" s="38" t="s">
        <v>1743</v>
      </c>
      <c r="J195" s="38"/>
      <c r="K195" s="38"/>
      <c r="L195" s="38"/>
      <c r="M195" s="85"/>
      <c r="N195" s="85"/>
      <c r="O195" s="2005"/>
      <c r="P195" s="256"/>
      <c r="Q195" s="256"/>
      <c r="R195" s="256"/>
      <c r="S195" s="256"/>
      <c r="T195" s="256"/>
      <c r="U195" s="256"/>
      <c r="V195" s="256"/>
      <c r="W195" s="256"/>
      <c r="X195" s="256"/>
      <c r="Y195" s="256"/>
      <c r="Z195" s="256"/>
      <c r="AA195" s="256"/>
      <c r="AB195" s="256"/>
      <c r="AC195" s="256"/>
      <c r="AD195" s="256"/>
      <c r="AE195" s="256"/>
      <c r="AF195" s="256"/>
      <c r="AG195" s="256"/>
      <c r="AH195" s="256"/>
      <c r="AI195" s="256"/>
      <c r="AJ195" s="256"/>
      <c r="AK195" s="256"/>
      <c r="AL195" s="256"/>
      <c r="AM195" s="256"/>
      <c r="AN195" s="256"/>
      <c r="AO195" s="256"/>
      <c r="AP195" s="256"/>
      <c r="AQ195" s="256"/>
      <c r="AR195" s="256"/>
      <c r="AS195" s="256"/>
      <c r="AT195" s="256"/>
      <c r="AU195" s="256"/>
      <c r="AV195" s="256"/>
      <c r="AW195" s="256"/>
      <c r="AX195" s="256"/>
      <c r="AY195" s="256"/>
      <c r="AZ195" s="256"/>
      <c r="BA195" s="256"/>
      <c r="BB195" s="256"/>
      <c r="BC195" s="256"/>
      <c r="BD195" s="44"/>
    </row>
    <row r="196" spans="1:56" ht="15.6">
      <c r="A196" s="55" t="s">
        <v>1757</v>
      </c>
      <c r="E196" s="55"/>
      <c r="G196" s="243" t="s">
        <v>760</v>
      </c>
      <c r="H196" s="232"/>
      <c r="I196" s="85" t="s">
        <v>1754</v>
      </c>
      <c r="J196" s="85"/>
      <c r="K196" s="85"/>
      <c r="L196" s="85"/>
      <c r="M196" s="85"/>
      <c r="N196" s="85"/>
      <c r="O196" s="2005"/>
      <c r="P196" s="256"/>
      <c r="Q196" s="256"/>
      <c r="R196" s="256"/>
      <c r="S196" s="256"/>
      <c r="T196" s="256"/>
      <c r="U196" s="256"/>
      <c r="V196" s="256"/>
      <c r="W196" s="256"/>
      <c r="X196" s="256"/>
      <c r="Y196" s="256"/>
      <c r="Z196" s="256"/>
      <c r="AA196" s="256"/>
      <c r="AB196" s="256"/>
      <c r="AC196" s="256"/>
      <c r="AD196" s="256"/>
      <c r="AE196" s="256"/>
      <c r="AF196" s="256"/>
      <c r="AG196" s="256"/>
      <c r="AH196" s="256"/>
      <c r="AI196" s="256"/>
      <c r="AJ196" s="256"/>
      <c r="AK196" s="256"/>
      <c r="AL196" s="256"/>
      <c r="AM196" s="256"/>
      <c r="AN196" s="256"/>
      <c r="AO196" s="256"/>
      <c r="AP196" s="256"/>
      <c r="AQ196" s="256"/>
      <c r="AR196" s="256"/>
      <c r="AS196" s="256"/>
      <c r="AT196" s="256"/>
      <c r="AU196" s="256"/>
      <c r="AV196" s="256"/>
      <c r="AW196" s="256"/>
      <c r="AX196" s="256"/>
      <c r="AY196" s="256"/>
      <c r="AZ196" s="256"/>
      <c r="BA196" s="256"/>
      <c r="BB196" s="256"/>
      <c r="BC196" s="256"/>
      <c r="BD196" s="44"/>
    </row>
    <row r="197" spans="1:56" ht="15.6">
      <c r="A197" s="22" t="s">
        <v>1014</v>
      </c>
      <c r="B197" s="22"/>
      <c r="C197" s="22"/>
      <c r="D197" s="21"/>
      <c r="E197" s="21"/>
      <c r="G197" s="51" t="s">
        <v>756</v>
      </c>
      <c r="H197" s="232"/>
      <c r="I197" s="38" t="s">
        <v>1015</v>
      </c>
      <c r="J197" s="38"/>
      <c r="K197" s="38"/>
      <c r="L197" s="85"/>
      <c r="M197" s="85"/>
      <c r="N197" s="85"/>
      <c r="O197" s="2005"/>
      <c r="P197" s="256"/>
      <c r="Q197" s="256"/>
      <c r="R197" s="256"/>
      <c r="S197" s="256"/>
      <c r="T197" s="256"/>
      <c r="U197" s="256"/>
      <c r="V197" s="256"/>
      <c r="W197" s="256"/>
      <c r="X197" s="256"/>
      <c r="Y197" s="256"/>
      <c r="Z197" s="256"/>
      <c r="AA197" s="256"/>
      <c r="AB197" s="256"/>
      <c r="AC197" s="256"/>
      <c r="AD197" s="256"/>
      <c r="AE197" s="256"/>
      <c r="AF197" s="256"/>
      <c r="AG197" s="256"/>
      <c r="AH197" s="256"/>
      <c r="AI197" s="256"/>
      <c r="AJ197" s="256"/>
      <c r="AK197" s="256"/>
      <c r="AL197" s="256"/>
      <c r="AM197" s="256"/>
      <c r="AN197" s="256"/>
      <c r="AO197" s="256"/>
      <c r="AP197" s="256"/>
      <c r="AQ197" s="256"/>
      <c r="AR197" s="256"/>
      <c r="AS197" s="256"/>
      <c r="AT197" s="256"/>
      <c r="AU197" s="256"/>
      <c r="AV197" s="256"/>
      <c r="AW197" s="256"/>
      <c r="AX197" s="256"/>
      <c r="AY197" s="256"/>
      <c r="AZ197" s="256"/>
      <c r="BA197" s="256"/>
      <c r="BB197" s="256"/>
      <c r="BC197" s="256"/>
      <c r="BD197" s="44"/>
    </row>
    <row r="198" spans="1:56" ht="15.6">
      <c r="A198" s="22" t="s">
        <v>1756</v>
      </c>
      <c r="B198" s="22"/>
      <c r="C198" s="22"/>
      <c r="D198" s="21"/>
      <c r="E198" s="21"/>
      <c r="G198" s="243" t="s">
        <v>760</v>
      </c>
      <c r="H198" s="232"/>
      <c r="I198" s="38" t="s">
        <v>750</v>
      </c>
      <c r="J198" s="38"/>
      <c r="K198" s="38"/>
      <c r="L198" s="85"/>
      <c r="M198" s="85"/>
      <c r="N198" s="85"/>
      <c r="O198" s="246"/>
      <c r="P198" s="256"/>
      <c r="Q198" s="256"/>
      <c r="R198" s="256"/>
      <c r="S198" s="256"/>
      <c r="T198" s="256"/>
      <c r="U198" s="256"/>
      <c r="V198" s="256"/>
      <c r="W198" s="256"/>
      <c r="X198" s="256"/>
      <c r="Y198" s="256"/>
      <c r="Z198" s="256"/>
      <c r="AA198" s="256"/>
      <c r="AB198" s="256"/>
      <c r="AC198" s="256"/>
      <c r="AD198" s="256"/>
      <c r="AE198" s="256"/>
      <c r="AF198" s="256"/>
      <c r="AG198" s="256"/>
      <c r="AH198" s="256"/>
      <c r="AI198" s="256"/>
      <c r="AJ198" s="256"/>
      <c r="AK198" s="256"/>
      <c r="AL198" s="256"/>
      <c r="AM198" s="256"/>
      <c r="AN198" s="256"/>
      <c r="AO198" s="256"/>
      <c r="AP198" s="256"/>
      <c r="AQ198" s="256"/>
      <c r="AR198" s="256"/>
      <c r="AS198" s="256"/>
      <c r="AT198" s="256"/>
      <c r="AU198" s="256"/>
      <c r="AV198" s="256"/>
      <c r="AW198" s="256"/>
      <c r="AX198" s="256"/>
      <c r="AY198" s="256"/>
      <c r="AZ198" s="256"/>
      <c r="BA198" s="256"/>
      <c r="BB198" s="256"/>
      <c r="BC198" s="256"/>
      <c r="BD198" s="44"/>
    </row>
    <row r="199" spans="1:56" ht="15.6">
      <c r="A199" s="22" t="s">
        <v>1011</v>
      </c>
      <c r="B199" s="22"/>
      <c r="C199" s="22"/>
      <c r="D199" s="21"/>
      <c r="E199" s="21"/>
      <c r="G199" s="51" t="s">
        <v>738</v>
      </c>
      <c r="H199" s="232"/>
      <c r="I199" s="38" t="s">
        <v>1731</v>
      </c>
      <c r="J199" s="38"/>
      <c r="K199" s="38"/>
      <c r="L199" s="38"/>
      <c r="M199" s="38"/>
      <c r="N199" s="38"/>
      <c r="O199" s="246"/>
      <c r="P199" s="256"/>
      <c r="Q199" s="256"/>
      <c r="R199" s="256"/>
      <c r="S199" s="256"/>
      <c r="T199" s="256"/>
      <c r="U199" s="256"/>
      <c r="V199" s="256"/>
      <c r="W199" s="256"/>
      <c r="X199" s="256"/>
      <c r="Y199" s="256"/>
      <c r="Z199" s="256"/>
      <c r="AA199" s="256"/>
      <c r="AB199" s="256"/>
      <c r="AC199" s="256"/>
      <c r="AD199" s="923"/>
      <c r="AE199" s="256"/>
      <c r="AF199" s="256"/>
      <c r="AG199" s="256"/>
      <c r="AH199" s="256"/>
      <c r="AI199" s="256"/>
      <c r="AJ199" s="256"/>
      <c r="AK199" s="256"/>
      <c r="AL199" s="256"/>
      <c r="AM199" s="256"/>
      <c r="AN199" s="256"/>
      <c r="AO199" s="256"/>
      <c r="AP199" s="256"/>
      <c r="AQ199" s="256"/>
      <c r="AR199" s="256"/>
      <c r="AS199" s="256"/>
      <c r="AT199" s="256"/>
      <c r="AU199" s="256"/>
      <c r="AV199" s="256"/>
      <c r="AW199" s="256"/>
      <c r="AX199" s="256"/>
      <c r="AY199" s="256"/>
      <c r="AZ199" s="256"/>
      <c r="BA199" s="256"/>
      <c r="BB199" s="256"/>
      <c r="BC199" s="256"/>
      <c r="BD199" s="44"/>
    </row>
    <row r="200" spans="1:56" ht="15.6">
      <c r="A200" s="55" t="s">
        <v>1006</v>
      </c>
      <c r="B200" s="55"/>
      <c r="C200" s="55"/>
      <c r="D200" s="55"/>
      <c r="E200" s="55"/>
      <c r="G200" s="51" t="s">
        <v>726</v>
      </c>
      <c r="H200" s="232"/>
      <c r="I200" s="34" t="s">
        <v>1732</v>
      </c>
      <c r="J200" s="85"/>
      <c r="K200" s="85"/>
      <c r="L200" s="85"/>
      <c r="M200" s="85"/>
      <c r="N200" s="85"/>
      <c r="O200" s="246"/>
      <c r="P200" s="256"/>
      <c r="Q200" s="256"/>
      <c r="R200" s="256"/>
      <c r="S200" s="256"/>
      <c r="T200" s="256"/>
      <c r="U200" s="256"/>
      <c r="V200" s="256"/>
      <c r="W200" s="256"/>
      <c r="X200" s="256"/>
      <c r="Y200" s="256"/>
      <c r="Z200" s="256"/>
      <c r="AA200" s="256"/>
      <c r="AB200" s="256"/>
      <c r="AC200" s="256"/>
      <c r="AD200" s="923"/>
      <c r="AE200" s="256"/>
      <c r="AF200" s="256"/>
      <c r="AG200" s="256"/>
      <c r="AH200" s="256"/>
      <c r="AI200" s="256"/>
      <c r="AJ200" s="256"/>
      <c r="AK200" s="256"/>
      <c r="AL200" s="256"/>
      <c r="AM200" s="256"/>
      <c r="AN200" s="256"/>
      <c r="AO200" s="256"/>
      <c r="AP200" s="256"/>
      <c r="AQ200" s="256"/>
      <c r="AR200" s="256"/>
      <c r="AS200" s="256"/>
      <c r="AT200" s="256"/>
      <c r="AU200" s="256"/>
      <c r="AV200" s="256"/>
      <c r="AW200" s="256"/>
      <c r="AX200" s="256"/>
      <c r="AY200" s="256"/>
      <c r="AZ200" s="256"/>
      <c r="BA200" s="256"/>
      <c r="BB200" s="256"/>
      <c r="BC200" s="256"/>
      <c r="BD200" s="44"/>
    </row>
    <row r="201" spans="1:56" ht="15.6">
      <c r="A201" s="55" t="s">
        <v>1007</v>
      </c>
      <c r="B201" s="55"/>
      <c r="C201" s="55"/>
      <c r="D201" s="55"/>
      <c r="E201" s="55"/>
      <c r="G201" s="243" t="s">
        <v>1245</v>
      </c>
      <c r="H201" s="232"/>
      <c r="I201" s="34" t="s">
        <v>1740</v>
      </c>
      <c r="J201" s="85"/>
      <c r="K201" s="85"/>
      <c r="L201" s="85"/>
      <c r="M201" s="85"/>
      <c r="N201" s="85"/>
      <c r="O201" s="246"/>
      <c r="P201" s="256"/>
      <c r="Q201" s="256"/>
      <c r="R201" s="256"/>
      <c r="S201" s="256"/>
      <c r="T201" s="256"/>
      <c r="U201" s="256"/>
      <c r="V201" s="256"/>
      <c r="W201" s="256"/>
      <c r="X201" s="256"/>
      <c r="Y201" s="256"/>
      <c r="Z201" s="256"/>
      <c r="AA201" s="256"/>
      <c r="AB201" s="256"/>
      <c r="AC201" s="256"/>
      <c r="AD201" s="923"/>
      <c r="AE201" s="256"/>
      <c r="AF201" s="256"/>
      <c r="AG201" s="256"/>
      <c r="AH201" s="256"/>
      <c r="AI201" s="256"/>
      <c r="AJ201" s="256"/>
      <c r="AK201" s="256"/>
      <c r="AL201" s="256"/>
      <c r="AM201" s="256"/>
      <c r="AN201" s="256"/>
      <c r="AO201" s="256"/>
      <c r="AP201" s="256"/>
      <c r="AQ201" s="256"/>
      <c r="AR201" s="256"/>
      <c r="AS201" s="256"/>
      <c r="AT201" s="256"/>
      <c r="AU201" s="256"/>
      <c r="AV201" s="256"/>
      <c r="AW201" s="256"/>
      <c r="AX201" s="256"/>
      <c r="AY201" s="256"/>
      <c r="AZ201" s="256"/>
      <c r="BA201" s="256"/>
      <c r="BB201" s="256"/>
      <c r="BC201" s="256"/>
      <c r="BD201" s="44"/>
    </row>
    <row r="202" spans="1:56" ht="15.6">
      <c r="A202" s="55" t="s">
        <v>1744</v>
      </c>
      <c r="B202" s="55"/>
      <c r="C202" s="55"/>
      <c r="D202" s="55"/>
      <c r="E202" s="55"/>
      <c r="G202" s="243" t="s">
        <v>468</v>
      </c>
      <c r="H202" s="232"/>
      <c r="I202" s="34" t="s">
        <v>1741</v>
      </c>
      <c r="J202" s="85"/>
      <c r="K202" s="85"/>
      <c r="L202" s="85"/>
      <c r="M202" s="85"/>
      <c r="N202" s="85"/>
      <c r="O202" s="246"/>
      <c r="P202" s="256"/>
      <c r="Q202" s="256"/>
      <c r="R202" s="256"/>
      <c r="S202" s="256"/>
      <c r="T202" s="256"/>
      <c r="U202" s="256"/>
      <c r="V202" s="256"/>
      <c r="W202" s="256"/>
      <c r="X202" s="256"/>
      <c r="Y202" s="256"/>
      <c r="Z202" s="256"/>
      <c r="AA202" s="256"/>
      <c r="AB202" s="256"/>
      <c r="AC202" s="256"/>
      <c r="AD202" s="923"/>
      <c r="AE202" s="256"/>
      <c r="AF202" s="256"/>
      <c r="AG202" s="256"/>
      <c r="AH202" s="256"/>
      <c r="AI202" s="256"/>
      <c r="AJ202" s="256"/>
      <c r="AK202" s="256"/>
      <c r="AL202" s="256"/>
      <c r="AM202" s="256"/>
      <c r="AN202" s="256"/>
      <c r="AO202" s="256"/>
      <c r="AP202" s="256"/>
      <c r="AQ202" s="256"/>
      <c r="AR202" s="256"/>
      <c r="AS202" s="256"/>
      <c r="AT202" s="256"/>
      <c r="AU202" s="256"/>
      <c r="AV202" s="256"/>
      <c r="AW202" s="256"/>
      <c r="AX202" s="256"/>
      <c r="AY202" s="256"/>
      <c r="AZ202" s="256"/>
      <c r="BA202" s="256"/>
      <c r="BB202" s="256"/>
      <c r="BC202" s="256"/>
      <c r="BD202" s="44"/>
    </row>
    <row r="203" spans="1:56" ht="15.6">
      <c r="A203" s="55" t="s">
        <v>1745</v>
      </c>
      <c r="B203" s="52"/>
      <c r="C203" s="52"/>
      <c r="D203" s="52"/>
      <c r="E203" s="52"/>
      <c r="G203" s="243" t="s">
        <v>667</v>
      </c>
      <c r="H203" s="232"/>
      <c r="I203" s="38" t="s">
        <v>666</v>
      </c>
      <c r="J203" s="85"/>
      <c r="K203" s="85"/>
      <c r="L203" s="85"/>
      <c r="M203" s="85"/>
      <c r="N203" s="85"/>
      <c r="O203" s="260">
        <f t="shared" ref="O203:AX203" si="104">O135/O147</f>
        <v>414.06650209455415</v>
      </c>
      <c r="P203" s="259">
        <f t="shared" si="104"/>
        <v>399.60295989304808</v>
      </c>
      <c r="Q203" s="259">
        <f t="shared" si="104"/>
        <v>338.51934794787792</v>
      </c>
      <c r="R203" s="259">
        <f t="shared" si="104"/>
        <v>290.79663801056347</v>
      </c>
      <c r="S203" s="259">
        <f t="shared" si="104"/>
        <v>301.16721228514388</v>
      </c>
      <c r="T203" s="259">
        <f t="shared" si="104"/>
        <v>389.12509137689358</v>
      </c>
      <c r="U203" s="259">
        <f t="shared" si="104"/>
        <v>489.42387115829723</v>
      </c>
      <c r="V203" s="259">
        <f t="shared" si="104"/>
        <v>575.88199807020806</v>
      </c>
      <c r="W203" s="259">
        <f t="shared" si="104"/>
        <v>595.00508468222961</v>
      </c>
      <c r="X203" s="259">
        <f t="shared" si="104"/>
        <v>673.0005270569535</v>
      </c>
      <c r="Y203" s="259">
        <f t="shared" si="104"/>
        <v>768.90014927967582</v>
      </c>
      <c r="Z203" s="259">
        <f t="shared" si="104"/>
        <v>836.05632768927728</v>
      </c>
      <c r="AA203" s="259">
        <f t="shared" si="104"/>
        <v>1056.7722380529201</v>
      </c>
      <c r="AB203" s="259">
        <f t="shared" si="104"/>
        <v>1067.5604494249962</v>
      </c>
      <c r="AC203" s="259">
        <f t="shared" si="104"/>
        <v>738.90370863446276</v>
      </c>
      <c r="AD203" s="259">
        <f t="shared" si="104"/>
        <v>879.38110372171468</v>
      </c>
      <c r="AE203" s="259">
        <f t="shared" si="104"/>
        <v>1033.0485909926858</v>
      </c>
      <c r="AF203" s="259">
        <f t="shared" si="104"/>
        <v>1279.0682810573705</v>
      </c>
      <c r="AG203" s="259">
        <f t="shared" si="104"/>
        <v>1303.7876400663122</v>
      </c>
      <c r="AH203" s="259">
        <f t="shared" si="104"/>
        <v>1398.0405275411429</v>
      </c>
      <c r="AI203" s="259">
        <f t="shared" si="104"/>
        <v>1258.6555212554956</v>
      </c>
      <c r="AJ203" s="259">
        <f t="shared" si="104"/>
        <v>1280.0416040349298</v>
      </c>
      <c r="AK203" s="259">
        <f t="shared" si="104"/>
        <v>1403.3266798760303</v>
      </c>
      <c r="AL203" s="259">
        <f t="shared" si="104"/>
        <v>1560.3423195364828</v>
      </c>
      <c r="AM203" s="259">
        <f t="shared" ca="1" si="104"/>
        <v>2194.2681095248695</v>
      </c>
      <c r="AN203" s="259">
        <f t="shared" ca="1" si="104"/>
        <v>1511.3311667072671</v>
      </c>
      <c r="AO203" s="259">
        <f t="shared" ca="1" si="104"/>
        <v>2065.2237936406827</v>
      </c>
      <c r="AP203" s="259">
        <f t="shared" ca="1" si="104"/>
        <v>2848.7980559677817</v>
      </c>
      <c r="AQ203" s="259">
        <f t="shared" ca="1" si="104"/>
        <v>4433.5754770898056</v>
      </c>
      <c r="AR203" s="259">
        <f t="shared" ca="1" si="104"/>
        <v>9324.6024123311636</v>
      </c>
      <c r="AS203" s="259">
        <f t="shared" ca="1" si="104"/>
        <v>-111473.93541479178</v>
      </c>
      <c r="AT203" s="259">
        <f t="shared" ca="1" si="104"/>
        <v>-8250.5801672389789</v>
      </c>
      <c r="AU203" s="259">
        <f t="shared" ca="1" si="104"/>
        <v>-4345.4415335677468</v>
      </c>
      <c r="AV203" s="259">
        <f t="shared" ca="1" si="104"/>
        <v>-2975.3020974039327</v>
      </c>
      <c r="AW203" s="259">
        <f t="shared" ca="1" si="104"/>
        <v>-2269.6874214593145</v>
      </c>
      <c r="AX203" s="259">
        <f t="shared" ca="1" si="104"/>
        <v>-1843.9202956055187</v>
      </c>
      <c r="AY203" s="259"/>
      <c r="AZ203" s="259"/>
      <c r="BA203" s="259"/>
      <c r="BB203" s="259"/>
      <c r="BC203" s="259"/>
      <c r="BD203" s="44"/>
    </row>
    <row r="204" spans="1:56" ht="15.6">
      <c r="A204" s="55" t="s">
        <v>1746</v>
      </c>
      <c r="B204" s="52"/>
      <c r="C204" s="52"/>
      <c r="D204" s="52"/>
      <c r="E204" s="52"/>
      <c r="G204" s="243" t="s">
        <v>625</v>
      </c>
      <c r="H204" s="232"/>
      <c r="I204" s="34" t="s">
        <v>1723</v>
      </c>
      <c r="J204" s="85"/>
      <c r="K204" s="85"/>
      <c r="L204" s="85"/>
      <c r="M204" s="85"/>
      <c r="N204" s="85"/>
      <c r="O204" s="260">
        <f t="shared" ref="O204:AX204" si="105">O135/O106</f>
        <v>3.8450201342468362</v>
      </c>
      <c r="P204" s="230">
        <f t="shared" si="105"/>
        <v>2.6692350234712903</v>
      </c>
      <c r="Q204" s="230">
        <f t="shared" si="105"/>
        <v>2.2083538304052164</v>
      </c>
      <c r="R204" s="230">
        <f t="shared" si="105"/>
        <v>1.7702933708978801</v>
      </c>
      <c r="S204" s="230">
        <f t="shared" si="105"/>
        <v>1.0841775910940434</v>
      </c>
      <c r="T204" s="230">
        <f t="shared" si="105"/>
        <v>0.90927084480443399</v>
      </c>
      <c r="U204" s="230">
        <f t="shared" si="105"/>
        <v>0.7278814159655187</v>
      </c>
      <c r="V204" s="230">
        <f t="shared" si="105"/>
        <v>0.60663338120166876</v>
      </c>
      <c r="W204" s="230">
        <f t="shared" si="105"/>
        <v>0.5400861752952375</v>
      </c>
      <c r="X204" s="230">
        <f t="shared" si="105"/>
        <v>0.45188459693900429</v>
      </c>
      <c r="Y204" s="230">
        <f t="shared" si="105"/>
        <v>0.37835617992798737</v>
      </c>
      <c r="Z204" s="230">
        <f t="shared" si="105"/>
        <v>0.33829537780058955</v>
      </c>
      <c r="AA204" s="230">
        <f t="shared" si="105"/>
        <v>0.29788119089614667</v>
      </c>
      <c r="AB204" s="230">
        <f t="shared" si="105"/>
        <v>0.25113150734744794</v>
      </c>
      <c r="AC204" s="230">
        <f t="shared" si="105"/>
        <v>0.22125526254977207</v>
      </c>
      <c r="AD204" s="230">
        <f t="shared" si="105"/>
        <v>0.20643205500874989</v>
      </c>
      <c r="AE204" s="230">
        <f t="shared" si="105"/>
        <v>0.16984533245478259</v>
      </c>
      <c r="AF204" s="230">
        <f t="shared" si="105"/>
        <v>0.15317583135545823</v>
      </c>
      <c r="AG204" s="230">
        <f t="shared" si="105"/>
        <v>0.14023989998148381</v>
      </c>
      <c r="AH204" s="230">
        <f t="shared" si="105"/>
        <v>0.12960372568674969</v>
      </c>
      <c r="AI204" s="230">
        <f t="shared" si="105"/>
        <v>0.12411024082271745</v>
      </c>
      <c r="AJ204" s="230">
        <f t="shared" si="105"/>
        <v>0.11984929570482207</v>
      </c>
      <c r="AK204" s="230">
        <f t="shared" si="105"/>
        <v>0.11565224075182956</v>
      </c>
      <c r="AL204" s="230">
        <f t="shared" si="105"/>
        <v>0.11221345208299371</v>
      </c>
      <c r="AM204" s="230">
        <f t="shared" ca="1" si="105"/>
        <v>0.10793603963156417</v>
      </c>
      <c r="AN204" s="230">
        <f t="shared" ca="1" si="105"/>
        <v>0.10378316154004813</v>
      </c>
      <c r="AO204" s="230">
        <f t="shared" ca="1" si="105"/>
        <v>9.5725809205289031E-2</v>
      </c>
      <c r="AP204" s="230">
        <f t="shared" ca="1" si="105"/>
        <v>8.9966056049004789E-2</v>
      </c>
      <c r="AQ204" s="230">
        <f t="shared" ca="1" si="105"/>
        <v>8.4581976964778954E-2</v>
      </c>
      <c r="AR204" s="230">
        <f t="shared" ca="1" si="105"/>
        <v>7.9546505977216256E-2</v>
      </c>
      <c r="AS204" s="230">
        <f t="shared" ca="1" si="105"/>
        <v>7.4835202461721248E-2</v>
      </c>
      <c r="AT204" s="230">
        <f t="shared" ca="1" si="105"/>
        <v>7.0425685909649607E-2</v>
      </c>
      <c r="AU204" s="230">
        <f t="shared" ca="1" si="105"/>
        <v>6.6297305549756588E-2</v>
      </c>
      <c r="AV204" s="230">
        <f t="shared" ca="1" si="105"/>
        <v>6.2430929322004412E-2</v>
      </c>
      <c r="AW204" s="230">
        <f t="shared" ca="1" si="105"/>
        <v>5.8808795204641148E-2</v>
      </c>
      <c r="AX204" s="230">
        <f t="shared" ca="1" si="105"/>
        <v>5.541439624199547E-2</v>
      </c>
      <c r="AY204" s="230"/>
      <c r="AZ204" s="230"/>
      <c r="BA204" s="230"/>
      <c r="BB204" s="230"/>
      <c r="BC204" s="230"/>
      <c r="BD204" s="44"/>
    </row>
    <row r="205" spans="1:56" ht="15.6">
      <c r="A205" s="55" t="s">
        <v>1747</v>
      </c>
      <c r="B205" s="52"/>
      <c r="C205" s="52"/>
      <c r="D205" s="52"/>
      <c r="E205" s="52"/>
      <c r="G205" s="243" t="s">
        <v>1251</v>
      </c>
      <c r="H205" s="232"/>
      <c r="I205" s="34" t="s">
        <v>1724</v>
      </c>
      <c r="J205" s="85"/>
      <c r="K205" s="85"/>
      <c r="L205" s="85"/>
      <c r="M205" s="85"/>
      <c r="N205" s="85"/>
      <c r="O205" s="260"/>
      <c r="P205" s="256"/>
      <c r="Q205" s="256"/>
      <c r="R205" s="256"/>
      <c r="S205" s="256"/>
      <c r="T205" s="256"/>
      <c r="U205" s="256"/>
      <c r="V205" s="256"/>
      <c r="W205" s="256"/>
      <c r="X205" s="256"/>
      <c r="Y205" s="256"/>
      <c r="Z205" s="256"/>
      <c r="AA205" s="256"/>
      <c r="AB205" s="256"/>
      <c r="AC205" s="256"/>
      <c r="AD205" s="923"/>
      <c r="AE205" s="256"/>
      <c r="AF205" s="256"/>
      <c r="AG205" s="256"/>
      <c r="AH205" s="256"/>
      <c r="AI205" s="256"/>
      <c r="AJ205" s="256"/>
      <c r="AK205" s="256"/>
      <c r="AL205" s="256"/>
      <c r="AM205" s="256"/>
      <c r="AN205" s="256"/>
      <c r="AO205" s="256"/>
      <c r="AP205" s="256"/>
      <c r="AQ205" s="256"/>
      <c r="AR205" s="256"/>
      <c r="AS205" s="256"/>
      <c r="AT205" s="256"/>
      <c r="AU205" s="256"/>
      <c r="AV205" s="256"/>
      <c r="AW205" s="256"/>
      <c r="AX205" s="256"/>
      <c r="AY205" s="256"/>
      <c r="AZ205" s="256"/>
      <c r="BA205" s="256"/>
      <c r="BB205" s="256"/>
      <c r="BC205" s="256"/>
      <c r="BD205" s="44"/>
    </row>
    <row r="206" spans="1:56" ht="15.6">
      <c r="A206" s="55" t="s">
        <v>1761</v>
      </c>
      <c r="B206" s="52"/>
      <c r="C206" s="52"/>
      <c r="D206" s="52"/>
      <c r="E206" s="52"/>
      <c r="G206" s="243" t="s">
        <v>461</v>
      </c>
      <c r="H206" s="232"/>
      <c r="I206" s="38" t="s">
        <v>1725</v>
      </c>
      <c r="J206" s="38"/>
      <c r="K206" s="38"/>
      <c r="L206" s="38"/>
      <c r="M206" s="85"/>
      <c r="N206" s="85"/>
      <c r="O206" s="260"/>
      <c r="P206" s="256"/>
      <c r="Q206" s="256"/>
      <c r="R206" s="256"/>
      <c r="S206" s="256"/>
      <c r="T206" s="256"/>
      <c r="U206" s="256"/>
      <c r="V206" s="256"/>
      <c r="W206" s="256"/>
      <c r="X206" s="256"/>
      <c r="Y206" s="256"/>
      <c r="Z206" s="256"/>
      <c r="AA206" s="256"/>
      <c r="AB206" s="256"/>
      <c r="AC206" s="256"/>
      <c r="AD206" s="923"/>
      <c r="AE206" s="256"/>
      <c r="AF206" s="256"/>
      <c r="AG206" s="256"/>
      <c r="AH206" s="256"/>
      <c r="AI206" s="256"/>
      <c r="AJ206" s="256"/>
      <c r="AK206" s="256"/>
      <c r="AL206" s="256"/>
      <c r="AM206" s="256"/>
      <c r="AN206" s="256"/>
      <c r="AO206" s="256"/>
      <c r="AP206" s="256"/>
      <c r="AQ206" s="256"/>
      <c r="AR206" s="256"/>
      <c r="AS206" s="256"/>
      <c r="AT206" s="256"/>
      <c r="AU206" s="256"/>
      <c r="AV206" s="256"/>
      <c r="AW206" s="256"/>
      <c r="AX206" s="256"/>
      <c r="AY206" s="256"/>
      <c r="AZ206" s="256"/>
      <c r="BA206" s="256"/>
      <c r="BB206" s="256"/>
      <c r="BC206" s="256"/>
      <c r="BD206" s="44"/>
    </row>
    <row r="207" spans="1:56" ht="15.6">
      <c r="A207" s="55" t="s">
        <v>1762</v>
      </c>
      <c r="B207" s="52"/>
      <c r="C207" s="52"/>
      <c r="D207" s="52"/>
      <c r="E207" s="52"/>
      <c r="G207" s="243" t="s">
        <v>1763</v>
      </c>
      <c r="H207" s="232"/>
      <c r="I207" s="38" t="s">
        <v>1765</v>
      </c>
      <c r="J207" s="38"/>
      <c r="K207" s="38"/>
      <c r="L207" s="38"/>
      <c r="M207" s="85"/>
      <c r="N207" s="85"/>
      <c r="O207" s="139"/>
      <c r="P207" s="256"/>
      <c r="Q207" s="256"/>
      <c r="R207" s="256"/>
      <c r="S207" s="256"/>
      <c r="T207" s="256"/>
      <c r="U207" s="256"/>
      <c r="V207" s="256"/>
      <c r="W207" s="256"/>
      <c r="X207" s="256"/>
      <c r="Y207" s="256"/>
      <c r="Z207" s="256"/>
      <c r="AA207" s="256"/>
      <c r="AB207" s="256"/>
      <c r="AC207" s="256"/>
      <c r="AD207" s="923"/>
      <c r="AE207" s="256"/>
      <c r="AF207" s="256"/>
      <c r="AG207" s="256"/>
      <c r="AH207" s="256"/>
      <c r="AI207" s="256"/>
      <c r="AJ207" s="256"/>
      <c r="AK207" s="256"/>
      <c r="AL207" s="256"/>
      <c r="AM207" s="256"/>
      <c r="AN207" s="256"/>
      <c r="AO207" s="256"/>
      <c r="AP207" s="256"/>
      <c r="AQ207" s="256"/>
      <c r="AR207" s="256"/>
      <c r="AS207" s="256"/>
      <c r="AT207" s="256"/>
      <c r="AU207" s="256"/>
      <c r="AV207" s="256"/>
      <c r="AW207" s="256"/>
      <c r="AX207" s="256"/>
      <c r="AY207" s="256"/>
      <c r="AZ207" s="256"/>
      <c r="BA207" s="256"/>
      <c r="BB207" s="256"/>
      <c r="BC207" s="256"/>
      <c r="BD207" s="44"/>
    </row>
    <row r="208" spans="1:56" ht="15.6">
      <c r="A208" s="55" t="s">
        <v>1755</v>
      </c>
      <c r="E208" s="55"/>
      <c r="G208" s="243" t="s">
        <v>489</v>
      </c>
      <c r="H208" s="232"/>
      <c r="I208" s="34" t="s">
        <v>1779</v>
      </c>
      <c r="J208" s="85"/>
      <c r="K208" s="85"/>
      <c r="L208" s="85"/>
      <c r="M208" s="85"/>
      <c r="N208" s="85"/>
      <c r="O208" s="2005"/>
      <c r="P208" s="256"/>
      <c r="Q208" s="256"/>
      <c r="R208" s="256"/>
      <c r="S208" s="256"/>
      <c r="T208" s="256"/>
      <c r="U208" s="256"/>
      <c r="V208" s="256"/>
      <c r="W208" s="256"/>
      <c r="X208" s="256"/>
      <c r="Y208" s="256"/>
      <c r="Z208" s="256"/>
      <c r="AA208" s="256"/>
      <c r="AB208" s="256"/>
      <c r="AC208" s="256"/>
      <c r="AD208" s="923"/>
      <c r="AE208" s="256"/>
      <c r="AF208" s="256"/>
      <c r="AG208" s="256"/>
      <c r="AH208" s="256"/>
      <c r="AI208" s="256"/>
      <c r="AJ208" s="256"/>
      <c r="AK208" s="256"/>
      <c r="AL208" s="256"/>
      <c r="AM208" s="256"/>
      <c r="AN208" s="256"/>
      <c r="AO208" s="256"/>
      <c r="AP208" s="256"/>
      <c r="AQ208" s="256"/>
      <c r="AR208" s="256"/>
      <c r="AS208" s="256"/>
      <c r="AT208" s="256"/>
      <c r="AU208" s="256"/>
      <c r="AV208" s="256"/>
      <c r="AW208" s="256"/>
      <c r="AX208" s="256"/>
      <c r="AY208" s="256"/>
      <c r="AZ208" s="256"/>
      <c r="BA208" s="256"/>
      <c r="BB208" s="256"/>
      <c r="BC208" s="256"/>
      <c r="BD208" s="44"/>
    </row>
    <row r="209" spans="1:56" ht="15.6">
      <c r="A209" s="55" t="s">
        <v>1778</v>
      </c>
      <c r="E209" s="55"/>
      <c r="G209" s="243" t="s">
        <v>644</v>
      </c>
      <c r="H209" s="232"/>
      <c r="I209" s="34"/>
      <c r="J209" s="85"/>
      <c r="K209" s="85"/>
      <c r="L209" s="85"/>
      <c r="M209" s="85"/>
      <c r="N209" s="85"/>
      <c r="O209" s="2005"/>
      <c r="P209" s="256"/>
      <c r="Q209" s="256"/>
      <c r="R209" s="256"/>
      <c r="S209" s="256"/>
      <c r="T209" s="256"/>
      <c r="U209" s="256"/>
      <c r="V209" s="256"/>
      <c r="W209" s="256"/>
      <c r="X209" s="256"/>
      <c r="Y209" s="256"/>
      <c r="Z209" s="256"/>
      <c r="AA209" s="256"/>
      <c r="AB209" s="256"/>
      <c r="AC209" s="256"/>
      <c r="AD209" s="923"/>
      <c r="AE209" s="256"/>
      <c r="AF209" s="256"/>
      <c r="AG209" s="256"/>
      <c r="AH209" s="256"/>
      <c r="AI209" s="256"/>
      <c r="AJ209" s="256"/>
      <c r="AK209" s="256"/>
      <c r="AL209" s="256"/>
      <c r="AM209" s="256"/>
      <c r="AN209" s="256"/>
      <c r="AO209" s="256"/>
      <c r="AP209" s="256"/>
      <c r="AQ209" s="256"/>
      <c r="AR209" s="256"/>
      <c r="AS209" s="256"/>
      <c r="AT209" s="256"/>
      <c r="AU209" s="256"/>
      <c r="AV209" s="256"/>
      <c r="AW209" s="256"/>
      <c r="AX209" s="256"/>
      <c r="AY209" s="256"/>
      <c r="AZ209" s="256"/>
      <c r="BA209" s="256"/>
      <c r="BB209" s="256"/>
      <c r="BC209" s="256"/>
      <c r="BD209" s="44"/>
    </row>
    <row r="210" spans="1:56" ht="15.6">
      <c r="A210" s="55" t="s">
        <v>1773</v>
      </c>
      <c r="E210" s="55"/>
      <c r="G210" s="243" t="s">
        <v>738</v>
      </c>
      <c r="H210" s="232"/>
      <c r="I210" s="34"/>
      <c r="J210" s="85"/>
      <c r="K210" s="85"/>
      <c r="L210" s="85"/>
      <c r="M210" s="85"/>
      <c r="N210" s="85"/>
      <c r="O210" s="2005"/>
      <c r="P210" s="256"/>
      <c r="Q210" s="256"/>
      <c r="R210" s="256"/>
      <c r="S210" s="256"/>
      <c r="T210" s="256"/>
      <c r="U210" s="256"/>
      <c r="V210" s="256"/>
      <c r="W210" s="256"/>
      <c r="X210" s="256"/>
      <c r="Y210" s="256"/>
      <c r="Z210" s="256"/>
      <c r="AA210" s="256"/>
      <c r="AB210" s="256"/>
      <c r="AC210" s="256"/>
      <c r="AD210" s="923"/>
      <c r="AE210" s="256"/>
      <c r="AF210" s="256"/>
      <c r="AG210" s="256"/>
      <c r="AH210" s="256"/>
      <c r="AI210" s="256"/>
      <c r="AJ210" s="256"/>
      <c r="AK210" s="256"/>
      <c r="AL210" s="256"/>
      <c r="AM210" s="256"/>
      <c r="AN210" s="256"/>
      <c r="AO210" s="256"/>
      <c r="AP210" s="256"/>
      <c r="AQ210" s="256"/>
      <c r="AR210" s="256"/>
      <c r="AS210" s="256"/>
      <c r="AT210" s="256"/>
      <c r="AU210" s="256"/>
      <c r="AV210" s="256"/>
      <c r="AW210" s="256"/>
      <c r="AX210" s="256"/>
      <c r="AY210" s="256"/>
      <c r="AZ210" s="256"/>
      <c r="BA210" s="256"/>
      <c r="BB210" s="256"/>
      <c r="BC210" s="256"/>
      <c r="BD210" s="44"/>
    </row>
    <row r="211" spans="1:56" ht="15.6">
      <c r="A211" s="55" t="s">
        <v>1774</v>
      </c>
      <c r="E211" s="55"/>
      <c r="G211" s="243" t="s">
        <v>419</v>
      </c>
      <c r="H211" s="232"/>
      <c r="I211" s="34" t="s">
        <v>1780</v>
      </c>
      <c r="J211" s="85"/>
      <c r="K211" s="85"/>
      <c r="L211" s="85"/>
      <c r="M211" s="85"/>
      <c r="N211" s="85"/>
      <c r="O211" s="2005"/>
      <c r="P211" s="256"/>
      <c r="Q211" s="256"/>
      <c r="R211" s="256"/>
      <c r="S211" s="256"/>
      <c r="T211" s="256"/>
      <c r="U211" s="256"/>
      <c r="V211" s="256"/>
      <c r="W211" s="256"/>
      <c r="X211" s="256"/>
      <c r="Y211" s="256"/>
      <c r="Z211" s="256"/>
      <c r="AA211" s="256"/>
      <c r="AB211" s="256"/>
      <c r="AC211" s="256"/>
      <c r="AD211" s="923"/>
      <c r="AE211" s="256"/>
      <c r="AF211" s="256"/>
      <c r="AG211" s="256"/>
      <c r="AH211" s="256"/>
      <c r="AI211" s="256"/>
      <c r="AJ211" s="256"/>
      <c r="AK211" s="256"/>
      <c r="AL211" s="256"/>
      <c r="AM211" s="256"/>
      <c r="AN211" s="256"/>
      <c r="AO211" s="256"/>
      <c r="AP211" s="256"/>
      <c r="AQ211" s="256"/>
      <c r="AR211" s="256"/>
      <c r="AS211" s="256"/>
      <c r="AT211" s="256"/>
      <c r="AU211" s="256"/>
      <c r="AV211" s="256"/>
      <c r="AW211" s="256"/>
      <c r="AX211" s="256"/>
      <c r="AY211" s="256"/>
      <c r="AZ211" s="256"/>
      <c r="BA211" s="256"/>
      <c r="BB211" s="256"/>
      <c r="BC211" s="256"/>
      <c r="BD211" s="44"/>
    </row>
    <row r="212" spans="1:56" ht="15.6">
      <c r="A212" s="55" t="s">
        <v>1766</v>
      </c>
      <c r="G212" s="243" t="s">
        <v>741</v>
      </c>
      <c r="H212" s="232"/>
      <c r="I212" s="34" t="s">
        <v>1767</v>
      </c>
      <c r="J212" s="85"/>
      <c r="K212" s="85"/>
      <c r="L212" s="85"/>
      <c r="M212" s="85"/>
      <c r="N212" s="85"/>
      <c r="O212" s="139"/>
      <c r="P212" s="256"/>
      <c r="Q212" s="256"/>
      <c r="R212" s="256"/>
      <c r="S212" s="256"/>
      <c r="T212" s="256"/>
      <c r="U212" s="256"/>
      <c r="V212" s="256"/>
      <c r="W212" s="256"/>
      <c r="X212" s="256"/>
      <c r="Y212" s="256"/>
      <c r="Z212" s="256"/>
      <c r="AA212" s="256"/>
      <c r="AB212" s="256"/>
      <c r="AC212" s="256"/>
      <c r="AD212" s="923"/>
      <c r="AE212" s="256"/>
      <c r="AF212" s="256"/>
      <c r="AG212" s="256"/>
      <c r="AH212" s="256"/>
      <c r="AI212" s="256"/>
      <c r="AJ212" s="256"/>
      <c r="AK212" s="256"/>
      <c r="AL212" s="256"/>
      <c r="AM212" s="256"/>
      <c r="AN212" s="256"/>
      <c r="AO212" s="256"/>
      <c r="AP212" s="256"/>
      <c r="AQ212" s="256"/>
      <c r="AR212" s="256"/>
      <c r="AS212" s="256"/>
      <c r="AT212" s="256"/>
      <c r="AU212" s="256"/>
      <c r="AV212" s="256"/>
      <c r="AW212" s="256"/>
      <c r="AX212" s="256"/>
      <c r="AY212" s="256"/>
      <c r="AZ212" s="256"/>
      <c r="BA212" s="256"/>
      <c r="BB212" s="256"/>
      <c r="BC212" s="256"/>
      <c r="BD212" s="44"/>
    </row>
    <row r="213" spans="1:56" ht="15.6">
      <c r="A213" s="55" t="s">
        <v>1770</v>
      </c>
      <c r="G213" s="243" t="s">
        <v>425</v>
      </c>
      <c r="H213" s="232"/>
      <c r="I213" s="34" t="s">
        <v>1768</v>
      </c>
      <c r="J213" s="85"/>
      <c r="K213" s="85"/>
      <c r="L213" s="85"/>
      <c r="M213" s="85"/>
      <c r="N213" s="85"/>
      <c r="O213" s="139"/>
      <c r="P213" s="256"/>
      <c r="Q213" s="256"/>
      <c r="R213" s="256"/>
      <c r="S213" s="256"/>
      <c r="T213" s="256"/>
      <c r="U213" s="256"/>
      <c r="V213" s="256"/>
      <c r="W213" s="256"/>
      <c r="X213" s="256"/>
      <c r="Y213" s="256"/>
      <c r="Z213" s="256"/>
      <c r="AA213" s="256"/>
      <c r="AB213" s="256"/>
      <c r="AC213" s="256"/>
      <c r="AD213" s="923"/>
      <c r="AE213" s="256"/>
      <c r="AF213" s="256"/>
      <c r="AG213" s="256"/>
      <c r="AH213" s="256"/>
      <c r="AI213" s="256"/>
      <c r="AJ213" s="256"/>
      <c r="AK213" s="256"/>
      <c r="AL213" s="256"/>
      <c r="AM213" s="256"/>
      <c r="AN213" s="256"/>
      <c r="AO213" s="256"/>
      <c r="AP213" s="256"/>
      <c r="AQ213" s="256"/>
      <c r="AR213" s="256"/>
      <c r="AS213" s="256"/>
      <c r="AT213" s="256"/>
      <c r="AU213" s="256"/>
      <c r="AV213" s="256"/>
      <c r="AW213" s="256"/>
      <c r="AX213" s="256"/>
      <c r="AY213" s="256"/>
      <c r="AZ213" s="256"/>
      <c r="BA213" s="256"/>
      <c r="BB213" s="256"/>
      <c r="BC213" s="256"/>
      <c r="BD213" s="44"/>
    </row>
    <row r="214" spans="1:56" ht="15.6">
      <c r="A214" s="55" t="s">
        <v>1775</v>
      </c>
      <c r="G214" s="243" t="s">
        <v>1781</v>
      </c>
      <c r="H214" s="232"/>
      <c r="I214" s="34" t="s">
        <v>1777</v>
      </c>
      <c r="J214" s="85"/>
      <c r="K214" s="85"/>
      <c r="L214" s="85"/>
      <c r="M214" s="85"/>
      <c r="N214" s="85"/>
      <c r="O214" s="2023"/>
      <c r="P214" s="256"/>
      <c r="Q214" s="256"/>
      <c r="R214" s="256"/>
      <c r="S214" s="256"/>
      <c r="T214" s="256"/>
      <c r="U214" s="256"/>
      <c r="V214" s="256"/>
      <c r="W214" s="256"/>
      <c r="X214" s="256"/>
      <c r="Y214" s="256"/>
      <c r="Z214" s="256"/>
      <c r="AA214" s="256"/>
      <c r="AB214" s="256"/>
      <c r="AC214" s="256"/>
      <c r="AD214" s="923"/>
      <c r="AE214" s="256"/>
      <c r="AF214" s="256"/>
      <c r="AG214" s="256"/>
      <c r="AH214" s="256"/>
      <c r="AI214" s="256"/>
      <c r="AJ214" s="256"/>
      <c r="AK214" s="256"/>
      <c r="AL214" s="256"/>
      <c r="AM214" s="256"/>
      <c r="AN214" s="256"/>
      <c r="AO214" s="256"/>
      <c r="AP214" s="256"/>
      <c r="AQ214" s="256"/>
      <c r="AR214" s="256"/>
      <c r="AS214" s="256"/>
      <c r="AT214" s="256"/>
      <c r="AU214" s="256"/>
      <c r="AV214" s="256"/>
      <c r="AW214" s="256"/>
      <c r="AX214" s="256"/>
      <c r="AY214" s="256"/>
      <c r="AZ214" s="256"/>
      <c r="BA214" s="256"/>
      <c r="BB214" s="256"/>
      <c r="BC214" s="256"/>
      <c r="BD214" s="44"/>
    </row>
    <row r="215" spans="1:56" ht="15.6">
      <c r="A215" s="55" t="s">
        <v>1771</v>
      </c>
      <c r="G215" s="243" t="s">
        <v>1769</v>
      </c>
      <c r="H215" s="232"/>
      <c r="I215" s="34" t="s">
        <v>1772</v>
      </c>
      <c r="J215" s="85"/>
      <c r="K215" s="85"/>
      <c r="L215" s="85"/>
      <c r="M215" s="85"/>
      <c r="N215" s="85"/>
      <c r="O215" s="139"/>
      <c r="P215" s="256"/>
      <c r="Q215" s="256"/>
      <c r="R215" s="256"/>
      <c r="S215" s="256"/>
      <c r="T215" s="256"/>
      <c r="U215" s="256"/>
      <c r="V215" s="256"/>
      <c r="W215" s="256"/>
      <c r="X215" s="256"/>
      <c r="Y215" s="256"/>
      <c r="Z215" s="256"/>
      <c r="AA215" s="256"/>
      <c r="AB215" s="256"/>
      <c r="AC215" s="256"/>
      <c r="AD215" s="923"/>
      <c r="AE215" s="256"/>
      <c r="AF215" s="256"/>
      <c r="AG215" s="256"/>
      <c r="AH215" s="256"/>
      <c r="AI215" s="256"/>
      <c r="AJ215" s="256"/>
      <c r="AK215" s="256"/>
      <c r="AL215" s="256"/>
      <c r="AM215" s="256"/>
      <c r="AN215" s="256"/>
      <c r="AO215" s="256"/>
      <c r="AP215" s="256"/>
      <c r="AQ215" s="256"/>
      <c r="AR215" s="256"/>
      <c r="AS215" s="256"/>
      <c r="AT215" s="256"/>
      <c r="AU215" s="256"/>
      <c r="AV215" s="256"/>
      <c r="AW215" s="256"/>
      <c r="AX215" s="256"/>
      <c r="AY215" s="256"/>
      <c r="AZ215" s="256"/>
      <c r="BA215" s="256"/>
      <c r="BB215" s="256"/>
      <c r="BC215" s="256"/>
      <c r="BD215" s="44"/>
    </row>
    <row r="216" spans="1:56" ht="15.6">
      <c r="A216" s="55" t="s">
        <v>1775</v>
      </c>
      <c r="G216" s="243" t="s">
        <v>1782</v>
      </c>
      <c r="H216" s="232"/>
      <c r="I216" s="34" t="s">
        <v>1776</v>
      </c>
      <c r="J216" s="85"/>
      <c r="K216" s="85"/>
      <c r="L216" s="85"/>
      <c r="M216" s="85"/>
      <c r="N216" s="85"/>
      <c r="O216" s="139"/>
      <c r="P216" s="256"/>
      <c r="Q216" s="256"/>
      <c r="R216" s="256"/>
      <c r="S216" s="256"/>
      <c r="T216" s="256"/>
      <c r="U216" s="256"/>
      <c r="V216" s="256"/>
      <c r="W216" s="256"/>
      <c r="X216" s="256"/>
      <c r="Y216" s="256"/>
      <c r="Z216" s="256"/>
      <c r="AA216" s="256"/>
      <c r="AB216" s="256"/>
      <c r="AC216" s="256"/>
      <c r="AD216" s="923"/>
      <c r="AE216" s="256"/>
      <c r="AF216" s="256"/>
      <c r="AG216" s="256"/>
      <c r="AH216" s="256"/>
      <c r="AI216" s="256"/>
      <c r="AJ216" s="256"/>
      <c r="AK216" s="256"/>
      <c r="AL216" s="256"/>
      <c r="AM216" s="256"/>
      <c r="AN216" s="256"/>
      <c r="AO216" s="256"/>
      <c r="AP216" s="256"/>
      <c r="AQ216" s="256"/>
      <c r="AR216" s="256"/>
      <c r="AS216" s="256"/>
      <c r="AT216" s="256"/>
      <c r="AU216" s="256"/>
      <c r="AV216" s="256"/>
      <c r="AW216" s="256"/>
      <c r="AX216" s="256"/>
      <c r="AY216" s="256"/>
      <c r="AZ216" s="256"/>
      <c r="BA216" s="256"/>
      <c r="BB216" s="256"/>
      <c r="BC216" s="256"/>
      <c r="BD216" s="44"/>
    </row>
    <row r="217" spans="1:56" ht="15.6">
      <c r="H217" s="232"/>
      <c r="I217" s="85"/>
      <c r="J217" s="85"/>
      <c r="K217" s="85"/>
      <c r="L217" s="85"/>
      <c r="M217" s="85"/>
      <c r="N217" s="85"/>
      <c r="O217" s="139"/>
      <c r="P217" s="256"/>
      <c r="Q217" s="256"/>
      <c r="R217" s="256"/>
      <c r="S217" s="256"/>
      <c r="T217" s="256"/>
      <c r="U217" s="256"/>
      <c r="V217" s="256"/>
      <c r="W217" s="256"/>
      <c r="X217" s="256"/>
      <c r="Y217" s="256"/>
      <c r="Z217" s="256"/>
      <c r="AA217" s="256"/>
      <c r="AB217" s="256"/>
      <c r="AC217" s="256"/>
      <c r="AD217" s="923"/>
      <c r="AE217" s="256"/>
      <c r="AF217" s="256"/>
      <c r="AG217" s="256"/>
      <c r="AH217" s="256"/>
      <c r="AI217" s="256"/>
      <c r="AJ217" s="256"/>
      <c r="AK217" s="256"/>
      <c r="AL217" s="256"/>
      <c r="AM217" s="256"/>
      <c r="AN217" s="256"/>
      <c r="AO217" s="256"/>
      <c r="AP217" s="256"/>
      <c r="AQ217" s="256"/>
      <c r="AR217" s="256"/>
      <c r="AS217" s="256"/>
      <c r="AT217" s="256"/>
      <c r="AU217" s="256"/>
      <c r="AV217" s="256"/>
      <c r="AW217" s="256"/>
      <c r="AX217" s="256"/>
      <c r="AY217" s="256"/>
      <c r="AZ217" s="256"/>
      <c r="BA217" s="256"/>
      <c r="BB217" s="256"/>
      <c r="BC217" s="256"/>
      <c r="BD217" s="44"/>
    </row>
    <row r="218" spans="1:56" ht="15.6">
      <c r="G218" s="51"/>
      <c r="H218" s="232">
        <v>126</v>
      </c>
      <c r="I218" s="261" t="s">
        <v>1016</v>
      </c>
      <c r="J218" s="261"/>
      <c r="K218" s="261"/>
      <c r="L218" s="261"/>
      <c r="M218" s="261"/>
      <c r="N218" s="261"/>
      <c r="O218" s="258">
        <v>1995</v>
      </c>
      <c r="P218" s="257">
        <v>1996</v>
      </c>
      <c r="Q218" s="257">
        <v>1997</v>
      </c>
      <c r="R218" s="257">
        <v>1998</v>
      </c>
      <c r="S218" s="257">
        <v>1999</v>
      </c>
      <c r="T218" s="257">
        <v>2000</v>
      </c>
      <c r="U218" s="257">
        <v>2001</v>
      </c>
      <c r="V218" s="257">
        <v>2002</v>
      </c>
      <c r="W218" s="257">
        <v>2003</v>
      </c>
      <c r="X218" s="257">
        <v>2004</v>
      </c>
      <c r="Y218" s="257">
        <v>2005</v>
      </c>
      <c r="Z218" s="257">
        <v>2006</v>
      </c>
      <c r="AA218" s="257">
        <v>2007</v>
      </c>
      <c r="AB218" s="257">
        <v>2008</v>
      </c>
      <c r="AC218" s="257">
        <v>2009</v>
      </c>
      <c r="AD218" s="257">
        <v>2010</v>
      </c>
      <c r="AE218" s="257">
        <v>2011</v>
      </c>
      <c r="AF218" s="257">
        <v>2012</v>
      </c>
      <c r="AG218" s="257">
        <v>2013</v>
      </c>
      <c r="AH218" s="257">
        <v>2014</v>
      </c>
      <c r="AI218" s="1085">
        <v>2015</v>
      </c>
      <c r="AJ218" s="1085">
        <v>2016</v>
      </c>
      <c r="AK218" s="1085">
        <v>2017</v>
      </c>
      <c r="AL218" s="1085">
        <v>2018</v>
      </c>
      <c r="AM218" s="1085">
        <v>2019</v>
      </c>
      <c r="AN218" s="1085">
        <v>2020</v>
      </c>
      <c r="AO218" s="1085">
        <v>2021</v>
      </c>
      <c r="AP218" s="1085">
        <v>2022</v>
      </c>
      <c r="AQ218" s="1085">
        <v>2023</v>
      </c>
      <c r="AR218" s="1085">
        <v>2024</v>
      </c>
      <c r="AS218" s="1085">
        <v>2025</v>
      </c>
      <c r="AT218" s="1085">
        <v>2026</v>
      </c>
      <c r="AU218" s="1085">
        <v>2027</v>
      </c>
      <c r="AV218" s="1085">
        <v>2028</v>
      </c>
      <c r="AW218" s="1085">
        <v>2029</v>
      </c>
      <c r="AX218" s="1085">
        <v>2030</v>
      </c>
      <c r="AY218" s="1085">
        <v>2031</v>
      </c>
      <c r="AZ218" s="1085">
        <v>2032</v>
      </c>
      <c r="BA218" s="1085">
        <v>2033</v>
      </c>
      <c r="BB218" s="1085">
        <v>2034</v>
      </c>
      <c r="BC218" s="1085">
        <v>2035</v>
      </c>
      <c r="BD218" s="44">
        <f t="shared" ref="BD218:BD257" si="106">G218</f>
        <v>0</v>
      </c>
    </row>
    <row r="219" spans="1:56" ht="15.6">
      <c r="A219" s="50" t="s">
        <v>1017</v>
      </c>
      <c r="B219" s="50"/>
      <c r="C219" s="50"/>
      <c r="D219" s="51"/>
      <c r="E219" s="51"/>
      <c r="G219" s="243" t="s">
        <v>748</v>
      </c>
      <c r="H219" s="232">
        <v>127</v>
      </c>
      <c r="I219" s="34" t="s">
        <v>1018</v>
      </c>
      <c r="J219" s="85"/>
      <c r="K219" s="85"/>
      <c r="L219" s="85"/>
      <c r="M219" s="85"/>
      <c r="N219" s="85"/>
      <c r="O219" s="251"/>
      <c r="P219" s="259"/>
      <c r="Q219" s="259"/>
      <c r="R219" s="259"/>
      <c r="S219" s="259"/>
      <c r="T219" s="259"/>
      <c r="U219" s="259"/>
      <c r="V219" s="259"/>
      <c r="W219" s="259"/>
      <c r="X219" s="259"/>
      <c r="Y219" s="259"/>
      <c r="Z219" s="259"/>
      <c r="AA219" s="259"/>
      <c r="AB219" s="259"/>
      <c r="AC219" s="259"/>
      <c r="AD219" s="259"/>
      <c r="AE219" s="259"/>
      <c r="AF219" s="259"/>
      <c r="AG219" s="259"/>
      <c r="AH219" s="259"/>
      <c r="AI219" s="1086"/>
      <c r="AJ219" s="1087"/>
      <c r="AK219" s="1087"/>
      <c r="AL219" s="1087"/>
      <c r="AM219" s="1087"/>
      <c r="AN219" s="1087"/>
      <c r="AO219" s="1087"/>
      <c r="AP219" s="1087"/>
      <c r="AQ219" s="1087"/>
      <c r="AR219" s="1087"/>
      <c r="AS219" s="1087"/>
      <c r="AT219" s="1087"/>
      <c r="AU219" s="1087"/>
      <c r="AV219" s="1087"/>
      <c r="AW219" s="1087"/>
      <c r="AX219" s="1087"/>
      <c r="AY219" s="1087"/>
      <c r="AZ219" s="1087"/>
      <c r="BA219" s="1087"/>
      <c r="BB219" s="1087"/>
      <c r="BC219" s="1087"/>
      <c r="BD219" s="1082" t="str">
        <f t="shared" si="106"/>
        <v>pW</v>
      </c>
    </row>
    <row r="220" spans="1:56" ht="15.6">
      <c r="A220" s="50" t="s">
        <v>1019</v>
      </c>
      <c r="B220" s="51"/>
      <c r="C220" s="51"/>
      <c r="D220" s="51"/>
      <c r="E220" s="51"/>
      <c r="G220" s="51" t="s">
        <v>713</v>
      </c>
      <c r="H220" s="232">
        <v>129</v>
      </c>
      <c r="I220" s="85" t="s">
        <v>1020</v>
      </c>
      <c r="J220" s="85"/>
      <c r="K220" s="85"/>
      <c r="L220" s="85"/>
      <c r="M220" s="85"/>
      <c r="N220" s="85"/>
      <c r="O220" s="251"/>
      <c r="P220" s="259"/>
      <c r="Q220" s="259"/>
      <c r="R220" s="259"/>
      <c r="S220" s="259"/>
      <c r="T220" s="259"/>
      <c r="U220" s="259"/>
      <c r="V220" s="259"/>
      <c r="W220" s="259"/>
      <c r="X220" s="259"/>
      <c r="Y220" s="259"/>
      <c r="Z220" s="259"/>
      <c r="AA220" s="259"/>
      <c r="AB220" s="259"/>
      <c r="AC220" s="259"/>
      <c r="AD220" s="259"/>
      <c r="AE220" s="259"/>
      <c r="AF220" s="259"/>
      <c r="AG220" s="259"/>
      <c r="AH220" s="259"/>
      <c r="AI220" s="259"/>
      <c r="AJ220" s="259"/>
      <c r="AK220" s="259"/>
      <c r="AL220" s="259"/>
      <c r="AM220" s="259"/>
      <c r="AN220" s="259"/>
      <c r="AO220" s="259"/>
      <c r="AP220" s="259"/>
      <c r="AQ220" s="259"/>
      <c r="AR220" s="259"/>
      <c r="AS220" s="259"/>
      <c r="AT220" s="259"/>
      <c r="AU220" s="259"/>
      <c r="AV220" s="259"/>
      <c r="AW220" s="259"/>
      <c r="AX220" s="259"/>
      <c r="AY220" s="259"/>
      <c r="AZ220" s="259"/>
      <c r="BA220" s="259"/>
      <c r="BB220" s="259"/>
      <c r="BC220" s="259"/>
      <c r="BD220" s="44" t="str">
        <f t="shared" si="106"/>
        <v>pX</v>
      </c>
    </row>
    <row r="221" spans="1:56" ht="15.6">
      <c r="A221" s="50" t="s">
        <v>1021</v>
      </c>
      <c r="B221" s="51"/>
      <c r="C221" s="51"/>
      <c r="D221" s="51"/>
      <c r="E221" s="51"/>
      <c r="G221" s="51" t="s">
        <v>1022</v>
      </c>
      <c r="H221" s="232">
        <v>130</v>
      </c>
      <c r="I221" s="85" t="s">
        <v>1023</v>
      </c>
      <c r="J221" s="85"/>
      <c r="K221" s="85"/>
      <c r="L221" s="85"/>
      <c r="M221" s="85"/>
      <c r="N221" s="85"/>
      <c r="O221" s="251"/>
      <c r="P221" s="259"/>
      <c r="Q221" s="259"/>
      <c r="R221" s="259"/>
      <c r="S221" s="259"/>
      <c r="T221" s="259"/>
      <c r="U221" s="259"/>
      <c r="V221" s="259"/>
      <c r="W221" s="259"/>
      <c r="X221" s="259"/>
      <c r="Y221" s="259"/>
      <c r="Z221" s="259"/>
      <c r="AA221" s="259"/>
      <c r="AB221" s="259"/>
      <c r="AC221" s="259"/>
      <c r="AD221" s="259"/>
      <c r="AE221" s="259"/>
      <c r="AF221" s="259"/>
      <c r="AG221" s="259"/>
      <c r="AH221" s="259"/>
      <c r="AI221" s="259"/>
      <c r="AJ221" s="259"/>
      <c r="AK221" s="259"/>
      <c r="AL221" s="259"/>
      <c r="AM221" s="259"/>
      <c r="AN221" s="259"/>
      <c r="AO221" s="259"/>
      <c r="AP221" s="259"/>
      <c r="AQ221" s="259"/>
      <c r="AR221" s="259"/>
      <c r="AS221" s="259"/>
      <c r="AT221" s="259"/>
      <c r="AU221" s="259"/>
      <c r="AV221" s="259"/>
      <c r="AW221" s="259"/>
      <c r="AX221" s="259"/>
      <c r="AY221" s="259"/>
      <c r="AZ221" s="259"/>
      <c r="BA221" s="259"/>
      <c r="BB221" s="259"/>
      <c r="BC221" s="259"/>
      <c r="BD221" s="44" t="str">
        <f t="shared" si="106"/>
        <v>pOX</v>
      </c>
    </row>
    <row r="222" spans="1:56" ht="15.6">
      <c r="A222" s="50" t="s">
        <v>1024</v>
      </c>
      <c r="B222" s="50"/>
      <c r="C222" s="50"/>
      <c r="D222" s="51"/>
      <c r="E222" s="51"/>
      <c r="G222" s="51" t="s">
        <v>722</v>
      </c>
      <c r="H222" s="232">
        <v>131</v>
      </c>
      <c r="I222" s="85" t="s">
        <v>1025</v>
      </c>
      <c r="J222" s="85"/>
      <c r="K222" s="85"/>
      <c r="L222" s="85"/>
      <c r="M222" s="85"/>
      <c r="N222" s="85"/>
      <c r="O222" s="251"/>
      <c r="P222" s="259"/>
      <c r="Q222" s="259"/>
      <c r="R222" s="259"/>
      <c r="S222" s="259"/>
      <c r="T222" s="259"/>
      <c r="U222" s="259"/>
      <c r="V222" s="259"/>
      <c r="W222" s="259"/>
      <c r="X222" s="259"/>
      <c r="Y222" s="259"/>
      <c r="Z222" s="259"/>
      <c r="AA222" s="259"/>
      <c r="AB222" s="259"/>
      <c r="AC222" s="259"/>
      <c r="AD222" s="259"/>
      <c r="AE222" s="259"/>
      <c r="AF222" s="259"/>
      <c r="AG222" s="259"/>
      <c r="AH222" s="259"/>
      <c r="AI222" s="259"/>
      <c r="AJ222" s="259"/>
      <c r="AK222" s="259"/>
      <c r="AL222" s="259"/>
      <c r="AM222" s="259"/>
      <c r="AN222" s="259"/>
      <c r="AO222" s="259"/>
      <c r="AP222" s="259"/>
      <c r="AQ222" s="259"/>
      <c r="AR222" s="259"/>
      <c r="AS222" s="259"/>
      <c r="AT222" s="259"/>
      <c r="AU222" s="259"/>
      <c r="AV222" s="259"/>
      <c r="AW222" s="259"/>
      <c r="AX222" s="259"/>
      <c r="AY222" s="259"/>
      <c r="AZ222" s="259"/>
      <c r="BA222" s="259"/>
      <c r="BB222" s="259"/>
      <c r="BC222" s="259"/>
      <c r="BD222" s="44" t="str">
        <f t="shared" si="106"/>
        <v>pZ</v>
      </c>
    </row>
    <row r="223" spans="1:56" ht="15.6">
      <c r="A223" s="50" t="s">
        <v>1026</v>
      </c>
      <c r="B223" s="50"/>
      <c r="C223" s="50"/>
      <c r="D223" s="51"/>
      <c r="E223" s="51"/>
      <c r="G223" s="51" t="s">
        <v>555</v>
      </c>
      <c r="H223" s="232">
        <v>132</v>
      </c>
      <c r="I223" s="85" t="s">
        <v>1027</v>
      </c>
      <c r="J223" s="85"/>
      <c r="K223" s="85"/>
      <c r="L223" s="85"/>
      <c r="M223" s="85"/>
      <c r="N223" s="85"/>
      <c r="O223" s="251"/>
      <c r="P223" s="259"/>
      <c r="Q223" s="259"/>
      <c r="R223" s="259"/>
      <c r="S223" s="259"/>
      <c r="T223" s="259"/>
      <c r="U223" s="259"/>
      <c r="V223" s="259"/>
      <c r="W223" s="259"/>
      <c r="X223" s="259"/>
      <c r="Y223" s="259"/>
      <c r="Z223" s="259"/>
      <c r="AA223" s="259"/>
      <c r="AB223" s="259"/>
      <c r="AC223" s="259"/>
      <c r="AD223" s="259"/>
      <c r="AE223" s="259"/>
      <c r="AF223" s="259"/>
      <c r="AG223" s="259"/>
      <c r="AH223" s="259"/>
      <c r="AI223" s="259"/>
      <c r="AJ223" s="259"/>
      <c r="AK223" s="259"/>
      <c r="AL223" s="259"/>
      <c r="AM223" s="259"/>
      <c r="AN223" s="259"/>
      <c r="AO223" s="259"/>
      <c r="AP223" s="259"/>
      <c r="AQ223" s="259"/>
      <c r="AR223" s="259"/>
      <c r="AS223" s="259"/>
      <c r="AT223" s="259"/>
      <c r="AU223" s="259"/>
      <c r="AV223" s="259"/>
      <c r="AW223" s="259"/>
      <c r="AX223" s="259"/>
      <c r="AY223" s="259"/>
      <c r="AZ223" s="259"/>
      <c r="BA223" s="259"/>
      <c r="BB223" s="259"/>
      <c r="BC223" s="259"/>
      <c r="BD223" s="44" t="str">
        <f t="shared" si="106"/>
        <v>pWN</v>
      </c>
    </row>
    <row r="224" spans="1:56" ht="15.6">
      <c r="A224" s="50" t="s">
        <v>1028</v>
      </c>
      <c r="B224" s="50"/>
      <c r="C224" s="50"/>
      <c r="D224" s="51"/>
      <c r="E224" s="51"/>
      <c r="G224" s="51" t="s">
        <v>1029</v>
      </c>
      <c r="H224" s="232">
        <v>133</v>
      </c>
      <c r="I224" s="34" t="s">
        <v>1256</v>
      </c>
      <c r="J224" s="85"/>
      <c r="K224" s="85"/>
      <c r="L224" s="85"/>
      <c r="M224" s="85"/>
      <c r="N224" s="85"/>
      <c r="O224" s="251"/>
      <c r="P224" s="259"/>
      <c r="Q224" s="259"/>
      <c r="R224" s="259"/>
      <c r="S224" s="259"/>
      <c r="T224" s="259"/>
      <c r="U224" s="259"/>
      <c r="V224" s="259"/>
      <c r="W224" s="259"/>
      <c r="X224" s="259"/>
      <c r="Y224" s="259"/>
      <c r="Z224" s="259"/>
      <c r="AA224" s="259"/>
      <c r="AB224" s="259"/>
      <c r="AC224" s="259"/>
      <c r="AD224" s="259"/>
      <c r="AE224" s="259"/>
      <c r="AF224" s="259"/>
      <c r="AG224" s="259"/>
      <c r="AH224" s="259"/>
      <c r="AI224" s="259"/>
      <c r="AJ224" s="259"/>
      <c r="AK224" s="259"/>
      <c r="AL224" s="259"/>
      <c r="AM224" s="259"/>
      <c r="AN224" s="259"/>
      <c r="AO224" s="259"/>
      <c r="AP224" s="259"/>
      <c r="AQ224" s="259"/>
      <c r="AR224" s="259"/>
      <c r="AS224" s="259"/>
      <c r="AT224" s="259"/>
      <c r="AU224" s="259"/>
      <c r="AV224" s="259"/>
      <c r="AW224" s="259"/>
      <c r="AX224" s="259"/>
      <c r="AY224" s="259"/>
      <c r="AZ224" s="259"/>
      <c r="BA224" s="259"/>
      <c r="BB224" s="259"/>
      <c r="BC224" s="259"/>
      <c r="BD224" s="44" t="str">
        <f t="shared" si="106"/>
        <v>pWNO</v>
      </c>
    </row>
    <row r="225" spans="1:56" ht="15.6">
      <c r="A225" s="50" t="s">
        <v>1030</v>
      </c>
      <c r="B225" s="50"/>
      <c r="C225" s="50"/>
      <c r="D225" s="51"/>
      <c r="E225" s="51"/>
      <c r="G225" s="51" t="s">
        <v>561</v>
      </c>
      <c r="H225" s="232">
        <v>134</v>
      </c>
      <c r="I225" s="85" t="s">
        <v>1031</v>
      </c>
      <c r="J225" s="85"/>
      <c r="K225" s="85"/>
      <c r="L225" s="85"/>
      <c r="M225" s="85"/>
      <c r="N225" s="85"/>
      <c r="O225" s="251"/>
      <c r="P225" s="259"/>
      <c r="Q225" s="259"/>
      <c r="R225" s="259"/>
      <c r="S225" s="259"/>
      <c r="T225" s="259"/>
      <c r="U225" s="259"/>
      <c r="V225" s="259"/>
      <c r="W225" s="259"/>
      <c r="X225" s="259"/>
      <c r="Y225" s="259"/>
      <c r="Z225" s="259"/>
      <c r="AA225" s="259"/>
      <c r="AB225" s="259"/>
      <c r="AC225" s="259"/>
      <c r="AD225" s="259"/>
      <c r="AE225" s="259"/>
      <c r="AF225" s="259"/>
      <c r="AG225" s="259"/>
      <c r="AH225" s="259"/>
      <c r="AI225" s="1083"/>
      <c r="AJ225" s="1084"/>
      <c r="AK225" s="1084"/>
      <c r="AL225" s="1084"/>
      <c r="AM225" s="1084"/>
      <c r="AN225" s="1084"/>
      <c r="AO225" s="1084"/>
      <c r="AP225" s="1084"/>
      <c r="AQ225" s="1084"/>
      <c r="AR225" s="1084"/>
      <c r="AS225" s="1084"/>
      <c r="AT225" s="1084"/>
      <c r="AU225" s="1084"/>
      <c r="AV225" s="1084"/>
      <c r="AW225" s="1084"/>
      <c r="AX225" s="1084"/>
      <c r="AY225" s="1084"/>
      <c r="AZ225" s="1084"/>
      <c r="BA225" s="1084"/>
      <c r="BB225" s="1084"/>
      <c r="BC225" s="1084"/>
      <c r="BD225" s="1082" t="str">
        <f t="shared" si="106"/>
        <v>pYD</v>
      </c>
    </row>
    <row r="226" spans="1:56" ht="15.6">
      <c r="A226" s="50" t="s">
        <v>1032</v>
      </c>
      <c r="B226" s="50"/>
      <c r="C226" s="50"/>
      <c r="D226" s="51"/>
      <c r="E226" s="51"/>
      <c r="G226" s="243" t="s">
        <v>1401</v>
      </c>
      <c r="H226" s="232">
        <v>135</v>
      </c>
      <c r="I226" s="34" t="s">
        <v>1579</v>
      </c>
      <c r="J226" s="85"/>
      <c r="K226" s="85"/>
      <c r="L226" s="85"/>
      <c r="M226" s="85"/>
      <c r="N226" s="85"/>
      <c r="O226" s="251"/>
      <c r="P226" s="259"/>
      <c r="Q226" s="259"/>
      <c r="R226" s="259"/>
      <c r="S226" s="259"/>
      <c r="T226" s="259"/>
      <c r="U226" s="259"/>
      <c r="V226" s="259"/>
      <c r="W226" s="259"/>
      <c r="X226" s="259"/>
      <c r="Y226" s="259"/>
      <c r="Z226" s="259"/>
      <c r="AA226" s="259"/>
      <c r="AB226" s="259"/>
      <c r="AC226" s="259"/>
      <c r="AD226" s="259"/>
      <c r="AE226" s="259"/>
      <c r="AF226" s="259"/>
      <c r="AG226" s="259"/>
      <c r="AH226" s="259"/>
      <c r="AI226" s="259"/>
      <c r="AJ226" s="259"/>
      <c r="AK226" s="259"/>
      <c r="AL226" s="259"/>
      <c r="AM226" s="259"/>
      <c r="AN226" s="259"/>
      <c r="AO226" s="259"/>
      <c r="AP226" s="259"/>
      <c r="AQ226" s="259"/>
      <c r="AR226" s="259"/>
      <c r="AS226" s="259"/>
      <c r="AT226" s="259"/>
      <c r="AU226" s="259"/>
      <c r="AV226" s="259"/>
      <c r="AW226" s="259"/>
      <c r="AX226" s="259"/>
      <c r="AY226" s="259"/>
      <c r="AZ226" s="259"/>
      <c r="BA226" s="259"/>
      <c r="BB226" s="259"/>
      <c r="BC226" s="259"/>
      <c r="BD226" s="44" t="str">
        <f t="shared" si="106"/>
        <v>pYGM</v>
      </c>
    </row>
    <row r="227" spans="1:56" ht="15.6">
      <c r="A227" s="50" t="s">
        <v>1033</v>
      </c>
      <c r="B227" s="50"/>
      <c r="C227" s="50"/>
      <c r="D227" s="51"/>
      <c r="E227" s="51"/>
      <c r="G227" s="51" t="s">
        <v>1034</v>
      </c>
      <c r="H227" s="232">
        <v>136</v>
      </c>
      <c r="I227" s="85" t="s">
        <v>1035</v>
      </c>
      <c r="J227" s="85"/>
      <c r="K227" s="85"/>
      <c r="L227" s="85"/>
      <c r="M227" s="85"/>
      <c r="N227" s="85"/>
      <c r="O227" s="251"/>
      <c r="P227" s="259"/>
      <c r="Q227" s="259"/>
      <c r="R227" s="259"/>
      <c r="S227" s="259"/>
      <c r="T227" s="259"/>
      <c r="U227" s="259"/>
      <c r="V227" s="259"/>
      <c r="W227" s="259"/>
      <c r="X227" s="259"/>
      <c r="Y227" s="259"/>
      <c r="Z227" s="259"/>
      <c r="AA227" s="259"/>
      <c r="AB227" s="259"/>
      <c r="AC227" s="259"/>
      <c r="AD227" s="259"/>
      <c r="AE227" s="259"/>
      <c r="AF227" s="259"/>
      <c r="AG227" s="259"/>
      <c r="AH227" s="259"/>
      <c r="AI227" s="259"/>
      <c r="AJ227" s="259"/>
      <c r="AK227" s="259"/>
      <c r="AL227" s="259"/>
      <c r="AM227" s="259"/>
      <c r="AN227" s="259"/>
      <c r="AO227" s="259"/>
      <c r="AP227" s="259"/>
      <c r="AQ227" s="259"/>
      <c r="AR227" s="259"/>
      <c r="AS227" s="259"/>
      <c r="AT227" s="259"/>
      <c r="AU227" s="259"/>
      <c r="AV227" s="259"/>
      <c r="AW227" s="259"/>
      <c r="AX227" s="259"/>
      <c r="AY227" s="259"/>
      <c r="AZ227" s="259"/>
      <c r="BA227" s="259"/>
      <c r="BB227" s="259"/>
      <c r="BC227" s="259"/>
      <c r="BD227" s="44" t="str">
        <f t="shared" si="106"/>
        <v>pNK</v>
      </c>
    </row>
    <row r="228" spans="1:56" ht="15.6">
      <c r="A228" s="50" t="s">
        <v>1036</v>
      </c>
      <c r="B228" s="50"/>
      <c r="C228" s="50"/>
      <c r="D228" s="51"/>
      <c r="E228" s="51"/>
      <c r="G228" s="51" t="s">
        <v>567</v>
      </c>
      <c r="H228" s="232">
        <v>137</v>
      </c>
      <c r="I228" s="85" t="s">
        <v>1037</v>
      </c>
      <c r="J228" s="85"/>
      <c r="K228" s="85"/>
      <c r="L228" s="85"/>
      <c r="M228" s="85"/>
      <c r="N228" s="85"/>
      <c r="O228" s="251"/>
      <c r="P228" s="259"/>
      <c r="Q228" s="259"/>
      <c r="R228" s="259"/>
      <c r="S228" s="259"/>
      <c r="T228" s="259"/>
      <c r="U228" s="259"/>
      <c r="V228" s="259"/>
      <c r="W228" s="259"/>
      <c r="X228" s="259"/>
      <c r="Y228" s="259"/>
      <c r="Z228" s="259"/>
      <c r="AA228" s="259"/>
      <c r="AB228" s="259"/>
      <c r="AC228" s="259"/>
      <c r="AD228" s="259"/>
      <c r="AE228" s="259"/>
      <c r="AF228" s="259"/>
      <c r="AG228" s="259"/>
      <c r="AH228" s="259"/>
      <c r="AI228" s="259"/>
      <c r="AJ228" s="259"/>
      <c r="AK228" s="259"/>
      <c r="AL228" s="259"/>
      <c r="AM228" s="259"/>
      <c r="AN228" s="259"/>
      <c r="AO228" s="259"/>
      <c r="AP228" s="259"/>
      <c r="AQ228" s="259"/>
      <c r="AR228" s="259"/>
      <c r="AS228" s="259"/>
      <c r="AT228" s="259"/>
      <c r="AU228" s="259"/>
      <c r="AV228" s="259"/>
      <c r="AW228" s="259"/>
      <c r="AX228" s="259"/>
      <c r="AY228" s="259"/>
      <c r="AZ228" s="259"/>
      <c r="BA228" s="259"/>
      <c r="BB228" s="259"/>
      <c r="BC228" s="259"/>
      <c r="BD228" s="44" t="str">
        <f t="shared" si="106"/>
        <v>pEX</v>
      </c>
    </row>
    <row r="229" spans="1:56" ht="15.6">
      <c r="A229" s="50" t="s">
        <v>1038</v>
      </c>
      <c r="B229" s="50"/>
      <c r="C229" s="50"/>
      <c r="D229" s="51"/>
      <c r="E229" s="51"/>
      <c r="G229" s="51" t="s">
        <v>569</v>
      </c>
      <c r="H229" s="232">
        <v>138</v>
      </c>
      <c r="I229" s="85" t="s">
        <v>1039</v>
      </c>
      <c r="J229" s="85"/>
      <c r="K229" s="85"/>
      <c r="L229" s="85"/>
      <c r="M229" s="85"/>
      <c r="N229" s="85"/>
      <c r="O229" s="139"/>
      <c r="P229" s="259"/>
      <c r="Q229" s="259"/>
      <c r="R229" s="259"/>
      <c r="S229" s="259"/>
      <c r="T229" s="259"/>
      <c r="U229" s="259"/>
      <c r="V229" s="259"/>
      <c r="W229" s="259"/>
      <c r="X229" s="259"/>
      <c r="Y229" s="259"/>
      <c r="Z229" s="259"/>
      <c r="AA229" s="259"/>
      <c r="AB229" s="259"/>
      <c r="AC229" s="259"/>
      <c r="AD229" s="259"/>
      <c r="AE229" s="259"/>
      <c r="AF229" s="259"/>
      <c r="AG229" s="259"/>
      <c r="AH229" s="259"/>
      <c r="AI229" s="259"/>
      <c r="AJ229" s="259"/>
      <c r="AK229" s="259"/>
      <c r="AL229" s="259"/>
      <c r="AM229" s="259"/>
      <c r="AN229" s="259"/>
      <c r="AO229" s="259"/>
      <c r="AP229" s="259"/>
      <c r="AQ229" s="259"/>
      <c r="AR229" s="259"/>
      <c r="AS229" s="259"/>
      <c r="AT229" s="259"/>
      <c r="AU229" s="259"/>
      <c r="AV229" s="259"/>
      <c r="AW229" s="259"/>
      <c r="AX229" s="259"/>
      <c r="AY229" s="259"/>
      <c r="AZ229" s="259"/>
      <c r="BA229" s="259"/>
      <c r="BB229" s="259"/>
      <c r="BC229" s="259"/>
      <c r="BD229" s="44" t="str">
        <f t="shared" si="106"/>
        <v>pIM</v>
      </c>
    </row>
    <row r="230" spans="1:56" ht="15.6">
      <c r="A230" s="50" t="s">
        <v>1040</v>
      </c>
      <c r="B230" s="50"/>
      <c r="C230" s="50"/>
      <c r="D230" s="51"/>
      <c r="E230" s="51"/>
      <c r="G230" s="51" t="s">
        <v>572</v>
      </c>
      <c r="H230" s="232">
        <v>139</v>
      </c>
      <c r="I230" s="85" t="s">
        <v>1041</v>
      </c>
      <c r="J230" s="85"/>
      <c r="K230" s="85"/>
      <c r="L230" s="85"/>
      <c r="M230" s="85"/>
      <c r="N230" s="85"/>
      <c r="O230" s="139"/>
      <c r="P230" s="259"/>
      <c r="Q230" s="259"/>
      <c r="R230" s="259"/>
      <c r="S230" s="259"/>
      <c r="T230" s="259"/>
      <c r="U230" s="259"/>
      <c r="V230" s="259"/>
      <c r="W230" s="259"/>
      <c r="X230" s="259"/>
      <c r="Y230" s="259"/>
      <c r="Z230" s="259"/>
      <c r="AA230" s="259"/>
      <c r="AB230" s="259"/>
      <c r="AC230" s="259"/>
      <c r="AD230" s="259"/>
      <c r="AE230" s="259"/>
      <c r="AF230" s="259"/>
      <c r="AG230" s="259"/>
      <c r="AH230" s="259"/>
      <c r="AI230" s="259"/>
      <c r="AJ230" s="259"/>
      <c r="AK230" s="259"/>
      <c r="AL230" s="259"/>
      <c r="AM230" s="259"/>
      <c r="AN230" s="259"/>
      <c r="AO230" s="259"/>
      <c r="AP230" s="259"/>
      <c r="AQ230" s="259"/>
      <c r="AR230" s="259"/>
      <c r="AS230" s="259"/>
      <c r="AT230" s="259"/>
      <c r="AU230" s="259"/>
      <c r="AV230" s="259"/>
      <c r="AW230" s="259"/>
      <c r="AX230" s="259"/>
      <c r="AY230" s="259"/>
      <c r="AZ230" s="259"/>
      <c r="BA230" s="259"/>
      <c r="BB230" s="259"/>
      <c r="BC230" s="259"/>
      <c r="BD230" s="44" t="str">
        <f t="shared" si="106"/>
        <v>pIN</v>
      </c>
    </row>
    <row r="231" spans="1:56" ht="15.6">
      <c r="A231" s="50"/>
      <c r="B231" s="50"/>
      <c r="C231" s="50"/>
      <c r="D231" s="51"/>
      <c r="E231" s="51"/>
      <c r="G231" s="51"/>
      <c r="H231" s="232">
        <v>140</v>
      </c>
      <c r="I231" s="85"/>
      <c r="J231" s="85"/>
      <c r="K231" s="85"/>
      <c r="L231" s="85"/>
      <c r="M231" s="85"/>
      <c r="N231" s="85"/>
      <c r="O231" s="139"/>
      <c r="P231" s="259"/>
      <c r="Q231" s="259"/>
      <c r="R231" s="259"/>
      <c r="S231" s="259"/>
      <c r="T231" s="259"/>
      <c r="U231" s="259"/>
      <c r="V231" s="259"/>
      <c r="W231" s="259"/>
      <c r="X231" s="259"/>
      <c r="Y231" s="259"/>
      <c r="Z231" s="259"/>
      <c r="AA231" s="259"/>
      <c r="AB231" s="259"/>
      <c r="AC231" s="259"/>
      <c r="AD231" s="259"/>
      <c r="AE231" s="259"/>
      <c r="AF231" s="259"/>
      <c r="AG231" s="259"/>
      <c r="AH231" s="259"/>
      <c r="AI231" s="259"/>
      <c r="AJ231" s="259"/>
      <c r="AK231" s="259"/>
      <c r="AL231" s="259"/>
      <c r="AM231" s="259"/>
      <c r="AN231" s="259"/>
      <c r="AO231" s="259"/>
      <c r="AP231" s="259"/>
      <c r="AQ231" s="259"/>
      <c r="AR231" s="259"/>
      <c r="AS231" s="259"/>
      <c r="AT231" s="259"/>
      <c r="AU231" s="259"/>
      <c r="AV231" s="259"/>
      <c r="AW231" s="259"/>
      <c r="AX231" s="259"/>
      <c r="AY231" s="259"/>
      <c r="AZ231" s="259"/>
      <c r="BA231" s="259"/>
      <c r="BB231" s="259"/>
      <c r="BC231" s="259"/>
      <c r="BD231" s="44">
        <f t="shared" si="106"/>
        <v>0</v>
      </c>
    </row>
    <row r="232" spans="1:56" ht="15.6">
      <c r="G232" s="51"/>
      <c r="H232" s="232">
        <v>141</v>
      </c>
      <c r="I232" s="85"/>
      <c r="J232" s="85"/>
      <c r="K232" s="85"/>
      <c r="L232" s="85"/>
      <c r="M232" s="85"/>
      <c r="N232" s="85"/>
      <c r="O232" s="139"/>
      <c r="P232" s="51"/>
      <c r="Q232" s="51"/>
      <c r="R232" s="51"/>
      <c r="S232" s="259"/>
      <c r="T232" s="259"/>
      <c r="U232" s="259"/>
      <c r="V232" s="259"/>
      <c r="W232" s="259"/>
      <c r="X232" s="259"/>
      <c r="Y232" s="259"/>
      <c r="Z232" s="259"/>
      <c r="AA232" s="51"/>
      <c r="AB232" s="51"/>
      <c r="AC232" s="51"/>
      <c r="AD232" s="259"/>
      <c r="AE232" s="51"/>
      <c r="AF232" s="51"/>
      <c r="AG232" s="51"/>
      <c r="AH232" s="51"/>
      <c r="AI232" s="51"/>
      <c r="AJ232" s="51"/>
      <c r="AK232" s="51"/>
      <c r="AL232" s="51"/>
      <c r="AM232" s="51"/>
      <c r="AN232" s="51"/>
      <c r="AO232" s="51"/>
      <c r="AP232" s="51"/>
      <c r="AQ232" s="51"/>
      <c r="AR232" s="51"/>
      <c r="AS232" s="51"/>
      <c r="AT232" s="51"/>
      <c r="AU232" s="51"/>
      <c r="AV232" s="51"/>
      <c r="AW232" s="51"/>
      <c r="AX232" s="51"/>
      <c r="AY232" s="51"/>
      <c r="AZ232" s="51"/>
      <c r="BA232" s="51"/>
      <c r="BB232" s="51"/>
      <c r="BC232" s="51"/>
      <c r="BD232" s="44">
        <f t="shared" si="106"/>
        <v>0</v>
      </c>
    </row>
    <row r="233" spans="1:56" ht="15.6">
      <c r="G233" s="51"/>
      <c r="H233" s="232">
        <v>142</v>
      </c>
      <c r="I233" s="261" t="s">
        <v>1042</v>
      </c>
      <c r="J233" s="261"/>
      <c r="K233" s="261"/>
      <c r="L233" s="261"/>
      <c r="M233" s="261"/>
      <c r="N233" s="261"/>
      <c r="O233" s="139"/>
      <c r="P233" s="51"/>
      <c r="Q233" s="51"/>
      <c r="R233" s="51"/>
      <c r="S233" s="259"/>
      <c r="T233" s="259"/>
      <c r="U233" s="259"/>
      <c r="V233" s="259"/>
      <c r="W233" s="259"/>
      <c r="X233" s="259"/>
      <c r="Y233" s="259"/>
      <c r="Z233" s="259"/>
      <c r="AA233" s="51"/>
      <c r="AB233" s="51"/>
      <c r="AC233" s="51"/>
      <c r="AD233" s="259"/>
      <c r="AE233" s="51"/>
      <c r="AF233" s="51"/>
      <c r="AG233" s="51"/>
      <c r="AH233" s="51"/>
      <c r="AI233" s="51"/>
      <c r="AJ233" s="51"/>
      <c r="AK233" s="51"/>
      <c r="AL233" s="51"/>
      <c r="AM233" s="51"/>
      <c r="AN233" s="51"/>
      <c r="AO233" s="51"/>
      <c r="AP233" s="51"/>
      <c r="AQ233" s="51"/>
      <c r="AR233" s="51"/>
      <c r="AS233" s="51"/>
      <c r="AT233" s="51"/>
      <c r="AU233" s="51"/>
      <c r="AV233" s="51"/>
      <c r="AW233" s="51"/>
      <c r="AX233" s="51"/>
      <c r="AY233" s="51"/>
      <c r="AZ233" s="51"/>
      <c r="BA233" s="51"/>
      <c r="BB233" s="51"/>
      <c r="BC233" s="51"/>
      <c r="BD233" s="44">
        <f t="shared" si="106"/>
        <v>0</v>
      </c>
    </row>
    <row r="234" spans="1:56" ht="15.6">
      <c r="A234" s="50" t="s">
        <v>1043</v>
      </c>
      <c r="B234" s="50"/>
      <c r="C234" s="50"/>
      <c r="D234" s="51"/>
      <c r="E234" s="51"/>
      <c r="G234" s="243" t="s">
        <v>1045</v>
      </c>
      <c r="H234" s="232">
        <v>143</v>
      </c>
      <c r="I234" s="34" t="s">
        <v>1580</v>
      </c>
      <c r="J234" s="85"/>
      <c r="K234" s="85"/>
      <c r="L234" s="85"/>
      <c r="M234" s="85"/>
      <c r="N234" s="85"/>
      <c r="O234" s="139"/>
      <c r="P234" s="259"/>
      <c r="Q234" s="259"/>
      <c r="R234" s="259"/>
      <c r="S234" s="259"/>
      <c r="T234" s="259"/>
      <c r="U234" s="259"/>
      <c r="V234" s="259"/>
      <c r="W234" s="259"/>
      <c r="X234" s="259"/>
      <c r="Y234" s="259"/>
      <c r="Z234" s="259"/>
      <c r="AA234" s="259"/>
      <c r="AB234" s="259"/>
      <c r="AC234" s="259"/>
      <c r="AD234" s="259"/>
      <c r="AE234" s="259"/>
      <c r="AF234" s="259"/>
      <c r="AG234" s="259"/>
      <c r="AH234" s="259"/>
      <c r="AI234" s="259"/>
      <c r="AJ234" s="259"/>
      <c r="AK234" s="259"/>
      <c r="AL234" s="259"/>
      <c r="AM234" s="259"/>
      <c r="AN234" s="259"/>
      <c r="AO234" s="259"/>
      <c r="AP234" s="259"/>
      <c r="AQ234" s="259"/>
      <c r="AR234" s="259"/>
      <c r="AS234" s="259"/>
      <c r="AT234" s="259"/>
      <c r="AU234" s="259"/>
      <c r="AV234" s="259"/>
      <c r="AW234" s="259"/>
      <c r="AX234" s="259"/>
      <c r="AY234" s="259"/>
      <c r="AZ234" s="259"/>
      <c r="BA234" s="259"/>
      <c r="BB234" s="259"/>
      <c r="BC234" s="259"/>
      <c r="BD234" s="44" t="str">
        <f t="shared" si="106"/>
        <v>dW</v>
      </c>
    </row>
    <row r="235" spans="1:56" ht="15.6">
      <c r="A235" s="50" t="s">
        <v>1044</v>
      </c>
      <c r="B235" s="50"/>
      <c r="C235" s="50"/>
      <c r="D235" s="51"/>
      <c r="E235" s="51"/>
      <c r="G235" s="51"/>
      <c r="H235" s="232"/>
      <c r="I235" s="85"/>
      <c r="J235" s="85"/>
      <c r="K235" s="85"/>
      <c r="L235" s="85"/>
      <c r="M235" s="85"/>
      <c r="N235" s="85"/>
      <c r="O235" s="139"/>
      <c r="P235" s="259"/>
      <c r="Q235" s="259"/>
      <c r="R235" s="259"/>
      <c r="S235" s="259"/>
      <c r="T235" s="259"/>
      <c r="U235" s="259"/>
      <c r="V235" s="259"/>
      <c r="W235" s="259"/>
      <c r="X235" s="259"/>
      <c r="Y235" s="259"/>
      <c r="Z235" s="259"/>
      <c r="AA235" s="259"/>
      <c r="AB235" s="259"/>
      <c r="AC235" s="259"/>
      <c r="AD235" s="259"/>
      <c r="AE235" s="259"/>
      <c r="AF235" s="259"/>
      <c r="AG235" s="259"/>
      <c r="AH235" s="259"/>
      <c r="AI235" s="259"/>
      <c r="AJ235" s="259"/>
      <c r="AK235" s="259"/>
      <c r="AL235" s="259"/>
      <c r="AM235" s="259"/>
      <c r="AN235" s="259"/>
      <c r="AO235" s="259"/>
      <c r="AP235" s="259"/>
      <c r="AQ235" s="259"/>
      <c r="AR235" s="259"/>
      <c r="AS235" s="259"/>
      <c r="AT235" s="259"/>
      <c r="AU235" s="259"/>
      <c r="AV235" s="259"/>
      <c r="AW235" s="259"/>
      <c r="AX235" s="259"/>
      <c r="AY235" s="259"/>
      <c r="AZ235" s="259"/>
      <c r="BA235" s="259"/>
      <c r="BB235" s="259"/>
      <c r="BC235" s="259"/>
      <c r="BD235" s="44">
        <f t="shared" si="106"/>
        <v>0</v>
      </c>
    </row>
    <row r="236" spans="1:56" ht="15.6">
      <c r="A236" s="50" t="s">
        <v>1046</v>
      </c>
      <c r="B236" s="51"/>
      <c r="C236" s="51"/>
      <c r="D236" s="51"/>
      <c r="E236" s="51"/>
      <c r="G236" s="51" t="s">
        <v>1047</v>
      </c>
      <c r="H236" s="232">
        <v>145</v>
      </c>
      <c r="I236" s="85" t="s">
        <v>1048</v>
      </c>
      <c r="J236" s="85"/>
      <c r="K236" s="85"/>
      <c r="L236" s="85"/>
      <c r="M236" s="85"/>
      <c r="N236" s="85"/>
      <c r="O236" s="139"/>
      <c r="P236" s="259"/>
      <c r="Q236" s="259"/>
      <c r="R236" s="259"/>
      <c r="S236" s="259"/>
      <c r="T236" s="259"/>
      <c r="U236" s="259"/>
      <c r="V236" s="259"/>
      <c r="W236" s="259"/>
      <c r="X236" s="259"/>
      <c r="Y236" s="259"/>
      <c r="Z236" s="259"/>
      <c r="AA236" s="259"/>
      <c r="AB236" s="259"/>
      <c r="AC236" s="259"/>
      <c r="AD236" s="259"/>
      <c r="AE236" s="259"/>
      <c r="AF236" s="259"/>
      <c r="AG236" s="259"/>
      <c r="AH236" s="259"/>
      <c r="AI236" s="259"/>
      <c r="AJ236" s="259"/>
      <c r="AK236" s="259"/>
      <c r="AL236" s="259"/>
      <c r="AM236" s="259"/>
      <c r="AN236" s="259"/>
      <c r="AO236" s="259"/>
      <c r="AP236" s="259"/>
      <c r="AQ236" s="259"/>
      <c r="AR236" s="259"/>
      <c r="AS236" s="259"/>
      <c r="AT236" s="259"/>
      <c r="AU236" s="259"/>
      <c r="AV236" s="259"/>
      <c r="AW236" s="259"/>
      <c r="AX236" s="259"/>
      <c r="AY236" s="259"/>
      <c r="AZ236" s="259"/>
      <c r="BA236" s="259"/>
      <c r="BB236" s="259"/>
      <c r="BC236" s="259"/>
      <c r="BD236" s="44" t="str">
        <f t="shared" si="106"/>
        <v>dX</v>
      </c>
    </row>
    <row r="237" spans="1:56" ht="15.6">
      <c r="A237" s="50" t="s">
        <v>1049</v>
      </c>
      <c r="B237" s="51"/>
      <c r="C237" s="51"/>
      <c r="D237" s="51"/>
      <c r="E237" s="51"/>
      <c r="G237" s="51" t="s">
        <v>1050</v>
      </c>
      <c r="H237" s="232">
        <v>146</v>
      </c>
      <c r="I237" s="85" t="s">
        <v>1051</v>
      </c>
      <c r="J237" s="85"/>
      <c r="K237" s="85"/>
      <c r="L237" s="85"/>
      <c r="M237" s="85"/>
      <c r="N237" s="85"/>
      <c r="O237" s="139"/>
      <c r="P237" s="259"/>
      <c r="Q237" s="259"/>
      <c r="R237" s="259"/>
      <c r="S237" s="259"/>
      <c r="T237" s="259"/>
      <c r="U237" s="259"/>
      <c r="V237" s="259"/>
      <c r="W237" s="259"/>
      <c r="X237" s="259"/>
      <c r="Y237" s="259"/>
      <c r="Z237" s="259"/>
      <c r="AA237" s="259"/>
      <c r="AB237" s="259"/>
      <c r="AC237" s="259"/>
      <c r="AD237" s="259"/>
      <c r="AE237" s="259"/>
      <c r="AF237" s="259"/>
      <c r="AG237" s="259"/>
      <c r="AH237" s="259"/>
      <c r="AI237" s="259"/>
      <c r="AJ237" s="259"/>
      <c r="AK237" s="259"/>
      <c r="AL237" s="259"/>
      <c r="AM237" s="259"/>
      <c r="AN237" s="259"/>
      <c r="AO237" s="259"/>
      <c r="AP237" s="259"/>
      <c r="AQ237" s="259"/>
      <c r="AR237" s="259"/>
      <c r="AS237" s="259"/>
      <c r="AT237" s="259"/>
      <c r="AU237" s="259"/>
      <c r="AV237" s="259"/>
      <c r="AW237" s="259"/>
      <c r="AX237" s="259"/>
      <c r="AY237" s="259"/>
      <c r="AZ237" s="259"/>
      <c r="BA237" s="259"/>
      <c r="BB237" s="259"/>
      <c r="BC237" s="259"/>
      <c r="BD237" s="44" t="str">
        <f t="shared" si="106"/>
        <v>dXO</v>
      </c>
    </row>
    <row r="238" spans="1:56" ht="15.6">
      <c r="A238" s="50" t="s">
        <v>1052</v>
      </c>
      <c r="B238" s="50"/>
      <c r="C238" s="50"/>
      <c r="D238" s="51"/>
      <c r="E238" s="51"/>
      <c r="G238" s="51" t="s">
        <v>1053</v>
      </c>
      <c r="H238" s="232">
        <v>147</v>
      </c>
      <c r="I238" s="85" t="s">
        <v>1054</v>
      </c>
      <c r="J238" s="85"/>
      <c r="K238" s="85"/>
      <c r="L238" s="85"/>
      <c r="M238" s="85"/>
      <c r="N238" s="85"/>
      <c r="O238" s="139"/>
      <c r="P238" s="259"/>
      <c r="Q238" s="259"/>
      <c r="R238" s="259"/>
      <c r="S238" s="259"/>
      <c r="T238" s="259"/>
      <c r="U238" s="259"/>
      <c r="V238" s="259"/>
      <c r="W238" s="259"/>
      <c r="X238" s="259"/>
      <c r="Y238" s="259"/>
      <c r="Z238" s="259"/>
      <c r="AA238" s="259"/>
      <c r="AB238" s="259"/>
      <c r="AC238" s="259"/>
      <c r="AD238" s="259"/>
      <c r="AE238" s="259"/>
      <c r="AF238" s="259"/>
      <c r="AG238" s="259"/>
      <c r="AH238" s="259"/>
      <c r="AI238" s="259"/>
      <c r="AJ238" s="259"/>
      <c r="AK238" s="259"/>
      <c r="AL238" s="259"/>
      <c r="AM238" s="259"/>
      <c r="AN238" s="259"/>
      <c r="AO238" s="259"/>
      <c r="AP238" s="259"/>
      <c r="AQ238" s="259"/>
      <c r="AR238" s="259"/>
      <c r="AS238" s="259"/>
      <c r="AT238" s="259"/>
      <c r="AU238" s="259"/>
      <c r="AV238" s="259"/>
      <c r="AW238" s="259"/>
      <c r="AX238" s="259"/>
      <c r="AY238" s="259"/>
      <c r="AZ238" s="259"/>
      <c r="BA238" s="259"/>
      <c r="BB238" s="259"/>
      <c r="BC238" s="259"/>
      <c r="BD238" s="44" t="str">
        <f t="shared" si="106"/>
        <v>dZ</v>
      </c>
    </row>
    <row r="239" spans="1:56" ht="15.6">
      <c r="A239" s="50" t="s">
        <v>1055</v>
      </c>
      <c r="B239" s="50"/>
      <c r="C239" s="50"/>
      <c r="D239" s="51"/>
      <c r="E239" s="51"/>
      <c r="G239" s="51" t="s">
        <v>1056</v>
      </c>
      <c r="H239" s="232">
        <v>148</v>
      </c>
      <c r="I239" s="85" t="s">
        <v>1057</v>
      </c>
      <c r="J239" s="85"/>
      <c r="K239" s="85"/>
      <c r="L239" s="85"/>
      <c r="M239" s="85"/>
      <c r="N239" s="85"/>
      <c r="O239" s="139"/>
      <c r="P239" s="259"/>
      <c r="Q239" s="259"/>
      <c r="R239" s="259"/>
      <c r="S239" s="259"/>
      <c r="T239" s="259"/>
      <c r="U239" s="259"/>
      <c r="V239" s="259"/>
      <c r="W239" s="259"/>
      <c r="X239" s="259"/>
      <c r="Y239" s="259"/>
      <c r="Z239" s="259"/>
      <c r="AA239" s="259"/>
      <c r="AB239" s="259"/>
      <c r="AC239" s="259"/>
      <c r="AD239" s="259"/>
      <c r="AE239" s="259"/>
      <c r="AF239" s="259"/>
      <c r="AG239" s="259"/>
      <c r="AH239" s="259"/>
      <c r="AI239" s="259"/>
      <c r="AJ239" s="259"/>
      <c r="AK239" s="259"/>
      <c r="AL239" s="259"/>
      <c r="AM239" s="259"/>
      <c r="AN239" s="259"/>
      <c r="AO239" s="259"/>
      <c r="AP239" s="259"/>
      <c r="AQ239" s="259"/>
      <c r="AR239" s="259"/>
      <c r="AS239" s="259"/>
      <c r="AT239" s="259"/>
      <c r="AU239" s="259"/>
      <c r="AV239" s="259"/>
      <c r="AW239" s="259"/>
      <c r="AX239" s="259"/>
      <c r="AY239" s="259"/>
      <c r="AZ239" s="259"/>
      <c r="BA239" s="259"/>
      <c r="BB239" s="259"/>
      <c r="BC239" s="259"/>
      <c r="BD239" s="44" t="str">
        <f t="shared" si="106"/>
        <v>dWN</v>
      </c>
    </row>
    <row r="240" spans="1:56" ht="15.6">
      <c r="A240" s="50" t="s">
        <v>1058</v>
      </c>
      <c r="B240" s="50"/>
      <c r="C240" s="50"/>
      <c r="D240" s="51"/>
      <c r="E240" s="51"/>
      <c r="G240" s="51" t="s">
        <v>1059</v>
      </c>
      <c r="H240" s="232">
        <v>149</v>
      </c>
      <c r="I240" s="85" t="s">
        <v>1060</v>
      </c>
      <c r="J240" s="85"/>
      <c r="K240" s="85"/>
      <c r="L240" s="85"/>
      <c r="M240" s="85"/>
      <c r="N240" s="85"/>
      <c r="O240" s="139"/>
      <c r="P240" s="259"/>
      <c r="Q240" s="259"/>
      <c r="R240" s="259"/>
      <c r="S240" s="259"/>
      <c r="T240" s="259"/>
      <c r="U240" s="259"/>
      <c r="V240" s="259"/>
      <c r="W240" s="259"/>
      <c r="X240" s="259"/>
      <c r="Y240" s="259"/>
      <c r="Z240" s="259"/>
      <c r="AA240" s="259"/>
      <c r="AB240" s="259"/>
      <c r="AC240" s="259"/>
      <c r="AD240" s="259"/>
      <c r="AE240" s="259"/>
      <c r="AF240" s="259"/>
      <c r="AG240" s="259"/>
      <c r="AH240" s="259"/>
      <c r="AI240" s="259"/>
      <c r="AJ240" s="259"/>
      <c r="AK240" s="259"/>
      <c r="AL240" s="259"/>
      <c r="AM240" s="259"/>
      <c r="AN240" s="259"/>
      <c r="AO240" s="259"/>
      <c r="AP240" s="259"/>
      <c r="AQ240" s="259"/>
      <c r="AR240" s="259"/>
      <c r="AS240" s="259"/>
      <c r="AT240" s="259"/>
      <c r="AU240" s="259"/>
      <c r="AV240" s="259"/>
      <c r="AW240" s="259"/>
      <c r="AX240" s="259"/>
      <c r="AY240" s="259"/>
      <c r="AZ240" s="259"/>
      <c r="BA240" s="259"/>
      <c r="BB240" s="259"/>
      <c r="BC240" s="259"/>
      <c r="BD240" s="44" t="str">
        <f t="shared" si="106"/>
        <v>dWNO</v>
      </c>
    </row>
    <row r="241" spans="1:56" ht="15.6">
      <c r="A241" s="50" t="s">
        <v>1061</v>
      </c>
      <c r="B241" s="50"/>
      <c r="C241" s="50"/>
      <c r="D241" s="51"/>
      <c r="E241" s="51"/>
      <c r="G241" s="51" t="s">
        <v>1062</v>
      </c>
      <c r="H241" s="232">
        <v>150</v>
      </c>
      <c r="I241" s="85" t="s">
        <v>1063</v>
      </c>
      <c r="J241" s="85"/>
      <c r="K241" s="85"/>
      <c r="L241" s="85"/>
      <c r="M241" s="85"/>
      <c r="N241" s="85"/>
      <c r="O241" s="139"/>
      <c r="P241" s="259"/>
      <c r="Q241" s="259"/>
      <c r="R241" s="259"/>
      <c r="S241" s="259"/>
      <c r="T241" s="259"/>
      <c r="U241" s="259"/>
      <c r="V241" s="259"/>
      <c r="W241" s="259"/>
      <c r="X241" s="259"/>
      <c r="Y241" s="259"/>
      <c r="Z241" s="259"/>
      <c r="AA241" s="259"/>
      <c r="AB241" s="259"/>
      <c r="AC241" s="259"/>
      <c r="AD241" s="259"/>
      <c r="AE241" s="259"/>
      <c r="AF241" s="259"/>
      <c r="AG241" s="259"/>
      <c r="AH241" s="259"/>
      <c r="AI241" s="259"/>
      <c r="AJ241" s="259"/>
      <c r="AK241" s="259"/>
      <c r="AL241" s="259"/>
      <c r="AM241" s="259"/>
      <c r="AN241" s="259"/>
      <c r="AO241" s="259"/>
      <c r="AP241" s="259"/>
      <c r="AQ241" s="259"/>
      <c r="AR241" s="259"/>
      <c r="AS241" s="259"/>
      <c r="AT241" s="259"/>
      <c r="AU241" s="259"/>
      <c r="AV241" s="259"/>
      <c r="AW241" s="259"/>
      <c r="AX241" s="259"/>
      <c r="AY241" s="259"/>
      <c r="AZ241" s="259"/>
      <c r="BA241" s="259"/>
      <c r="BB241" s="259"/>
      <c r="BC241" s="259"/>
      <c r="BD241" s="44" t="str">
        <f t="shared" si="106"/>
        <v>dYD</v>
      </c>
    </row>
    <row r="242" spans="1:56" ht="15.6">
      <c r="A242" s="50" t="s">
        <v>1064</v>
      </c>
      <c r="B242" s="50"/>
      <c r="C242" s="50"/>
      <c r="D242" s="51"/>
      <c r="E242" s="51"/>
      <c r="G242" s="243" t="s">
        <v>1581</v>
      </c>
      <c r="H242" s="232">
        <v>151</v>
      </c>
      <c r="I242" s="34" t="s">
        <v>1582</v>
      </c>
      <c r="J242" s="85"/>
      <c r="K242" s="85"/>
      <c r="L242" s="85"/>
      <c r="M242" s="85"/>
      <c r="N242" s="85"/>
      <c r="O242" s="139"/>
      <c r="P242" s="259"/>
      <c r="Q242" s="259"/>
      <c r="R242" s="259"/>
      <c r="S242" s="259"/>
      <c r="T242" s="259"/>
      <c r="U242" s="259"/>
      <c r="V242" s="259"/>
      <c r="W242" s="259"/>
      <c r="X242" s="259"/>
      <c r="Y242" s="259"/>
      <c r="Z242" s="259"/>
      <c r="AA242" s="259"/>
      <c r="AB242" s="259"/>
      <c r="AC242" s="259"/>
      <c r="AD242" s="259"/>
      <c r="AE242" s="259"/>
      <c r="AF242" s="259"/>
      <c r="AG242" s="259"/>
      <c r="AH242" s="259"/>
      <c r="AI242" s="259"/>
      <c r="AJ242" s="259"/>
      <c r="AK242" s="259"/>
      <c r="AL242" s="259"/>
      <c r="AM242" s="259"/>
      <c r="AN242" s="259"/>
      <c r="AO242" s="259"/>
      <c r="AP242" s="259"/>
      <c r="AQ242" s="259"/>
      <c r="AR242" s="259"/>
      <c r="AS242" s="259"/>
      <c r="AT242" s="259"/>
      <c r="AU242" s="259"/>
      <c r="AV242" s="259"/>
      <c r="AW242" s="259"/>
      <c r="AX242" s="259"/>
      <c r="AY242" s="259"/>
      <c r="AZ242" s="259"/>
      <c r="BA242" s="259"/>
      <c r="BB242" s="259"/>
      <c r="BC242" s="259"/>
      <c r="BD242" s="44" t="str">
        <f t="shared" si="106"/>
        <v>dYGM</v>
      </c>
    </row>
    <row r="243" spans="1:56" ht="15.6">
      <c r="A243" s="50" t="s">
        <v>1065</v>
      </c>
      <c r="B243" s="50"/>
      <c r="C243" s="50"/>
      <c r="D243" s="51"/>
      <c r="E243" s="51"/>
      <c r="G243" s="51" t="s">
        <v>1066</v>
      </c>
      <c r="H243" s="232">
        <v>152</v>
      </c>
      <c r="I243" s="85" t="s">
        <v>1067</v>
      </c>
      <c r="J243" s="85"/>
      <c r="K243" s="85"/>
      <c r="L243" s="85"/>
      <c r="M243" s="85"/>
      <c r="N243" s="85"/>
      <c r="O243" s="139"/>
      <c r="P243" s="259"/>
      <c r="Q243" s="259"/>
      <c r="R243" s="259"/>
      <c r="S243" s="259"/>
      <c r="T243" s="259"/>
      <c r="U243" s="259"/>
      <c r="V243" s="259"/>
      <c r="W243" s="259"/>
      <c r="X243" s="259"/>
      <c r="Y243" s="259"/>
      <c r="Z243" s="259"/>
      <c r="AA243" s="259"/>
      <c r="AB243" s="259"/>
      <c r="AC243" s="259"/>
      <c r="AD243" s="259"/>
      <c r="AE243" s="259"/>
      <c r="AF243" s="259"/>
      <c r="AG243" s="259"/>
      <c r="AH243" s="259"/>
      <c r="AI243" s="259"/>
      <c r="AJ243" s="259"/>
      <c r="AK243" s="259"/>
      <c r="AL243" s="259"/>
      <c r="AM243" s="259"/>
      <c r="AN243" s="259"/>
      <c r="AO243" s="259"/>
      <c r="AP243" s="259"/>
      <c r="AQ243" s="259"/>
      <c r="AR243" s="259"/>
      <c r="AS243" s="259"/>
      <c r="AT243" s="259"/>
      <c r="AU243" s="259"/>
      <c r="AV243" s="259"/>
      <c r="AW243" s="259"/>
      <c r="AX243" s="259"/>
      <c r="AY243" s="259"/>
      <c r="AZ243" s="259"/>
      <c r="BA243" s="259"/>
      <c r="BB243" s="259"/>
      <c r="BC243" s="259"/>
      <c r="BD243" s="44" t="str">
        <f t="shared" si="106"/>
        <v>dNK</v>
      </c>
    </row>
    <row r="244" spans="1:56" ht="15.6">
      <c r="A244" s="50" t="s">
        <v>1068</v>
      </c>
      <c r="B244" s="50"/>
      <c r="C244" s="50"/>
      <c r="D244" s="51"/>
      <c r="E244" s="51"/>
      <c r="G244" s="51" t="s">
        <v>1069</v>
      </c>
      <c r="H244" s="232">
        <v>153</v>
      </c>
      <c r="I244" s="85" t="s">
        <v>1070</v>
      </c>
      <c r="J244" s="85"/>
      <c r="K244" s="85"/>
      <c r="L244" s="85"/>
      <c r="M244" s="85"/>
      <c r="N244" s="85"/>
      <c r="O244" s="139"/>
      <c r="P244" s="259"/>
      <c r="Q244" s="259"/>
      <c r="R244" s="259"/>
      <c r="S244" s="259"/>
      <c r="T244" s="259"/>
      <c r="U244" s="259"/>
      <c r="V244" s="259"/>
      <c r="W244" s="259"/>
      <c r="X244" s="259"/>
      <c r="Y244" s="259"/>
      <c r="Z244" s="259"/>
      <c r="AA244" s="259"/>
      <c r="AB244" s="259"/>
      <c r="AC244" s="259"/>
      <c r="AD244" s="259"/>
      <c r="AE244" s="259"/>
      <c r="AF244" s="259"/>
      <c r="AG244" s="259"/>
      <c r="AH244" s="259"/>
      <c r="AI244" s="259"/>
      <c r="AJ244" s="259"/>
      <c r="AK244" s="259"/>
      <c r="AL244" s="259"/>
      <c r="AM244" s="259"/>
      <c r="AN244" s="259"/>
      <c r="AO244" s="259"/>
      <c r="AP244" s="259"/>
      <c r="AQ244" s="259"/>
      <c r="AR244" s="259"/>
      <c r="AS244" s="259"/>
      <c r="AT244" s="259"/>
      <c r="AU244" s="259"/>
      <c r="AV244" s="259"/>
      <c r="AW244" s="259"/>
      <c r="AX244" s="259"/>
      <c r="AY244" s="259"/>
      <c r="AZ244" s="259"/>
      <c r="BA244" s="259"/>
      <c r="BB244" s="259"/>
      <c r="BC244" s="259"/>
      <c r="BD244" s="44" t="str">
        <f t="shared" si="106"/>
        <v>dEX</v>
      </c>
    </row>
    <row r="245" spans="1:56" ht="15.6">
      <c r="A245" s="50" t="s">
        <v>1071</v>
      </c>
      <c r="B245" s="50"/>
      <c r="C245" s="50"/>
      <c r="D245" s="51"/>
      <c r="E245" s="51"/>
      <c r="G245" s="51" t="s">
        <v>1072</v>
      </c>
      <c r="H245" s="232">
        <v>154</v>
      </c>
      <c r="I245" s="85" t="s">
        <v>1073</v>
      </c>
      <c r="J245" s="85"/>
      <c r="K245" s="85"/>
      <c r="L245" s="85"/>
      <c r="M245" s="85"/>
      <c r="N245" s="85"/>
      <c r="O245" s="139"/>
      <c r="P245" s="259"/>
      <c r="Q245" s="259"/>
      <c r="R245" s="259"/>
      <c r="S245" s="259"/>
      <c r="T245" s="259"/>
      <c r="U245" s="259"/>
      <c r="V245" s="259"/>
      <c r="W245" s="259"/>
      <c r="X245" s="259"/>
      <c r="Y245" s="259"/>
      <c r="Z245" s="259"/>
      <c r="AA245" s="259"/>
      <c r="AB245" s="259"/>
      <c r="AC245" s="259"/>
      <c r="AD245" s="259"/>
      <c r="AE245" s="259"/>
      <c r="AF245" s="259"/>
      <c r="AG245" s="259"/>
      <c r="AH245" s="259"/>
      <c r="AI245" s="259"/>
      <c r="AJ245" s="259"/>
      <c r="AK245" s="259"/>
      <c r="AL245" s="259"/>
      <c r="AM245" s="259"/>
      <c r="AN245" s="259"/>
      <c r="AO245" s="259"/>
      <c r="AP245" s="259"/>
      <c r="AQ245" s="259"/>
      <c r="AR245" s="259"/>
      <c r="AS245" s="259"/>
      <c r="AT245" s="259"/>
      <c r="AU245" s="259"/>
      <c r="AV245" s="259"/>
      <c r="AW245" s="259"/>
      <c r="AX245" s="259"/>
      <c r="AY245" s="259"/>
      <c r="AZ245" s="259"/>
      <c r="BA245" s="259"/>
      <c r="BB245" s="259"/>
      <c r="BC245" s="259"/>
      <c r="BD245" s="44" t="str">
        <f t="shared" si="106"/>
        <v>dIM</v>
      </c>
    </row>
    <row r="246" spans="1:56" ht="15.6">
      <c r="A246" s="50" t="s">
        <v>1074</v>
      </c>
      <c r="B246" s="50"/>
      <c r="C246" s="50"/>
      <c r="D246" s="51"/>
      <c r="E246" s="51"/>
      <c r="G246" s="51" t="s">
        <v>1075</v>
      </c>
      <c r="H246" s="232">
        <v>155</v>
      </c>
      <c r="I246" s="85" t="s">
        <v>1076</v>
      </c>
      <c r="J246" s="85"/>
      <c r="K246" s="85"/>
      <c r="L246" s="85"/>
      <c r="M246" s="85"/>
      <c r="N246" s="85"/>
      <c r="O246" s="139"/>
      <c r="P246" s="259"/>
      <c r="Q246" s="259"/>
      <c r="R246" s="259"/>
      <c r="S246" s="259"/>
      <c r="T246" s="259"/>
      <c r="U246" s="259"/>
      <c r="V246" s="259"/>
      <c r="W246" s="259"/>
      <c r="X246" s="259"/>
      <c r="Y246" s="259"/>
      <c r="Z246" s="259"/>
      <c r="AA246" s="259"/>
      <c r="AB246" s="259"/>
      <c r="AC246" s="259"/>
      <c r="AD246" s="259"/>
      <c r="AE246" s="259"/>
      <c r="AF246" s="259"/>
      <c r="AG246" s="259"/>
      <c r="AH246" s="259"/>
      <c r="AI246" s="259"/>
      <c r="AJ246" s="259"/>
      <c r="AK246" s="259"/>
      <c r="AL246" s="259"/>
      <c r="AM246" s="259"/>
      <c r="AN246" s="259"/>
      <c r="AO246" s="259"/>
      <c r="AP246" s="259"/>
      <c r="AQ246" s="259"/>
      <c r="AR246" s="259"/>
      <c r="AS246" s="259"/>
      <c r="AT246" s="259"/>
      <c r="AU246" s="259"/>
      <c r="AV246" s="259"/>
      <c r="AW246" s="259"/>
      <c r="AX246" s="259"/>
      <c r="AY246" s="259"/>
      <c r="AZ246" s="259"/>
      <c r="BA246" s="259"/>
      <c r="BB246" s="259"/>
      <c r="BC246" s="259"/>
      <c r="BD246" s="44" t="str">
        <f t="shared" si="106"/>
        <v>dIN</v>
      </c>
    </row>
    <row r="247" spans="1:56" ht="15.6">
      <c r="A247" s="50" t="s">
        <v>1077</v>
      </c>
      <c r="B247" s="50"/>
      <c r="C247" s="50"/>
      <c r="D247" s="51"/>
      <c r="E247" s="51"/>
      <c r="G247" s="51" t="s">
        <v>1078</v>
      </c>
      <c r="H247" s="232">
        <v>156</v>
      </c>
      <c r="I247" s="85" t="s">
        <v>1079</v>
      </c>
      <c r="J247" s="85"/>
      <c r="K247" s="85"/>
      <c r="L247" s="85"/>
      <c r="M247" s="85"/>
      <c r="N247" s="85"/>
      <c r="O247" s="139"/>
      <c r="P247" s="259"/>
      <c r="Q247" s="259"/>
      <c r="R247" s="259"/>
      <c r="S247" s="259"/>
      <c r="T247" s="259"/>
      <c r="U247" s="259"/>
      <c r="V247" s="259"/>
      <c r="W247" s="259"/>
      <c r="X247" s="259"/>
      <c r="Y247" s="259"/>
      <c r="Z247" s="259"/>
      <c r="AA247" s="259"/>
      <c r="AB247" s="259"/>
      <c r="AC247" s="259"/>
      <c r="AD247" s="259"/>
      <c r="AE247" s="259"/>
      <c r="AF247" s="259"/>
      <c r="AG247" s="259"/>
      <c r="AH247" s="259"/>
      <c r="AI247" s="259"/>
      <c r="AJ247" s="259"/>
      <c r="AK247" s="259"/>
      <c r="AL247" s="259"/>
      <c r="AM247" s="259"/>
      <c r="AN247" s="259"/>
      <c r="AO247" s="259"/>
      <c r="AP247" s="259"/>
      <c r="AQ247" s="259"/>
      <c r="AR247" s="259"/>
      <c r="AS247" s="259"/>
      <c r="AT247" s="259"/>
      <c r="AU247" s="259"/>
      <c r="AV247" s="259"/>
      <c r="AW247" s="259"/>
      <c r="AX247" s="259"/>
      <c r="AY247" s="259"/>
      <c r="AZ247" s="259"/>
      <c r="BA247" s="259"/>
      <c r="BB247" s="259"/>
      <c r="BC247" s="259"/>
      <c r="BD247" s="44" t="str">
        <f t="shared" si="106"/>
        <v>dWD</v>
      </c>
    </row>
    <row r="248" spans="1:56" ht="15.6">
      <c r="H248" s="232">
        <v>157</v>
      </c>
      <c r="I248" s="85"/>
      <c r="J248" s="85"/>
      <c r="K248" s="85"/>
      <c r="L248" s="85"/>
      <c r="M248" s="85"/>
      <c r="N248" s="85"/>
      <c r="O248" s="139"/>
      <c r="P248" s="51"/>
      <c r="Q248" s="51"/>
      <c r="R248" s="51"/>
      <c r="S248" s="51"/>
      <c r="T248" s="51"/>
      <c r="U248" s="51"/>
      <c r="V248" s="51"/>
      <c r="W248" s="51"/>
      <c r="X248" s="51"/>
      <c r="Y248" s="51"/>
      <c r="Z248" s="51"/>
      <c r="AA248" s="51"/>
      <c r="AB248" s="51"/>
      <c r="AC248" s="51"/>
      <c r="AD248" s="51"/>
      <c r="AE248" s="51"/>
      <c r="AF248" s="51"/>
      <c r="AG248" s="51"/>
      <c r="AH248" s="51"/>
      <c r="AI248" s="51"/>
      <c r="AJ248" s="51"/>
      <c r="AK248" s="51"/>
      <c r="AL248" s="51"/>
      <c r="AM248" s="51"/>
      <c r="AN248" s="51"/>
      <c r="AO248" s="51"/>
      <c r="AP248" s="51"/>
      <c r="AQ248" s="51"/>
      <c r="AR248" s="51"/>
      <c r="AS248" s="51"/>
      <c r="AT248" s="51"/>
      <c r="AU248" s="51"/>
      <c r="AV248" s="51"/>
      <c r="AW248" s="51"/>
      <c r="AX248" s="51"/>
      <c r="AY248" s="51"/>
      <c r="AZ248" s="51"/>
      <c r="BA248" s="51"/>
      <c r="BB248" s="51"/>
      <c r="BC248" s="51"/>
      <c r="BD248" s="44">
        <f t="shared" si="106"/>
        <v>0</v>
      </c>
    </row>
    <row r="249" spans="1:56" ht="15.6">
      <c r="H249" s="232">
        <v>158</v>
      </c>
      <c r="I249" s="83" t="s">
        <v>1080</v>
      </c>
      <c r="J249" s="83"/>
      <c r="K249" s="83"/>
      <c r="L249" s="83"/>
      <c r="M249" s="83"/>
      <c r="N249" s="83"/>
      <c r="O249" s="139"/>
      <c r="P249" s="51"/>
      <c r="Q249" s="51"/>
      <c r="R249" s="51"/>
      <c r="S249" s="51"/>
      <c r="T249" s="51"/>
      <c r="U249" s="51"/>
      <c r="V249" s="51"/>
      <c r="W249" s="51"/>
      <c r="X249" s="51"/>
      <c r="Y249" s="51"/>
      <c r="Z249" s="51"/>
      <c r="AA249" s="51"/>
      <c r="AB249" s="51"/>
      <c r="AC249" s="51"/>
      <c r="AD249" s="51"/>
      <c r="AE249" s="51"/>
      <c r="AF249" s="51"/>
      <c r="AG249" s="51"/>
      <c r="AH249" s="51"/>
      <c r="AI249" s="51"/>
      <c r="AJ249" s="51"/>
      <c r="AK249" s="51"/>
      <c r="AL249" s="51"/>
      <c r="AM249" s="51"/>
      <c r="AN249" s="51"/>
      <c r="AO249" s="51"/>
      <c r="AP249" s="51"/>
      <c r="AQ249" s="51"/>
      <c r="AR249" s="51"/>
      <c r="AS249" s="51"/>
      <c r="AT249" s="51"/>
      <c r="AU249" s="51"/>
      <c r="AV249" s="51"/>
      <c r="AW249" s="51"/>
      <c r="AX249" s="51"/>
      <c r="AY249" s="51"/>
      <c r="AZ249" s="51"/>
      <c r="BA249" s="51"/>
      <c r="BB249" s="51"/>
      <c r="BC249" s="51"/>
      <c r="BD249" s="44">
        <f t="shared" si="106"/>
        <v>0</v>
      </c>
    </row>
    <row r="250" spans="1:56" ht="15.6">
      <c r="G250" s="51" t="s">
        <v>977</v>
      </c>
      <c r="H250" s="232">
        <v>159</v>
      </c>
      <c r="I250" s="85" t="s">
        <v>1081</v>
      </c>
      <c r="J250" s="85"/>
      <c r="K250" s="85"/>
      <c r="L250" s="85"/>
      <c r="M250" s="85"/>
      <c r="N250" s="85"/>
      <c r="O250" s="246"/>
      <c r="P250" s="259"/>
      <c r="Q250" s="259"/>
      <c r="R250" s="259"/>
      <c r="S250" s="259"/>
      <c r="T250" s="259"/>
      <c r="U250" s="259"/>
      <c r="V250" s="259"/>
      <c r="W250" s="259"/>
      <c r="X250" s="259"/>
      <c r="Y250" s="259"/>
      <c r="Z250" s="259"/>
      <c r="AA250" s="259"/>
      <c r="AB250" s="259"/>
      <c r="AC250" s="259"/>
      <c r="AD250" s="230"/>
      <c r="AE250" s="230"/>
      <c r="AF250" s="230"/>
      <c r="AG250" s="230"/>
      <c r="AH250" s="230"/>
      <c r="AI250" s="230"/>
      <c r="AJ250" s="230"/>
      <c r="AK250" s="230"/>
      <c r="AL250" s="230"/>
      <c r="AM250" s="230"/>
      <c r="AN250" s="230"/>
      <c r="AO250" s="230"/>
      <c r="AP250" s="230"/>
      <c r="AQ250" s="230"/>
      <c r="AR250" s="230"/>
      <c r="AS250" s="230"/>
      <c r="AT250" s="230"/>
      <c r="AU250" s="230"/>
      <c r="AV250" s="230"/>
      <c r="AW250" s="230"/>
      <c r="AX250" s="230"/>
      <c r="AY250" s="230"/>
      <c r="AZ250" s="230"/>
      <c r="BA250" s="230"/>
      <c r="BB250" s="230"/>
      <c r="BC250" s="230"/>
      <c r="BD250" s="44" t="str">
        <f t="shared" si="106"/>
        <v>LP</v>
      </c>
    </row>
    <row r="251" spans="1:56" ht="15.6">
      <c r="A251" s="22" t="s">
        <v>1354</v>
      </c>
      <c r="B251" s="22"/>
      <c r="C251" s="50"/>
      <c r="D251" s="51"/>
      <c r="E251" s="50"/>
      <c r="F251" s="50"/>
      <c r="G251" s="243" t="s">
        <v>5</v>
      </c>
      <c r="H251" s="232">
        <v>160</v>
      </c>
      <c r="I251" s="34" t="s">
        <v>1353</v>
      </c>
      <c r="J251" s="85"/>
      <c r="K251" s="85"/>
      <c r="L251" s="85"/>
      <c r="M251" s="85"/>
      <c r="N251" s="85"/>
      <c r="O251" s="260"/>
      <c r="P251" s="241"/>
      <c r="Q251" s="241"/>
      <c r="R251" s="241"/>
      <c r="S251" s="241"/>
      <c r="T251" s="241"/>
      <c r="U251" s="241"/>
      <c r="V251" s="241"/>
      <c r="W251" s="241"/>
      <c r="X251" s="241"/>
      <c r="Y251" s="241"/>
      <c r="Z251" s="241"/>
      <c r="AA251" s="241"/>
      <c r="AB251" s="241"/>
      <c r="AC251" s="241"/>
      <c r="AD251" s="241"/>
      <c r="AE251" s="241"/>
      <c r="AF251" s="241"/>
      <c r="AG251" s="241"/>
      <c r="AH251" s="241"/>
      <c r="AI251" s="241"/>
      <c r="AJ251" s="241"/>
      <c r="AK251" s="241"/>
      <c r="AL251" s="241"/>
      <c r="AM251" s="241"/>
      <c r="AN251" s="241"/>
      <c r="AO251" s="241"/>
      <c r="AP251" s="241"/>
      <c r="AQ251" s="241"/>
      <c r="AR251" s="241"/>
      <c r="AS251" s="241"/>
      <c r="AT251" s="241"/>
      <c r="AU251" s="241"/>
      <c r="AV251" s="241"/>
      <c r="AW251" s="241"/>
      <c r="AX251" s="241"/>
      <c r="AY251" s="241"/>
      <c r="AZ251" s="241"/>
      <c r="BA251" s="241"/>
      <c r="BB251" s="241"/>
      <c r="BC251" s="241"/>
      <c r="BD251" s="44" t="str">
        <f t="shared" si="106"/>
        <v>A</v>
      </c>
    </row>
    <row r="252" spans="1:56" ht="15.6">
      <c r="G252" s="51" t="s">
        <v>466</v>
      </c>
      <c r="H252" s="232">
        <v>161</v>
      </c>
      <c r="I252" s="34" t="s">
        <v>164</v>
      </c>
      <c r="J252" s="85"/>
      <c r="K252" s="85"/>
      <c r="L252" s="85"/>
      <c r="M252" s="85"/>
      <c r="N252" s="85"/>
      <c r="O252" s="260"/>
      <c r="P252" s="241"/>
      <c r="Q252" s="241"/>
      <c r="R252" s="241"/>
      <c r="S252" s="241"/>
      <c r="T252" s="241"/>
      <c r="U252" s="241"/>
      <c r="V252" s="241"/>
      <c r="W252" s="241"/>
      <c r="X252" s="241"/>
      <c r="Y252" s="241"/>
      <c r="Z252" s="241"/>
      <c r="AA252" s="241"/>
      <c r="AB252" s="241"/>
      <c r="AC252" s="241"/>
      <c r="AD252" s="241"/>
      <c r="AE252" s="241"/>
      <c r="AF252" s="241"/>
      <c r="AG252" s="241"/>
      <c r="AH252" s="241"/>
      <c r="AI252" s="241"/>
      <c r="AJ252" s="241"/>
      <c r="AK252" s="241"/>
      <c r="AL252" s="241"/>
      <c r="AM252" s="241"/>
      <c r="AN252" s="241"/>
      <c r="AO252" s="241"/>
      <c r="AP252" s="241"/>
      <c r="AQ252" s="241"/>
      <c r="AR252" s="241"/>
      <c r="AS252" s="241"/>
      <c r="AT252" s="241"/>
      <c r="AU252" s="241"/>
      <c r="AV252" s="241"/>
      <c r="AW252" s="241"/>
      <c r="AX252" s="241"/>
      <c r="AY252" s="241"/>
      <c r="AZ252" s="241"/>
      <c r="BA252" s="241"/>
      <c r="BB252" s="241"/>
      <c r="BC252" s="241"/>
      <c r="BD252" s="44" t="str">
        <f t="shared" si="106"/>
        <v>LZW</v>
      </c>
    </row>
    <row r="253" spans="1:56" ht="15.6">
      <c r="G253" s="51" t="s">
        <v>470</v>
      </c>
      <c r="H253" s="232">
        <v>162</v>
      </c>
      <c r="I253" s="85" t="s">
        <v>40</v>
      </c>
      <c r="J253" s="85"/>
      <c r="K253" s="85"/>
      <c r="L253" s="85"/>
      <c r="M253" s="85"/>
      <c r="N253" s="85"/>
      <c r="O253" s="260"/>
      <c r="P253" s="241"/>
      <c r="Q253" s="241"/>
      <c r="R253" s="241"/>
      <c r="S253" s="241"/>
      <c r="T253" s="241"/>
      <c r="U253" s="241"/>
      <c r="V253" s="241"/>
      <c r="W253" s="241"/>
      <c r="X253" s="241"/>
      <c r="Y253" s="241"/>
      <c r="Z253" s="241"/>
      <c r="AA253" s="241"/>
      <c r="AB253" s="241"/>
      <c r="AC253" s="241"/>
      <c r="AD253" s="241"/>
      <c r="AE253" s="241"/>
      <c r="AF253" s="241"/>
      <c r="AG253" s="241"/>
      <c r="AH253" s="241"/>
      <c r="AI253" s="241"/>
      <c r="AJ253" s="241"/>
      <c r="AK253" s="241"/>
      <c r="AL253" s="241"/>
      <c r="AM253" s="241"/>
      <c r="AN253" s="241"/>
      <c r="AO253" s="241"/>
      <c r="AP253" s="241"/>
      <c r="AQ253" s="241"/>
      <c r="AR253" s="241"/>
      <c r="AS253" s="241"/>
      <c r="AT253" s="241"/>
      <c r="AU253" s="241"/>
      <c r="AV253" s="241"/>
      <c r="AW253" s="241"/>
      <c r="AX253" s="241"/>
      <c r="AY253" s="241"/>
      <c r="AZ253" s="211"/>
      <c r="BA253" s="211"/>
      <c r="BB253" s="211"/>
      <c r="BC253" s="211"/>
      <c r="BD253" s="44" t="str">
        <f t="shared" si="106"/>
        <v>BZ</v>
      </c>
    </row>
    <row r="254" spans="1:56" ht="15.6">
      <c r="G254" s="243" t="s">
        <v>1359</v>
      </c>
      <c r="H254" s="232">
        <v>163</v>
      </c>
      <c r="I254" s="34" t="s">
        <v>1358</v>
      </c>
      <c r="J254" s="34"/>
      <c r="K254" s="34"/>
      <c r="L254" s="34"/>
      <c r="M254" s="34"/>
      <c r="N254" s="34"/>
      <c r="O254" s="260"/>
      <c r="P254" s="241"/>
      <c r="Q254" s="241"/>
      <c r="R254" s="241"/>
      <c r="S254" s="241"/>
      <c r="T254" s="241"/>
      <c r="U254" s="241"/>
      <c r="V254" s="241"/>
      <c r="W254" s="241"/>
      <c r="X254" s="241"/>
      <c r="Y254" s="241"/>
      <c r="Z254" s="241"/>
      <c r="AA254" s="241"/>
      <c r="AB254" s="241"/>
      <c r="AC254" s="241"/>
      <c r="AD254" s="241"/>
      <c r="AE254" s="241"/>
      <c r="AF254" s="241"/>
      <c r="AG254" s="241"/>
      <c r="AH254" s="241"/>
      <c r="AI254" s="241"/>
      <c r="AJ254" s="241"/>
      <c r="AK254" s="241"/>
      <c r="AL254" s="241"/>
      <c r="AM254" s="241"/>
      <c r="AN254" s="241"/>
      <c r="AO254" s="241"/>
      <c r="AP254" s="241"/>
      <c r="AQ254" s="241"/>
      <c r="AR254" s="241"/>
      <c r="AS254" s="241"/>
      <c r="AT254" s="241"/>
      <c r="AU254" s="241"/>
      <c r="AV254" s="241"/>
      <c r="AW254" s="241"/>
      <c r="AX254" s="241"/>
      <c r="AY254" s="241"/>
      <c r="AZ254" s="259"/>
      <c r="BA254" s="259"/>
      <c r="BB254" s="259"/>
      <c r="BC254" s="259"/>
      <c r="BD254" s="44" t="str">
        <f t="shared" si="106"/>
        <v>RBZ</v>
      </c>
    </row>
    <row r="255" spans="1:56" ht="15.6">
      <c r="H255" s="232">
        <v>164</v>
      </c>
      <c r="I255" s="262" t="s">
        <v>1082</v>
      </c>
      <c r="J255" s="263"/>
      <c r="K255" s="263"/>
      <c r="L255" s="263"/>
      <c r="M255" s="263"/>
      <c r="N255" s="264"/>
      <c r="O255" s="260"/>
      <c r="P255" s="241"/>
      <c r="Q255" s="241"/>
      <c r="R255" s="241"/>
      <c r="S255" s="241"/>
      <c r="T255" s="241"/>
      <c r="U255" s="241"/>
      <c r="V255" s="241"/>
      <c r="W255" s="241"/>
      <c r="X255" s="241"/>
      <c r="Y255" s="241"/>
      <c r="Z255" s="241"/>
      <c r="AA255" s="241"/>
      <c r="AB255" s="241"/>
      <c r="AC255" s="241"/>
      <c r="AD255" s="241"/>
      <c r="AE255" s="241"/>
      <c r="AF255" s="241"/>
      <c r="AG255" s="241"/>
      <c r="AH255" s="241"/>
      <c r="AI255" s="241"/>
      <c r="AJ255" s="241"/>
      <c r="AK255" s="241"/>
      <c r="AL255" s="241"/>
      <c r="AM255" s="241"/>
      <c r="AN255" s="241"/>
      <c r="AO255" s="241"/>
      <c r="AP255" s="241"/>
      <c r="AQ255" s="241"/>
      <c r="AR255" s="241"/>
      <c r="AS255" s="241"/>
      <c r="AT255" s="241"/>
      <c r="AU255" s="241"/>
      <c r="AV255" s="241"/>
      <c r="AW255" s="241"/>
      <c r="AX255" s="241"/>
      <c r="AY255" s="241"/>
      <c r="BD255" s="44">
        <f t="shared" si="106"/>
        <v>0</v>
      </c>
    </row>
    <row r="256" spans="1:56" ht="15.6">
      <c r="H256" s="232">
        <v>165</v>
      </c>
      <c r="I256" s="242" t="s">
        <v>1083</v>
      </c>
      <c r="J256" s="240" t="s">
        <v>1084</v>
      </c>
      <c r="K256" s="240"/>
      <c r="L256" s="240"/>
      <c r="M256" s="240"/>
      <c r="N256" s="265"/>
      <c r="O256" s="266"/>
      <c r="S256" s="259"/>
      <c r="T256" s="259"/>
      <c r="U256" s="259"/>
      <c r="X256" s="259"/>
      <c r="Y256" s="259"/>
      <c r="Z256" s="259"/>
      <c r="AD256" s="259"/>
      <c r="AI256" s="259"/>
      <c r="AN256" s="259"/>
      <c r="BD256" s="44">
        <f t="shared" si="106"/>
        <v>0</v>
      </c>
    </row>
    <row r="257" spans="8:56" ht="16.2" thickBot="1">
      <c r="H257" s="232">
        <v>166</v>
      </c>
      <c r="I257" s="242" t="s">
        <v>1085</v>
      </c>
      <c r="J257" s="240"/>
      <c r="K257" s="240"/>
      <c r="L257" s="240"/>
      <c r="M257" s="240"/>
      <c r="N257" s="265"/>
      <c r="O257" s="266"/>
      <c r="S257" s="259"/>
      <c r="T257" s="259"/>
      <c r="U257" s="259"/>
      <c r="X257" s="259"/>
      <c r="Y257" s="259"/>
      <c r="Z257" s="259"/>
      <c r="AD257" s="259"/>
      <c r="AI257" s="259"/>
      <c r="AN257" s="259"/>
      <c r="BD257" s="44">
        <f t="shared" si="106"/>
        <v>0</v>
      </c>
    </row>
    <row r="258" spans="8:56" ht="15" thickBot="1">
      <c r="H258" s="232">
        <v>167</v>
      </c>
      <c r="I258" s="234" t="s">
        <v>0</v>
      </c>
      <c r="J258" s="267"/>
      <c r="K258" s="267"/>
      <c r="L258" s="267"/>
      <c r="M258" s="268"/>
      <c r="N258" s="269" t="s">
        <v>996</v>
      </c>
      <c r="O258" s="266">
        <v>1995</v>
      </c>
      <c r="P258" s="41">
        <f t="shared" ref="P258:AR258" si="107">IF(ABS(P173)&lt;0.1,P259)</f>
        <v>1996</v>
      </c>
      <c r="Q258" s="41">
        <f t="shared" si="107"/>
        <v>1997</v>
      </c>
      <c r="R258" s="41">
        <f t="shared" si="107"/>
        <v>1998</v>
      </c>
      <c r="S258" s="41">
        <f t="shared" si="107"/>
        <v>1999</v>
      </c>
      <c r="T258" s="41">
        <f t="shared" si="107"/>
        <v>2000</v>
      </c>
      <c r="U258" s="41">
        <f t="shared" si="107"/>
        <v>2001</v>
      </c>
      <c r="V258" s="41">
        <f t="shared" si="107"/>
        <v>2002</v>
      </c>
      <c r="W258" s="41">
        <f t="shared" si="107"/>
        <v>2003</v>
      </c>
      <c r="X258" s="41">
        <f t="shared" si="107"/>
        <v>2004</v>
      </c>
      <c r="Y258" s="41">
        <f t="shared" si="107"/>
        <v>2005</v>
      </c>
      <c r="Z258" s="41">
        <f t="shared" si="107"/>
        <v>2006</v>
      </c>
      <c r="AA258" s="41">
        <f t="shared" si="107"/>
        <v>2007</v>
      </c>
      <c r="AB258" s="41">
        <f t="shared" si="107"/>
        <v>2008</v>
      </c>
      <c r="AC258" s="41">
        <f t="shared" si="107"/>
        <v>2009</v>
      </c>
      <c r="AD258" s="41">
        <f t="shared" si="107"/>
        <v>2010</v>
      </c>
      <c r="AE258" s="41">
        <f t="shared" si="107"/>
        <v>2011</v>
      </c>
      <c r="AF258" s="41">
        <f t="shared" si="107"/>
        <v>2012</v>
      </c>
      <c r="AG258" s="41">
        <f t="shared" si="107"/>
        <v>2013</v>
      </c>
      <c r="AH258" s="41">
        <f t="shared" si="107"/>
        <v>2014</v>
      </c>
      <c r="AI258" s="41">
        <f t="shared" si="107"/>
        <v>2015</v>
      </c>
      <c r="AJ258" s="41">
        <f t="shared" si="107"/>
        <v>2016</v>
      </c>
      <c r="AK258" s="41">
        <f t="shared" si="107"/>
        <v>2017</v>
      </c>
      <c r="AL258" s="41">
        <f t="shared" si="107"/>
        <v>2018</v>
      </c>
      <c r="AM258" s="41">
        <f t="shared" si="107"/>
        <v>2019</v>
      </c>
      <c r="AN258" s="41">
        <f t="shared" si="107"/>
        <v>2020</v>
      </c>
      <c r="AO258" s="41">
        <f t="shared" si="107"/>
        <v>2021</v>
      </c>
      <c r="AP258" s="41">
        <f t="shared" si="107"/>
        <v>2022</v>
      </c>
      <c r="AQ258" s="41">
        <f t="shared" si="107"/>
        <v>2023</v>
      </c>
      <c r="AR258" s="41">
        <f t="shared" si="107"/>
        <v>2024</v>
      </c>
      <c r="AS258" s="41">
        <f t="shared" ref="AS258:BC258" si="108">IF(ABS(AS173)&lt;0.1,AS259)</f>
        <v>2025</v>
      </c>
      <c r="AT258" s="41">
        <f t="shared" si="108"/>
        <v>2026</v>
      </c>
      <c r="AU258" s="41">
        <f t="shared" si="108"/>
        <v>2027</v>
      </c>
      <c r="AV258" s="41">
        <f t="shared" si="108"/>
        <v>2028</v>
      </c>
      <c r="AW258" s="41">
        <f t="shared" si="108"/>
        <v>2029</v>
      </c>
      <c r="AX258" s="41">
        <f t="shared" si="108"/>
        <v>2030</v>
      </c>
      <c r="AY258" s="41">
        <f t="shared" si="108"/>
        <v>2031</v>
      </c>
      <c r="AZ258" s="41">
        <f t="shared" si="108"/>
        <v>2032</v>
      </c>
      <c r="BA258" s="41">
        <f t="shared" si="108"/>
        <v>2033</v>
      </c>
      <c r="BB258" s="41">
        <f t="shared" si="108"/>
        <v>2034</v>
      </c>
      <c r="BC258" s="41">
        <f t="shared" si="108"/>
        <v>2035</v>
      </c>
    </row>
    <row r="259" spans="8:56">
      <c r="O259" s="258">
        <v>1995</v>
      </c>
      <c r="P259" s="257">
        <v>1996</v>
      </c>
      <c r="Q259" s="257">
        <v>1997</v>
      </c>
      <c r="R259" s="257">
        <v>1998</v>
      </c>
      <c r="S259" s="257">
        <v>1999</v>
      </c>
      <c r="T259" s="257">
        <v>2000</v>
      </c>
      <c r="U259" s="257">
        <v>2001</v>
      </c>
      <c r="V259" s="257">
        <v>2002</v>
      </c>
      <c r="W259" s="257">
        <v>2003</v>
      </c>
      <c r="X259" s="257">
        <v>2004</v>
      </c>
      <c r="Y259" s="257">
        <v>2005</v>
      </c>
      <c r="Z259" s="257">
        <v>2006</v>
      </c>
      <c r="AA259" s="257">
        <v>2007</v>
      </c>
      <c r="AB259" s="257">
        <v>2008</v>
      </c>
      <c r="AC259" s="257">
        <v>2009</v>
      </c>
      <c r="AD259" s="257">
        <v>2010</v>
      </c>
      <c r="AE259" s="257">
        <v>2011</v>
      </c>
      <c r="AF259" s="257">
        <v>2012</v>
      </c>
      <c r="AG259" s="257">
        <v>2013</v>
      </c>
      <c r="AH259" s="257">
        <v>2014</v>
      </c>
      <c r="AI259" s="257">
        <v>2015</v>
      </c>
      <c r="AJ259" s="257">
        <v>2016</v>
      </c>
      <c r="AK259" s="257">
        <v>2017</v>
      </c>
      <c r="AL259" s="257">
        <v>2018</v>
      </c>
      <c r="AM259" s="257">
        <v>2019</v>
      </c>
      <c r="AN259" s="257">
        <v>2020</v>
      </c>
      <c r="AO259" s="257">
        <v>2021</v>
      </c>
      <c r="AP259" s="257">
        <v>2022</v>
      </c>
      <c r="AQ259" s="257">
        <v>2023</v>
      </c>
      <c r="AR259" s="257">
        <v>2024</v>
      </c>
      <c r="AS259" s="257">
        <v>2025</v>
      </c>
      <c r="AT259" s="257">
        <v>2026</v>
      </c>
      <c r="AU259" s="257">
        <v>2027</v>
      </c>
      <c r="AV259" s="257">
        <v>2028</v>
      </c>
      <c r="AW259" s="257">
        <v>2029</v>
      </c>
      <c r="AX259" s="257">
        <v>2030</v>
      </c>
      <c r="AY259" s="257">
        <v>2031</v>
      </c>
      <c r="AZ259" s="257">
        <v>2032</v>
      </c>
      <c r="BA259" s="257">
        <v>2033</v>
      </c>
      <c r="BB259" s="257">
        <v>2034</v>
      </c>
      <c r="BC259" s="257">
        <v>2035</v>
      </c>
    </row>
    <row r="264" spans="8:56">
      <c r="Q264" s="1039"/>
      <c r="R264" s="1039"/>
      <c r="S264" s="1039"/>
      <c r="T264" s="1039"/>
      <c r="U264" s="1039"/>
      <c r="V264" s="1039"/>
      <c r="W264" s="1039"/>
      <c r="X264" s="1039"/>
      <c r="Y264" s="1039"/>
      <c r="Z264" s="1039"/>
      <c r="AA264" s="1039"/>
      <c r="AB264" s="1039"/>
      <c r="AC264" s="1039"/>
      <c r="AD264" s="1039"/>
      <c r="AE264" s="1039"/>
      <c r="AF264" s="1039"/>
      <c r="AG264" s="1041"/>
      <c r="AH264" s="1041"/>
    </row>
    <row r="265" spans="8:56">
      <c r="Q265" s="1039"/>
      <c r="R265" s="1039"/>
      <c r="S265" s="1039"/>
      <c r="T265" s="1039"/>
      <c r="U265" s="1039"/>
      <c r="V265" s="1039"/>
      <c r="W265" s="1039"/>
      <c r="X265" s="1039"/>
      <c r="Y265" s="1039"/>
      <c r="Z265" s="1039"/>
      <c r="AA265" s="1039"/>
      <c r="AB265" s="1039"/>
      <c r="AC265" s="1039"/>
      <c r="AD265" s="1039"/>
      <c r="AE265" s="1039"/>
      <c r="AF265" s="1039"/>
      <c r="AG265" s="1041"/>
      <c r="AH265" s="1041"/>
      <c r="AI265" s="1039"/>
      <c r="AJ265" s="1039"/>
      <c r="AK265" s="1039"/>
      <c r="AL265" s="1039"/>
      <c r="AM265" s="1039"/>
      <c r="AN265" s="1039"/>
      <c r="AO265" s="1039"/>
      <c r="AP265" s="1039"/>
      <c r="AQ265" s="1039"/>
      <c r="AR265" s="1039"/>
      <c r="AS265" s="1039"/>
      <c r="AT265" s="1039"/>
      <c r="AU265" s="1039"/>
      <c r="AV265" s="1039"/>
      <c r="AW265" s="1039"/>
      <c r="AX265" s="1039"/>
      <c r="AY265" s="1039"/>
      <c r="AZ265" s="1039"/>
      <c r="BA265" s="1039"/>
      <c r="BB265" s="1039"/>
      <c r="BC265" s="1039"/>
    </row>
    <row r="266" spans="8:56">
      <c r="AG266" s="669"/>
      <c r="AH266" s="669"/>
    </row>
    <row r="267" spans="8:56">
      <c r="AG267" s="669"/>
      <c r="AH267" s="669"/>
    </row>
    <row r="268" spans="8:56">
      <c r="Q268" s="1039"/>
      <c r="R268" s="1039"/>
      <c r="S268" s="1039"/>
      <c r="T268" s="1039"/>
      <c r="U268" s="1039"/>
      <c r="V268" s="1039"/>
      <c r="W268" s="1039"/>
      <c r="X268" s="1039"/>
      <c r="Y268" s="1039"/>
      <c r="Z268" s="1039"/>
      <c r="AA268" s="1039"/>
      <c r="AB268" s="1039"/>
      <c r="AC268" s="1039"/>
      <c r="AD268" s="1039"/>
      <c r="AE268" s="1039"/>
      <c r="AF268" s="1039"/>
      <c r="AG268" s="1041"/>
      <c r="AH268" s="1041"/>
    </row>
    <row r="269" spans="8:56">
      <c r="Q269" s="1039"/>
      <c r="R269" s="1039"/>
      <c r="S269" s="1039"/>
      <c r="T269" s="1039"/>
      <c r="U269" s="1039"/>
      <c r="V269" s="1039"/>
      <c r="W269" s="1039"/>
      <c r="X269" s="1039"/>
      <c r="Y269" s="1039"/>
      <c r="Z269" s="1039"/>
      <c r="AA269" s="1039"/>
      <c r="AB269" s="1039"/>
      <c r="AC269" s="1039"/>
      <c r="AD269" s="1039"/>
      <c r="AE269" s="1039"/>
      <c r="AF269" s="1039"/>
      <c r="AG269" s="1041"/>
      <c r="AH269" s="1041"/>
      <c r="AI269" s="1039"/>
      <c r="AJ269" s="1039"/>
      <c r="AK269" s="1039"/>
      <c r="AL269" s="1039"/>
      <c r="AM269" s="1039"/>
      <c r="AN269" s="1039"/>
      <c r="AO269" s="1039"/>
      <c r="AP269" s="1039"/>
      <c r="AQ269" s="1039"/>
      <c r="AR269" s="1039"/>
      <c r="AS269" s="1039"/>
      <c r="AT269" s="1039"/>
      <c r="AU269" s="1039"/>
      <c r="AV269" s="1039"/>
      <c r="AW269" s="1039"/>
      <c r="AX269" s="1039"/>
      <c r="AY269" s="1039"/>
      <c r="AZ269" s="1039"/>
      <c r="BA269" s="1039"/>
      <c r="BB269" s="1039"/>
      <c r="BC269" s="1039"/>
    </row>
    <row r="272" spans="8:56">
      <c r="Q272" s="1040"/>
      <c r="R272" s="1040"/>
      <c r="S272" s="1040"/>
      <c r="T272" s="1040"/>
      <c r="U272" s="1040"/>
      <c r="V272" s="1040"/>
      <c r="W272" s="1040"/>
      <c r="X272" s="1040"/>
      <c r="Y272" s="1040"/>
      <c r="Z272" s="1040"/>
      <c r="AA272" s="1040"/>
      <c r="AB272" s="1040"/>
      <c r="AC272" s="1040"/>
      <c r="AD272" s="1040"/>
      <c r="AE272" s="1040"/>
      <c r="AF272" s="1040"/>
      <c r="AG272" s="1040"/>
      <c r="AH272" s="1040"/>
    </row>
    <row r="273" spans="17:55">
      <c r="Q273" s="1040"/>
      <c r="R273" s="1040"/>
      <c r="S273" s="1040"/>
      <c r="T273" s="1040"/>
      <c r="U273" s="1040"/>
      <c r="V273" s="1040"/>
      <c r="W273" s="1040"/>
      <c r="X273" s="1040"/>
      <c r="Y273" s="1040"/>
      <c r="Z273" s="1040"/>
      <c r="AA273" s="1040"/>
      <c r="AB273" s="1040"/>
      <c r="AC273" s="1040"/>
      <c r="AD273" s="1040"/>
      <c r="AE273" s="1040"/>
      <c r="AF273" s="1040"/>
      <c r="AG273" s="1040"/>
      <c r="AH273" s="1040"/>
      <c r="AI273" s="1042"/>
      <c r="AJ273" s="1042"/>
      <c r="AK273" s="1042"/>
      <c r="AL273" s="1040"/>
      <c r="AM273" s="1040"/>
      <c r="AN273" s="1040"/>
      <c r="AO273" s="1040"/>
      <c r="AP273" s="1040"/>
      <c r="AQ273" s="1040"/>
      <c r="AR273" s="1040"/>
      <c r="AS273" s="1040"/>
      <c r="AT273" s="1040"/>
      <c r="AU273" s="1040"/>
      <c r="AV273" s="1040"/>
      <c r="AW273" s="1040"/>
      <c r="AX273" s="1040"/>
      <c r="AY273" s="1040"/>
      <c r="AZ273" s="1040"/>
      <c r="BA273" s="1040"/>
      <c r="BB273" s="1040"/>
      <c r="BC273" s="1040"/>
    </row>
    <row r="274" spans="17:55">
      <c r="AI274" s="669"/>
      <c r="AJ274" s="669"/>
      <c r="AK274" s="669"/>
    </row>
    <row r="275" spans="17:55">
      <c r="AI275" s="669"/>
      <c r="AJ275" s="669"/>
      <c r="AK275" s="669"/>
    </row>
    <row r="276" spans="17:55">
      <c r="Q276" s="1040"/>
      <c r="R276" s="1040"/>
      <c r="S276" s="1040"/>
      <c r="T276" s="1040"/>
      <c r="U276" s="1040"/>
      <c r="V276" s="1040"/>
      <c r="W276" s="1040"/>
      <c r="X276" s="1040"/>
      <c r="Y276" s="1040"/>
      <c r="Z276" s="1040"/>
      <c r="AA276" s="1040"/>
      <c r="AB276" s="1040"/>
      <c r="AC276" s="1040"/>
      <c r="AD276" s="1040"/>
      <c r="AE276" s="1040"/>
      <c r="AF276" s="1040"/>
      <c r="AG276" s="1040"/>
      <c r="AH276" s="1040"/>
      <c r="AI276" s="669"/>
      <c r="AJ276" s="669"/>
      <c r="AK276" s="669"/>
    </row>
    <row r="277" spans="17:55">
      <c r="Q277" s="1040"/>
      <c r="R277" s="1040"/>
      <c r="S277" s="1040"/>
      <c r="T277" s="1040"/>
      <c r="U277" s="1040"/>
      <c r="V277" s="1040"/>
      <c r="W277" s="1040"/>
      <c r="X277" s="1040"/>
      <c r="Y277" s="1040"/>
      <c r="Z277" s="1040"/>
      <c r="AA277" s="1040"/>
      <c r="AB277" s="1040"/>
      <c r="AC277" s="1040"/>
      <c r="AD277" s="1040"/>
      <c r="AE277" s="1040"/>
      <c r="AF277" s="1040"/>
      <c r="AG277" s="1040"/>
      <c r="AH277" s="1040"/>
      <c r="AI277" s="1042"/>
      <c r="AJ277" s="1042"/>
      <c r="AK277" s="1042"/>
      <c r="AL277" s="1040"/>
      <c r="AM277" s="1040"/>
      <c r="AN277" s="1040"/>
      <c r="AO277" s="1040"/>
      <c r="AP277" s="1040"/>
      <c r="AQ277" s="1040"/>
      <c r="AR277" s="1040"/>
      <c r="AS277" s="1040"/>
      <c r="AT277" s="1040"/>
      <c r="AU277" s="1040"/>
      <c r="AV277" s="1040"/>
      <c r="AW277" s="1040"/>
      <c r="AX277" s="1040"/>
      <c r="AY277" s="1040"/>
      <c r="AZ277" s="1040"/>
      <c r="BA277" s="1040"/>
      <c r="BB277" s="1040"/>
      <c r="BC277" s="1040"/>
    </row>
  </sheetData>
  <phoneticPr fontId="46" type="noConversion"/>
  <pageMargins left="0.70866141732283472" right="0.70866141732283472" top="0.74803149606299213" bottom="0.74803149606299213" header="0.31496062992125984" footer="0.31496062992125984"/>
  <pageSetup paperSize="9" scale="90" orientation="landscape" verticalDpi="18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DF102"/>
  <sheetViews>
    <sheetView topLeftCell="AB54" zoomScale="60" zoomScaleNormal="60" workbookViewId="0">
      <selection activeCell="B81" sqref="B81"/>
    </sheetView>
  </sheetViews>
  <sheetFormatPr defaultRowHeight="14.4"/>
  <cols>
    <col min="2" max="2" width="10.6640625" bestFit="1" customWidth="1"/>
    <col min="8" max="8" width="9.33203125" bestFit="1" customWidth="1"/>
    <col min="9" max="9" width="10.5546875" customWidth="1"/>
    <col min="10" max="10" width="11.33203125" customWidth="1"/>
    <col min="11" max="13" width="11.109375" bestFit="1" customWidth="1"/>
    <col min="14" max="14" width="10.109375" bestFit="1" customWidth="1"/>
    <col min="15" max="18" width="9.33203125" bestFit="1" customWidth="1"/>
    <col min="19" max="19" width="10.6640625" bestFit="1" customWidth="1"/>
    <col min="20" max="21" width="9.33203125" bestFit="1" customWidth="1"/>
    <col min="22" max="22" width="10.6640625" bestFit="1" customWidth="1"/>
    <col min="26" max="26" width="9.44140625" bestFit="1" customWidth="1"/>
    <col min="28" max="28" width="11.109375" customWidth="1"/>
    <col min="29" max="29" width="10.33203125" customWidth="1"/>
    <col min="33" max="33" width="10" bestFit="1" customWidth="1"/>
    <col min="34" max="34" width="10.6640625" customWidth="1"/>
    <col min="35" max="36" width="11" bestFit="1" customWidth="1"/>
    <col min="37" max="37" width="9.5546875" bestFit="1" customWidth="1"/>
    <col min="40" max="40" width="9.5546875" bestFit="1" customWidth="1"/>
    <col min="45" max="45" width="10.5546875" customWidth="1"/>
    <col min="46" max="47" width="12.33203125" bestFit="1" customWidth="1"/>
    <col min="49" max="49" width="10.88671875" customWidth="1"/>
    <col min="57" max="57" width="10.33203125" bestFit="1" customWidth="1"/>
    <col min="59" max="59" width="10.6640625" bestFit="1" customWidth="1"/>
  </cols>
  <sheetData>
    <row r="2" spans="1:110" ht="17.399999999999999">
      <c r="K2" s="1"/>
      <c r="L2" s="391" t="s">
        <v>167</v>
      </c>
      <c r="M2" s="391"/>
      <c r="N2" s="1"/>
      <c r="O2" s="1"/>
      <c r="BN2" s="722"/>
    </row>
    <row r="4" spans="1:110">
      <c r="D4" s="69" t="s">
        <v>826</v>
      </c>
      <c r="E4" s="26"/>
      <c r="F4" s="26"/>
      <c r="G4" s="26"/>
      <c r="H4" s="26"/>
      <c r="I4" s="26"/>
      <c r="J4" s="26"/>
      <c r="K4" s="16"/>
      <c r="BN4" s="722"/>
      <c r="BO4" s="722"/>
      <c r="BS4" s="722"/>
      <c r="BW4" s="722"/>
      <c r="CX4" s="669">
        <v>1992</v>
      </c>
      <c r="CY4" s="669">
        <v>1995</v>
      </c>
      <c r="CZ4" s="669">
        <v>2000</v>
      </c>
      <c r="DA4" s="669">
        <v>2002</v>
      </c>
      <c r="DB4" s="669">
        <v>2003</v>
      </c>
      <c r="DC4" s="669">
        <v>2004</v>
      </c>
      <c r="DD4" s="669">
        <v>2005</v>
      </c>
      <c r="DE4" s="669">
        <v>2006</v>
      </c>
      <c r="DF4" s="669">
        <v>2007</v>
      </c>
    </row>
    <row r="5" spans="1:110" ht="15" thickBot="1">
      <c r="B5" s="1"/>
      <c r="C5" s="1"/>
      <c r="J5" t="s">
        <v>827</v>
      </c>
      <c r="BO5" s="722"/>
      <c r="BP5" s="722"/>
      <c r="BS5" s="722"/>
      <c r="BT5" s="722"/>
      <c r="BW5" s="722"/>
      <c r="BX5" s="722"/>
      <c r="CW5" s="669" t="s">
        <v>1161</v>
      </c>
    </row>
    <row r="6" spans="1:110" ht="22.5" customHeight="1">
      <c r="I6" s="151" t="s">
        <v>392</v>
      </c>
      <c r="J6" t="s">
        <v>828</v>
      </c>
      <c r="K6" s="39" t="s">
        <v>829</v>
      </c>
      <c r="L6" s="39" t="s">
        <v>1584</v>
      </c>
      <c r="P6" t="s">
        <v>830</v>
      </c>
      <c r="Q6" t="s">
        <v>830</v>
      </c>
      <c r="R6" s="39" t="s">
        <v>407</v>
      </c>
      <c r="S6" s="39" t="s">
        <v>407</v>
      </c>
      <c r="T6" s="39" t="s">
        <v>687</v>
      </c>
      <c r="U6" t="s">
        <v>831</v>
      </c>
      <c r="V6" s="39" t="s">
        <v>829</v>
      </c>
      <c r="W6" s="39" t="s">
        <v>687</v>
      </c>
      <c r="X6" t="s">
        <v>831</v>
      </c>
      <c r="Y6" s="39" t="s">
        <v>829</v>
      </c>
      <c r="Z6" s="39" t="s">
        <v>687</v>
      </c>
      <c r="AA6" s="6"/>
      <c r="AB6" t="s">
        <v>832</v>
      </c>
      <c r="AH6" s="56" t="s">
        <v>368</v>
      </c>
      <c r="AI6" s="57" t="s">
        <v>882</v>
      </c>
      <c r="AJ6" s="91" t="s">
        <v>687</v>
      </c>
      <c r="AK6" s="57" t="s">
        <v>883</v>
      </c>
      <c r="AL6" s="91" t="s">
        <v>687</v>
      </c>
      <c r="AM6" s="57" t="s">
        <v>884</v>
      </c>
      <c r="AN6" s="142" t="s">
        <v>687</v>
      </c>
      <c r="AP6" s="77" t="s">
        <v>41</v>
      </c>
      <c r="AQ6" s="77" t="s">
        <v>41</v>
      </c>
      <c r="AR6" s="129" t="s">
        <v>38</v>
      </c>
      <c r="AS6" s="719" t="s">
        <v>368</v>
      </c>
      <c r="AT6" s="288" t="s">
        <v>1087</v>
      </c>
      <c r="AU6" s="73" t="s">
        <v>687</v>
      </c>
      <c r="AV6" s="77" t="s">
        <v>1086</v>
      </c>
      <c r="AW6" s="73" t="s">
        <v>687</v>
      </c>
      <c r="AX6" s="77" t="s">
        <v>845</v>
      </c>
      <c r="AY6" s="77" t="s">
        <v>887</v>
      </c>
      <c r="AZ6" s="84" t="s">
        <v>687</v>
      </c>
      <c r="BC6" s="150" t="s">
        <v>823</v>
      </c>
      <c r="BD6" s="717" t="s">
        <v>823</v>
      </c>
      <c r="BE6" s="719" t="s">
        <v>368</v>
      </c>
      <c r="BP6" s="722" t="s">
        <v>1170</v>
      </c>
      <c r="BQ6" s="722" t="s">
        <v>1171</v>
      </c>
      <c r="BR6" s="722" t="s">
        <v>1172</v>
      </c>
      <c r="BT6" s="722" t="s">
        <v>1170</v>
      </c>
      <c r="BU6" s="722" t="s">
        <v>1173</v>
      </c>
      <c r="BV6" s="722" t="s">
        <v>1172</v>
      </c>
      <c r="BX6" s="722" t="s">
        <v>1170</v>
      </c>
      <c r="BY6" s="722" t="s">
        <v>1173</v>
      </c>
      <c r="BZ6" s="722" t="s">
        <v>1172</v>
      </c>
      <c r="CC6" s="2751" t="s">
        <v>1174</v>
      </c>
      <c r="CD6" s="2751"/>
      <c r="CE6" s="2751"/>
      <c r="CF6" s="2751"/>
      <c r="CG6" s="2751"/>
      <c r="CH6" s="2751"/>
      <c r="CW6" s="669" t="s">
        <v>1167</v>
      </c>
      <c r="CX6" s="344">
        <v>75060</v>
      </c>
      <c r="CY6" s="713">
        <v>70740</v>
      </c>
      <c r="CZ6" s="713">
        <v>72332</v>
      </c>
      <c r="DA6" s="713">
        <v>72421</v>
      </c>
      <c r="DB6" s="713">
        <v>72835</v>
      </c>
      <c r="DC6" s="713">
        <v>72909</v>
      </c>
      <c r="DD6" s="713">
        <v>73811</v>
      </c>
      <c r="DE6" s="713">
        <v>74156</v>
      </c>
      <c r="DF6" s="27">
        <v>75046</v>
      </c>
    </row>
    <row r="7" spans="1:110" ht="16.2" thickBot="1">
      <c r="I7" s="152" t="s">
        <v>351</v>
      </c>
      <c r="J7" s="153" t="s">
        <v>833</v>
      </c>
      <c r="K7" s="153" t="s">
        <v>172</v>
      </c>
      <c r="L7" s="153" t="s">
        <v>171</v>
      </c>
      <c r="M7" s="178" t="s">
        <v>842</v>
      </c>
      <c r="N7" s="179" t="s">
        <v>168</v>
      </c>
      <c r="O7" s="179" t="s">
        <v>166</v>
      </c>
      <c r="P7" s="153" t="s">
        <v>834</v>
      </c>
      <c r="Q7" s="153" t="s">
        <v>835</v>
      </c>
      <c r="R7" s="153" t="s">
        <v>836</v>
      </c>
      <c r="S7" s="154" t="s">
        <v>837</v>
      </c>
      <c r="T7" s="154" t="s">
        <v>837</v>
      </c>
      <c r="U7" s="153" t="s">
        <v>838</v>
      </c>
      <c r="V7" s="154" t="s">
        <v>839</v>
      </c>
      <c r="W7" s="154" t="s">
        <v>839</v>
      </c>
      <c r="X7" s="153" t="s">
        <v>840</v>
      </c>
      <c r="Y7" s="154" t="s">
        <v>841</v>
      </c>
      <c r="Z7" s="154" t="s">
        <v>841</v>
      </c>
      <c r="AA7" s="179" t="s">
        <v>843</v>
      </c>
      <c r="AB7" s="180" t="s">
        <v>844</v>
      </c>
      <c r="AC7" s="179" t="s">
        <v>845</v>
      </c>
      <c r="AH7" s="63">
        <v>40588</v>
      </c>
      <c r="AI7" s="117" t="s">
        <v>688</v>
      </c>
      <c r="AJ7" s="117" t="s">
        <v>688</v>
      </c>
      <c r="AK7" s="117" t="s">
        <v>688</v>
      </c>
      <c r="AL7" s="117" t="s">
        <v>688</v>
      </c>
      <c r="AM7" s="117" t="s">
        <v>688</v>
      </c>
      <c r="AN7" s="117" t="s">
        <v>688</v>
      </c>
      <c r="AP7" s="284" t="s">
        <v>886</v>
      </c>
      <c r="AQ7" s="57" t="s">
        <v>430</v>
      </c>
      <c r="AR7" s="721" t="s">
        <v>886</v>
      </c>
      <c r="AS7" s="720">
        <v>41926</v>
      </c>
      <c r="AT7" s="131" t="s">
        <v>886</v>
      </c>
      <c r="AU7" s="172" t="s">
        <v>886</v>
      </c>
      <c r="AV7" s="172" t="s">
        <v>886</v>
      </c>
      <c r="AW7" s="172" t="s">
        <v>886</v>
      </c>
      <c r="AX7" s="117" t="s">
        <v>688</v>
      </c>
      <c r="AY7" s="62" t="s">
        <v>688</v>
      </c>
      <c r="AZ7" s="62" t="s">
        <v>688</v>
      </c>
      <c r="BC7" s="128" t="s">
        <v>885</v>
      </c>
      <c r="BD7" s="718" t="s">
        <v>888</v>
      </c>
      <c r="BE7" s="720">
        <f>AS7</f>
        <v>41926</v>
      </c>
      <c r="BN7" s="669">
        <v>2015</v>
      </c>
      <c r="BO7" s="296">
        <v>143464.6</v>
      </c>
      <c r="BP7">
        <v>-130.9</v>
      </c>
      <c r="BQ7">
        <v>-391.1</v>
      </c>
      <c r="BR7">
        <v>260.2</v>
      </c>
      <c r="BS7" s="296">
        <v>143815</v>
      </c>
      <c r="BT7">
        <v>204.3</v>
      </c>
      <c r="BU7">
        <v>-120.5</v>
      </c>
      <c r="BV7">
        <v>324.8</v>
      </c>
      <c r="BW7" s="296">
        <v>144115.70000000001</v>
      </c>
      <c r="BX7">
        <v>503.1</v>
      </c>
      <c r="BY7">
        <v>113.7</v>
      </c>
      <c r="BZ7">
        <v>389.4</v>
      </c>
      <c r="CC7" s="723"/>
      <c r="CW7" s="669" t="s">
        <v>1146</v>
      </c>
    </row>
    <row r="8" spans="1:110" ht="19.5" customHeight="1" thickBot="1">
      <c r="A8" s="29"/>
      <c r="B8" s="155" t="s">
        <v>846</v>
      </c>
      <c r="C8" s="155"/>
      <c r="D8" s="155"/>
      <c r="E8" s="155"/>
      <c r="F8" s="155"/>
      <c r="I8" s="1471">
        <v>42309</v>
      </c>
      <c r="J8" s="62" t="s">
        <v>460</v>
      </c>
      <c r="K8" s="41" t="s">
        <v>460</v>
      </c>
      <c r="L8" s="157" t="s">
        <v>460</v>
      </c>
      <c r="M8" s="62" t="s">
        <v>460</v>
      </c>
      <c r="N8" s="122" t="s">
        <v>809</v>
      </c>
      <c r="O8" s="62" t="s">
        <v>460</v>
      </c>
      <c r="P8" s="156" t="s">
        <v>460</v>
      </c>
      <c r="Q8" s="156" t="s">
        <v>460</v>
      </c>
      <c r="R8" s="156" t="s">
        <v>460</v>
      </c>
      <c r="S8" s="122" t="s">
        <v>809</v>
      </c>
      <c r="T8" s="122" t="s">
        <v>809</v>
      </c>
      <c r="U8" s="156" t="s">
        <v>460</v>
      </c>
      <c r="V8" s="122" t="s">
        <v>809</v>
      </c>
      <c r="W8" s="122" t="s">
        <v>809</v>
      </c>
      <c r="X8" s="156" t="s">
        <v>460</v>
      </c>
      <c r="Y8" s="122" t="s">
        <v>809</v>
      </c>
      <c r="Z8" s="122" t="s">
        <v>809</v>
      </c>
      <c r="AA8" s="122" t="s">
        <v>809</v>
      </c>
      <c r="AB8" s="26" t="s">
        <v>460</v>
      </c>
      <c r="AC8" s="16" t="s">
        <v>809</v>
      </c>
      <c r="AH8" s="124">
        <v>1995</v>
      </c>
      <c r="AI8" s="112">
        <f t="shared" ref="AI8:AI22" si="0">V14</f>
        <v>9.1900269541778969E-3</v>
      </c>
      <c r="AJ8" s="163"/>
      <c r="AK8" s="164">
        <f t="shared" ref="AK8:AK22" si="1">Y14</f>
        <v>1.4850404312668465E-2</v>
      </c>
      <c r="AL8" s="163"/>
      <c r="AM8" s="165">
        <f t="shared" ref="AM8:AM21" si="2">S14</f>
        <v>3.385781671159029E-3</v>
      </c>
      <c r="AN8" s="163"/>
      <c r="AP8" s="285">
        <f t="array" ref="AP8:AP22">TRANSPOSE(ОТЧЁТ!U91:AI91)</f>
        <v>64.055000000000007</v>
      </c>
      <c r="AQ8" s="272">
        <f t="shared" ref="AQ8:AQ22" si="3">AV8-AR8</f>
        <v>64.055999999999997</v>
      </c>
      <c r="AR8" s="285">
        <f t="array" ref="AR8:AR25">TRANSPOSE(ОТЧЁТ!U93:AL93)</f>
        <v>6.6840000000000002</v>
      </c>
      <c r="AS8" s="176">
        <v>1995</v>
      </c>
      <c r="AT8" s="173">
        <f t="array" ref="AT8:AT26">TRANSPOSE(ОТЧЁТ!U86:AL86)</f>
        <v>148.30000000000001</v>
      </c>
      <c r="AU8" s="716">
        <f>AT8</f>
        <v>148.30000000000001</v>
      </c>
      <c r="AV8" s="560">
        <f t="array" ref="AV8:AV26">TRANSPOSE(ОТЧЁТ!U97:AM97)</f>
        <v>70.739999999999995</v>
      </c>
      <c r="AW8" s="570"/>
      <c r="AX8" s="566">
        <f t="shared" ref="AX8:AX25" si="4">AV8/AT8</f>
        <v>0.47700606877950091</v>
      </c>
      <c r="AY8" s="175">
        <f t="shared" ref="AY8:AY25" si="5">100*AX8</f>
        <v>47.700606877950094</v>
      </c>
      <c r="AZ8" s="127"/>
      <c r="BC8" s="186">
        <f t="shared" ref="BC8:BC26" si="6">AT8</f>
        <v>148.30000000000001</v>
      </c>
      <c r="BD8" s="564">
        <f t="shared" ref="BD8:BD43" si="7">AX8</f>
        <v>0.47700606877950091</v>
      </c>
      <c r="BE8" s="176">
        <v>1995</v>
      </c>
      <c r="BN8" s="669">
        <v>2016</v>
      </c>
      <c r="BO8" s="297">
        <v>143333.70000000001</v>
      </c>
      <c r="BP8">
        <v>-253.9</v>
      </c>
      <c r="BQ8">
        <v>-506.9</v>
      </c>
      <c r="BR8">
        <v>253</v>
      </c>
      <c r="BS8" s="297">
        <v>144019.29999999999</v>
      </c>
      <c r="BT8">
        <v>168.7</v>
      </c>
      <c r="BU8">
        <v>-165.9</v>
      </c>
      <c r="BV8">
        <v>334.6</v>
      </c>
      <c r="BW8" s="297">
        <v>144618.79999999999</v>
      </c>
      <c r="BX8">
        <v>549.79999999999995</v>
      </c>
      <c r="BY8">
        <v>134.1</v>
      </c>
      <c r="BZ8">
        <v>415.7</v>
      </c>
      <c r="CC8" s="2752" t="s">
        <v>137</v>
      </c>
      <c r="CD8" s="724" t="s">
        <v>1175</v>
      </c>
      <c r="CE8" s="2755" t="s">
        <v>1176</v>
      </c>
      <c r="CF8" s="2756"/>
      <c r="CG8" s="2755" t="s">
        <v>1177</v>
      </c>
      <c r="CH8" s="2756"/>
      <c r="CW8" s="669" t="s">
        <v>1162</v>
      </c>
      <c r="CX8" s="344">
        <v>71171</v>
      </c>
      <c r="CY8" s="713">
        <v>64055</v>
      </c>
      <c r="CZ8" s="713">
        <v>65273</v>
      </c>
      <c r="DA8" s="713">
        <v>66266</v>
      </c>
      <c r="DB8" s="713">
        <v>67152</v>
      </c>
      <c r="DC8" s="713">
        <v>67134</v>
      </c>
      <c r="DD8" s="713">
        <v>68603</v>
      </c>
      <c r="DE8" s="713">
        <v>69157</v>
      </c>
      <c r="DF8" s="27">
        <v>70813</v>
      </c>
    </row>
    <row r="9" spans="1:110" ht="15.6">
      <c r="A9" s="1">
        <v>1</v>
      </c>
      <c r="B9" t="s">
        <v>847</v>
      </c>
      <c r="G9" s="271"/>
      <c r="H9" s="274">
        <v>0</v>
      </c>
      <c r="I9" s="1472">
        <v>1990</v>
      </c>
      <c r="J9" s="1466">
        <v>147.66200000000001</v>
      </c>
      <c r="K9" s="325"/>
      <c r="P9" s="351">
        <v>0.91322300000000001</v>
      </c>
      <c r="Q9" s="351">
        <v>0.72946699999999998</v>
      </c>
      <c r="R9" s="351">
        <v>0.18375600000000003</v>
      </c>
      <c r="S9" s="130"/>
      <c r="T9" s="274"/>
      <c r="U9" s="351">
        <v>1.988</v>
      </c>
      <c r="V9" s="130"/>
      <c r="W9" s="274"/>
      <c r="X9" s="351">
        <v>1.6559999999999999</v>
      </c>
      <c r="Y9" s="130"/>
      <c r="Z9" s="274"/>
      <c r="AA9" s="24"/>
      <c r="AB9" s="35">
        <v>75.647242599999998</v>
      </c>
      <c r="AC9" s="35">
        <v>0.51229999999999998</v>
      </c>
      <c r="AD9" s="1079">
        <v>1990</v>
      </c>
      <c r="AH9" s="143">
        <v>1996</v>
      </c>
      <c r="AI9" s="113">
        <f t="shared" si="0"/>
        <v>8.7970330411328377E-3</v>
      </c>
      <c r="AJ9" s="166"/>
      <c r="AK9" s="167">
        <f t="shared" si="1"/>
        <v>1.404045853000674E-2</v>
      </c>
      <c r="AL9" s="166"/>
      <c r="AM9" s="168">
        <f t="shared" si="2"/>
        <v>2.3165475387727577E-3</v>
      </c>
      <c r="AN9" s="166"/>
      <c r="AP9" s="285">
        <v>62.927999999999997</v>
      </c>
      <c r="AQ9" s="272">
        <f t="shared" si="3"/>
        <v>62.927999999999997</v>
      </c>
      <c r="AR9" s="285">
        <v>6.7320000000000002</v>
      </c>
      <c r="AS9" s="176">
        <v>1996</v>
      </c>
      <c r="AT9" s="174">
        <v>148.30000000000001</v>
      </c>
      <c r="AU9" s="559">
        <f t="shared" ref="AU9:AU22" si="8">AT8*(1+AI9-AK9+AM9)-0.03</f>
        <v>147.83594400000001</v>
      </c>
      <c r="AV9" s="561">
        <v>69.66</v>
      </c>
      <c r="AW9" s="571"/>
      <c r="AX9" s="567">
        <f t="shared" si="4"/>
        <v>0.46972353337828721</v>
      </c>
      <c r="AY9" s="146">
        <f t="shared" si="5"/>
        <v>46.972353337828721</v>
      </c>
      <c r="AZ9" s="14"/>
      <c r="BC9" s="187">
        <f t="shared" si="6"/>
        <v>148.30000000000001</v>
      </c>
      <c r="BD9" s="545">
        <f t="shared" si="7"/>
        <v>0.46972353337828721</v>
      </c>
      <c r="BE9" s="176">
        <v>1996</v>
      </c>
      <c r="BN9" s="669">
        <v>2017</v>
      </c>
      <c r="BO9" s="297">
        <v>143079.79999999999</v>
      </c>
      <c r="BP9">
        <v>-352.4</v>
      </c>
      <c r="BQ9">
        <v>-599.70000000000005</v>
      </c>
      <c r="BR9">
        <v>247.3</v>
      </c>
      <c r="BS9" s="297">
        <v>144188</v>
      </c>
      <c r="BT9">
        <v>136.19999999999999</v>
      </c>
      <c r="BU9">
        <v>-205.8</v>
      </c>
      <c r="BV9">
        <v>342</v>
      </c>
      <c r="BW9" s="297">
        <v>145168.6</v>
      </c>
      <c r="BX9">
        <v>579.6</v>
      </c>
      <c r="BY9">
        <v>143.1</v>
      </c>
      <c r="BZ9">
        <v>436.5</v>
      </c>
      <c r="CC9" s="2753"/>
      <c r="CD9" s="725" t="s">
        <v>1178</v>
      </c>
      <c r="CE9" s="2757"/>
      <c r="CF9" s="2758"/>
      <c r="CG9" s="2757"/>
      <c r="CH9" s="2758"/>
      <c r="CW9" s="669" t="s">
        <v>1163</v>
      </c>
      <c r="CX9" s="344">
        <v>3889</v>
      </c>
      <c r="CY9" s="713">
        <v>6684</v>
      </c>
      <c r="CZ9" s="713">
        <v>7059</v>
      </c>
      <c r="DA9" s="713">
        <v>6155</v>
      </c>
      <c r="DB9" s="713">
        <v>5683</v>
      </c>
      <c r="DC9" s="713">
        <v>5775</v>
      </c>
      <c r="DD9" s="713">
        <v>5208</v>
      </c>
      <c r="DE9" s="713">
        <v>4999</v>
      </c>
      <c r="DF9" s="27">
        <v>4232</v>
      </c>
    </row>
    <row r="10" spans="1:110" ht="15.75" customHeight="1">
      <c r="A10" s="1"/>
      <c r="B10" t="s">
        <v>848</v>
      </c>
      <c r="G10" s="271"/>
      <c r="H10" s="274">
        <v>1</v>
      </c>
      <c r="I10" s="1473">
        <v>1991</v>
      </c>
      <c r="J10" s="1467">
        <v>148.30000000000001</v>
      </c>
      <c r="K10" s="327"/>
      <c r="P10" s="134">
        <v>0.69223800000000002</v>
      </c>
      <c r="Q10" s="134">
        <v>0.67549700000000001</v>
      </c>
      <c r="R10" s="134">
        <v>1.6741000000000006E-2</v>
      </c>
      <c r="S10" s="360">
        <v>1.1337378607901834E-4</v>
      </c>
      <c r="T10" s="274"/>
      <c r="U10" s="134">
        <v>1.794</v>
      </c>
      <c r="V10" s="360">
        <v>1.2149368151589441E-2</v>
      </c>
      <c r="W10" s="274"/>
      <c r="X10" s="134">
        <v>1.6910000000000001</v>
      </c>
      <c r="Y10" s="360">
        <v>1.1451829177445789E-2</v>
      </c>
      <c r="Z10" s="274"/>
      <c r="AA10" s="24"/>
      <c r="AB10" s="35">
        <v>75.974090000000004</v>
      </c>
      <c r="AC10" s="35">
        <v>0.51229999999999998</v>
      </c>
      <c r="AD10" s="858">
        <v>1991</v>
      </c>
      <c r="AH10" s="143">
        <v>1997</v>
      </c>
      <c r="AI10" s="113">
        <f t="shared" si="0"/>
        <v>8.4956169925826022E-3</v>
      </c>
      <c r="AJ10" s="166"/>
      <c r="AK10" s="167">
        <f t="shared" si="1"/>
        <v>1.3592717464598785E-2</v>
      </c>
      <c r="AL10" s="166"/>
      <c r="AM10" s="168">
        <f t="shared" si="2"/>
        <v>2.4589615643964939E-3</v>
      </c>
      <c r="AN10" s="166"/>
      <c r="AP10" s="285">
        <v>60.021000000000001</v>
      </c>
      <c r="AQ10" s="272">
        <f t="shared" si="3"/>
        <v>60.020999999999994</v>
      </c>
      <c r="AR10" s="285">
        <v>8.0579999999999998</v>
      </c>
      <c r="AS10" s="176">
        <v>1997</v>
      </c>
      <c r="AT10" s="174">
        <v>148</v>
      </c>
      <c r="AU10" s="559">
        <f t="shared" si="8"/>
        <v>147.87876399999999</v>
      </c>
      <c r="AV10" s="561">
        <v>68.078999999999994</v>
      </c>
      <c r="AW10" s="571"/>
      <c r="AX10" s="567">
        <f t="shared" si="4"/>
        <v>0.4599932432432432</v>
      </c>
      <c r="AY10" s="146">
        <f t="shared" si="5"/>
        <v>45.99932432432432</v>
      </c>
      <c r="AZ10" s="14"/>
      <c r="BC10" s="187">
        <f t="shared" si="6"/>
        <v>148</v>
      </c>
      <c r="BD10" s="545">
        <f t="shared" si="7"/>
        <v>0.4599932432432432</v>
      </c>
      <c r="BE10" s="176">
        <v>1997</v>
      </c>
      <c r="BN10" s="669">
        <v>2018</v>
      </c>
      <c r="BO10" s="297">
        <v>142727.4</v>
      </c>
      <c r="BP10">
        <v>-454.4</v>
      </c>
      <c r="BQ10">
        <v>-697.1</v>
      </c>
      <c r="BR10">
        <v>242.7</v>
      </c>
      <c r="BS10" s="297">
        <v>144324.20000000001</v>
      </c>
      <c r="BT10">
        <v>92</v>
      </c>
      <c r="BU10">
        <v>-256.10000000000002</v>
      </c>
      <c r="BV10">
        <v>348.1</v>
      </c>
      <c r="BW10" s="297">
        <v>145748.20000000001</v>
      </c>
      <c r="BX10">
        <v>590.4</v>
      </c>
      <c r="BY10">
        <v>137.1</v>
      </c>
      <c r="BZ10">
        <v>453.3</v>
      </c>
      <c r="CC10" s="2754"/>
      <c r="CD10" s="726" t="s">
        <v>1179</v>
      </c>
      <c r="CE10" s="727" t="s">
        <v>1180</v>
      </c>
      <c r="CF10" s="727" t="s">
        <v>1181</v>
      </c>
      <c r="CG10" s="727" t="s">
        <v>1180</v>
      </c>
      <c r="CH10" s="727" t="s">
        <v>1181</v>
      </c>
      <c r="CW10" s="669" t="s">
        <v>1164</v>
      </c>
      <c r="CX10">
        <v>39197</v>
      </c>
      <c r="CY10">
        <v>37338</v>
      </c>
      <c r="CZ10">
        <v>37499</v>
      </c>
      <c r="DA10">
        <v>36997</v>
      </c>
      <c r="DB10">
        <v>37206</v>
      </c>
      <c r="DC10">
        <v>37079</v>
      </c>
      <c r="DD10">
        <v>37511</v>
      </c>
      <c r="DE10">
        <v>37627</v>
      </c>
      <c r="DF10">
        <v>37967</v>
      </c>
    </row>
    <row r="11" spans="1:110" ht="15.6">
      <c r="A11" s="1">
        <v>2</v>
      </c>
      <c r="B11" t="s">
        <v>849</v>
      </c>
      <c r="G11" s="271"/>
      <c r="H11" s="274">
        <v>2</v>
      </c>
      <c r="I11" s="1473">
        <v>1992</v>
      </c>
      <c r="J11" s="1467">
        <v>148.6</v>
      </c>
      <c r="K11" s="327"/>
      <c r="P11" s="134">
        <v>0.92601999999999995</v>
      </c>
      <c r="Q11" s="134">
        <v>0.67314300000000005</v>
      </c>
      <c r="R11" s="134">
        <v>0.17610000000000001</v>
      </c>
      <c r="S11" s="360">
        <v>1.1874578556979095E-3</v>
      </c>
      <c r="T11" s="274"/>
      <c r="U11" s="134">
        <v>1.587</v>
      </c>
      <c r="V11" s="360">
        <v>1.0701281186783545E-2</v>
      </c>
      <c r="W11" s="274"/>
      <c r="X11" s="134">
        <v>1.8069999999999999</v>
      </c>
      <c r="Y11" s="360">
        <v>1.2184760620364126E-2</v>
      </c>
      <c r="Z11" s="274"/>
      <c r="AA11" s="24"/>
      <c r="AB11">
        <v>74.945999999999998</v>
      </c>
      <c r="AC11" s="35">
        <v>0.50434724091520866</v>
      </c>
      <c r="AD11" s="858">
        <v>1992</v>
      </c>
      <c r="AH11" s="143">
        <v>1998</v>
      </c>
      <c r="AI11" s="113">
        <f t="shared" si="0"/>
        <v>8.6709459459459459E-3</v>
      </c>
      <c r="AJ11" s="166"/>
      <c r="AK11" s="167">
        <f t="shared" si="1"/>
        <v>1.3437162162162161E-2</v>
      </c>
      <c r="AL11" s="166"/>
      <c r="AM11" s="168">
        <f t="shared" si="2"/>
        <v>2.0282027027027022E-3</v>
      </c>
      <c r="AN11" s="166"/>
      <c r="AP11" s="285">
        <v>58.436999999999998</v>
      </c>
      <c r="AQ11" s="272">
        <f t="shared" si="3"/>
        <v>58.436999999999998</v>
      </c>
      <c r="AR11" s="285">
        <v>8.9019999999999992</v>
      </c>
      <c r="AS11" s="176">
        <v>1998</v>
      </c>
      <c r="AT11" s="174">
        <v>147.80000000000001</v>
      </c>
      <c r="AU11" s="559">
        <f t="shared" si="8"/>
        <v>147.564774</v>
      </c>
      <c r="AV11" s="561">
        <v>67.338999999999999</v>
      </c>
      <c r="AW11" s="571"/>
      <c r="AX11" s="567">
        <f t="shared" si="4"/>
        <v>0.45560893098782135</v>
      </c>
      <c r="AY11" s="146">
        <f t="shared" si="5"/>
        <v>45.560893098782138</v>
      </c>
      <c r="AZ11" s="14"/>
      <c r="BC11" s="187">
        <f t="shared" si="6"/>
        <v>147.80000000000001</v>
      </c>
      <c r="BD11" s="545">
        <f t="shared" si="7"/>
        <v>0.45560893098782135</v>
      </c>
      <c r="BE11" s="176">
        <v>1998</v>
      </c>
      <c r="BN11" s="669">
        <v>2019</v>
      </c>
      <c r="BO11" s="297">
        <v>142273</v>
      </c>
      <c r="BP11">
        <v>-536.9</v>
      </c>
      <c r="BQ11">
        <v>-775.7</v>
      </c>
      <c r="BR11">
        <v>238.8</v>
      </c>
      <c r="BS11" s="297">
        <v>144416.20000000001</v>
      </c>
      <c r="BT11">
        <v>57.1</v>
      </c>
      <c r="BU11">
        <v>-296.2</v>
      </c>
      <c r="BV11">
        <v>353.3</v>
      </c>
      <c r="BW11" s="297">
        <v>146338.6</v>
      </c>
      <c r="BX11">
        <v>600.70000000000005</v>
      </c>
      <c r="BY11">
        <v>133.19999999999999</v>
      </c>
      <c r="BZ11">
        <v>467.5</v>
      </c>
      <c r="CC11" s="728">
        <v>1926</v>
      </c>
      <c r="CD11" s="729">
        <v>92.7</v>
      </c>
      <c r="CE11" s="729">
        <v>44</v>
      </c>
      <c r="CF11" s="729">
        <v>48.7</v>
      </c>
      <c r="CG11" s="730">
        <v>47</v>
      </c>
      <c r="CH11" s="730">
        <v>53</v>
      </c>
      <c r="CW11" s="669" t="s">
        <v>1146</v>
      </c>
    </row>
    <row r="12" spans="1:110" ht="15.6">
      <c r="A12" s="1"/>
      <c r="B12" t="s">
        <v>850</v>
      </c>
      <c r="G12" s="271"/>
      <c r="H12" s="274">
        <v>3</v>
      </c>
      <c r="I12" s="1473">
        <v>1993</v>
      </c>
      <c r="J12" s="1467">
        <v>148.6</v>
      </c>
      <c r="K12" s="327"/>
      <c r="P12" s="134">
        <v>0.92327999999999999</v>
      </c>
      <c r="Q12" s="134">
        <v>0.48302800000000001</v>
      </c>
      <c r="R12" s="134">
        <v>0.44025199999999998</v>
      </c>
      <c r="S12" s="360">
        <v>2.9626648721399729E-3</v>
      </c>
      <c r="T12" s="274"/>
      <c r="U12" s="134">
        <v>1.379</v>
      </c>
      <c r="V12" s="360">
        <v>9.2799461641991932E-3</v>
      </c>
      <c r="W12" s="274"/>
      <c r="X12" s="134">
        <v>2.129</v>
      </c>
      <c r="Y12" s="360">
        <v>1.4327052489905788E-2</v>
      </c>
      <c r="Z12" s="274"/>
      <c r="AA12" s="24"/>
      <c r="AB12" s="32"/>
      <c r="AC12" s="35">
        <v>0</v>
      </c>
      <c r="AD12" s="858">
        <v>1993</v>
      </c>
      <c r="AH12" s="143">
        <v>1999</v>
      </c>
      <c r="AI12" s="113">
        <f t="shared" si="0"/>
        <v>8.2185385656292267E-3</v>
      </c>
      <c r="AJ12" s="166"/>
      <c r="AK12" s="167">
        <f t="shared" si="1"/>
        <v>1.4508119079837616E-2</v>
      </c>
      <c r="AL12" s="166"/>
      <c r="AM12" s="168">
        <f t="shared" si="2"/>
        <v>8.7415426251691492E-4</v>
      </c>
      <c r="AN12" s="166"/>
      <c r="AP12" s="285">
        <v>63.082000000000001</v>
      </c>
      <c r="AQ12" s="272">
        <f t="shared" si="3"/>
        <v>63.080999999999996</v>
      </c>
      <c r="AR12" s="285">
        <v>9.0939999999999994</v>
      </c>
      <c r="AS12" s="176">
        <v>1999</v>
      </c>
      <c r="AT12" s="174">
        <v>147.5</v>
      </c>
      <c r="AU12" s="559">
        <f t="shared" si="8"/>
        <v>146.96960000000001</v>
      </c>
      <c r="AV12" s="561">
        <v>72.174999999999997</v>
      </c>
      <c r="AW12" s="571"/>
      <c r="AX12" s="567">
        <f t="shared" si="4"/>
        <v>0.48932203389830509</v>
      </c>
      <c r="AY12" s="146">
        <f t="shared" si="5"/>
        <v>48.932203389830505</v>
      </c>
      <c r="AZ12" s="14"/>
      <c r="BC12" s="187">
        <f t="shared" si="6"/>
        <v>147.5</v>
      </c>
      <c r="BD12" s="545">
        <f t="shared" si="7"/>
        <v>0.48932203389830509</v>
      </c>
      <c r="BE12" s="176">
        <v>1999</v>
      </c>
      <c r="BN12" s="669">
        <v>2020</v>
      </c>
      <c r="BO12" s="297">
        <v>141736.1</v>
      </c>
      <c r="BP12">
        <v>-614.20000000000005</v>
      </c>
      <c r="BQ12">
        <v>-849.7</v>
      </c>
      <c r="BR12">
        <v>235.5</v>
      </c>
      <c r="BS12" s="297">
        <v>144473.29999999999</v>
      </c>
      <c r="BT12">
        <v>23.7</v>
      </c>
      <c r="BU12">
        <v>-334.1</v>
      </c>
      <c r="BV12">
        <v>357.8</v>
      </c>
      <c r="BW12" s="297">
        <v>146939.29999999999</v>
      </c>
      <c r="BX12">
        <v>609.6</v>
      </c>
      <c r="BY12">
        <v>129.9</v>
      </c>
      <c r="BZ12">
        <v>479.7</v>
      </c>
      <c r="CC12" s="728">
        <v>1939</v>
      </c>
      <c r="CD12" s="729">
        <v>108.4</v>
      </c>
      <c r="CE12" s="729">
        <v>51.1</v>
      </c>
      <c r="CF12" s="729">
        <v>57.3</v>
      </c>
      <c r="CG12" s="730">
        <v>47</v>
      </c>
      <c r="CH12" s="730">
        <v>53</v>
      </c>
      <c r="CW12" s="669" t="s">
        <v>1162</v>
      </c>
      <c r="CX12">
        <v>37161</v>
      </c>
      <c r="CY12">
        <v>33726</v>
      </c>
      <c r="CZ12">
        <v>33754</v>
      </c>
      <c r="DA12">
        <v>33709</v>
      </c>
      <c r="DB12">
        <v>34199</v>
      </c>
      <c r="DC12">
        <v>34177</v>
      </c>
      <c r="DD12">
        <v>34710</v>
      </c>
      <c r="DE12">
        <v>34996</v>
      </c>
      <c r="DF12">
        <v>35702</v>
      </c>
    </row>
    <row r="13" spans="1:110" ht="16.2" thickBot="1">
      <c r="A13" s="1">
        <v>3</v>
      </c>
      <c r="B13" t="s">
        <v>851</v>
      </c>
      <c r="G13" s="271"/>
      <c r="H13" s="274">
        <v>4</v>
      </c>
      <c r="I13" s="1473">
        <v>1994</v>
      </c>
      <c r="J13" s="1467">
        <v>148.4</v>
      </c>
      <c r="K13" s="327">
        <f>J13</f>
        <v>148.4</v>
      </c>
      <c r="M13" s="30">
        <f>K13</f>
        <v>148.4</v>
      </c>
      <c r="P13" s="134">
        <v>1.1467350000000001</v>
      </c>
      <c r="Q13" s="134">
        <v>0.337121</v>
      </c>
      <c r="R13" s="134">
        <v>0.80961400000000006</v>
      </c>
      <c r="S13" s="360">
        <v>5.4482772543741594E-3</v>
      </c>
      <c r="T13" s="274"/>
      <c r="U13" s="134">
        <v>1.4079999999999999</v>
      </c>
      <c r="V13" s="360">
        <v>9.4751009421265141E-3</v>
      </c>
      <c r="W13" s="274"/>
      <c r="X13" s="134">
        <v>2.3010000000000002</v>
      </c>
      <c r="Y13" s="360">
        <v>1.5484522207267835E-2</v>
      </c>
      <c r="Z13" s="274"/>
      <c r="AA13" s="24"/>
      <c r="AB13" s="32"/>
      <c r="AC13" s="35">
        <v>0</v>
      </c>
      <c r="AD13" s="858">
        <v>1994</v>
      </c>
      <c r="AH13" s="143">
        <v>2000</v>
      </c>
      <c r="AI13" s="113">
        <f t="shared" si="0"/>
        <v>8.5884745762711857E-3</v>
      </c>
      <c r="AJ13" s="166"/>
      <c r="AK13" s="167">
        <f t="shared" si="1"/>
        <v>1.5086779661016948E-2</v>
      </c>
      <c r="AL13" s="166"/>
      <c r="AM13" s="168">
        <f t="shared" si="2"/>
        <v>1.4482033898305085E-3</v>
      </c>
      <c r="AN13" s="166"/>
      <c r="AP13" s="285">
        <v>65.069999999999993</v>
      </c>
      <c r="AQ13" s="272">
        <f t="shared" si="3"/>
        <v>65.069999999999993</v>
      </c>
      <c r="AR13" s="272">
        <v>7.7000000000000028</v>
      </c>
      <c r="AS13" s="176">
        <v>2000</v>
      </c>
      <c r="AT13" s="174">
        <v>146.30000000000001</v>
      </c>
      <c r="AU13" s="559">
        <f t="shared" si="8"/>
        <v>146.72511</v>
      </c>
      <c r="AV13" s="561">
        <v>72.77</v>
      </c>
      <c r="AW13" s="571"/>
      <c r="AX13" s="567">
        <f t="shared" si="4"/>
        <v>0.49740259740259735</v>
      </c>
      <c r="AY13" s="146">
        <f t="shared" si="5"/>
        <v>49.740259740259738</v>
      </c>
      <c r="AZ13" s="14"/>
      <c r="BC13" s="187">
        <f t="shared" si="6"/>
        <v>146.30000000000001</v>
      </c>
      <c r="BD13" s="545">
        <f t="shared" si="7"/>
        <v>0.49740259740259735</v>
      </c>
      <c r="BE13" s="176">
        <v>2000</v>
      </c>
      <c r="BN13" s="669">
        <v>2021</v>
      </c>
      <c r="BO13" s="297">
        <v>141121.9</v>
      </c>
      <c r="BP13">
        <v>-666.3</v>
      </c>
      <c r="BQ13">
        <v>-898.8</v>
      </c>
      <c r="BR13">
        <v>232.5</v>
      </c>
      <c r="BS13" s="297">
        <v>144497</v>
      </c>
      <c r="BT13">
        <v>-0.2</v>
      </c>
      <c r="BU13">
        <v>-362</v>
      </c>
      <c r="BV13">
        <v>361.8</v>
      </c>
      <c r="BW13" s="297">
        <v>147548.9</v>
      </c>
      <c r="BX13">
        <v>612.1</v>
      </c>
      <c r="BY13">
        <v>121.4</v>
      </c>
      <c r="BZ13">
        <v>490.7</v>
      </c>
      <c r="CC13" s="728">
        <v>1959</v>
      </c>
      <c r="CD13" s="729">
        <v>117.2</v>
      </c>
      <c r="CE13" s="729">
        <v>52.2</v>
      </c>
      <c r="CF13" s="729">
        <v>65</v>
      </c>
      <c r="CG13" s="730">
        <v>45</v>
      </c>
      <c r="CH13" s="730">
        <v>55</v>
      </c>
      <c r="CW13" s="669" t="s">
        <v>1163</v>
      </c>
      <c r="CX13">
        <v>2036</v>
      </c>
      <c r="CY13">
        <v>3613</v>
      </c>
      <c r="CZ13">
        <v>3745</v>
      </c>
      <c r="DA13">
        <v>3288</v>
      </c>
      <c r="DB13">
        <v>3007</v>
      </c>
      <c r="DC13">
        <v>2902</v>
      </c>
      <c r="DD13">
        <v>2801</v>
      </c>
      <c r="DE13">
        <v>2631</v>
      </c>
      <c r="DF13">
        <v>2264</v>
      </c>
    </row>
    <row r="14" spans="1:110" ht="15.6">
      <c r="A14" s="1"/>
      <c r="B14" t="s">
        <v>852</v>
      </c>
      <c r="G14" s="271"/>
      <c r="H14" s="274">
        <v>5</v>
      </c>
      <c r="I14" s="1473">
        <v>1995</v>
      </c>
      <c r="J14" s="1468">
        <f t="array" ref="J14:J35">TRANSPOSE(ОТЧЁТ!U86:AP86)</f>
        <v>148.30000000000001</v>
      </c>
      <c r="K14" s="1484">
        <f>J14</f>
        <v>148.30000000000001</v>
      </c>
      <c r="L14" s="1487">
        <f>J14</f>
        <v>148.30000000000001</v>
      </c>
      <c r="M14" s="182">
        <f t="shared" ref="M14:M27" si="9">M13+U14-X14+R14</f>
        <v>148.06245000000001</v>
      </c>
      <c r="N14" s="392">
        <f t="shared" ref="N14:N27" si="10">O14/J13</f>
        <v>1.6007412398922239E-3</v>
      </c>
      <c r="O14" s="272">
        <f t="shared" ref="O14:O27" si="11">J14-J13-U14+X14-R14</f>
        <v>0.23755000000000603</v>
      </c>
      <c r="P14" s="375">
        <v>0.84204999999999997</v>
      </c>
      <c r="Q14" s="375">
        <v>0.33960000000000001</v>
      </c>
      <c r="R14" s="375">
        <v>0.50244999999999995</v>
      </c>
      <c r="S14" s="376">
        <f t="shared" ref="S14:S27" si="12">R14/J13</f>
        <v>3.385781671159029E-3</v>
      </c>
      <c r="T14" s="380">
        <f>S14</f>
        <v>3.385781671159029E-3</v>
      </c>
      <c r="U14" s="375">
        <v>1.3637999999999999</v>
      </c>
      <c r="V14" s="376">
        <f t="shared" ref="V14:V28" si="13">U14/J13</f>
        <v>9.1900269541778969E-3</v>
      </c>
      <c r="W14" s="380">
        <f>V14</f>
        <v>9.1900269541778969E-3</v>
      </c>
      <c r="X14" s="375">
        <v>2.2038000000000002</v>
      </c>
      <c r="Y14" s="376">
        <f t="shared" ref="Y14:Y28" si="14">X14/J13</f>
        <v>1.4850404312668465E-2</v>
      </c>
      <c r="Z14" s="380">
        <f>Y14</f>
        <v>1.4850404312668465E-2</v>
      </c>
      <c r="AA14" s="24"/>
      <c r="AB14" s="1477">
        <v>70.739999999999995</v>
      </c>
      <c r="AC14" s="1479">
        <f>AB14/J14</f>
        <v>0.47700606877950091</v>
      </c>
      <c r="AD14" s="1014">
        <v>1995</v>
      </c>
      <c r="AH14" s="143">
        <v>2001</v>
      </c>
      <c r="AI14" s="113">
        <f t="shared" si="0"/>
        <v>8.96514012303486E-3</v>
      </c>
      <c r="AJ14" s="166"/>
      <c r="AK14" s="167">
        <f t="shared" si="1"/>
        <v>1.5412850307587149E-2</v>
      </c>
      <c r="AL14" s="166"/>
      <c r="AM14" s="168">
        <f t="shared" si="2"/>
        <v>4.9408065618591944E-4</v>
      </c>
      <c r="AN14" s="166"/>
      <c r="AP14" s="285">
        <v>65.123000000000005</v>
      </c>
      <c r="AQ14" s="272">
        <f t="shared" si="3"/>
        <v>65.123000000000005</v>
      </c>
      <c r="AR14" s="272">
        <v>6.421999999999997</v>
      </c>
      <c r="AS14" s="176">
        <v>2001</v>
      </c>
      <c r="AT14" s="174">
        <v>146.304</v>
      </c>
      <c r="AU14" s="559">
        <f t="shared" si="8"/>
        <v>145.39898400000001</v>
      </c>
      <c r="AV14" s="561">
        <v>71.545000000000002</v>
      </c>
      <c r="AW14" s="571"/>
      <c r="AX14" s="567">
        <f t="shared" si="4"/>
        <v>0.48901602143482065</v>
      </c>
      <c r="AY14" s="146">
        <f t="shared" si="5"/>
        <v>48.901602143482066</v>
      </c>
      <c r="AZ14" s="14"/>
      <c r="BC14" s="187">
        <f t="shared" si="6"/>
        <v>146.304</v>
      </c>
      <c r="BD14" s="545">
        <f t="shared" si="7"/>
        <v>0.48901602143482065</v>
      </c>
      <c r="BE14" s="176">
        <v>2001</v>
      </c>
      <c r="BN14" s="669">
        <v>2022</v>
      </c>
      <c r="BO14" s="297">
        <v>140455.6</v>
      </c>
      <c r="BP14">
        <v>-713.9</v>
      </c>
      <c r="BQ14">
        <v>-943.7</v>
      </c>
      <c r="BR14">
        <v>229.8</v>
      </c>
      <c r="BS14" s="297">
        <v>144496.79999999999</v>
      </c>
      <c r="BT14">
        <v>-34.299999999999997</v>
      </c>
      <c r="BU14">
        <v>-399.6</v>
      </c>
      <c r="BV14">
        <v>365.3</v>
      </c>
      <c r="BW14" s="297">
        <v>148161</v>
      </c>
      <c r="BX14">
        <v>596</v>
      </c>
      <c r="BY14">
        <v>95.8</v>
      </c>
      <c r="BZ14">
        <v>500.2</v>
      </c>
      <c r="CC14" s="728">
        <v>1970</v>
      </c>
      <c r="CD14" s="729">
        <v>129.9</v>
      </c>
      <c r="CE14" s="729">
        <v>59.1</v>
      </c>
      <c r="CF14" s="729">
        <v>70.8</v>
      </c>
      <c r="CG14" s="730">
        <v>45</v>
      </c>
      <c r="CH14" s="730">
        <v>55</v>
      </c>
      <c r="CW14" s="669" t="s">
        <v>1165</v>
      </c>
      <c r="CX14">
        <v>35863</v>
      </c>
      <c r="CY14">
        <v>33401</v>
      </c>
      <c r="CZ14">
        <v>34833</v>
      </c>
      <c r="DA14">
        <v>35423</v>
      </c>
      <c r="DB14">
        <v>35629</v>
      </c>
      <c r="DC14">
        <v>35831</v>
      </c>
      <c r="DD14">
        <v>36300</v>
      </c>
      <c r="DE14">
        <v>36529</v>
      </c>
      <c r="DF14">
        <v>37079</v>
      </c>
    </row>
    <row r="15" spans="1:110" ht="15.6">
      <c r="A15" s="1">
        <v>4</v>
      </c>
      <c r="B15" t="s">
        <v>853</v>
      </c>
      <c r="G15" s="271"/>
      <c r="H15" s="274">
        <v>6</v>
      </c>
      <c r="I15" s="1473">
        <v>1996</v>
      </c>
      <c r="J15" s="1467">
        <v>148.30000000000001</v>
      </c>
      <c r="K15" s="1485">
        <f t="shared" ref="K15:K29" si="15">K14*(1+W15-Z15+T15 +0.0009)</f>
        <v>147.999414</v>
      </c>
      <c r="L15" s="1463">
        <f t="shared" ref="L15:L35" si="16">J15</f>
        <v>148.30000000000001</v>
      </c>
      <c r="M15" s="182">
        <f t="shared" si="9"/>
        <v>147.62839400000001</v>
      </c>
      <c r="N15" s="392">
        <f t="shared" si="10"/>
        <v>2.9268779501011449E-3</v>
      </c>
      <c r="O15" s="272">
        <f t="shared" si="11"/>
        <v>0.43405599999999983</v>
      </c>
      <c r="P15" s="134">
        <v>0.63159200000000004</v>
      </c>
      <c r="Q15" s="134">
        <v>0.28804800000000003</v>
      </c>
      <c r="R15" s="134">
        <v>0.34354400000000002</v>
      </c>
      <c r="S15" s="360">
        <f t="shared" si="12"/>
        <v>2.3165475387727577E-3</v>
      </c>
      <c r="T15" s="378">
        <f>S15</f>
        <v>2.3165475387727577E-3</v>
      </c>
      <c r="U15" s="134">
        <v>1.3046</v>
      </c>
      <c r="V15" s="360">
        <f t="shared" si="13"/>
        <v>8.7970330411328377E-3</v>
      </c>
      <c r="W15" s="378">
        <f>V15</f>
        <v>8.7970330411328377E-3</v>
      </c>
      <c r="X15" s="134">
        <v>2.0821999999999998</v>
      </c>
      <c r="Y15" s="360">
        <f t="shared" si="14"/>
        <v>1.404045853000674E-2</v>
      </c>
      <c r="Z15" s="378">
        <f>Y15</f>
        <v>1.404045853000674E-2</v>
      </c>
      <c r="AA15" s="24"/>
      <c r="AB15" s="1464">
        <v>69.66</v>
      </c>
      <c r="AC15" s="1480">
        <f>AB15/J15</f>
        <v>0.46972353337828721</v>
      </c>
      <c r="AD15" s="1482">
        <v>1996</v>
      </c>
      <c r="AH15" s="143">
        <v>2002</v>
      </c>
      <c r="AI15" s="113">
        <f t="shared" si="0"/>
        <v>9.5486111111111119E-3</v>
      </c>
      <c r="AJ15" s="166"/>
      <c r="AK15" s="167">
        <f t="shared" si="1"/>
        <v>1.5941464348206473E-2</v>
      </c>
      <c r="AL15" s="166"/>
      <c r="AM15" s="168">
        <f t="shared" si="2"/>
        <v>5.3263752187226597E-4</v>
      </c>
      <c r="AN15" s="166"/>
      <c r="AP15" s="285">
        <v>66.659000000000006</v>
      </c>
      <c r="AQ15" s="272">
        <f t="shared" si="3"/>
        <v>66.659000000000006</v>
      </c>
      <c r="AR15" s="272">
        <v>5.6979999999999933</v>
      </c>
      <c r="AS15" s="176">
        <v>2002</v>
      </c>
      <c r="AT15" s="174">
        <v>145.16999999999999</v>
      </c>
      <c r="AU15" s="559">
        <f t="shared" si="8"/>
        <v>145.41662700000001</v>
      </c>
      <c r="AV15" s="561">
        <v>72.356999999999999</v>
      </c>
      <c r="AW15" s="571"/>
      <c r="AX15" s="567">
        <f t="shared" si="4"/>
        <v>0.49842942756767933</v>
      </c>
      <c r="AY15" s="146">
        <f t="shared" si="5"/>
        <v>49.842942756767933</v>
      </c>
      <c r="AZ15" s="14"/>
      <c r="BC15" s="187">
        <f t="shared" si="6"/>
        <v>145.16999999999999</v>
      </c>
      <c r="BD15" s="545">
        <f t="shared" si="7"/>
        <v>0.49842942756767933</v>
      </c>
      <c r="BE15" s="176">
        <v>2002</v>
      </c>
      <c r="BN15" s="669">
        <v>2023</v>
      </c>
      <c r="BO15" s="297">
        <v>139741.70000000001</v>
      </c>
      <c r="BP15">
        <v>-747.2</v>
      </c>
      <c r="BQ15">
        <v>-974.6</v>
      </c>
      <c r="BR15">
        <v>227.4</v>
      </c>
      <c r="BS15" s="297">
        <v>144462.5</v>
      </c>
      <c r="BT15">
        <v>-63.7</v>
      </c>
      <c r="BU15">
        <v>-432.1</v>
      </c>
      <c r="BV15">
        <v>368.4</v>
      </c>
      <c r="BW15" s="297">
        <v>148757</v>
      </c>
      <c r="BX15">
        <v>576.70000000000005</v>
      </c>
      <c r="BY15">
        <v>67.400000000000006</v>
      </c>
      <c r="BZ15">
        <v>509.3</v>
      </c>
      <c r="CC15" s="728">
        <v>1979</v>
      </c>
      <c r="CD15" s="729">
        <v>137.4</v>
      </c>
      <c r="CE15" s="729">
        <v>63.2</v>
      </c>
      <c r="CF15" s="729">
        <v>74.2</v>
      </c>
      <c r="CG15" s="730">
        <v>46</v>
      </c>
      <c r="CH15" s="730">
        <v>54</v>
      </c>
      <c r="CW15" s="669" t="s">
        <v>1146</v>
      </c>
    </row>
    <row r="16" spans="1:110" ht="15.6">
      <c r="A16" s="1"/>
      <c r="B16" t="s">
        <v>854</v>
      </c>
      <c r="G16" s="271"/>
      <c r="H16" s="274">
        <v>7</v>
      </c>
      <c r="I16" s="1473">
        <v>1997</v>
      </c>
      <c r="J16" s="1467">
        <v>148</v>
      </c>
      <c r="K16" s="1485">
        <f t="shared" si="15"/>
        <v>147.74217046022167</v>
      </c>
      <c r="L16" s="1463">
        <f t="shared" si="16"/>
        <v>148</v>
      </c>
      <c r="M16" s="182">
        <f t="shared" si="9"/>
        <v>147.23715799999999</v>
      </c>
      <c r="N16" s="392">
        <f t="shared" si="10"/>
        <v>6.1521240728245848E-4</v>
      </c>
      <c r="O16" s="272">
        <f t="shared" si="11"/>
        <v>9.1235999999988604E-2</v>
      </c>
      <c r="P16" s="134">
        <v>0.59765100000000004</v>
      </c>
      <c r="Q16" s="134">
        <v>0.232987</v>
      </c>
      <c r="R16" s="134">
        <v>0.36466400000000004</v>
      </c>
      <c r="S16" s="360">
        <f t="shared" si="12"/>
        <v>2.4589615643964939E-3</v>
      </c>
      <c r="T16" s="378">
        <f t="shared" ref="T16:T27" si="17">S16</f>
        <v>2.4589615643964939E-3</v>
      </c>
      <c r="U16" s="134">
        <v>1.2599</v>
      </c>
      <c r="V16" s="360">
        <f t="shared" si="13"/>
        <v>8.4956169925826022E-3</v>
      </c>
      <c r="W16" s="378">
        <f t="shared" ref="W16:W28" si="18">V16</f>
        <v>8.4956169925826022E-3</v>
      </c>
      <c r="X16" s="134">
        <v>2.0158</v>
      </c>
      <c r="Y16" s="360">
        <f t="shared" si="14"/>
        <v>1.3592717464598785E-2</v>
      </c>
      <c r="Z16" s="378">
        <f t="shared" ref="Z16:Z28" si="19">Y16</f>
        <v>1.3592717464598785E-2</v>
      </c>
      <c r="AA16" s="24"/>
      <c r="AB16" s="1464">
        <v>68.078999999999994</v>
      </c>
      <c r="AC16" s="1480">
        <f t="shared" ref="AC16:AC35" si="20">AB16/J16</f>
        <v>0.4599932432432432</v>
      </c>
      <c r="AD16" s="1482">
        <v>1997</v>
      </c>
      <c r="AH16" s="143">
        <v>2003</v>
      </c>
      <c r="AI16" s="113">
        <f t="shared" si="0"/>
        <v>1.0176344974857065E-2</v>
      </c>
      <c r="AJ16" s="166"/>
      <c r="AK16" s="167">
        <f t="shared" si="1"/>
        <v>1.6296755528001656E-2</v>
      </c>
      <c r="AL16" s="166"/>
      <c r="AM16" s="168">
        <f t="shared" si="2"/>
        <v>2.4196459323551703E-4</v>
      </c>
      <c r="AN16" s="166"/>
      <c r="AP16" s="285">
        <v>66.338999999999999</v>
      </c>
      <c r="AQ16" s="272">
        <f t="shared" si="3"/>
        <v>66.338999999999999</v>
      </c>
      <c r="AR16" s="272">
        <v>5.9339999999999975</v>
      </c>
      <c r="AS16" s="176">
        <v>2003</v>
      </c>
      <c r="AT16" s="174">
        <v>144.19999999999999</v>
      </c>
      <c r="AU16" s="559">
        <f t="shared" si="8"/>
        <v>144.28662599999998</v>
      </c>
      <c r="AV16" s="561">
        <v>72.272999999999996</v>
      </c>
      <c r="AW16" s="571"/>
      <c r="AX16" s="567">
        <f t="shared" si="4"/>
        <v>0.50119972260748957</v>
      </c>
      <c r="AY16" s="146">
        <f t="shared" si="5"/>
        <v>50.119972260748959</v>
      </c>
      <c r="AZ16" s="14"/>
      <c r="BC16" s="187">
        <f t="shared" si="6"/>
        <v>144.19999999999999</v>
      </c>
      <c r="BD16" s="545">
        <f t="shared" si="7"/>
        <v>0.50119972260748957</v>
      </c>
      <c r="BE16" s="176">
        <v>2003</v>
      </c>
      <c r="BN16" s="669">
        <v>2024</v>
      </c>
      <c r="BO16" s="297">
        <v>138994.5</v>
      </c>
      <c r="BP16">
        <v>-779.2</v>
      </c>
      <c r="BQ16">
        <v>-1004.4</v>
      </c>
      <c r="BR16">
        <v>225.2</v>
      </c>
      <c r="BS16" s="297">
        <v>144398.79999999999</v>
      </c>
      <c r="BT16">
        <v>-94.3</v>
      </c>
      <c r="BU16">
        <v>-465.7</v>
      </c>
      <c r="BV16">
        <v>371.4</v>
      </c>
      <c r="BW16" s="297">
        <v>149333.70000000001</v>
      </c>
      <c r="BX16">
        <v>554.20000000000005</v>
      </c>
      <c r="BY16">
        <v>37.299999999999997</v>
      </c>
      <c r="BZ16">
        <v>516.9</v>
      </c>
      <c r="CC16" s="728">
        <v>1989</v>
      </c>
      <c r="CD16" s="729">
        <v>147</v>
      </c>
      <c r="CE16" s="729">
        <v>68.7</v>
      </c>
      <c r="CF16" s="729">
        <v>78.3</v>
      </c>
      <c r="CG16" s="730">
        <v>47</v>
      </c>
      <c r="CH16" s="730">
        <v>53</v>
      </c>
      <c r="CW16" s="669" t="s">
        <v>1162</v>
      </c>
      <c r="CX16">
        <v>34010</v>
      </c>
      <c r="CY16">
        <v>30330</v>
      </c>
      <c r="CZ16">
        <v>31519</v>
      </c>
      <c r="DA16">
        <v>32557</v>
      </c>
      <c r="DB16">
        <v>32953</v>
      </c>
      <c r="DC16">
        <v>32958</v>
      </c>
      <c r="DD16">
        <v>33893</v>
      </c>
      <c r="DE16">
        <v>34161</v>
      </c>
      <c r="DF16">
        <v>35111</v>
      </c>
    </row>
    <row r="17" spans="1:110" ht="15.6">
      <c r="A17" s="1"/>
      <c r="B17" t="s">
        <v>855</v>
      </c>
      <c r="G17" s="271"/>
      <c r="H17" s="274">
        <v>8</v>
      </c>
      <c r="I17" s="1473">
        <v>1998</v>
      </c>
      <c r="J17" s="1467">
        <v>147.80000000000001</v>
      </c>
      <c r="K17" s="1485">
        <f t="shared" si="15"/>
        <v>147.47061835439996</v>
      </c>
      <c r="L17" s="1463">
        <f t="shared" si="16"/>
        <v>147.80000000000001</v>
      </c>
      <c r="M17" s="182">
        <f t="shared" si="9"/>
        <v>146.83193199999999</v>
      </c>
      <c r="N17" s="392">
        <f t="shared" si="10"/>
        <v>1.3866621621622382E-3</v>
      </c>
      <c r="O17" s="272">
        <f t="shared" si="11"/>
        <v>0.20522600000001123</v>
      </c>
      <c r="P17" s="134">
        <v>0.51355099999999998</v>
      </c>
      <c r="Q17" s="134">
        <v>0.21337700000000001</v>
      </c>
      <c r="R17" s="134">
        <v>0.30017399999999994</v>
      </c>
      <c r="S17" s="360">
        <f t="shared" si="12"/>
        <v>2.0282027027027022E-3</v>
      </c>
      <c r="T17" s="378">
        <f t="shared" si="17"/>
        <v>2.0282027027027022E-3</v>
      </c>
      <c r="U17" s="134">
        <v>1.2833000000000001</v>
      </c>
      <c r="V17" s="360">
        <f t="shared" si="13"/>
        <v>8.6709459459459459E-3</v>
      </c>
      <c r="W17" s="378">
        <f t="shared" si="18"/>
        <v>8.6709459459459459E-3</v>
      </c>
      <c r="X17" s="134">
        <v>1.9886999999999999</v>
      </c>
      <c r="Y17" s="360">
        <f t="shared" si="14"/>
        <v>1.3437162162162161E-2</v>
      </c>
      <c r="Z17" s="378">
        <f t="shared" si="19"/>
        <v>1.3437162162162161E-2</v>
      </c>
      <c r="AA17" s="24"/>
      <c r="AB17" s="1464">
        <v>67.338999999999999</v>
      </c>
      <c r="AC17" s="1480">
        <f t="shared" si="20"/>
        <v>0.45560893098782135</v>
      </c>
      <c r="AD17" s="1482">
        <v>1998</v>
      </c>
      <c r="AH17" s="143">
        <v>2004</v>
      </c>
      <c r="AI17" s="113">
        <f t="shared" si="0"/>
        <v>1.0419556171983356E-2</v>
      </c>
      <c r="AJ17" s="166"/>
      <c r="AK17" s="167">
        <f t="shared" si="1"/>
        <v>1.5915395284327324E-2</v>
      </c>
      <c r="AL17" s="166"/>
      <c r="AM17" s="168">
        <f t="shared" si="2"/>
        <v>2.7296809986130375E-4</v>
      </c>
      <c r="AN17" s="166"/>
      <c r="AP17" s="285">
        <v>67.319000000000003</v>
      </c>
      <c r="AQ17" s="272">
        <f t="shared" si="3"/>
        <v>67.319000000000003</v>
      </c>
      <c r="AR17" s="272">
        <v>5.6659999999999968</v>
      </c>
      <c r="AS17" s="176">
        <v>2004</v>
      </c>
      <c r="AT17" s="174">
        <v>143.5</v>
      </c>
      <c r="AU17" s="559">
        <f t="shared" si="8"/>
        <v>143.41686199999998</v>
      </c>
      <c r="AV17" s="561">
        <v>72.984999999999999</v>
      </c>
      <c r="AW17" s="571"/>
      <c r="AX17" s="567">
        <f t="shared" si="4"/>
        <v>0.50860627177700346</v>
      </c>
      <c r="AY17" s="146">
        <f t="shared" si="5"/>
        <v>50.860627177700344</v>
      </c>
      <c r="AZ17" s="14"/>
      <c r="BC17" s="187">
        <f t="shared" si="6"/>
        <v>143.5</v>
      </c>
      <c r="BD17" s="545">
        <f t="shared" si="7"/>
        <v>0.50860627177700346</v>
      </c>
      <c r="BE17" s="176">
        <v>2004</v>
      </c>
      <c r="BN17" s="669">
        <v>2025</v>
      </c>
      <c r="BO17" s="297">
        <v>138215.29999999999</v>
      </c>
      <c r="BP17">
        <v>-817.9</v>
      </c>
      <c r="BQ17">
        <v>-1041.0999999999999</v>
      </c>
      <c r="BR17">
        <v>223.2</v>
      </c>
      <c r="BS17" s="297">
        <v>144304.5</v>
      </c>
      <c r="BT17">
        <v>-126.6</v>
      </c>
      <c r="BU17">
        <v>-500.7</v>
      </c>
      <c r="BV17">
        <v>374.1</v>
      </c>
      <c r="BW17" s="297">
        <v>149887.9</v>
      </c>
      <c r="BX17">
        <v>536</v>
      </c>
      <c r="BY17">
        <v>14.8</v>
      </c>
      <c r="BZ17">
        <v>521.20000000000005</v>
      </c>
      <c r="CC17" s="728">
        <v>1991</v>
      </c>
      <c r="CD17" s="729">
        <v>148.30000000000001</v>
      </c>
      <c r="CE17" s="729">
        <v>69.5</v>
      </c>
      <c r="CF17" s="729">
        <v>78.8</v>
      </c>
      <c r="CG17" s="730">
        <v>47</v>
      </c>
      <c r="CH17" s="730">
        <v>53</v>
      </c>
      <c r="CW17" s="669" t="s">
        <v>1163</v>
      </c>
      <c r="CX17">
        <v>1853</v>
      </c>
      <c r="CY17">
        <v>3072</v>
      </c>
      <c r="CZ17">
        <v>3314</v>
      </c>
      <c r="DA17">
        <v>2866</v>
      </c>
      <c r="DB17">
        <v>2676</v>
      </c>
      <c r="DC17">
        <v>2873</v>
      </c>
      <c r="DD17">
        <v>2407</v>
      </c>
      <c r="DE17">
        <v>2368</v>
      </c>
      <c r="DF17">
        <v>1968</v>
      </c>
    </row>
    <row r="18" spans="1:110" ht="15.6">
      <c r="A18" s="1"/>
      <c r="B18" t="s">
        <v>856</v>
      </c>
      <c r="G18" s="271"/>
      <c r="H18" s="274">
        <v>9</v>
      </c>
      <c r="I18" s="1473">
        <v>1999</v>
      </c>
      <c r="J18" s="1467">
        <v>147.5</v>
      </c>
      <c r="K18" s="1485">
        <f t="shared" si="15"/>
        <v>146.80472565292933</v>
      </c>
      <c r="L18" s="1463">
        <f t="shared" si="16"/>
        <v>147.5</v>
      </c>
      <c r="M18" s="182">
        <f t="shared" si="9"/>
        <v>146.031532</v>
      </c>
      <c r="N18" s="392">
        <f t="shared" si="10"/>
        <v>3.3856562922867971E-3</v>
      </c>
      <c r="O18" s="272">
        <f t="shared" si="11"/>
        <v>0.50039999999998863</v>
      </c>
      <c r="P18" s="134">
        <v>0.36720000000000003</v>
      </c>
      <c r="Q18" s="134">
        <v>0.23799999999999999</v>
      </c>
      <c r="R18" s="134">
        <v>0.12920000000000004</v>
      </c>
      <c r="S18" s="360">
        <f t="shared" si="12"/>
        <v>8.7415426251691492E-4</v>
      </c>
      <c r="T18" s="378">
        <f t="shared" si="17"/>
        <v>8.7415426251691492E-4</v>
      </c>
      <c r="U18" s="134">
        <v>1.2146999999999999</v>
      </c>
      <c r="V18" s="360">
        <f t="shared" si="13"/>
        <v>8.2185385656292267E-3</v>
      </c>
      <c r="W18" s="378">
        <f t="shared" si="18"/>
        <v>8.2185385656292267E-3</v>
      </c>
      <c r="X18" s="134">
        <v>2.1442999999999999</v>
      </c>
      <c r="Y18" s="360">
        <f t="shared" si="14"/>
        <v>1.4508119079837616E-2</v>
      </c>
      <c r="Z18" s="378">
        <f t="shared" si="19"/>
        <v>1.4508119079837616E-2</v>
      </c>
      <c r="AA18" s="24"/>
      <c r="AB18" s="1464">
        <v>72.174999999999997</v>
      </c>
      <c r="AC18" s="1480">
        <f t="shared" si="20"/>
        <v>0.48932203389830509</v>
      </c>
      <c r="AD18" s="1482">
        <v>1999</v>
      </c>
      <c r="AH18" s="143">
        <v>2005</v>
      </c>
      <c r="AI18" s="113">
        <f t="shared" si="0"/>
        <v>1.0968641114982578E-2</v>
      </c>
      <c r="AJ18" s="166"/>
      <c r="AK18" s="167">
        <f t="shared" si="1"/>
        <v>1.6055749128919859E-2</v>
      </c>
      <c r="AL18" s="166"/>
      <c r="AM18" s="168">
        <f t="shared" si="2"/>
        <v>7.4865505226480835E-4</v>
      </c>
      <c r="AN18" s="166"/>
      <c r="AP18" s="285">
        <v>68.338999999999999</v>
      </c>
      <c r="AQ18" s="272">
        <f t="shared" si="3"/>
        <v>68.338999999999999</v>
      </c>
      <c r="AR18" s="272">
        <v>5.2420000000000044</v>
      </c>
      <c r="AS18" s="176">
        <v>2005</v>
      </c>
      <c r="AT18" s="174">
        <v>142.80000000000001</v>
      </c>
      <c r="AU18" s="559">
        <f t="shared" si="8"/>
        <v>142.847432</v>
      </c>
      <c r="AV18" s="561">
        <v>73.581000000000003</v>
      </c>
      <c r="AW18" s="571"/>
      <c r="AX18" s="567">
        <f t="shared" si="4"/>
        <v>0.51527310924369751</v>
      </c>
      <c r="AY18" s="146">
        <f t="shared" si="5"/>
        <v>51.52731092436975</v>
      </c>
      <c r="AZ18" s="14"/>
      <c r="BC18" s="187">
        <f t="shared" si="6"/>
        <v>142.80000000000001</v>
      </c>
      <c r="BD18" s="545">
        <f t="shared" si="7"/>
        <v>0.51527310924369751</v>
      </c>
      <c r="BE18" s="176">
        <v>2005</v>
      </c>
      <c r="BN18" s="669">
        <v>2026</v>
      </c>
      <c r="BO18" s="297">
        <v>137397.29999999999</v>
      </c>
      <c r="BP18">
        <v>-855.9</v>
      </c>
      <c r="BQ18">
        <v>-1077.2</v>
      </c>
      <c r="BR18">
        <v>221.3</v>
      </c>
      <c r="BS18" s="297">
        <v>144177.9</v>
      </c>
      <c r="BT18">
        <v>-156.69999999999999</v>
      </c>
      <c r="BU18">
        <v>-533.29999999999995</v>
      </c>
      <c r="BV18">
        <v>376.6</v>
      </c>
      <c r="BW18" s="297">
        <v>150423.9</v>
      </c>
      <c r="BX18">
        <v>520.6</v>
      </c>
      <c r="BY18">
        <v>-10.5</v>
      </c>
      <c r="BZ18">
        <v>531.1</v>
      </c>
      <c r="CC18" s="728">
        <v>1996</v>
      </c>
      <c r="CD18" s="729">
        <v>148.30000000000001</v>
      </c>
      <c r="CE18" s="729">
        <v>69.5</v>
      </c>
      <c r="CF18" s="729">
        <v>78.8</v>
      </c>
      <c r="CG18" s="730">
        <v>47</v>
      </c>
      <c r="CH18" s="730">
        <v>53</v>
      </c>
      <c r="CW18" s="669" t="s">
        <v>1166</v>
      </c>
    </row>
    <row r="19" spans="1:110" ht="15.6">
      <c r="A19" s="1">
        <v>5</v>
      </c>
      <c r="B19" t="s">
        <v>880</v>
      </c>
      <c r="G19" s="271"/>
      <c r="H19" s="274">
        <v>10</v>
      </c>
      <c r="I19" s="1473">
        <v>2000</v>
      </c>
      <c r="J19" s="1467">
        <v>146.30000000000001</v>
      </c>
      <c r="K19" s="1485">
        <f t="shared" si="15"/>
        <v>146.19547111217557</v>
      </c>
      <c r="L19" s="1463">
        <f t="shared" si="16"/>
        <v>146.30000000000001</v>
      </c>
      <c r="M19" s="182">
        <f t="shared" si="9"/>
        <v>145.28664199999997</v>
      </c>
      <c r="N19" s="392">
        <f t="shared" si="10"/>
        <v>-3.0854915254236522E-3</v>
      </c>
      <c r="O19" s="272">
        <f t="shared" si="11"/>
        <v>-0.45510999999998869</v>
      </c>
      <c r="P19" s="375">
        <v>0.35932999999999998</v>
      </c>
      <c r="Q19" s="375">
        <v>0.14571999999999999</v>
      </c>
      <c r="R19" s="375">
        <v>0.21360999999999999</v>
      </c>
      <c r="S19" s="360">
        <f t="shared" si="12"/>
        <v>1.4482033898305085E-3</v>
      </c>
      <c r="T19" s="378">
        <f t="shared" si="17"/>
        <v>1.4482033898305085E-3</v>
      </c>
      <c r="U19" s="375">
        <v>1.2667999999999999</v>
      </c>
      <c r="V19" s="360">
        <f t="shared" si="13"/>
        <v>8.5884745762711857E-3</v>
      </c>
      <c r="W19" s="378">
        <f t="shared" si="18"/>
        <v>8.5884745762711857E-3</v>
      </c>
      <c r="X19" s="375">
        <v>2.2252999999999998</v>
      </c>
      <c r="Y19" s="360">
        <f t="shared" si="14"/>
        <v>1.5086779661016948E-2</v>
      </c>
      <c r="Z19" s="378">
        <f t="shared" si="19"/>
        <v>1.5086779661016948E-2</v>
      </c>
      <c r="AA19" s="24"/>
      <c r="AB19" s="1464">
        <v>72.77</v>
      </c>
      <c r="AC19" s="1480">
        <f t="shared" si="20"/>
        <v>0.49740259740259735</v>
      </c>
      <c r="AD19" s="1482">
        <v>2000</v>
      </c>
      <c r="AH19" s="143">
        <v>2006</v>
      </c>
      <c r="AI19" s="113">
        <f t="shared" si="0"/>
        <v>1.0361344537815126E-2</v>
      </c>
      <c r="AJ19" s="166"/>
      <c r="AK19" s="167">
        <f t="shared" si="1"/>
        <v>1.5168067226890755E-2</v>
      </c>
      <c r="AL19" s="166"/>
      <c r="AM19" s="168">
        <f t="shared" si="2"/>
        <v>9.2660364145658253E-4</v>
      </c>
      <c r="AN19" s="166"/>
      <c r="AP19" s="285">
        <v>69.168999999999997</v>
      </c>
      <c r="AQ19" s="272">
        <f t="shared" si="3"/>
        <v>69.168999999999997</v>
      </c>
      <c r="AR19" s="272">
        <v>5.25</v>
      </c>
      <c r="AS19" s="176">
        <v>2006</v>
      </c>
      <c r="AT19" s="174">
        <v>142.19999999999999</v>
      </c>
      <c r="AU19" s="559">
        <f t="shared" si="8"/>
        <v>142.21591900000001</v>
      </c>
      <c r="AV19" s="561">
        <v>74.418999999999997</v>
      </c>
      <c r="AW19" s="571"/>
      <c r="AX19" s="567">
        <f t="shared" si="4"/>
        <v>0.52334036568213782</v>
      </c>
      <c r="AY19" s="146">
        <f t="shared" si="5"/>
        <v>52.334036568213783</v>
      </c>
      <c r="AZ19" s="14"/>
      <c r="BC19" s="187">
        <f t="shared" si="6"/>
        <v>142.19999999999999</v>
      </c>
      <c r="BD19" s="545">
        <f t="shared" si="7"/>
        <v>0.52334036568213782</v>
      </c>
      <c r="BE19" s="176">
        <v>2006</v>
      </c>
      <c r="BN19" s="669">
        <v>2027</v>
      </c>
      <c r="BO19" s="297">
        <v>136541.4</v>
      </c>
      <c r="BP19">
        <v>-888.5</v>
      </c>
      <c r="BQ19">
        <v>-1108.0999999999999</v>
      </c>
      <c r="BR19">
        <v>219.6</v>
      </c>
      <c r="BS19" s="297">
        <v>144021.20000000001</v>
      </c>
      <c r="BT19">
        <v>-179.1</v>
      </c>
      <c r="BU19">
        <v>-558</v>
      </c>
      <c r="BV19">
        <v>378.9</v>
      </c>
      <c r="BW19" s="297">
        <v>150944.5</v>
      </c>
      <c r="BX19">
        <v>515</v>
      </c>
      <c r="BY19">
        <v>-22.8</v>
      </c>
      <c r="BZ19">
        <v>537.79999999999995</v>
      </c>
      <c r="CC19" s="728">
        <v>2001</v>
      </c>
      <c r="CD19" s="729">
        <v>146.30000000000001</v>
      </c>
      <c r="CE19" s="729">
        <v>68.3</v>
      </c>
      <c r="CF19" s="729">
        <v>78</v>
      </c>
      <c r="CG19" s="730">
        <v>47</v>
      </c>
      <c r="CH19" s="730">
        <v>53</v>
      </c>
      <c r="CW19" s="669" t="s">
        <v>1168</v>
      </c>
    </row>
    <row r="20" spans="1:110" ht="15.6">
      <c r="A20" s="1"/>
      <c r="B20" t="s">
        <v>881</v>
      </c>
      <c r="G20" s="271"/>
      <c r="H20" s="274">
        <v>11</v>
      </c>
      <c r="I20" s="1473">
        <v>2001</v>
      </c>
      <c r="J20" s="1467">
        <v>146.304</v>
      </c>
      <c r="K20" s="1485">
        <f t="shared" si="15"/>
        <v>145.45665336244966</v>
      </c>
      <c r="L20" s="1463">
        <f t="shared" si="16"/>
        <v>146.304</v>
      </c>
      <c r="M20" s="182">
        <f t="shared" si="9"/>
        <v>144.41562599999997</v>
      </c>
      <c r="N20" s="392">
        <f t="shared" si="10"/>
        <v>5.9809706083389655E-3</v>
      </c>
      <c r="O20" s="272">
        <f t="shared" si="11"/>
        <v>0.87501599999999069</v>
      </c>
      <c r="P20" s="134">
        <v>0.19345000000000001</v>
      </c>
      <c r="Q20" s="134">
        <v>0.121166</v>
      </c>
      <c r="R20" s="134">
        <v>7.2284000000000015E-2</v>
      </c>
      <c r="S20" s="360">
        <f t="shared" si="12"/>
        <v>4.9408065618591944E-4</v>
      </c>
      <c r="T20" s="378">
        <f t="shared" si="17"/>
        <v>4.9408065618591944E-4</v>
      </c>
      <c r="U20" s="134">
        <v>1.3116000000000001</v>
      </c>
      <c r="V20" s="360">
        <f t="shared" si="13"/>
        <v>8.96514012303486E-3</v>
      </c>
      <c r="W20" s="378">
        <f t="shared" si="18"/>
        <v>8.96514012303486E-3</v>
      </c>
      <c r="X20" s="134">
        <v>2.2549000000000001</v>
      </c>
      <c r="Y20" s="360">
        <f t="shared" si="14"/>
        <v>1.5412850307587149E-2</v>
      </c>
      <c r="Z20" s="378">
        <f t="shared" si="19"/>
        <v>1.5412850307587149E-2</v>
      </c>
      <c r="AA20" s="24"/>
      <c r="AB20" s="1464">
        <v>71.545000000000002</v>
      </c>
      <c r="AC20" s="1480">
        <f t="shared" si="20"/>
        <v>0.48901602143482065</v>
      </c>
      <c r="AD20" s="1482">
        <v>2001</v>
      </c>
      <c r="AH20" s="143">
        <v>2007</v>
      </c>
      <c r="AI20" s="113">
        <f t="shared" si="0"/>
        <v>1.1322784810126585E-2</v>
      </c>
      <c r="AJ20" s="166"/>
      <c r="AK20" s="167">
        <f t="shared" si="1"/>
        <v>1.4630098452883265E-2</v>
      </c>
      <c r="AL20" s="166"/>
      <c r="AM20" s="168">
        <f t="shared" si="2"/>
        <v>1.6873628691983123E-3</v>
      </c>
      <c r="AN20" s="166"/>
      <c r="AP20" s="285">
        <v>70.77</v>
      </c>
      <c r="AQ20" s="272">
        <f t="shared" si="3"/>
        <v>70.77</v>
      </c>
      <c r="AR20" s="272">
        <v>4.5190000000000055</v>
      </c>
      <c r="AS20" s="176">
        <v>2007</v>
      </c>
      <c r="AT20" s="174">
        <v>142</v>
      </c>
      <c r="AU20" s="559">
        <f t="shared" si="8"/>
        <v>141.93964299999999</v>
      </c>
      <c r="AV20" s="561">
        <v>75.289000000000001</v>
      </c>
      <c r="AW20" s="571"/>
      <c r="AX20" s="567">
        <f t="shared" si="4"/>
        <v>0.53020422535211265</v>
      </c>
      <c r="AY20" s="146">
        <f t="shared" si="5"/>
        <v>53.020422535211267</v>
      </c>
      <c r="AZ20" s="14"/>
      <c r="BC20" s="187">
        <f t="shared" si="6"/>
        <v>142</v>
      </c>
      <c r="BD20" s="545">
        <f t="shared" si="7"/>
        <v>0.53020422535211265</v>
      </c>
      <c r="BE20" s="176">
        <v>2007</v>
      </c>
      <c r="BN20" s="669">
        <v>2028</v>
      </c>
      <c r="BO20" s="297">
        <v>135652.9</v>
      </c>
      <c r="BP20">
        <v>-914.6</v>
      </c>
      <c r="BQ20">
        <v>-1132.5999999999999</v>
      </c>
      <c r="BR20">
        <v>218</v>
      </c>
      <c r="BS20" s="297">
        <v>143842.1</v>
      </c>
      <c r="BT20">
        <v>-199.8</v>
      </c>
      <c r="BU20">
        <v>-580.9</v>
      </c>
      <c r="BV20">
        <v>381.1</v>
      </c>
      <c r="BW20" s="297">
        <v>151459.5</v>
      </c>
      <c r="BX20">
        <v>505.7</v>
      </c>
      <c r="BY20">
        <v>-37.799999999999997</v>
      </c>
      <c r="BZ20">
        <v>543.5</v>
      </c>
      <c r="CC20" s="728">
        <v>2002</v>
      </c>
      <c r="CD20" s="729">
        <v>145.19999999999999</v>
      </c>
      <c r="CE20" s="729">
        <v>67.599999999999994</v>
      </c>
      <c r="CF20" s="729">
        <v>77.599999999999994</v>
      </c>
      <c r="CG20" s="730">
        <v>47</v>
      </c>
      <c r="CH20" s="730">
        <v>53</v>
      </c>
      <c r="CW20" s="669" t="s">
        <v>1169</v>
      </c>
      <c r="CX20">
        <v>100</v>
      </c>
      <c r="CY20">
        <v>100</v>
      </c>
      <c r="CZ20">
        <v>100</v>
      </c>
      <c r="DA20">
        <v>100</v>
      </c>
      <c r="DB20">
        <v>100</v>
      </c>
      <c r="DC20">
        <v>100</v>
      </c>
      <c r="DD20">
        <v>100</v>
      </c>
      <c r="DE20">
        <v>100</v>
      </c>
      <c r="DF20">
        <v>100</v>
      </c>
    </row>
    <row r="21" spans="1:110" ht="15.6">
      <c r="A21" s="1">
        <v>6</v>
      </c>
      <c r="G21" s="271"/>
      <c r="H21" s="274">
        <v>12</v>
      </c>
      <c r="I21" s="1473">
        <v>2002</v>
      </c>
      <c r="J21" s="1467">
        <v>145.16999999999999</v>
      </c>
      <c r="K21" s="1485">
        <f t="shared" si="15"/>
        <v>144.73515698455751</v>
      </c>
      <c r="L21" s="1463">
        <f t="shared" si="16"/>
        <v>145.16999999999999</v>
      </c>
      <c r="M21" s="182">
        <f t="shared" si="9"/>
        <v>143.55825299999995</v>
      </c>
      <c r="N21" s="392">
        <f t="shared" si="10"/>
        <v>-1.8907685367455073E-3</v>
      </c>
      <c r="O21" s="272">
        <f t="shared" si="11"/>
        <v>-0.27662700000001472</v>
      </c>
      <c r="P21" s="134">
        <v>0.184612</v>
      </c>
      <c r="Q21" s="134">
        <v>0.106685</v>
      </c>
      <c r="R21" s="134">
        <v>7.7926999999999996E-2</v>
      </c>
      <c r="S21" s="360">
        <f t="shared" si="12"/>
        <v>5.3263752187226597E-4</v>
      </c>
      <c r="T21" s="378">
        <f t="shared" si="17"/>
        <v>5.3263752187226597E-4</v>
      </c>
      <c r="U21" s="134">
        <v>1.397</v>
      </c>
      <c r="V21" s="360">
        <f t="shared" si="13"/>
        <v>9.5486111111111119E-3</v>
      </c>
      <c r="W21" s="378">
        <f t="shared" si="18"/>
        <v>9.5486111111111119E-3</v>
      </c>
      <c r="X21" s="134">
        <v>2.3323</v>
      </c>
      <c r="Y21" s="360">
        <f t="shared" si="14"/>
        <v>1.5941464348206473E-2</v>
      </c>
      <c r="Z21" s="378">
        <f t="shared" si="19"/>
        <v>1.5941464348206473E-2</v>
      </c>
      <c r="AA21" s="24"/>
      <c r="AB21" s="1464">
        <v>72.356999999999999</v>
      </c>
      <c r="AC21" s="1480">
        <f t="shared" si="20"/>
        <v>0.49842942756767933</v>
      </c>
      <c r="AD21" s="1482">
        <v>2002</v>
      </c>
      <c r="AH21" s="143">
        <v>2008</v>
      </c>
      <c r="AI21" s="113">
        <f t="shared" si="0"/>
        <v>1.2069718309859154E-2</v>
      </c>
      <c r="AJ21" s="166">
        <f>AI21</f>
        <v>1.2069718309859154E-2</v>
      </c>
      <c r="AK21" s="167">
        <f t="shared" si="1"/>
        <v>1.4619014084507042E-2</v>
      </c>
      <c r="AL21" s="166"/>
      <c r="AM21" s="168">
        <f t="shared" si="2"/>
        <v>1.704225352112676E-3</v>
      </c>
      <c r="AN21" s="166"/>
      <c r="AP21" s="285">
        <v>71.003</v>
      </c>
      <c r="AQ21" s="272">
        <f t="shared" si="3"/>
        <v>71.003</v>
      </c>
      <c r="AR21" s="272">
        <v>4.6970000000000027</v>
      </c>
      <c r="AS21" s="176">
        <v>2008</v>
      </c>
      <c r="AT21" s="174">
        <v>141.9</v>
      </c>
      <c r="AU21" s="559">
        <f t="shared" si="8"/>
        <v>141.85000000000002</v>
      </c>
      <c r="AV21" s="561">
        <v>75.7</v>
      </c>
      <c r="AW21" s="571"/>
      <c r="AX21" s="567">
        <f t="shared" si="4"/>
        <v>0.53347427766032418</v>
      </c>
      <c r="AY21" s="146">
        <f t="shared" si="5"/>
        <v>53.347427766032418</v>
      </c>
      <c r="AZ21" s="14"/>
      <c r="BC21" s="187">
        <f t="shared" si="6"/>
        <v>141.9</v>
      </c>
      <c r="BD21" s="545">
        <f t="shared" si="7"/>
        <v>0.53347427766032418</v>
      </c>
      <c r="BE21" s="176">
        <v>2008</v>
      </c>
      <c r="BN21" s="669">
        <v>2029</v>
      </c>
      <c r="BO21" s="297">
        <v>134738.29999999999</v>
      </c>
      <c r="BP21">
        <v>-936.2</v>
      </c>
      <c r="BQ21">
        <v>-1152.5999999999999</v>
      </c>
      <c r="BR21">
        <v>216.4</v>
      </c>
      <c r="BS21" s="297">
        <v>143642.29999999999</v>
      </c>
      <c r="BT21">
        <v>-216.5</v>
      </c>
      <c r="BU21">
        <v>-599.5</v>
      </c>
      <c r="BV21">
        <v>383</v>
      </c>
      <c r="BW21" s="297">
        <v>151965.20000000001</v>
      </c>
      <c r="BX21">
        <v>500.7</v>
      </c>
      <c r="BY21">
        <v>-48.5</v>
      </c>
      <c r="BZ21">
        <v>549.20000000000005</v>
      </c>
      <c r="CC21" s="728">
        <v>2003</v>
      </c>
      <c r="CD21" s="729">
        <v>145</v>
      </c>
      <c r="CE21" s="729">
        <v>67.5</v>
      </c>
      <c r="CF21" s="729">
        <v>77.5</v>
      </c>
      <c r="CG21" s="730">
        <v>47</v>
      </c>
      <c r="CH21" s="730">
        <v>53</v>
      </c>
      <c r="CW21" s="669" t="s">
        <v>1146</v>
      </c>
    </row>
    <row r="22" spans="1:110" ht="15.6">
      <c r="A22" s="1"/>
      <c r="G22" s="271"/>
      <c r="H22" s="274">
        <v>13</v>
      </c>
      <c r="I22" s="1473">
        <v>2003</v>
      </c>
      <c r="J22" s="1467">
        <v>144.19999999999999</v>
      </c>
      <c r="K22" s="1485">
        <f t="shared" si="15"/>
        <v>144.01460082701092</v>
      </c>
      <c r="L22" s="1463">
        <f t="shared" si="16"/>
        <v>144.19999999999999</v>
      </c>
      <c r="M22" s="182">
        <f t="shared" si="9"/>
        <v>142.70487899999995</v>
      </c>
      <c r="N22" s="392">
        <f t="shared" si="10"/>
        <v>-8.0337535303436525E-4</v>
      </c>
      <c r="O22" s="272">
        <f t="shared" si="11"/>
        <v>-0.1166259999999988</v>
      </c>
      <c r="P22" s="134">
        <v>0.12914400000000001</v>
      </c>
      <c r="Q22" s="134">
        <v>9.4018000000000004E-2</v>
      </c>
      <c r="R22" s="134">
        <v>3.5126000000000004E-2</v>
      </c>
      <c r="S22" s="360">
        <f t="shared" si="12"/>
        <v>2.4196459323551703E-4</v>
      </c>
      <c r="T22" s="378">
        <f t="shared" si="17"/>
        <v>2.4196459323551703E-4</v>
      </c>
      <c r="U22" s="134">
        <v>1.4773000000000001</v>
      </c>
      <c r="V22" s="360">
        <f t="shared" si="13"/>
        <v>1.0176344974857065E-2</v>
      </c>
      <c r="W22" s="378">
        <f t="shared" si="18"/>
        <v>1.0176344974857065E-2</v>
      </c>
      <c r="X22" s="134">
        <v>2.3658000000000001</v>
      </c>
      <c r="Y22" s="360">
        <f t="shared" si="14"/>
        <v>1.6296755528001656E-2</v>
      </c>
      <c r="Z22" s="378">
        <f t="shared" si="19"/>
        <v>1.6296755528001656E-2</v>
      </c>
      <c r="AA22" s="24"/>
      <c r="AB22" s="1464">
        <v>72.272999999999996</v>
      </c>
      <c r="AC22" s="1480">
        <f t="shared" si="20"/>
        <v>0.50119972260748957</v>
      </c>
      <c r="AD22" s="1482">
        <v>2003</v>
      </c>
      <c r="AH22" s="143">
        <v>2009</v>
      </c>
      <c r="AI22" s="113">
        <f t="shared" si="0"/>
        <v>1.2432699083861874E-2</v>
      </c>
      <c r="AJ22" s="166">
        <f>AI22</f>
        <v>1.2432699083861874E-2</v>
      </c>
      <c r="AK22" s="167">
        <f t="shared" si="1"/>
        <v>1.4190274841437631E-2</v>
      </c>
      <c r="AL22" s="166">
        <f>AK22</f>
        <v>1.4190274841437631E-2</v>
      </c>
      <c r="AM22" s="168">
        <v>1.6999999999999999E-3</v>
      </c>
      <c r="AN22" s="166">
        <f>AM22</f>
        <v>1.6999999999999999E-3</v>
      </c>
      <c r="AP22" s="285">
        <v>69.41</v>
      </c>
      <c r="AQ22" s="272">
        <f t="shared" si="3"/>
        <v>69.41</v>
      </c>
      <c r="AR22" s="272">
        <v>6.284000000000006</v>
      </c>
      <c r="AS22" s="176">
        <v>2009</v>
      </c>
      <c r="AT22" s="174">
        <v>141.9</v>
      </c>
      <c r="AU22" s="559">
        <f t="shared" si="8"/>
        <v>141.86183000000003</v>
      </c>
      <c r="AV22" s="561">
        <v>75.694000000000003</v>
      </c>
      <c r="AW22" s="571"/>
      <c r="AX22" s="567">
        <f t="shared" si="4"/>
        <v>0.53343199436222688</v>
      </c>
      <c r="AY22" s="146">
        <f t="shared" si="5"/>
        <v>53.34319943622269</v>
      </c>
      <c r="AZ22" s="135">
        <f>AY22</f>
        <v>53.34319943622269</v>
      </c>
      <c r="BC22" s="187">
        <f t="shared" si="6"/>
        <v>141.9</v>
      </c>
      <c r="BD22" s="545">
        <f t="shared" si="7"/>
        <v>0.53343199436222688</v>
      </c>
      <c r="BE22" s="176">
        <v>2009</v>
      </c>
      <c r="BN22" s="669">
        <v>2030</v>
      </c>
      <c r="BO22" s="297">
        <v>133802.1</v>
      </c>
      <c r="BP22">
        <v>-957.4</v>
      </c>
      <c r="BQ22">
        <v>-1172.4000000000001</v>
      </c>
      <c r="BR22">
        <v>215</v>
      </c>
      <c r="BS22" s="297">
        <v>143425.79999999999</v>
      </c>
      <c r="BT22">
        <v>-231.6</v>
      </c>
      <c r="BU22">
        <v>-616.6</v>
      </c>
      <c r="BV22">
        <v>385</v>
      </c>
      <c r="BW22" s="297">
        <v>152465.9</v>
      </c>
      <c r="BX22">
        <v>496.7</v>
      </c>
      <c r="BY22">
        <v>-57.7</v>
      </c>
      <c r="BZ22">
        <v>554.4</v>
      </c>
      <c r="CC22" s="728">
        <v>2004</v>
      </c>
      <c r="CD22" s="729">
        <v>144.30000000000001</v>
      </c>
      <c r="CE22" s="729">
        <v>67</v>
      </c>
      <c r="CF22" s="729">
        <v>77.3</v>
      </c>
      <c r="CG22" s="730">
        <v>46</v>
      </c>
      <c r="CH22" s="730">
        <v>54</v>
      </c>
      <c r="CW22" s="669" t="s">
        <v>1162</v>
      </c>
      <c r="CX22">
        <v>94.8</v>
      </c>
      <c r="CY22">
        <v>90.5</v>
      </c>
      <c r="CZ22">
        <v>90.2</v>
      </c>
      <c r="DA22">
        <v>91.5</v>
      </c>
      <c r="DB22">
        <v>92.2</v>
      </c>
      <c r="DC22">
        <v>92.1</v>
      </c>
      <c r="DD22">
        <v>92.9</v>
      </c>
      <c r="DE22">
        <v>93.3</v>
      </c>
      <c r="DF22">
        <v>94.4</v>
      </c>
    </row>
    <row r="23" spans="1:110" ht="15.6">
      <c r="G23" s="271"/>
      <c r="H23" s="274">
        <v>14</v>
      </c>
      <c r="I23" s="1473">
        <v>2004</v>
      </c>
      <c r="J23" s="1467">
        <v>143.5</v>
      </c>
      <c r="K23" s="1485">
        <f t="shared" si="15"/>
        <v>143.39204428372159</v>
      </c>
      <c r="L23" s="1463">
        <f t="shared" si="16"/>
        <v>143.5</v>
      </c>
      <c r="M23" s="182">
        <f t="shared" si="9"/>
        <v>141.95174099999997</v>
      </c>
      <c r="N23" s="392">
        <f t="shared" si="10"/>
        <v>3.6850208044390679E-4</v>
      </c>
      <c r="O23" s="272">
        <f t="shared" si="11"/>
        <v>5.3138000000011357E-2</v>
      </c>
      <c r="P23" s="134">
        <v>0.119157</v>
      </c>
      <c r="Q23" s="134">
        <v>7.9795000000000005E-2</v>
      </c>
      <c r="R23" s="134">
        <v>3.9361999999999994E-2</v>
      </c>
      <c r="S23" s="360">
        <f t="shared" si="12"/>
        <v>2.7296809986130375E-4</v>
      </c>
      <c r="T23" s="378">
        <f t="shared" si="17"/>
        <v>2.7296809986130375E-4</v>
      </c>
      <c r="U23" s="134">
        <v>1.5024999999999999</v>
      </c>
      <c r="V23" s="360">
        <f t="shared" si="13"/>
        <v>1.0419556171983356E-2</v>
      </c>
      <c r="W23" s="378">
        <f t="shared" si="18"/>
        <v>1.0419556171983356E-2</v>
      </c>
      <c r="X23" s="134">
        <v>2.2949999999999999</v>
      </c>
      <c r="Y23" s="360">
        <f t="shared" si="14"/>
        <v>1.5915395284327324E-2</v>
      </c>
      <c r="Z23" s="378">
        <f t="shared" si="19"/>
        <v>1.5915395284327324E-2</v>
      </c>
      <c r="AA23" s="24"/>
      <c r="AB23" s="1464">
        <v>72.984999999999999</v>
      </c>
      <c r="AC23" s="1480">
        <f t="shared" si="20"/>
        <v>0.50860627177700346</v>
      </c>
      <c r="AD23" s="1482">
        <v>2004</v>
      </c>
      <c r="AH23" s="143">
        <v>2010</v>
      </c>
      <c r="AI23" s="113"/>
      <c r="AJ23" s="166">
        <f>AJ22+0.9*(AJ22-AJ21)</f>
        <v>1.2759381780464322E-2</v>
      </c>
      <c r="AK23" s="169"/>
      <c r="AL23" s="166">
        <f t="shared" ref="AL23:AL43" si="21">Z29</f>
        <v>1.4013142572476973E-2</v>
      </c>
      <c r="AM23" s="170"/>
      <c r="AN23" s="166">
        <f>AN22-0.0001</f>
        <v>1.5999999999999999E-3</v>
      </c>
      <c r="AR23" s="285">
        <v>5.5441655838158379</v>
      </c>
      <c r="AS23" s="176">
        <v>2010</v>
      </c>
      <c r="AT23" s="174">
        <v>142.86539999999999</v>
      </c>
      <c r="AU23" s="559">
        <f>AT23</f>
        <v>142.86539999999999</v>
      </c>
      <c r="AV23" s="561">
        <v>75.477999999999994</v>
      </c>
      <c r="AW23" s="559">
        <f>AV23</f>
        <v>75.477999999999994</v>
      </c>
      <c r="AX23" s="567">
        <f t="shared" si="4"/>
        <v>0.52831546336621737</v>
      </c>
      <c r="AY23" s="146">
        <f t="shared" si="5"/>
        <v>52.831546336621734</v>
      </c>
      <c r="AZ23" s="135">
        <f>AY23</f>
        <v>52.831546336621734</v>
      </c>
      <c r="BC23" s="187">
        <f t="shared" si="6"/>
        <v>142.86539999999999</v>
      </c>
      <c r="BD23" s="545">
        <f t="shared" si="7"/>
        <v>0.52831546336621737</v>
      </c>
      <c r="BE23" s="176">
        <v>2010</v>
      </c>
      <c r="BN23" s="669">
        <v>2031</v>
      </c>
      <c r="BO23" s="298">
        <v>132844.70000000001</v>
      </c>
      <c r="BS23" s="298">
        <v>143194.20000000001</v>
      </c>
      <c r="BW23" s="298">
        <v>152962.6</v>
      </c>
      <c r="CC23" s="728">
        <v>2005</v>
      </c>
      <c r="CD23" s="729">
        <v>143.80000000000001</v>
      </c>
      <c r="CE23" s="729">
        <v>66.7</v>
      </c>
      <c r="CF23" s="729">
        <v>77.099999999999994</v>
      </c>
      <c r="CG23" s="730">
        <v>46</v>
      </c>
      <c r="CH23" s="730">
        <v>54</v>
      </c>
      <c r="CW23" s="669" t="s">
        <v>1163</v>
      </c>
      <c r="CX23">
        <v>5.2</v>
      </c>
      <c r="CY23">
        <v>9.5</v>
      </c>
      <c r="CZ23">
        <v>9.8000000000000007</v>
      </c>
      <c r="DA23">
        <v>8.5</v>
      </c>
      <c r="DB23">
        <v>7.8</v>
      </c>
      <c r="DC23">
        <v>7.9</v>
      </c>
      <c r="DD23">
        <v>7.1</v>
      </c>
      <c r="DE23">
        <v>6.7</v>
      </c>
      <c r="DF23">
        <v>5.6</v>
      </c>
    </row>
    <row r="24" spans="1:110" ht="17.399999999999999">
      <c r="A24" s="160" t="s">
        <v>857</v>
      </c>
      <c r="B24" s="160"/>
      <c r="C24" s="160"/>
      <c r="D24" s="160"/>
      <c r="E24" s="160"/>
      <c r="F24" s="160"/>
      <c r="G24" s="271"/>
      <c r="H24" s="274">
        <v>15</v>
      </c>
      <c r="I24" s="1473">
        <v>2005</v>
      </c>
      <c r="J24" s="1467">
        <v>142.80000000000001</v>
      </c>
      <c r="K24" s="1485">
        <f t="shared" si="15"/>
        <v>142.89899748437395</v>
      </c>
      <c r="L24" s="1463">
        <f t="shared" si="16"/>
        <v>142.80000000000001</v>
      </c>
      <c r="M24" s="182">
        <f t="shared" si="9"/>
        <v>141.32917299999997</v>
      </c>
      <c r="N24" s="392">
        <f t="shared" si="10"/>
        <v>-5.3959581881525196E-4</v>
      </c>
      <c r="O24" s="272">
        <f t="shared" si="11"/>
        <v>-7.7431999999988649E-2</v>
      </c>
      <c r="P24" s="375">
        <v>0.17723</v>
      </c>
      <c r="Q24" s="375">
        <v>6.9797999999999999E-2</v>
      </c>
      <c r="R24" s="375">
        <v>0.107432</v>
      </c>
      <c r="S24" s="360">
        <f t="shared" si="12"/>
        <v>7.4865505226480835E-4</v>
      </c>
      <c r="T24" s="378">
        <f t="shared" si="17"/>
        <v>7.4865505226480835E-4</v>
      </c>
      <c r="U24" s="379">
        <v>1.5740000000000001</v>
      </c>
      <c r="V24" s="360">
        <f t="shared" si="13"/>
        <v>1.0968641114982578E-2</v>
      </c>
      <c r="W24" s="378">
        <f t="shared" si="18"/>
        <v>1.0968641114982578E-2</v>
      </c>
      <c r="X24" s="379">
        <v>2.3039999999999998</v>
      </c>
      <c r="Y24" s="360">
        <f t="shared" si="14"/>
        <v>1.6055749128919859E-2</v>
      </c>
      <c r="Z24" s="378">
        <f t="shared" si="19"/>
        <v>1.6055749128919859E-2</v>
      </c>
      <c r="AA24" s="24"/>
      <c r="AB24" s="1464">
        <v>73.581000000000003</v>
      </c>
      <c r="AC24" s="1480">
        <f t="shared" si="20"/>
        <v>0.51527310924369751</v>
      </c>
      <c r="AD24" s="1482">
        <v>2005</v>
      </c>
      <c r="AH24" s="143">
        <v>2011</v>
      </c>
      <c r="AI24" s="113"/>
      <c r="AJ24" s="166">
        <f>AJ23+0.8*(AJ23-AJ22)</f>
        <v>1.3020727937746279E-2</v>
      </c>
      <c r="AK24" s="169"/>
      <c r="AL24" s="166">
        <f>Z30</f>
        <v>1.4E-2</v>
      </c>
      <c r="AM24" s="170"/>
      <c r="AN24" s="166">
        <f t="shared" ref="AN24:AN29" si="22">AN23-0.0001</f>
        <v>1.4999999999999998E-3</v>
      </c>
      <c r="AR24">
        <v>4.9223997554548067</v>
      </c>
      <c r="AS24" s="176">
        <v>2011</v>
      </c>
      <c r="AT24" s="174">
        <v>143.0564</v>
      </c>
      <c r="AU24" s="559">
        <f>AU23*(1+AJ24-AL24+AN24)-0.045</f>
        <v>142.89479400511732</v>
      </c>
      <c r="AV24" s="561">
        <v>75.778999999999996</v>
      </c>
      <c r="AW24" s="559">
        <f>AV24</f>
        <v>75.778999999999996</v>
      </c>
      <c r="AX24" s="567">
        <f t="shared" si="4"/>
        <v>0.52971415469702854</v>
      </c>
      <c r="AY24" s="146">
        <f t="shared" si="5"/>
        <v>52.971415469702855</v>
      </c>
      <c r="AZ24" s="135">
        <f>AY24</f>
        <v>52.971415469702855</v>
      </c>
      <c r="BC24" s="187">
        <f t="shared" si="6"/>
        <v>143.0564</v>
      </c>
      <c r="BD24" s="545">
        <f t="shared" si="7"/>
        <v>0.52971415469702854</v>
      </c>
      <c r="BE24" s="176">
        <v>2011</v>
      </c>
      <c r="CC24" s="728">
        <v>2006</v>
      </c>
      <c r="CD24" s="731">
        <v>143.19999999999999</v>
      </c>
      <c r="CE24" s="731">
        <v>66.3</v>
      </c>
      <c r="CF24" s="731">
        <v>76.900000000000006</v>
      </c>
      <c r="CG24" s="730">
        <v>46</v>
      </c>
      <c r="CH24" s="730">
        <v>54</v>
      </c>
      <c r="CW24" s="669" t="s">
        <v>1164</v>
      </c>
      <c r="CX24">
        <v>100</v>
      </c>
      <c r="CY24">
        <v>100</v>
      </c>
      <c r="CZ24">
        <v>100</v>
      </c>
      <c r="DA24">
        <v>100</v>
      </c>
      <c r="DB24">
        <v>100</v>
      </c>
      <c r="DC24">
        <v>100</v>
      </c>
      <c r="DD24">
        <v>100</v>
      </c>
      <c r="DE24">
        <v>100</v>
      </c>
      <c r="DF24">
        <v>100</v>
      </c>
    </row>
    <row r="25" spans="1:110" ht="17.399999999999999">
      <c r="A25" s="160"/>
      <c r="B25" s="160" t="s">
        <v>165</v>
      </c>
      <c r="C25" s="160"/>
      <c r="D25" s="160"/>
      <c r="E25" s="160"/>
      <c r="F25" s="160"/>
      <c r="G25" s="271"/>
      <c r="H25" s="274">
        <v>16</v>
      </c>
      <c r="I25" s="1473">
        <v>2006</v>
      </c>
      <c r="J25" s="1467">
        <v>142.19999999999999</v>
      </c>
      <c r="K25" s="1485">
        <f t="shared" si="15"/>
        <v>142.47314146008512</v>
      </c>
      <c r="L25" s="1463">
        <f t="shared" si="16"/>
        <v>142.19999999999999</v>
      </c>
      <c r="M25" s="182">
        <f t="shared" si="9"/>
        <v>140.77509199999997</v>
      </c>
      <c r="N25" s="392">
        <f t="shared" si="10"/>
        <v>-3.215616246500198E-4</v>
      </c>
      <c r="O25" s="272">
        <f t="shared" si="11"/>
        <v>-4.591900000002283E-2</v>
      </c>
      <c r="P25" s="134">
        <v>0.18637999999999999</v>
      </c>
      <c r="Q25" s="134">
        <v>5.4060999999999998E-2</v>
      </c>
      <c r="R25" s="134">
        <v>0.13231899999999999</v>
      </c>
      <c r="S25" s="360">
        <f t="shared" si="12"/>
        <v>9.2660364145658253E-4</v>
      </c>
      <c r="T25" s="378">
        <f t="shared" si="17"/>
        <v>9.2660364145658253E-4</v>
      </c>
      <c r="U25" s="134">
        <v>1.4796</v>
      </c>
      <c r="V25" s="360">
        <f t="shared" si="13"/>
        <v>1.0361344537815126E-2</v>
      </c>
      <c r="W25" s="378">
        <f t="shared" si="18"/>
        <v>1.0361344537815126E-2</v>
      </c>
      <c r="X25" s="132">
        <v>2.1659999999999999</v>
      </c>
      <c r="Y25" s="360">
        <f t="shared" si="14"/>
        <v>1.5168067226890755E-2</v>
      </c>
      <c r="Z25" s="378">
        <f t="shared" si="19"/>
        <v>1.5168067226890755E-2</v>
      </c>
      <c r="AA25" s="24"/>
      <c r="AB25" s="1464">
        <v>74.418999999999997</v>
      </c>
      <c r="AC25" s="1480">
        <f t="shared" si="20"/>
        <v>0.52334036568213782</v>
      </c>
      <c r="AD25" s="1482">
        <v>2006</v>
      </c>
      <c r="AH25" s="143">
        <v>2012</v>
      </c>
      <c r="AI25" s="113"/>
      <c r="AJ25" s="166">
        <f t="shared" ref="AJ25:AJ43" si="23">AJ24+0.8*(AJ24-AJ23)</f>
        <v>1.3229804863571845E-2</v>
      </c>
      <c r="AK25" s="169"/>
      <c r="AL25" s="166">
        <f t="shared" si="21"/>
        <v>1.4E-2</v>
      </c>
      <c r="AM25" s="170"/>
      <c r="AN25" s="166">
        <f t="shared" si="22"/>
        <v>1.3999999999999998E-3</v>
      </c>
      <c r="AR25">
        <v>4.1306599945102453</v>
      </c>
      <c r="AS25" s="176">
        <v>2012</v>
      </c>
      <c r="AT25" s="174">
        <v>143.34710000000001</v>
      </c>
      <c r="AU25" s="559">
        <f>AU24*(1+AJ25-AL25+AN25)-0.045</f>
        <v>142.93978984136086</v>
      </c>
      <c r="AV25" s="561">
        <v>75.676000000000002</v>
      </c>
      <c r="AW25" s="559">
        <f>AV25</f>
        <v>75.676000000000002</v>
      </c>
      <c r="AX25" s="567">
        <f t="shared" si="4"/>
        <v>0.52792138801552313</v>
      </c>
      <c r="AY25" s="146">
        <f t="shared" si="5"/>
        <v>52.792138801552312</v>
      </c>
      <c r="AZ25" s="135">
        <v>53</v>
      </c>
      <c r="BC25" s="187">
        <f t="shared" si="6"/>
        <v>143.34710000000001</v>
      </c>
      <c r="BD25" s="545">
        <f t="shared" si="7"/>
        <v>0.52792138801552313</v>
      </c>
      <c r="BE25" s="176">
        <v>2012</v>
      </c>
      <c r="CC25" s="728">
        <v>2007</v>
      </c>
      <c r="CD25" s="731">
        <v>142.80000000000001</v>
      </c>
      <c r="CE25" s="731">
        <v>66</v>
      </c>
      <c r="CF25" s="731">
        <v>76.8</v>
      </c>
      <c r="CG25" s="730">
        <v>46</v>
      </c>
      <c r="CH25" s="730">
        <v>54</v>
      </c>
      <c r="CW25" s="669" t="s">
        <v>1146</v>
      </c>
    </row>
    <row r="26" spans="1:110" ht="18">
      <c r="A26" s="160" t="s">
        <v>858</v>
      </c>
      <c r="B26" s="161"/>
      <c r="C26" s="161"/>
      <c r="D26" s="161"/>
      <c r="E26" s="160"/>
      <c r="F26" s="160"/>
      <c r="G26" s="271"/>
      <c r="H26" s="274">
        <v>17</v>
      </c>
      <c r="I26" s="1473">
        <v>2007</v>
      </c>
      <c r="J26" s="1467">
        <v>142</v>
      </c>
      <c r="K26" s="1485">
        <f t="shared" si="15"/>
        <v>142.37056781167965</v>
      </c>
      <c r="L26" s="1463">
        <f t="shared" si="16"/>
        <v>142</v>
      </c>
      <c r="M26" s="182">
        <f t="shared" si="9"/>
        <v>140.54473499999997</v>
      </c>
      <c r="N26" s="392">
        <f t="shared" si="10"/>
        <v>2.1348101265830746E-4</v>
      </c>
      <c r="O26" s="272">
        <f t="shared" si="11"/>
        <v>3.0357000000011319E-2</v>
      </c>
      <c r="P26" s="352">
        <v>0.28695599999999999</v>
      </c>
      <c r="Q26" s="352">
        <v>4.7012999999999999E-2</v>
      </c>
      <c r="R26" s="134">
        <v>0.23994299999999999</v>
      </c>
      <c r="S26" s="360">
        <f t="shared" si="12"/>
        <v>1.6873628691983123E-3</v>
      </c>
      <c r="T26" s="378">
        <f t="shared" si="17"/>
        <v>1.6873628691983123E-3</v>
      </c>
      <c r="U26" s="352">
        <v>1.6101000000000001</v>
      </c>
      <c r="V26" s="360">
        <f t="shared" si="13"/>
        <v>1.1322784810126585E-2</v>
      </c>
      <c r="W26" s="378">
        <f t="shared" si="18"/>
        <v>1.1322784810126585E-2</v>
      </c>
      <c r="X26" s="352">
        <v>2.0804</v>
      </c>
      <c r="Y26" s="360">
        <f t="shared" si="14"/>
        <v>1.4630098452883265E-2</v>
      </c>
      <c r="Z26" s="378">
        <f t="shared" si="19"/>
        <v>1.4630098452883265E-2</v>
      </c>
      <c r="AA26" s="24"/>
      <c r="AB26" s="1464">
        <v>75.289000000000001</v>
      </c>
      <c r="AC26" s="1480">
        <f t="shared" si="20"/>
        <v>0.53020422535211265</v>
      </c>
      <c r="AD26" s="1482">
        <v>2007</v>
      </c>
      <c r="AH26" s="143">
        <v>2013</v>
      </c>
      <c r="AI26" s="113"/>
      <c r="AJ26" s="166">
        <f t="shared" si="23"/>
        <v>1.3397066404232298E-2</v>
      </c>
      <c r="AK26" s="169"/>
      <c r="AL26" s="166">
        <f t="shared" si="21"/>
        <v>1.4E-2</v>
      </c>
      <c r="AM26" s="170"/>
      <c r="AN26" s="166">
        <f t="shared" si="22"/>
        <v>1.2999999999999997E-3</v>
      </c>
      <c r="AS26" s="176">
        <v>2013</v>
      </c>
      <c r="AT26" s="174" t="e">
        <v>#N/A</v>
      </c>
      <c r="AU26" s="559">
        <v>143.5</v>
      </c>
      <c r="AV26" s="562">
        <v>75.528999999999996</v>
      </c>
      <c r="AW26" s="145">
        <f>AU26*AX26</f>
        <v>76.916000000000011</v>
      </c>
      <c r="AX26" s="568">
        <f t="shared" ref="AX26:AX43" si="24">AZ26/100</f>
        <v>0.53600000000000003</v>
      </c>
      <c r="AY26" s="13"/>
      <c r="AZ26" s="559">
        <f>53.6</f>
        <v>53.6</v>
      </c>
      <c r="BC26" s="187" t="e">
        <f t="shared" si="6"/>
        <v>#N/A</v>
      </c>
      <c r="BD26" s="545">
        <f t="shared" si="7"/>
        <v>0.53600000000000003</v>
      </c>
      <c r="BE26" s="176">
        <v>2013</v>
      </c>
      <c r="CC26" s="728">
        <v>2008</v>
      </c>
      <c r="CD26" s="731">
        <v>142.80000000000001</v>
      </c>
      <c r="CE26" s="731">
        <v>66</v>
      </c>
      <c r="CF26" s="731">
        <v>76.8</v>
      </c>
      <c r="CG26" s="730">
        <v>46</v>
      </c>
      <c r="CH26" s="730">
        <v>54</v>
      </c>
      <c r="CW26" s="669" t="s">
        <v>1162</v>
      </c>
      <c r="CX26">
        <v>94.8</v>
      </c>
      <c r="CY26">
        <v>90.3</v>
      </c>
      <c r="CZ26">
        <v>89.8</v>
      </c>
      <c r="DA26">
        <v>91.1</v>
      </c>
      <c r="DB26">
        <v>91.9</v>
      </c>
      <c r="DC26">
        <v>92.2</v>
      </c>
      <c r="DD26">
        <v>92.5</v>
      </c>
      <c r="DE26">
        <v>93</v>
      </c>
      <c r="DF26">
        <v>94</v>
      </c>
    </row>
    <row r="27" spans="1:110" ht="17.399999999999999">
      <c r="A27" s="160"/>
      <c r="B27" s="160" t="s">
        <v>169</v>
      </c>
      <c r="C27" s="160"/>
      <c r="D27" s="160"/>
      <c r="E27" s="160"/>
      <c r="F27" s="160"/>
      <c r="G27" s="271"/>
      <c r="H27" s="274">
        <v>18</v>
      </c>
      <c r="I27" s="1473">
        <v>2008</v>
      </c>
      <c r="J27" s="1467">
        <v>141.9</v>
      </c>
      <c r="K27" s="1485">
        <f t="shared" si="15"/>
        <v>142.37838816681295</v>
      </c>
      <c r="L27" s="1463">
        <f t="shared" si="16"/>
        <v>141.9</v>
      </c>
      <c r="M27" s="182">
        <f t="shared" si="9"/>
        <v>140.42473499999997</v>
      </c>
      <c r="N27" s="392">
        <f t="shared" si="10"/>
        <v>1.4084507042257444E-4</v>
      </c>
      <c r="O27" s="272">
        <f t="shared" si="11"/>
        <v>2.0000000000005569E-2</v>
      </c>
      <c r="P27" s="134">
        <v>0.28161399999999998</v>
      </c>
      <c r="Q27" s="134">
        <v>3.9508000000000001E-2</v>
      </c>
      <c r="R27" s="182">
        <v>0.24199999999999999</v>
      </c>
      <c r="S27" s="360">
        <f t="shared" si="12"/>
        <v>1.704225352112676E-3</v>
      </c>
      <c r="T27" s="378">
        <f t="shared" si="17"/>
        <v>1.704225352112676E-3</v>
      </c>
      <c r="U27" s="134">
        <v>1.7139</v>
      </c>
      <c r="V27" s="360">
        <f t="shared" si="13"/>
        <v>1.2069718309859154E-2</v>
      </c>
      <c r="W27" s="378">
        <f t="shared" si="18"/>
        <v>1.2069718309859154E-2</v>
      </c>
      <c r="X27" s="134">
        <v>2.0758999999999999</v>
      </c>
      <c r="Y27" s="360">
        <f t="shared" si="14"/>
        <v>1.4619014084507042E-2</v>
      </c>
      <c r="Z27" s="378">
        <f t="shared" si="19"/>
        <v>1.4619014084507042E-2</v>
      </c>
      <c r="AA27" s="24"/>
      <c r="AB27" s="1464">
        <v>75.7</v>
      </c>
      <c r="AC27" s="1480">
        <f t="shared" si="20"/>
        <v>0.53347427766032418</v>
      </c>
      <c r="AD27" s="1482">
        <v>2008</v>
      </c>
      <c r="AH27" s="143">
        <v>2014</v>
      </c>
      <c r="AI27" s="113"/>
      <c r="AJ27" s="166">
        <f t="shared" si="23"/>
        <v>1.3530875636760659E-2</v>
      </c>
      <c r="AK27" s="169"/>
      <c r="AL27" s="166">
        <f t="shared" si="21"/>
        <v>1.4E-2</v>
      </c>
      <c r="AM27" s="170"/>
      <c r="AN27" s="166">
        <f t="shared" si="22"/>
        <v>1.1999999999999997E-3</v>
      </c>
      <c r="AS27" s="176">
        <v>2014</v>
      </c>
      <c r="AT27" s="113"/>
      <c r="AU27" s="145">
        <f>AU26*(1+AJ27-AL27+AN27)-0.045</f>
        <v>143.55988065387518</v>
      </c>
      <c r="AV27" s="562"/>
      <c r="AW27" s="145">
        <f>AU27*AX27</f>
        <v>76.948096030477103</v>
      </c>
      <c r="AX27" s="568">
        <f t="shared" si="24"/>
        <v>0.53600000000000003</v>
      </c>
      <c r="AY27" s="13"/>
      <c r="AZ27" s="559">
        <f t="shared" ref="AZ27:AZ43" si="25">AZ26</f>
        <v>53.6</v>
      </c>
      <c r="BC27" s="187">
        <f t="shared" ref="BC27:BC43" si="26">AU27</f>
        <v>143.55988065387518</v>
      </c>
      <c r="BD27" s="545">
        <f t="shared" si="7"/>
        <v>0.53600000000000003</v>
      </c>
      <c r="BE27" s="176">
        <v>2014</v>
      </c>
      <c r="CC27" s="728">
        <v>2009</v>
      </c>
      <c r="CD27" s="731">
        <v>142.69999999999999</v>
      </c>
      <c r="CE27" s="731">
        <v>65.900000000000006</v>
      </c>
      <c r="CF27" s="731">
        <v>76.8</v>
      </c>
      <c r="CG27" s="730">
        <v>46</v>
      </c>
      <c r="CH27" s="730">
        <v>54</v>
      </c>
      <c r="CW27" s="669" t="s">
        <v>1163</v>
      </c>
      <c r="CX27">
        <v>5.2</v>
      </c>
      <c r="CY27">
        <v>9.6999999999999993</v>
      </c>
      <c r="CZ27">
        <v>10.199999999999999</v>
      </c>
      <c r="DA27">
        <v>8.9</v>
      </c>
      <c r="DB27">
        <v>8.1</v>
      </c>
      <c r="DC27">
        <v>7.8</v>
      </c>
      <c r="DD27">
        <v>7.5</v>
      </c>
      <c r="DE27">
        <v>7</v>
      </c>
      <c r="DF27">
        <v>6</v>
      </c>
    </row>
    <row r="28" spans="1:110" ht="18">
      <c r="A28" s="160"/>
      <c r="B28" s="160" t="s">
        <v>877</v>
      </c>
      <c r="C28" s="160"/>
      <c r="D28" s="160"/>
      <c r="E28" s="160"/>
      <c r="F28" s="160"/>
      <c r="G28" s="271"/>
      <c r="H28" s="274">
        <v>19</v>
      </c>
      <c r="I28" s="1473">
        <v>2009</v>
      </c>
      <c r="J28" s="1467">
        <v>141.9</v>
      </c>
      <c r="K28" s="1485">
        <f t="shared" si="15"/>
        <v>142.49833117260198</v>
      </c>
      <c r="L28" s="1463">
        <f t="shared" si="16"/>
        <v>141.9</v>
      </c>
      <c r="N28" s="392">
        <v>0</v>
      </c>
      <c r="P28" s="274"/>
      <c r="Q28" s="274"/>
      <c r="R28" s="182">
        <v>0.34520000000000001</v>
      </c>
      <c r="S28" s="360"/>
      <c r="T28" s="274">
        <v>1.6999999999999999E-3</v>
      </c>
      <c r="U28" s="134">
        <v>1.7642</v>
      </c>
      <c r="V28" s="360">
        <f t="shared" si="13"/>
        <v>1.2432699083861874E-2</v>
      </c>
      <c r="W28" s="378">
        <f t="shared" si="18"/>
        <v>1.2432699083861874E-2</v>
      </c>
      <c r="X28" s="134">
        <v>2.0135999999999998</v>
      </c>
      <c r="Y28" s="360">
        <f t="shared" si="14"/>
        <v>1.4190274841437631E-2</v>
      </c>
      <c r="Z28" s="378">
        <f t="shared" si="19"/>
        <v>1.4190274841437631E-2</v>
      </c>
      <c r="AA28" s="88"/>
      <c r="AB28" s="1464">
        <v>75.694000000000003</v>
      </c>
      <c r="AC28" s="1480">
        <f t="shared" si="20"/>
        <v>0.53343199436222688</v>
      </c>
      <c r="AD28" s="1482">
        <v>2009</v>
      </c>
      <c r="AH28" s="143">
        <v>2015</v>
      </c>
      <c r="AI28" s="113"/>
      <c r="AJ28" s="166">
        <f t="shared" si="23"/>
        <v>1.3637923022783348E-2</v>
      </c>
      <c r="AK28" s="169"/>
      <c r="AL28" s="166">
        <f t="shared" si="21"/>
        <v>1.4E-2</v>
      </c>
      <c r="AM28" s="170"/>
      <c r="AN28" s="166">
        <f t="shared" si="22"/>
        <v>1.0999999999999996E-3</v>
      </c>
      <c r="AS28" s="176">
        <v>2015</v>
      </c>
      <c r="AT28" s="113"/>
      <c r="AU28" s="714">
        <v>144.1157</v>
      </c>
      <c r="AV28" s="562"/>
      <c r="AW28" s="145" t="e">
        <f>#REF!*AX28</f>
        <v>#REF!</v>
      </c>
      <c r="AX28" s="568">
        <f t="shared" si="24"/>
        <v>0.53600000000000003</v>
      </c>
      <c r="AY28" s="13"/>
      <c r="AZ28" s="559">
        <f t="shared" si="25"/>
        <v>53.6</v>
      </c>
      <c r="BC28" s="187">
        <f t="shared" si="26"/>
        <v>144.1157</v>
      </c>
      <c r="BD28" s="545">
        <f t="shared" si="7"/>
        <v>0.53600000000000003</v>
      </c>
      <c r="BE28" s="176">
        <v>2015</v>
      </c>
      <c r="CC28" s="728">
        <v>2010</v>
      </c>
      <c r="CD28" s="731">
        <v>142.9</v>
      </c>
      <c r="CE28" s="731">
        <v>66.099999999999994</v>
      </c>
      <c r="CF28" s="731">
        <v>76.8</v>
      </c>
      <c r="CG28" s="730">
        <v>46</v>
      </c>
      <c r="CH28" s="730">
        <v>54</v>
      </c>
      <c r="CW28" s="669" t="s">
        <v>1165</v>
      </c>
      <c r="CX28">
        <v>100</v>
      </c>
      <c r="CY28">
        <v>100</v>
      </c>
      <c r="CZ28">
        <v>100</v>
      </c>
      <c r="DA28">
        <v>100</v>
      </c>
      <c r="DB28">
        <v>100</v>
      </c>
      <c r="DC28">
        <v>100</v>
      </c>
      <c r="DD28">
        <v>100</v>
      </c>
      <c r="DE28">
        <v>100</v>
      </c>
      <c r="DF28">
        <v>100</v>
      </c>
    </row>
    <row r="29" spans="1:110" ht="18">
      <c r="A29" s="160"/>
      <c r="B29" s="160" t="s">
        <v>878</v>
      </c>
      <c r="C29" s="160"/>
      <c r="D29" s="160"/>
      <c r="E29" s="160"/>
      <c r="F29" s="160"/>
      <c r="G29" s="271"/>
      <c r="H29" s="274">
        <v>20</v>
      </c>
      <c r="I29" s="1473">
        <v>2010</v>
      </c>
      <c r="J29" s="1467">
        <v>142.86539999999999</v>
      </c>
      <c r="K29" s="1485">
        <f t="shared" si="15"/>
        <v>142.68092937309135</v>
      </c>
      <c r="L29" s="1463">
        <f t="shared" si="16"/>
        <v>142.86539999999999</v>
      </c>
      <c r="N29" s="392">
        <f>N28</f>
        <v>0</v>
      </c>
      <c r="P29" s="377"/>
      <c r="Q29" s="377"/>
      <c r="R29" s="181">
        <v>0.34799999999999998</v>
      </c>
      <c r="S29" s="377"/>
      <c r="T29" s="380">
        <v>1.6999999999999999E-3</v>
      </c>
      <c r="U29" s="377"/>
      <c r="V29" s="377"/>
      <c r="W29" s="381">
        <v>1.2694548459737713E-2</v>
      </c>
      <c r="X29" s="377"/>
      <c r="Y29" s="377"/>
      <c r="Z29" s="381">
        <v>1.4013142572476973E-2</v>
      </c>
      <c r="AA29" s="88"/>
      <c r="AB29" s="1464">
        <v>75.477999999999994</v>
      </c>
      <c r="AC29" s="1480">
        <f t="shared" si="20"/>
        <v>0.52831546336621737</v>
      </c>
      <c r="AD29" s="1482">
        <v>2010</v>
      </c>
      <c r="AH29" s="143">
        <v>2016</v>
      </c>
      <c r="AI29" s="113"/>
      <c r="AJ29" s="166">
        <f t="shared" si="23"/>
        <v>1.3723560931601498E-2</v>
      </c>
      <c r="AK29" s="169"/>
      <c r="AL29" s="166">
        <f t="shared" si="21"/>
        <v>1.4E-2</v>
      </c>
      <c r="AM29" s="170"/>
      <c r="AN29" s="166">
        <f t="shared" si="22"/>
        <v>9.9999999999999959E-4</v>
      </c>
      <c r="AS29" s="176">
        <v>2016</v>
      </c>
      <c r="AT29" s="113"/>
      <c r="AU29" s="714">
        <v>144.61879999999999</v>
      </c>
      <c r="AV29" s="562"/>
      <c r="AW29" s="145" t="e">
        <f>#REF!*AX29</f>
        <v>#REF!</v>
      </c>
      <c r="AX29" s="568">
        <f t="shared" si="24"/>
        <v>0.53600000000000003</v>
      </c>
      <c r="AY29" s="13"/>
      <c r="AZ29" s="559">
        <f t="shared" si="25"/>
        <v>53.6</v>
      </c>
      <c r="BC29" s="187">
        <f t="shared" si="26"/>
        <v>144.61879999999999</v>
      </c>
      <c r="BD29" s="545">
        <f t="shared" si="7"/>
        <v>0.53600000000000003</v>
      </c>
      <c r="BE29" s="176">
        <v>2016</v>
      </c>
      <c r="CC29" s="728">
        <v>2011</v>
      </c>
      <c r="CD29" s="731">
        <v>142.9</v>
      </c>
      <c r="CE29" s="731">
        <v>66.099999999999994</v>
      </c>
      <c r="CF29" s="731">
        <v>76.8</v>
      </c>
      <c r="CG29" s="730">
        <v>46</v>
      </c>
      <c r="CH29" s="730">
        <v>54</v>
      </c>
      <c r="CW29" s="669" t="s">
        <v>1146</v>
      </c>
    </row>
    <row r="30" spans="1:110" ht="18">
      <c r="A30" s="160"/>
      <c r="B30" s="160" t="s">
        <v>879</v>
      </c>
      <c r="C30" s="160"/>
      <c r="D30" s="160"/>
      <c r="E30" s="160"/>
      <c r="F30" s="160"/>
      <c r="G30" s="271"/>
      <c r="H30" s="274">
        <v>21</v>
      </c>
      <c r="I30" s="1473">
        <v>2011</v>
      </c>
      <c r="J30" s="1467">
        <v>143.0564</v>
      </c>
      <c r="K30" s="1485">
        <f>K29*(1+AJ24-Z30+T30 +0.0009)</f>
        <v>142.91360315080365</v>
      </c>
      <c r="L30" s="1463">
        <f t="shared" si="16"/>
        <v>143.0564</v>
      </c>
      <c r="N30" s="392">
        <f t="shared" ref="N30:N49" si="27">N29</f>
        <v>0</v>
      </c>
      <c r="P30" s="274"/>
      <c r="Q30" s="274"/>
      <c r="R30" s="182">
        <v>0.35099999999999998</v>
      </c>
      <c r="S30" s="274"/>
      <c r="T30" s="378">
        <v>1.7099999999999999E-3</v>
      </c>
      <c r="U30" s="274"/>
      <c r="V30" s="274"/>
      <c r="W30" s="382">
        <v>1.2959964226642388E-2</v>
      </c>
      <c r="X30" s="274"/>
      <c r="Y30" s="274"/>
      <c r="Z30" s="382">
        <v>1.4E-2</v>
      </c>
      <c r="AA30" s="88"/>
      <c r="AB30" s="1464">
        <v>75.778999999999996</v>
      </c>
      <c r="AC30" s="1480">
        <f t="shared" si="20"/>
        <v>0.52971415469702854</v>
      </c>
      <c r="AD30" s="1482">
        <v>2011</v>
      </c>
      <c r="AH30" s="143">
        <v>2017</v>
      </c>
      <c r="AI30" s="113"/>
      <c r="AJ30" s="166">
        <f t="shared" si="23"/>
        <v>1.3792071258656018E-2</v>
      </c>
      <c r="AK30" s="169"/>
      <c r="AL30" s="166">
        <f t="shared" si="21"/>
        <v>1.4E-2</v>
      </c>
      <c r="AM30" s="170"/>
      <c r="AN30" s="166">
        <f>AN29</f>
        <v>9.9999999999999959E-4</v>
      </c>
      <c r="AS30" s="176">
        <v>2017</v>
      </c>
      <c r="AT30" s="113"/>
      <c r="AU30" s="714">
        <v>145.1686</v>
      </c>
      <c r="AV30" s="562"/>
      <c r="AW30" s="145" t="e">
        <f>#REF!*AX30</f>
        <v>#REF!</v>
      </c>
      <c r="AX30" s="568">
        <f t="shared" si="24"/>
        <v>0.53600000000000003</v>
      </c>
      <c r="AY30" s="13"/>
      <c r="AZ30" s="559">
        <f t="shared" si="25"/>
        <v>53.6</v>
      </c>
      <c r="BC30" s="187">
        <f t="shared" si="26"/>
        <v>145.1686</v>
      </c>
      <c r="BD30" s="545">
        <f t="shared" si="7"/>
        <v>0.53600000000000003</v>
      </c>
      <c r="BE30" s="176">
        <v>2017</v>
      </c>
      <c r="CC30" s="728">
        <v>2012</v>
      </c>
      <c r="CD30" s="731">
        <v>143</v>
      </c>
      <c r="CE30" s="731">
        <v>66.100000000000009</v>
      </c>
      <c r="CF30" s="731">
        <v>76.900000000000006</v>
      </c>
      <c r="CG30" s="730">
        <v>46</v>
      </c>
      <c r="CH30" s="730">
        <v>54</v>
      </c>
      <c r="CW30" s="669" t="s">
        <v>1162</v>
      </c>
      <c r="CX30">
        <v>94.8</v>
      </c>
      <c r="CY30">
        <v>90.8</v>
      </c>
      <c r="CZ30">
        <v>90.5</v>
      </c>
      <c r="DA30">
        <v>91.9</v>
      </c>
      <c r="DB30">
        <v>92.5</v>
      </c>
      <c r="DC30">
        <v>92</v>
      </c>
      <c r="DD30">
        <v>93.4</v>
      </c>
      <c r="DE30">
        <v>93.5</v>
      </c>
      <c r="DF30">
        <v>94.7</v>
      </c>
    </row>
    <row r="31" spans="1:110" ht="18">
      <c r="A31" s="160"/>
      <c r="B31" s="160" t="s">
        <v>859</v>
      </c>
      <c r="C31" s="160"/>
      <c r="D31" s="160"/>
      <c r="E31" s="160"/>
      <c r="F31" s="160"/>
      <c r="G31" s="271"/>
      <c r="H31" s="274">
        <v>22</v>
      </c>
      <c r="I31" s="1473">
        <v>2012</v>
      </c>
      <c r="J31" s="1467">
        <v>143.34710000000001</v>
      </c>
      <c r="K31" s="1485">
        <f t="shared" ref="K31:K49" si="28">K30*(1+AJ25-Z31+T31 +0.0009)</f>
        <v>143.17796542898259</v>
      </c>
      <c r="L31" s="1463">
        <f t="shared" si="16"/>
        <v>143.34710000000001</v>
      </c>
      <c r="N31" s="392">
        <f t="shared" si="27"/>
        <v>0</v>
      </c>
      <c r="P31" s="274"/>
      <c r="Q31" s="274"/>
      <c r="R31" s="182">
        <v>0.35599999999999998</v>
      </c>
      <c r="S31" s="274"/>
      <c r="T31" s="378">
        <v>1.72E-3</v>
      </c>
      <c r="U31" s="274"/>
      <c r="V31" s="274"/>
      <c r="W31" s="382">
        <v>1.3192285256336032E-2</v>
      </c>
      <c r="X31" s="274"/>
      <c r="Y31" s="274"/>
      <c r="Z31" s="382">
        <v>1.4E-2</v>
      </c>
      <c r="AA31" s="88"/>
      <c r="AB31" s="1464">
        <v>75.676000000000002</v>
      </c>
      <c r="AC31" s="1480">
        <f t="shared" si="20"/>
        <v>0.52792138801552313</v>
      </c>
      <c r="AD31" s="1482">
        <v>2012</v>
      </c>
      <c r="AH31" s="143">
        <v>2018</v>
      </c>
      <c r="AI31" s="113"/>
      <c r="AJ31" s="166">
        <f t="shared" si="23"/>
        <v>1.3846879520299634E-2</v>
      </c>
      <c r="AK31" s="169"/>
      <c r="AL31" s="166">
        <f t="shared" si="21"/>
        <v>1.4E-2</v>
      </c>
      <c r="AM31" s="170"/>
      <c r="AN31" s="166">
        <f t="shared" ref="AN31:AN43" si="29">AN30</f>
        <v>9.9999999999999959E-4</v>
      </c>
      <c r="AS31" s="176">
        <v>2018</v>
      </c>
      <c r="AT31" s="113"/>
      <c r="AU31" s="714">
        <v>145.74820000000003</v>
      </c>
      <c r="AV31" s="562"/>
      <c r="AW31" s="145" t="e">
        <f>#REF!*AX31</f>
        <v>#REF!</v>
      </c>
      <c r="AX31" s="568">
        <f t="shared" si="24"/>
        <v>0.53600000000000003</v>
      </c>
      <c r="AY31" s="13"/>
      <c r="AZ31" s="559">
        <f t="shared" si="25"/>
        <v>53.6</v>
      </c>
      <c r="BC31" s="187">
        <f t="shared" si="26"/>
        <v>145.74820000000003</v>
      </c>
      <c r="BD31" s="545">
        <f t="shared" si="7"/>
        <v>0.53600000000000003</v>
      </c>
      <c r="BE31" s="176">
        <v>2018</v>
      </c>
      <c r="CC31" s="728">
        <v>2013</v>
      </c>
      <c r="CD31" s="731">
        <v>143.30000000000001</v>
      </c>
      <c r="CE31" s="731">
        <v>66.300000000000011</v>
      </c>
      <c r="CF31" s="731">
        <v>77</v>
      </c>
      <c r="CG31" s="730">
        <v>46</v>
      </c>
      <c r="CH31" s="730">
        <v>54</v>
      </c>
      <c r="CW31" s="669" t="s">
        <v>1163</v>
      </c>
      <c r="CX31">
        <v>5.2</v>
      </c>
      <c r="CY31">
        <v>9.1999999999999993</v>
      </c>
      <c r="CZ31">
        <v>9.5</v>
      </c>
      <c r="DA31">
        <v>8.1</v>
      </c>
      <c r="DB31">
        <v>7.5</v>
      </c>
      <c r="DC31">
        <v>8</v>
      </c>
      <c r="DD31">
        <v>6.6</v>
      </c>
      <c r="DE31">
        <v>6.5</v>
      </c>
      <c r="DF31">
        <v>5.3</v>
      </c>
    </row>
    <row r="32" spans="1:110" ht="18">
      <c r="A32" s="160" t="s">
        <v>860</v>
      </c>
      <c r="B32" s="162" t="s">
        <v>861</v>
      </c>
      <c r="C32" s="162"/>
      <c r="D32" s="162"/>
      <c r="E32" s="162"/>
      <c r="F32" s="162"/>
      <c r="H32" s="274">
        <v>23</v>
      </c>
      <c r="I32" s="1473">
        <v>2013</v>
      </c>
      <c r="J32" s="1467">
        <v>143.6669</v>
      </c>
      <c r="K32" s="1485">
        <f t="shared" si="28"/>
        <v>143.46819667252998</v>
      </c>
      <c r="L32" s="1463">
        <f t="shared" si="16"/>
        <v>143.6669</v>
      </c>
      <c r="N32" s="392">
        <f t="shared" si="27"/>
        <v>0</v>
      </c>
      <c r="P32" s="274"/>
      <c r="Q32" s="274"/>
      <c r="R32" s="182"/>
      <c r="S32" s="274"/>
      <c r="T32" s="378">
        <v>1.73E-3</v>
      </c>
      <c r="U32" s="274"/>
      <c r="V32" s="274"/>
      <c r="W32" s="382">
        <v>1.3522561673496804E-2</v>
      </c>
      <c r="X32" s="274"/>
      <c r="Y32" s="274"/>
      <c r="Z32" s="382">
        <f>Z31</f>
        <v>1.4E-2</v>
      </c>
      <c r="AA32" s="88"/>
      <c r="AB32" s="1464">
        <v>75.528999999999996</v>
      </c>
      <c r="AC32" s="1480">
        <f t="shared" si="20"/>
        <v>0.52572304406930193</v>
      </c>
      <c r="AD32" s="1482">
        <v>2013</v>
      </c>
      <c r="AH32" s="143">
        <v>2019</v>
      </c>
      <c r="AI32" s="113"/>
      <c r="AJ32" s="166">
        <f t="shared" si="23"/>
        <v>1.3890726129614528E-2</v>
      </c>
      <c r="AK32" s="169"/>
      <c r="AL32" s="166">
        <f t="shared" si="21"/>
        <v>1.4E-2</v>
      </c>
      <c r="AM32" s="170"/>
      <c r="AN32" s="166">
        <f t="shared" si="29"/>
        <v>9.9999999999999959E-4</v>
      </c>
      <c r="AS32" s="176">
        <v>2019</v>
      </c>
      <c r="AT32" s="113"/>
      <c r="AU32" s="714">
        <v>146.33860000000001</v>
      </c>
      <c r="AV32" s="562"/>
      <c r="AW32" s="145" t="e">
        <f>#REF!*AX32</f>
        <v>#REF!</v>
      </c>
      <c r="AX32" s="568">
        <f t="shared" si="24"/>
        <v>0.53600000000000003</v>
      </c>
      <c r="AY32" s="13"/>
      <c r="AZ32" s="559">
        <f t="shared" si="25"/>
        <v>53.6</v>
      </c>
      <c r="BC32" s="187">
        <f t="shared" si="26"/>
        <v>146.33860000000001</v>
      </c>
      <c r="BD32" s="545">
        <f t="shared" si="7"/>
        <v>0.53600000000000003</v>
      </c>
      <c r="BE32" s="176">
        <v>2019</v>
      </c>
    </row>
    <row r="33" spans="1:86" ht="18">
      <c r="A33" s="160" t="s">
        <v>862</v>
      </c>
      <c r="B33" s="162" t="s">
        <v>863</v>
      </c>
      <c r="C33" s="162"/>
      <c r="D33" s="162"/>
      <c r="E33" s="162"/>
      <c r="F33" s="162"/>
      <c r="H33" s="274">
        <v>24</v>
      </c>
      <c r="I33" s="1473">
        <v>2014</v>
      </c>
      <c r="J33" s="1467">
        <v>146.26729999999998</v>
      </c>
      <c r="K33" s="1485">
        <f t="shared" si="28"/>
        <v>143.77964828533638</v>
      </c>
      <c r="L33" s="1463">
        <f t="shared" si="16"/>
        <v>146.26729999999998</v>
      </c>
      <c r="N33" s="392">
        <f t="shared" si="27"/>
        <v>0</v>
      </c>
      <c r="P33" s="274"/>
      <c r="Q33" s="274"/>
      <c r="R33" s="182"/>
      <c r="S33" s="274"/>
      <c r="T33" s="378">
        <v>1.74E-3</v>
      </c>
      <c r="U33" s="274"/>
      <c r="V33" s="274"/>
      <c r="W33" s="382">
        <v>1.3779202307556663E-2</v>
      </c>
      <c r="X33" s="274"/>
      <c r="Y33" s="274"/>
      <c r="Z33" s="382">
        <f>Z32+0.7*(Z32-Z31)</f>
        <v>1.4E-2</v>
      </c>
      <c r="AA33" s="88"/>
      <c r="AB33" s="1464">
        <v>75.427999999999997</v>
      </c>
      <c r="AC33" s="1480">
        <f t="shared" si="20"/>
        <v>0.5156860077406229</v>
      </c>
      <c r="AD33" s="1482">
        <v>2014</v>
      </c>
      <c r="AH33" s="143">
        <v>2020</v>
      </c>
      <c r="AI33" s="113"/>
      <c r="AJ33" s="166">
        <f t="shared" si="23"/>
        <v>1.3925803417066443E-2</v>
      </c>
      <c r="AK33" s="169"/>
      <c r="AL33" s="166">
        <f t="shared" si="21"/>
        <v>1.4E-2</v>
      </c>
      <c r="AM33" s="170"/>
      <c r="AN33" s="166">
        <f t="shared" si="29"/>
        <v>9.9999999999999959E-4</v>
      </c>
      <c r="AS33" s="176">
        <v>2020</v>
      </c>
      <c r="AT33" s="113"/>
      <c r="AU33" s="714">
        <v>146.93929999999997</v>
      </c>
      <c r="AV33" s="562"/>
      <c r="AW33" s="145" t="e">
        <f>#REF!*AX33</f>
        <v>#REF!</v>
      </c>
      <c r="AX33" s="568">
        <f t="shared" si="24"/>
        <v>0.53600000000000003</v>
      </c>
      <c r="AY33" s="13"/>
      <c r="AZ33" s="559">
        <f t="shared" si="25"/>
        <v>53.6</v>
      </c>
      <c r="BC33" s="187">
        <f t="shared" si="26"/>
        <v>146.93929999999997</v>
      </c>
      <c r="BD33" s="545">
        <f t="shared" si="7"/>
        <v>0.53600000000000003</v>
      </c>
      <c r="BE33" s="176">
        <v>2020</v>
      </c>
      <c r="CC33" s="2759" t="s">
        <v>1182</v>
      </c>
      <c r="CD33" s="2759"/>
      <c r="CE33" s="2759"/>
      <c r="CF33" s="2759"/>
      <c r="CG33" s="2759"/>
      <c r="CH33" s="2759"/>
    </row>
    <row r="34" spans="1:86" ht="18">
      <c r="A34" s="160" t="s">
        <v>864</v>
      </c>
      <c r="B34" s="162" t="s">
        <v>865</v>
      </c>
      <c r="C34" s="162"/>
      <c r="D34" s="162"/>
      <c r="E34" s="162"/>
      <c r="F34" s="162"/>
      <c r="H34" s="274">
        <v>25</v>
      </c>
      <c r="I34" s="1473">
        <v>2015</v>
      </c>
      <c r="J34" s="1478">
        <v>146.54470000000001</v>
      </c>
      <c r="K34" s="1485">
        <f t="shared" si="28"/>
        <v>144.10860505285606</v>
      </c>
      <c r="L34" s="1463">
        <f t="shared" si="16"/>
        <v>146.54470000000001</v>
      </c>
      <c r="N34" s="392">
        <f t="shared" si="27"/>
        <v>0</v>
      </c>
      <c r="P34" s="274"/>
      <c r="Q34" s="274"/>
      <c r="R34" s="182"/>
      <c r="S34" s="274"/>
      <c r="T34" s="378">
        <v>1.75E-3</v>
      </c>
      <c r="U34" s="274"/>
      <c r="V34" s="274"/>
      <c r="W34" s="382">
        <v>1.3978642107288039E-2</v>
      </c>
      <c r="X34" s="274"/>
      <c r="Y34" s="274"/>
      <c r="Z34" s="382">
        <f t="shared" ref="Z34:Z49" si="30">Z33+0.7*(Z33-Z32)</f>
        <v>1.4E-2</v>
      </c>
      <c r="AA34" s="88"/>
      <c r="AB34" s="1464">
        <v>76.587999999999994</v>
      </c>
      <c r="AC34" s="1480">
        <f t="shared" si="20"/>
        <v>0.52262551972196869</v>
      </c>
      <c r="AD34" s="1482">
        <v>2015</v>
      </c>
      <c r="AH34" s="143">
        <v>2021</v>
      </c>
      <c r="AI34" s="113"/>
      <c r="AJ34" s="166">
        <f t="shared" si="23"/>
        <v>1.3953865247027974E-2</v>
      </c>
      <c r="AK34" s="169"/>
      <c r="AL34" s="166">
        <f t="shared" si="21"/>
        <v>1.4E-2</v>
      </c>
      <c r="AM34" s="170"/>
      <c r="AN34" s="166">
        <f t="shared" si="29"/>
        <v>9.9999999999999959E-4</v>
      </c>
      <c r="AS34" s="176">
        <v>2021</v>
      </c>
      <c r="AT34" s="113"/>
      <c r="AU34" s="714">
        <v>147.5489</v>
      </c>
      <c r="AV34" s="562"/>
      <c r="AW34" s="145" t="e">
        <f>#REF!*AX34</f>
        <v>#REF!</v>
      </c>
      <c r="AX34" s="568">
        <f t="shared" si="24"/>
        <v>0.53600000000000003</v>
      </c>
      <c r="AY34" s="13"/>
      <c r="AZ34" s="559">
        <f t="shared" si="25"/>
        <v>53.6</v>
      </c>
      <c r="BC34" s="187">
        <f t="shared" si="26"/>
        <v>147.5489</v>
      </c>
      <c r="BD34" s="545">
        <f t="shared" si="7"/>
        <v>0.53600000000000003</v>
      </c>
      <c r="BE34" s="176">
        <v>2021</v>
      </c>
    </row>
    <row r="35" spans="1:86" ht="18">
      <c r="A35" s="160" t="s">
        <v>866</v>
      </c>
      <c r="B35" s="162" t="s">
        <v>867</v>
      </c>
      <c r="C35" s="162"/>
      <c r="D35" s="162"/>
      <c r="E35" s="162"/>
      <c r="F35" s="162"/>
      <c r="H35" s="274">
        <v>26</v>
      </c>
      <c r="I35" s="1473">
        <v>2016</v>
      </c>
      <c r="J35" s="1478">
        <v>146.80000000000001</v>
      </c>
      <c r="K35" s="1485">
        <f t="shared" si="28"/>
        <v>144.45209669376763</v>
      </c>
      <c r="L35" s="1463">
        <f t="shared" si="16"/>
        <v>146.80000000000001</v>
      </c>
      <c r="N35" s="392">
        <f t="shared" si="27"/>
        <v>0</v>
      </c>
      <c r="P35" s="274"/>
      <c r="Q35" s="274"/>
      <c r="R35" s="182"/>
      <c r="S35" s="274"/>
      <c r="T35" s="378">
        <v>1.7600000000000001E-3</v>
      </c>
      <c r="U35" s="274"/>
      <c r="V35" s="274"/>
      <c r="W35" s="382">
        <v>1.4159002126687758E-2</v>
      </c>
      <c r="X35" s="274"/>
      <c r="Y35" s="274"/>
      <c r="Z35" s="382">
        <f t="shared" si="30"/>
        <v>1.4E-2</v>
      </c>
      <c r="AA35" s="88"/>
      <c r="AB35" s="1465">
        <v>76.635999999999996</v>
      </c>
      <c r="AC35" s="1481">
        <f t="shared" si="20"/>
        <v>0.52204359673024514</v>
      </c>
      <c r="AD35" s="1482">
        <v>2016</v>
      </c>
      <c r="AH35" s="143">
        <v>2022</v>
      </c>
      <c r="AI35" s="113"/>
      <c r="AJ35" s="166">
        <f t="shared" si="23"/>
        <v>1.3976314710997199E-2</v>
      </c>
      <c r="AK35" s="169"/>
      <c r="AL35" s="166">
        <f t="shared" si="21"/>
        <v>1.4E-2</v>
      </c>
      <c r="AM35" s="170"/>
      <c r="AN35" s="166">
        <f t="shared" si="29"/>
        <v>9.9999999999999959E-4</v>
      </c>
      <c r="AS35" s="176">
        <v>2022</v>
      </c>
      <c r="AT35" s="113"/>
      <c r="AU35" s="714">
        <v>148.161</v>
      </c>
      <c r="AV35" s="562"/>
      <c r="AW35" s="145" t="e">
        <f>#REF!*AX35</f>
        <v>#REF!</v>
      </c>
      <c r="AX35" s="568">
        <f t="shared" si="24"/>
        <v>0.53600000000000003</v>
      </c>
      <c r="AY35" s="13"/>
      <c r="AZ35" s="559">
        <f t="shared" si="25"/>
        <v>53.6</v>
      </c>
      <c r="BC35" s="187">
        <f t="shared" si="26"/>
        <v>148.161</v>
      </c>
      <c r="BD35" s="545">
        <f t="shared" si="7"/>
        <v>0.53600000000000003</v>
      </c>
      <c r="BE35" s="176">
        <v>2022</v>
      </c>
    </row>
    <row r="36" spans="1:86" ht="18">
      <c r="A36" s="160" t="s">
        <v>868</v>
      </c>
      <c r="B36" s="162" t="s">
        <v>869</v>
      </c>
      <c r="C36" s="162"/>
      <c r="D36" s="162"/>
      <c r="E36" s="162"/>
      <c r="F36" s="162"/>
      <c r="H36" s="274">
        <v>27</v>
      </c>
      <c r="I36" s="1473">
        <v>2017</v>
      </c>
      <c r="J36" s="1469"/>
      <c r="K36" s="1485">
        <f t="shared" si="28"/>
        <v>144.80774804928996</v>
      </c>
      <c r="L36" s="1463">
        <f>L35+0.3</f>
        <v>147.10000000000002</v>
      </c>
      <c r="N36" s="392">
        <f t="shared" si="27"/>
        <v>0</v>
      </c>
      <c r="P36" s="274"/>
      <c r="Q36" s="274"/>
      <c r="R36" s="182"/>
      <c r="S36" s="274"/>
      <c r="T36" s="378">
        <v>1.7700000000000001E-3</v>
      </c>
      <c r="U36" s="274"/>
      <c r="V36" s="274"/>
      <c r="W36" s="382">
        <v>1.4329855054498596E-2</v>
      </c>
      <c r="X36" s="274"/>
      <c r="Y36" s="274"/>
      <c r="Z36" s="382">
        <f t="shared" si="30"/>
        <v>1.4E-2</v>
      </c>
      <c r="AA36" s="88"/>
      <c r="AB36" s="1488">
        <f>L36*AC36</f>
        <v>76.792613079019077</v>
      </c>
      <c r="AC36" s="1158">
        <f t="shared" ref="AC36:AC49" si="31">AC35</f>
        <v>0.52204359673024514</v>
      </c>
      <c r="AD36" s="1482">
        <v>2017</v>
      </c>
      <c r="AH36" s="143">
        <v>2023</v>
      </c>
      <c r="AI36" s="113"/>
      <c r="AJ36" s="166">
        <f t="shared" si="23"/>
        <v>1.3994274282172578E-2</v>
      </c>
      <c r="AK36" s="169"/>
      <c r="AL36" s="166">
        <f t="shared" si="21"/>
        <v>1.4E-2</v>
      </c>
      <c r="AM36" s="170"/>
      <c r="AN36" s="166">
        <f t="shared" si="29"/>
        <v>9.9999999999999959E-4</v>
      </c>
      <c r="AS36" s="176">
        <v>2023</v>
      </c>
      <c r="AT36" s="113"/>
      <c r="AU36" s="714">
        <v>148.75700000000001</v>
      </c>
      <c r="AV36" s="562"/>
      <c r="AW36" s="145" t="e">
        <f>#REF!*AX36</f>
        <v>#REF!</v>
      </c>
      <c r="AX36" s="568">
        <f t="shared" si="24"/>
        <v>0.53600000000000003</v>
      </c>
      <c r="AY36" s="13"/>
      <c r="AZ36" s="559">
        <f t="shared" si="25"/>
        <v>53.6</v>
      </c>
      <c r="BC36" s="187">
        <f t="shared" si="26"/>
        <v>148.75700000000001</v>
      </c>
      <c r="BD36" s="545">
        <f t="shared" si="7"/>
        <v>0.53600000000000003</v>
      </c>
      <c r="BE36" s="176">
        <v>2023</v>
      </c>
    </row>
    <row r="37" spans="1:86" ht="18">
      <c r="A37" s="160" t="s">
        <v>870</v>
      </c>
      <c r="B37" s="162" t="s">
        <v>871</v>
      </c>
      <c r="C37" s="162"/>
      <c r="D37" s="162"/>
      <c r="E37" s="162"/>
      <c r="F37" s="162"/>
      <c r="H37" s="274">
        <v>28</v>
      </c>
      <c r="I37" s="1473">
        <v>2018</v>
      </c>
      <c r="J37" s="1469"/>
      <c r="K37" s="1485">
        <f t="shared" si="28"/>
        <v>145.17365978221639</v>
      </c>
      <c r="L37" s="1463">
        <f t="shared" ref="L37:L49" si="32">L36+0.3</f>
        <v>147.40000000000003</v>
      </c>
      <c r="N37" s="392">
        <f t="shared" si="27"/>
        <v>0</v>
      </c>
      <c r="P37" s="274"/>
      <c r="Q37" s="274"/>
      <c r="R37" s="182"/>
      <c r="S37" s="274"/>
      <c r="T37" s="378">
        <v>1.7800000000000001E-3</v>
      </c>
      <c r="U37" s="274"/>
      <c r="V37" s="274"/>
      <c r="W37" s="382">
        <v>1.4489675651081819E-2</v>
      </c>
      <c r="X37" s="274"/>
      <c r="Y37" s="274"/>
      <c r="Z37" s="382">
        <f t="shared" si="30"/>
        <v>1.4E-2</v>
      </c>
      <c r="AA37" s="88"/>
      <c r="AB37" s="1475">
        <f t="shared" ref="AB37:AB49" si="33">L37*AC37</f>
        <v>76.949226158038158</v>
      </c>
      <c r="AC37" s="1158">
        <f t="shared" si="31"/>
        <v>0.52204359673024514</v>
      </c>
      <c r="AD37" s="1482">
        <v>2018</v>
      </c>
      <c r="AH37" s="143">
        <v>2024</v>
      </c>
      <c r="AI37" s="113"/>
      <c r="AJ37" s="166">
        <f t="shared" si="23"/>
        <v>1.4008641939112882E-2</v>
      </c>
      <c r="AK37" s="169"/>
      <c r="AL37" s="166">
        <f t="shared" si="21"/>
        <v>1.4E-2</v>
      </c>
      <c r="AM37" s="170"/>
      <c r="AN37" s="166">
        <f t="shared" si="29"/>
        <v>9.9999999999999959E-4</v>
      </c>
      <c r="AS37" s="176">
        <v>2024</v>
      </c>
      <c r="AT37" s="113"/>
      <c r="AU37" s="714">
        <v>149.33370000000002</v>
      </c>
      <c r="AV37" s="562"/>
      <c r="AW37" s="145" t="e">
        <f>#REF!*AX37</f>
        <v>#REF!</v>
      </c>
      <c r="AX37" s="568">
        <f t="shared" si="24"/>
        <v>0.53600000000000003</v>
      </c>
      <c r="AY37" s="13"/>
      <c r="AZ37" s="559">
        <f t="shared" si="25"/>
        <v>53.6</v>
      </c>
      <c r="BC37" s="187">
        <f t="shared" si="26"/>
        <v>149.33370000000002</v>
      </c>
      <c r="BD37" s="545">
        <f t="shared" si="7"/>
        <v>0.53600000000000003</v>
      </c>
      <c r="BE37" s="176">
        <v>2024</v>
      </c>
    </row>
    <row r="38" spans="1:86" ht="18">
      <c r="A38" s="160" t="s">
        <v>870</v>
      </c>
      <c r="B38" s="162" t="s">
        <v>872</v>
      </c>
      <c r="C38" s="162"/>
      <c r="D38" s="162"/>
      <c r="E38" s="162"/>
      <c r="F38" s="162"/>
      <c r="H38" s="274">
        <v>29</v>
      </c>
      <c r="I38" s="1473">
        <v>2019</v>
      </c>
      <c r="J38" s="1469"/>
      <c r="K38" s="1485">
        <f t="shared" si="28"/>
        <v>145.54831323934812</v>
      </c>
      <c r="L38" s="1463">
        <f t="shared" si="32"/>
        <v>147.70000000000005</v>
      </c>
      <c r="N38" s="392">
        <f t="shared" si="27"/>
        <v>0</v>
      </c>
      <c r="P38" s="274"/>
      <c r="Q38" s="274"/>
      <c r="R38" s="182"/>
      <c r="S38" s="274"/>
      <c r="T38" s="378">
        <v>1.7900000000000001E-3</v>
      </c>
      <c r="U38" s="274"/>
      <c r="V38" s="274"/>
      <c r="W38" s="382">
        <v>1.4641037863802161E-2</v>
      </c>
      <c r="X38" s="274"/>
      <c r="Y38" s="274"/>
      <c r="Z38" s="382">
        <f t="shared" si="30"/>
        <v>1.4E-2</v>
      </c>
      <c r="AA38" s="88"/>
      <c r="AB38" s="1475">
        <f t="shared" si="33"/>
        <v>77.105839237057225</v>
      </c>
      <c r="AC38" s="1158">
        <f t="shared" si="31"/>
        <v>0.52204359673024514</v>
      </c>
      <c r="AD38" s="1482">
        <v>2019</v>
      </c>
      <c r="AH38" s="143">
        <v>2025</v>
      </c>
      <c r="AI38" s="113"/>
      <c r="AJ38" s="166">
        <f t="shared" si="23"/>
        <v>1.4020136064665125E-2</v>
      </c>
      <c r="AK38" s="169"/>
      <c r="AL38" s="166">
        <f t="shared" si="21"/>
        <v>1.4E-2</v>
      </c>
      <c r="AM38" s="170"/>
      <c r="AN38" s="166">
        <f t="shared" si="29"/>
        <v>9.9999999999999959E-4</v>
      </c>
      <c r="AS38" s="176">
        <v>2025</v>
      </c>
      <c r="AT38" s="113"/>
      <c r="AU38" s="714">
        <v>149.8879</v>
      </c>
      <c r="AV38" s="562"/>
      <c r="AW38" s="145" t="e">
        <f>#REF!*AX38</f>
        <v>#REF!</v>
      </c>
      <c r="AX38" s="568">
        <f t="shared" si="24"/>
        <v>0.53600000000000003</v>
      </c>
      <c r="AY38" s="13"/>
      <c r="AZ38" s="559">
        <f t="shared" si="25"/>
        <v>53.6</v>
      </c>
      <c r="BC38" s="187">
        <f t="shared" si="26"/>
        <v>149.8879</v>
      </c>
      <c r="BD38" s="545">
        <f t="shared" si="7"/>
        <v>0.53600000000000003</v>
      </c>
      <c r="BE38" s="176">
        <v>2025</v>
      </c>
    </row>
    <row r="39" spans="1:86" ht="18">
      <c r="A39" s="160" t="s">
        <v>873</v>
      </c>
      <c r="B39" s="162" t="s">
        <v>874</v>
      </c>
      <c r="C39" s="162"/>
      <c r="D39" s="162"/>
      <c r="E39" s="162"/>
      <c r="F39" s="162"/>
      <c r="H39" s="274">
        <v>30</v>
      </c>
      <c r="I39" s="1473">
        <v>2020</v>
      </c>
      <c r="J39" s="1469"/>
      <c r="K39" s="1485">
        <f t="shared" si="28"/>
        <v>145.93049449760025</v>
      </c>
      <c r="L39" s="1463">
        <f t="shared" si="32"/>
        <v>148.00000000000006</v>
      </c>
      <c r="N39" s="392">
        <f t="shared" si="27"/>
        <v>0</v>
      </c>
      <c r="P39" s="274"/>
      <c r="Q39" s="274"/>
      <c r="R39" s="182"/>
      <c r="S39" s="274"/>
      <c r="T39" s="378">
        <v>1.8000000000000002E-3</v>
      </c>
      <c r="U39" s="274"/>
      <c r="V39" s="274"/>
      <c r="W39" s="382">
        <v>1.477152675267112E-2</v>
      </c>
      <c r="X39" s="274"/>
      <c r="Y39" s="274"/>
      <c r="Z39" s="382">
        <f t="shared" si="30"/>
        <v>1.4E-2</v>
      </c>
      <c r="AA39" s="88"/>
      <c r="AB39" s="1475">
        <f t="shared" si="33"/>
        <v>77.262452316076306</v>
      </c>
      <c r="AC39" s="1158">
        <f t="shared" si="31"/>
        <v>0.52204359673024514</v>
      </c>
      <c r="AD39" s="1482">
        <v>2020</v>
      </c>
      <c r="AH39" s="143">
        <v>2026</v>
      </c>
      <c r="AI39" s="113"/>
      <c r="AJ39" s="166">
        <f t="shared" si="23"/>
        <v>1.4029331365106919E-2</v>
      </c>
      <c r="AK39" s="169"/>
      <c r="AL39" s="166">
        <f t="shared" si="21"/>
        <v>1.4E-2</v>
      </c>
      <c r="AM39" s="170"/>
      <c r="AN39" s="166">
        <f t="shared" si="29"/>
        <v>9.9999999999999959E-4</v>
      </c>
      <c r="AS39" s="176">
        <v>2026</v>
      </c>
      <c r="AT39" s="113"/>
      <c r="AU39" s="714">
        <v>150.4239</v>
      </c>
      <c r="AV39" s="562"/>
      <c r="AW39" s="145" t="e">
        <f>#REF!*AX39</f>
        <v>#REF!</v>
      </c>
      <c r="AX39" s="568">
        <f t="shared" si="24"/>
        <v>0.53600000000000003</v>
      </c>
      <c r="AY39" s="13"/>
      <c r="AZ39" s="559">
        <f t="shared" si="25"/>
        <v>53.6</v>
      </c>
      <c r="BC39" s="187">
        <f t="shared" si="26"/>
        <v>150.4239</v>
      </c>
      <c r="BD39" s="545">
        <f t="shared" si="7"/>
        <v>0.53600000000000003</v>
      </c>
      <c r="BE39" s="176">
        <v>2026</v>
      </c>
    </row>
    <row r="40" spans="1:86" ht="18">
      <c r="A40" s="160" t="s">
        <v>875</v>
      </c>
      <c r="B40" s="162" t="s">
        <v>876</v>
      </c>
      <c r="C40" s="162"/>
      <c r="D40" s="162"/>
      <c r="E40" s="162"/>
      <c r="F40" s="162"/>
      <c r="H40" s="274">
        <v>31</v>
      </c>
      <c r="I40" s="1473">
        <v>2021</v>
      </c>
      <c r="J40" s="1469"/>
      <c r="K40" s="1485">
        <f t="shared" si="28"/>
        <v>146.31923367037399</v>
      </c>
      <c r="L40" s="1463">
        <f t="shared" si="32"/>
        <v>148.30000000000007</v>
      </c>
      <c r="N40" s="392">
        <f t="shared" si="27"/>
        <v>0</v>
      </c>
      <c r="P40" s="274"/>
      <c r="Q40" s="274"/>
      <c r="R40" s="182"/>
      <c r="S40" s="274"/>
      <c r="T40" s="378">
        <v>1.8100000000000002E-3</v>
      </c>
      <c r="U40" s="274"/>
      <c r="V40" s="274"/>
      <c r="W40" s="382">
        <v>1.4887297937934474E-2</v>
      </c>
      <c r="X40" s="274"/>
      <c r="Y40" s="274"/>
      <c r="Z40" s="382">
        <f t="shared" si="30"/>
        <v>1.4E-2</v>
      </c>
      <c r="AA40" s="88"/>
      <c r="AB40" s="1475">
        <f t="shared" si="33"/>
        <v>77.419065395095387</v>
      </c>
      <c r="AC40" s="1158">
        <f t="shared" si="31"/>
        <v>0.52204359673024514</v>
      </c>
      <c r="AD40" s="1482">
        <v>2021</v>
      </c>
      <c r="AH40" s="143">
        <v>2027</v>
      </c>
      <c r="AI40" s="113"/>
      <c r="AJ40" s="166">
        <f t="shared" si="23"/>
        <v>1.4036687605460355E-2</v>
      </c>
      <c r="AK40" s="169"/>
      <c r="AL40" s="166">
        <f t="shared" si="21"/>
        <v>1.4E-2</v>
      </c>
      <c r="AM40" s="170"/>
      <c r="AN40" s="166">
        <f t="shared" si="29"/>
        <v>9.9999999999999959E-4</v>
      </c>
      <c r="AS40" s="176">
        <v>2027</v>
      </c>
      <c r="AT40" s="113"/>
      <c r="AU40" s="714">
        <v>150.94450000000001</v>
      </c>
      <c r="AV40" s="562"/>
      <c r="AW40" s="145" t="e">
        <f>#REF!*AX40</f>
        <v>#REF!</v>
      </c>
      <c r="AX40" s="568">
        <f t="shared" si="24"/>
        <v>0.53600000000000003</v>
      </c>
      <c r="AY40" s="13"/>
      <c r="AZ40" s="559">
        <f t="shared" si="25"/>
        <v>53.6</v>
      </c>
      <c r="BC40" s="187">
        <f t="shared" si="26"/>
        <v>150.94450000000001</v>
      </c>
      <c r="BD40" s="545">
        <f t="shared" si="7"/>
        <v>0.53600000000000003</v>
      </c>
      <c r="BE40" s="176">
        <v>2027</v>
      </c>
    </row>
    <row r="41" spans="1:86" ht="18">
      <c r="B41" s="160"/>
      <c r="C41" s="162"/>
      <c r="D41" s="162"/>
      <c r="E41" s="162"/>
      <c r="F41" s="162"/>
      <c r="G41" s="162"/>
      <c r="H41" s="274">
        <v>32</v>
      </c>
      <c r="I41" s="1473">
        <v>2022</v>
      </c>
      <c r="J41" s="1469"/>
      <c r="K41" s="1485">
        <f t="shared" si="28"/>
        <v>146.71375637262125</v>
      </c>
      <c r="L41" s="1463">
        <f t="shared" si="32"/>
        <v>148.60000000000008</v>
      </c>
      <c r="N41" s="392">
        <f t="shared" si="27"/>
        <v>0</v>
      </c>
      <c r="P41" s="274"/>
      <c r="Q41" s="274"/>
      <c r="R41" s="182"/>
      <c r="S41" s="274"/>
      <c r="T41" s="378">
        <v>1.8200000000000002E-3</v>
      </c>
      <c r="U41" s="274"/>
      <c r="V41" s="274"/>
      <c r="W41" s="382">
        <v>1.4993307784843224E-2</v>
      </c>
      <c r="X41" s="274"/>
      <c r="Y41" s="274"/>
      <c r="Z41" s="382">
        <f t="shared" si="30"/>
        <v>1.4E-2</v>
      </c>
      <c r="AA41" s="88"/>
      <c r="AB41" s="1475">
        <f t="shared" si="33"/>
        <v>77.575678474114468</v>
      </c>
      <c r="AC41" s="1158">
        <f t="shared" si="31"/>
        <v>0.52204359673024514</v>
      </c>
      <c r="AD41" s="1482">
        <v>2022</v>
      </c>
      <c r="AH41" s="143">
        <v>2028</v>
      </c>
      <c r="AI41" s="113"/>
      <c r="AJ41" s="166">
        <f t="shared" si="23"/>
        <v>1.4042572597743103E-2</v>
      </c>
      <c r="AK41" s="169"/>
      <c r="AL41" s="166">
        <f t="shared" si="21"/>
        <v>1.4E-2</v>
      </c>
      <c r="AM41" s="170"/>
      <c r="AN41" s="166">
        <f t="shared" si="29"/>
        <v>9.9999999999999959E-4</v>
      </c>
      <c r="AS41" s="176">
        <v>2028</v>
      </c>
      <c r="AT41" s="113"/>
      <c r="AU41" s="714">
        <v>151.45949999999999</v>
      </c>
      <c r="AV41" s="562"/>
      <c r="AW41" s="145" t="e">
        <f>#REF!*AX41</f>
        <v>#REF!</v>
      </c>
      <c r="AX41" s="568">
        <f t="shared" si="24"/>
        <v>0.53600000000000003</v>
      </c>
      <c r="AY41" s="13"/>
      <c r="AZ41" s="559">
        <f t="shared" si="25"/>
        <v>53.6</v>
      </c>
      <c r="BC41" s="187">
        <f t="shared" si="26"/>
        <v>151.45949999999999</v>
      </c>
      <c r="BD41" s="545">
        <f t="shared" si="7"/>
        <v>0.53600000000000003</v>
      </c>
      <c r="BE41" s="176">
        <v>2028</v>
      </c>
    </row>
    <row r="42" spans="1:86" ht="18">
      <c r="B42" s="158"/>
      <c r="C42" s="159"/>
      <c r="D42" s="159"/>
      <c r="E42" s="159"/>
      <c r="F42" s="159"/>
      <c r="G42" s="159"/>
      <c r="H42" s="274">
        <v>33</v>
      </c>
      <c r="I42" s="1473">
        <v>2023</v>
      </c>
      <c r="J42" s="1469"/>
      <c r="K42" s="1485">
        <f t="shared" si="28"/>
        <v>147.1134448859481</v>
      </c>
      <c r="L42" s="1463">
        <f t="shared" si="32"/>
        <v>148.90000000000009</v>
      </c>
      <c r="N42" s="392">
        <f t="shared" si="27"/>
        <v>0</v>
      </c>
      <c r="P42" s="274"/>
      <c r="Q42" s="274"/>
      <c r="R42" s="182"/>
      <c r="S42" s="274"/>
      <c r="T42" s="378">
        <v>1.8300000000000002E-3</v>
      </c>
      <c r="U42" s="274"/>
      <c r="V42" s="274"/>
      <c r="W42" s="382">
        <v>1.5090643444961362E-2</v>
      </c>
      <c r="X42" s="274"/>
      <c r="Y42" s="274"/>
      <c r="Z42" s="382">
        <f t="shared" si="30"/>
        <v>1.4E-2</v>
      </c>
      <c r="AA42" s="88"/>
      <c r="AB42" s="1475">
        <f t="shared" si="33"/>
        <v>77.73229155313355</v>
      </c>
      <c r="AC42" s="1158">
        <f t="shared" si="31"/>
        <v>0.52204359673024514</v>
      </c>
      <c r="AD42" s="1482">
        <v>2023</v>
      </c>
      <c r="AH42" s="143">
        <v>2029</v>
      </c>
      <c r="AI42" s="113"/>
      <c r="AJ42" s="166">
        <f t="shared" si="23"/>
        <v>1.4047280591569301E-2</v>
      </c>
      <c r="AK42" s="169"/>
      <c r="AL42" s="166">
        <f t="shared" si="21"/>
        <v>1.4E-2</v>
      </c>
      <c r="AM42" s="170"/>
      <c r="AN42" s="166">
        <f t="shared" si="29"/>
        <v>9.9999999999999959E-4</v>
      </c>
      <c r="AS42" s="176">
        <v>2029</v>
      </c>
      <c r="AT42" s="113"/>
      <c r="AU42" s="714">
        <v>151.96520000000001</v>
      </c>
      <c r="AV42" s="562"/>
      <c r="AW42" s="145" t="e">
        <f>#REF!*AX42</f>
        <v>#REF!</v>
      </c>
      <c r="AX42" s="568">
        <f t="shared" si="24"/>
        <v>0.53600000000000003</v>
      </c>
      <c r="AY42" s="13"/>
      <c r="AZ42" s="559">
        <f t="shared" si="25"/>
        <v>53.6</v>
      </c>
      <c r="BC42" s="187">
        <f t="shared" si="26"/>
        <v>151.96520000000001</v>
      </c>
      <c r="BD42" s="545">
        <f t="shared" si="7"/>
        <v>0.53600000000000003</v>
      </c>
      <c r="BE42" s="176">
        <v>2029</v>
      </c>
    </row>
    <row r="43" spans="1:86" ht="18">
      <c r="H43" s="274">
        <v>34</v>
      </c>
      <c r="I43" s="1473">
        <v>2024</v>
      </c>
      <c r="J43" s="1469"/>
      <c r="K43" s="1485">
        <f t="shared" si="28"/>
        <v>147.51780707036897</v>
      </c>
      <c r="L43" s="1463">
        <f t="shared" si="32"/>
        <v>149.2000000000001</v>
      </c>
      <c r="N43" s="392">
        <f t="shared" si="27"/>
        <v>0</v>
      </c>
      <c r="P43" s="274"/>
      <c r="Q43" s="274"/>
      <c r="R43" s="182"/>
      <c r="S43" s="274"/>
      <c r="T43" s="378">
        <v>1.8400000000000003E-3</v>
      </c>
      <c r="U43" s="274"/>
      <c r="V43" s="274"/>
      <c r="W43" s="382">
        <v>1.5179402090515352E-2</v>
      </c>
      <c r="X43" s="274"/>
      <c r="Y43" s="274"/>
      <c r="Z43" s="382">
        <f t="shared" si="30"/>
        <v>1.4E-2</v>
      </c>
      <c r="AA43" s="88"/>
      <c r="AB43" s="1475">
        <f t="shared" si="33"/>
        <v>77.888904632152631</v>
      </c>
      <c r="AC43" s="1158">
        <f t="shared" si="31"/>
        <v>0.52204359673024514</v>
      </c>
      <c r="AD43" s="1482">
        <v>2024</v>
      </c>
      <c r="AH43" s="144">
        <v>2030</v>
      </c>
      <c r="AI43" s="66"/>
      <c r="AJ43" s="166">
        <f t="shared" si="23"/>
        <v>1.4051046986630259E-2</v>
      </c>
      <c r="AK43" s="148"/>
      <c r="AL43" s="171">
        <f t="shared" si="21"/>
        <v>1.4E-2</v>
      </c>
      <c r="AM43" s="149"/>
      <c r="AN43" s="171">
        <f t="shared" si="29"/>
        <v>9.9999999999999959E-4</v>
      </c>
      <c r="AS43" s="177">
        <v>2030</v>
      </c>
      <c r="AT43" s="66"/>
      <c r="AU43" s="715">
        <v>152.4659</v>
      </c>
      <c r="AV43" s="563"/>
      <c r="AW43" s="147" t="e">
        <f>#REF!*AX43</f>
        <v>#REF!</v>
      </c>
      <c r="AX43" s="569">
        <f t="shared" si="24"/>
        <v>0.53600000000000003</v>
      </c>
      <c r="AY43" s="25"/>
      <c r="AZ43" s="559">
        <f t="shared" si="25"/>
        <v>53.6</v>
      </c>
      <c r="BC43" s="187">
        <f t="shared" si="26"/>
        <v>152.4659</v>
      </c>
      <c r="BD43" s="565">
        <f t="shared" si="7"/>
        <v>0.53600000000000003</v>
      </c>
      <c r="BE43" s="177">
        <v>2030</v>
      </c>
    </row>
    <row r="44" spans="1:86" ht="15.6">
      <c r="H44" s="274">
        <v>35</v>
      </c>
      <c r="I44" s="1473">
        <v>2025</v>
      </c>
      <c r="J44" s="1469"/>
      <c r="K44" s="1485">
        <f t="shared" si="28"/>
        <v>147.92645146791489</v>
      </c>
      <c r="L44" s="1463">
        <f t="shared" si="32"/>
        <v>149.50000000000011</v>
      </c>
      <c r="N44" s="392">
        <f t="shared" si="27"/>
        <v>0</v>
      </c>
      <c r="P44" s="93"/>
      <c r="Q44" s="93"/>
      <c r="R44" s="383"/>
      <c r="S44" s="93"/>
      <c r="T44" s="384">
        <v>1.8500000000000003E-3</v>
      </c>
      <c r="U44" s="93"/>
      <c r="V44" s="93"/>
      <c r="W44" s="385">
        <v>1.525987017511593E-2</v>
      </c>
      <c r="X44" s="93"/>
      <c r="Y44" s="93"/>
      <c r="Z44" s="382">
        <f t="shared" si="30"/>
        <v>1.4E-2</v>
      </c>
      <c r="AA44" s="88"/>
      <c r="AB44" s="1475">
        <f t="shared" si="33"/>
        <v>78.045517711171712</v>
      </c>
      <c r="AC44" s="1158">
        <f t="shared" si="31"/>
        <v>0.52204359673024514</v>
      </c>
      <c r="AD44" s="1482">
        <v>2025</v>
      </c>
    </row>
    <row r="45" spans="1:86" ht="15.6">
      <c r="H45" s="274">
        <v>36</v>
      </c>
      <c r="I45" s="1473">
        <v>2026</v>
      </c>
      <c r="J45" s="1469"/>
      <c r="K45" s="1485">
        <f t="shared" si="28"/>
        <v>148.3390673587233</v>
      </c>
      <c r="L45" s="1463">
        <f t="shared" si="32"/>
        <v>149.80000000000013</v>
      </c>
      <c r="N45" s="392">
        <f t="shared" si="27"/>
        <v>0</v>
      </c>
      <c r="P45" s="274"/>
      <c r="Q45" s="274"/>
      <c r="R45" s="182"/>
      <c r="S45" s="274"/>
      <c r="T45" s="378">
        <v>1.8600000000000003E-3</v>
      </c>
      <c r="U45" s="274"/>
      <c r="V45" s="274"/>
      <c r="W45" s="382">
        <v>1.5342381149957767E-2</v>
      </c>
      <c r="X45" s="274"/>
      <c r="Y45" s="274"/>
      <c r="Z45" s="382">
        <f t="shared" si="30"/>
        <v>1.4E-2</v>
      </c>
      <c r="AA45" s="88"/>
      <c r="AB45" s="1475">
        <f t="shared" si="33"/>
        <v>78.202130790190793</v>
      </c>
      <c r="AC45" s="1158">
        <f t="shared" si="31"/>
        <v>0.52204359673024514</v>
      </c>
      <c r="AD45" s="1482">
        <v>2026</v>
      </c>
    </row>
    <row r="46" spans="1:86" ht="15.6">
      <c r="H46" s="274">
        <v>37</v>
      </c>
      <c r="I46" s="1473">
        <v>2027</v>
      </c>
      <c r="J46" s="1469"/>
      <c r="K46" s="1485">
        <f t="shared" si="28"/>
        <v>148.75540878048454</v>
      </c>
      <c r="L46" s="1463">
        <f t="shared" si="32"/>
        <v>150.10000000000014</v>
      </c>
      <c r="N46" s="392">
        <f t="shared" si="27"/>
        <v>0</v>
      </c>
      <c r="P46" s="274"/>
      <c r="Q46" s="274"/>
      <c r="R46" s="182"/>
      <c r="S46" s="274"/>
      <c r="T46" s="378">
        <v>1.8700000000000004E-3</v>
      </c>
      <c r="U46" s="274"/>
      <c r="V46" s="274"/>
      <c r="W46" s="382">
        <v>1.5418495069595986E-2</v>
      </c>
      <c r="X46" s="274"/>
      <c r="Y46" s="274"/>
      <c r="Z46" s="382">
        <f t="shared" si="30"/>
        <v>1.4E-2</v>
      </c>
      <c r="AA46" s="88"/>
      <c r="AB46" s="1475">
        <f t="shared" si="33"/>
        <v>78.35874386920986</v>
      </c>
      <c r="AC46" s="1158">
        <f t="shared" si="31"/>
        <v>0.52204359673024514</v>
      </c>
      <c r="AD46" s="1482">
        <v>2027</v>
      </c>
    </row>
    <row r="47" spans="1:86" ht="15.6">
      <c r="H47" s="274">
        <v>38</v>
      </c>
      <c r="I47" s="1473">
        <v>2028</v>
      </c>
      <c r="J47" s="1469"/>
      <c r="K47" s="1485">
        <f t="shared" si="28"/>
        <v>149.17528172107441</v>
      </c>
      <c r="L47" s="1463">
        <f t="shared" si="32"/>
        <v>150.40000000000015</v>
      </c>
      <c r="N47" s="392">
        <f t="shared" si="27"/>
        <v>0</v>
      </c>
      <c r="P47" s="274"/>
      <c r="Q47" s="274"/>
      <c r="R47" s="182"/>
      <c r="S47" s="274"/>
      <c r="T47" s="378">
        <v>1.8800000000000004E-3</v>
      </c>
      <c r="U47" s="274"/>
      <c r="V47" s="274"/>
      <c r="W47" s="382">
        <v>1.5489321353817521E-2</v>
      </c>
      <c r="X47" s="274"/>
      <c r="Y47" s="274"/>
      <c r="Z47" s="382">
        <f t="shared" si="30"/>
        <v>1.4E-2</v>
      </c>
      <c r="AA47" s="88"/>
      <c r="AB47" s="1475">
        <f t="shared" si="33"/>
        <v>78.515356948228941</v>
      </c>
      <c r="AC47" s="1158">
        <f t="shared" si="31"/>
        <v>0.52204359673024514</v>
      </c>
      <c r="AD47" s="1482">
        <v>2028</v>
      </c>
    </row>
    <row r="48" spans="1:86" ht="15.6">
      <c r="H48" s="274">
        <v>39</v>
      </c>
      <c r="I48" s="1473">
        <v>2029</v>
      </c>
      <c r="J48" s="1469"/>
      <c r="K48" s="1485">
        <f t="shared" si="28"/>
        <v>149.59853385264347</v>
      </c>
      <c r="L48" s="1463">
        <f t="shared" si="32"/>
        <v>150.70000000000016</v>
      </c>
      <c r="N48" s="392">
        <f t="shared" si="27"/>
        <v>0</v>
      </c>
      <c r="P48" s="274"/>
      <c r="Q48" s="274"/>
      <c r="R48" s="182"/>
      <c r="S48" s="274"/>
      <c r="T48" s="378">
        <v>1.8900000000000004E-3</v>
      </c>
      <c r="U48" s="274"/>
      <c r="V48" s="274"/>
      <c r="W48" s="382">
        <v>1.5555456496347427E-2</v>
      </c>
      <c r="X48" s="274"/>
      <c r="Y48" s="274"/>
      <c r="Z48" s="382">
        <f t="shared" si="30"/>
        <v>1.4E-2</v>
      </c>
      <c r="AA48" s="88"/>
      <c r="AB48" s="1475">
        <f t="shared" si="33"/>
        <v>78.671970027248022</v>
      </c>
      <c r="AC48" s="1158">
        <f t="shared" si="31"/>
        <v>0.52204359673024514</v>
      </c>
      <c r="AD48" s="1482">
        <v>2029</v>
      </c>
    </row>
    <row r="49" spans="3:33" ht="16.2" thickBot="1">
      <c r="H49" s="274">
        <v>40</v>
      </c>
      <c r="I49" s="1474">
        <v>2030</v>
      </c>
      <c r="J49" s="1470"/>
      <c r="K49" s="1486">
        <f t="shared" si="28"/>
        <v>150.02504630178834</v>
      </c>
      <c r="L49" s="1463">
        <f t="shared" si="32"/>
        <v>151.00000000000017</v>
      </c>
      <c r="N49" s="392">
        <f t="shared" si="27"/>
        <v>0</v>
      </c>
      <c r="P49" s="387"/>
      <c r="Q49" s="387"/>
      <c r="R49" s="386"/>
      <c r="S49" s="387"/>
      <c r="T49" s="388">
        <v>1.9000000000000004E-3</v>
      </c>
      <c r="U49" s="387"/>
      <c r="V49" s="387"/>
      <c r="W49" s="389">
        <v>1.5617431569865569E-2</v>
      </c>
      <c r="X49" s="387"/>
      <c r="Y49" s="387"/>
      <c r="Z49" s="382">
        <f t="shared" si="30"/>
        <v>1.4E-2</v>
      </c>
      <c r="AA49" s="185"/>
      <c r="AB49" s="1476">
        <f t="shared" si="33"/>
        <v>78.828583106267104</v>
      </c>
      <c r="AC49" s="1489">
        <f t="shared" si="31"/>
        <v>0.52204359673024514</v>
      </c>
      <c r="AD49" s="1483">
        <v>2030</v>
      </c>
    </row>
    <row r="50" spans="3:33" ht="15.6">
      <c r="H50" s="70"/>
      <c r="I50" s="70"/>
      <c r="J50" s="71"/>
      <c r="K50" s="390"/>
      <c r="L50" s="271"/>
      <c r="M50" s="70"/>
      <c r="N50" s="70"/>
      <c r="O50" s="70"/>
      <c r="P50" s="88"/>
      <c r="Q50" s="70"/>
      <c r="R50" s="70"/>
      <c r="S50" s="183"/>
      <c r="T50" s="70"/>
      <c r="U50" s="70"/>
      <c r="V50" s="183"/>
      <c r="W50" s="88"/>
      <c r="X50" s="33"/>
      <c r="Y50" s="75"/>
      <c r="Z50" s="75"/>
      <c r="AA50" s="88"/>
      <c r="AB50" s="33"/>
      <c r="AC50" s="71"/>
      <c r="AD50" s="70"/>
      <c r="AE50" s="70"/>
    </row>
    <row r="51" spans="3:33">
      <c r="H51" s="70"/>
      <c r="I51" s="70"/>
      <c r="J51" s="71"/>
      <c r="K51" s="75"/>
      <c r="L51" s="70"/>
      <c r="M51" s="70"/>
      <c r="N51" s="70"/>
      <c r="O51" s="70"/>
      <c r="P51" s="88"/>
      <c r="Q51" s="70"/>
      <c r="R51" s="70"/>
      <c r="S51" s="183"/>
      <c r="T51" s="70"/>
      <c r="U51" s="70"/>
      <c r="V51" s="183"/>
      <c r="W51" s="88"/>
      <c r="X51" s="33"/>
      <c r="Y51" s="75"/>
      <c r="Z51" s="75"/>
      <c r="AA51" s="88"/>
      <c r="AB51" s="33"/>
      <c r="AC51" s="71"/>
      <c r="AD51" s="70"/>
      <c r="AE51" s="70"/>
    </row>
    <row r="52" spans="3:33">
      <c r="H52" s="70"/>
      <c r="AC52" s="71"/>
      <c r="AD52" s="70"/>
      <c r="AE52" s="70"/>
    </row>
    <row r="53" spans="3:33">
      <c r="H53" s="70"/>
      <c r="AC53" s="71"/>
      <c r="AD53" s="70"/>
      <c r="AE53" s="70"/>
    </row>
    <row r="56" spans="3:33">
      <c r="H56" s="70"/>
      <c r="AC56" s="71"/>
      <c r="AD56" s="70"/>
      <c r="AE56" s="70"/>
    </row>
    <row r="57" spans="3:33" ht="22.8">
      <c r="C57" s="2527"/>
      <c r="D57" s="2527" t="s">
        <v>2034</v>
      </c>
      <c r="E57" s="2527"/>
      <c r="F57" s="2528"/>
      <c r="G57" s="2527"/>
      <c r="H57" s="2527"/>
      <c r="I57" s="2527"/>
      <c r="J57" s="2527"/>
      <c r="K57" s="2527"/>
      <c r="L57" s="2527"/>
      <c r="M57" s="2527"/>
      <c r="N57" s="2527"/>
      <c r="O57" s="2527"/>
      <c r="P57" s="2527"/>
      <c r="Q57" s="2527"/>
      <c r="R57" s="2527"/>
      <c r="S57" s="2527"/>
      <c r="T57" s="2527"/>
      <c r="U57" s="2527"/>
      <c r="V57" s="2527"/>
      <c r="W57" s="2527"/>
      <c r="X57" s="2527"/>
      <c r="Y57" s="2527"/>
      <c r="Z57" s="2527"/>
      <c r="AA57" s="2529"/>
      <c r="AB57" s="2528"/>
      <c r="AC57" s="2528"/>
      <c r="AD57" s="2527"/>
      <c r="AE57" s="2527"/>
      <c r="AF57" s="2527"/>
      <c r="AG57" s="669"/>
    </row>
    <row r="58" spans="3:33" ht="22.8">
      <c r="C58" s="2527"/>
      <c r="D58" s="2527" t="s">
        <v>2035</v>
      </c>
      <c r="E58" s="2527"/>
      <c r="F58" s="2528"/>
      <c r="G58" s="2527"/>
      <c r="H58" s="2527"/>
      <c r="I58" s="2527"/>
      <c r="J58" s="2527"/>
      <c r="K58" s="2527"/>
      <c r="L58" s="2527"/>
      <c r="M58" s="2527"/>
      <c r="N58" s="2527"/>
      <c r="O58" s="2527"/>
      <c r="P58" s="2527"/>
      <c r="Q58" s="2527"/>
      <c r="R58" s="2527"/>
      <c r="S58" s="2527"/>
      <c r="T58" s="2527"/>
      <c r="U58" s="2527"/>
      <c r="V58" s="2527"/>
      <c r="W58" s="2527"/>
      <c r="X58" s="2527"/>
      <c r="Y58" s="2527"/>
      <c r="Z58" s="2527"/>
      <c r="AA58" s="2529"/>
      <c r="AB58" s="2528"/>
      <c r="AC58" s="2528"/>
      <c r="AD58" s="2527"/>
      <c r="AE58" s="2527"/>
      <c r="AF58" s="2527"/>
      <c r="AG58" s="669"/>
    </row>
    <row r="59" spans="3:33" ht="15" thickBot="1">
      <c r="H59" s="70"/>
      <c r="AC59" s="71"/>
      <c r="AD59" s="70"/>
      <c r="AE59" s="70"/>
    </row>
    <row r="60" spans="3:33" ht="21.6" thickBot="1">
      <c r="G60" s="719" t="s">
        <v>368</v>
      </c>
      <c r="H60" s="2525" t="s">
        <v>170</v>
      </c>
      <c r="I60" s="393" t="s">
        <v>2031</v>
      </c>
      <c r="J60" s="2526" t="s">
        <v>2030</v>
      </c>
      <c r="K60" s="393" t="s">
        <v>2031</v>
      </c>
      <c r="L60" s="2526" t="s">
        <v>2032</v>
      </c>
      <c r="M60" s="2526" t="s">
        <v>2033</v>
      </c>
      <c r="AB60" s="2537" t="s">
        <v>2037</v>
      </c>
      <c r="AC60" s="2537" t="s">
        <v>2036</v>
      </c>
      <c r="AD60" s="70"/>
      <c r="AE60" s="70"/>
      <c r="AF60" s="70"/>
    </row>
    <row r="61" spans="3:33" ht="25.8" thickBot="1">
      <c r="G61" s="720">
        <v>43937</v>
      </c>
      <c r="H61" s="2518" t="s">
        <v>886</v>
      </c>
      <c r="I61" s="394" t="s">
        <v>886</v>
      </c>
      <c r="J61" s="394" t="s">
        <v>886</v>
      </c>
      <c r="K61" s="394" t="s">
        <v>886</v>
      </c>
      <c r="L61" s="394" t="s">
        <v>886</v>
      </c>
      <c r="M61" s="394" t="s">
        <v>886</v>
      </c>
      <c r="AB61" s="2536" t="s">
        <v>1550</v>
      </c>
      <c r="AC61" s="2536" t="s">
        <v>1550</v>
      </c>
      <c r="AD61" s="2522"/>
      <c r="AE61" s="2523"/>
      <c r="AF61" s="70"/>
    </row>
    <row r="62" spans="3:33" ht="17.399999999999999">
      <c r="E62" s="2029">
        <v>0.47700606877950091</v>
      </c>
      <c r="G62" s="395">
        <v>1995</v>
      </c>
      <c r="H62" s="96">
        <v>148.459937</v>
      </c>
      <c r="I62" s="2516"/>
      <c r="J62" s="1298">
        <v>70.739999999999995</v>
      </c>
      <c r="K62" s="1298"/>
      <c r="L62" s="1298">
        <v>64.055000000000007</v>
      </c>
      <c r="M62" s="1298">
        <f>J62-L62</f>
        <v>6.6849999999999881</v>
      </c>
      <c r="AB62" s="2530">
        <f t="shared" ref="AB62:AB86" si="34">H62</f>
        <v>148.459937</v>
      </c>
      <c r="AC62" s="2531">
        <f>J62+TRANSPOSE(СЧЁТ!O8:BC8)</f>
        <v>146.434</v>
      </c>
      <c r="AD62" s="2522"/>
      <c r="AE62" s="2523"/>
      <c r="AF62" s="70"/>
    </row>
    <row r="63" spans="3:33" ht="17.399999999999999">
      <c r="E63" s="2029">
        <v>0.46972353337828721</v>
      </c>
      <c r="G63" s="395">
        <v>1996</v>
      </c>
      <c r="H63" s="96">
        <v>148.29163800000001</v>
      </c>
      <c r="I63" s="2517"/>
      <c r="J63" s="558">
        <v>69.66</v>
      </c>
      <c r="K63" s="558"/>
      <c r="L63" s="558">
        <v>62.927999999999997</v>
      </c>
      <c r="M63" s="558">
        <f>J63-L63</f>
        <v>6.7319999999999993</v>
      </c>
      <c r="AB63" s="2532">
        <f t="shared" si="34"/>
        <v>148.29163800000001</v>
      </c>
      <c r="AC63" s="2533">
        <f t="shared" ref="AC63:AC86" si="35">J63</f>
        <v>69.66</v>
      </c>
      <c r="AD63" s="2522"/>
      <c r="AE63" s="2523"/>
      <c r="AF63" s="70"/>
    </row>
    <row r="64" spans="3:33" ht="17.399999999999999">
      <c r="E64" s="2029">
        <v>0.4599932432432432</v>
      </c>
      <c r="G64" s="395">
        <v>1997</v>
      </c>
      <c r="H64" s="96">
        <v>148.02861300000001</v>
      </c>
      <c r="I64" s="2517"/>
      <c r="J64" s="558">
        <v>68.078999999999994</v>
      </c>
      <c r="K64" s="558"/>
      <c r="L64" s="558">
        <v>60.021000000000001</v>
      </c>
      <c r="M64" s="558">
        <f t="shared" ref="M64:M86" si="36">J64-L64</f>
        <v>8.0579999999999927</v>
      </c>
      <c r="AB64" s="2532">
        <f t="shared" si="34"/>
        <v>148.02861300000001</v>
      </c>
      <c r="AC64" s="2533">
        <f t="shared" si="35"/>
        <v>68.078999999999994</v>
      </c>
      <c r="AD64" s="2522"/>
      <c r="AE64" s="2523"/>
      <c r="AF64" s="70"/>
    </row>
    <row r="65" spans="2:32" ht="17.399999999999999">
      <c r="E65" s="2029">
        <v>0.45560893098782135</v>
      </c>
      <c r="G65" s="395">
        <v>1998</v>
      </c>
      <c r="H65" s="96">
        <v>147.802133</v>
      </c>
      <c r="I65" s="2517"/>
      <c r="J65" s="558">
        <v>67.338999999999999</v>
      </c>
      <c r="K65" s="558"/>
      <c r="L65" s="558">
        <v>58.436999999999998</v>
      </c>
      <c r="M65" s="558">
        <f t="shared" si="36"/>
        <v>8.902000000000001</v>
      </c>
      <c r="AB65" s="2532">
        <f t="shared" si="34"/>
        <v>147.802133</v>
      </c>
      <c r="AC65" s="2533">
        <f t="shared" si="35"/>
        <v>67.338999999999999</v>
      </c>
      <c r="AD65" s="2522"/>
      <c r="AE65" s="2523"/>
      <c r="AF65" s="70"/>
    </row>
    <row r="66" spans="2:32" ht="17.399999999999999">
      <c r="E66" s="2029">
        <v>0.48932203389830509</v>
      </c>
      <c r="G66" s="395">
        <v>1999</v>
      </c>
      <c r="H66" s="96">
        <v>147.53942599999999</v>
      </c>
      <c r="I66" s="2517"/>
      <c r="J66" s="558">
        <v>72.174999999999997</v>
      </c>
      <c r="K66" s="558"/>
      <c r="L66" s="558">
        <v>63.082000000000001</v>
      </c>
      <c r="M66" s="558">
        <f t="shared" si="36"/>
        <v>9.0929999999999964</v>
      </c>
      <c r="AB66" s="2532">
        <f t="shared" si="34"/>
        <v>147.53942599999999</v>
      </c>
      <c r="AC66" s="2533">
        <f t="shared" si="35"/>
        <v>72.174999999999997</v>
      </c>
      <c r="AD66" s="2522"/>
      <c r="AE66" s="2523"/>
      <c r="AF66" s="70"/>
    </row>
    <row r="67" spans="2:32" ht="17.399999999999999">
      <c r="E67" s="2029">
        <v>0.49740259740259735</v>
      </c>
      <c r="G67" s="395">
        <v>2000</v>
      </c>
      <c r="H67" s="96">
        <v>146.890128</v>
      </c>
      <c r="I67" s="2517"/>
      <c r="J67" s="558">
        <v>72.77</v>
      </c>
      <c r="K67" s="558"/>
      <c r="L67" s="558">
        <v>65.069999999999993</v>
      </c>
      <c r="M67" s="558">
        <f t="shared" si="36"/>
        <v>7.7000000000000028</v>
      </c>
      <c r="AB67" s="2532">
        <f t="shared" si="34"/>
        <v>146.890128</v>
      </c>
      <c r="AC67" s="2533">
        <f t="shared" si="35"/>
        <v>72.77</v>
      </c>
      <c r="AD67" s="2522"/>
      <c r="AE67" s="2523"/>
      <c r="AF67" s="70"/>
    </row>
    <row r="68" spans="2:32" ht="17.399999999999999">
      <c r="E68" s="2029">
        <v>0.48901602143482065</v>
      </c>
      <c r="G68" s="395">
        <v>2001</v>
      </c>
      <c r="H68" s="96">
        <v>146.30361099999999</v>
      </c>
      <c r="I68" s="2517"/>
      <c r="J68" s="558">
        <v>71.545000000000002</v>
      </c>
      <c r="K68" s="558"/>
      <c r="L68" s="558">
        <v>65.123000000000005</v>
      </c>
      <c r="M68" s="558">
        <f t="shared" si="36"/>
        <v>6.421999999999997</v>
      </c>
      <c r="AB68" s="2532">
        <f t="shared" si="34"/>
        <v>146.30361099999999</v>
      </c>
      <c r="AC68" s="2533">
        <f t="shared" si="35"/>
        <v>71.545000000000002</v>
      </c>
      <c r="AD68" s="2522"/>
      <c r="AE68" s="2523"/>
      <c r="AF68" s="70"/>
    </row>
    <row r="69" spans="2:32" ht="17.399999999999999">
      <c r="E69" s="2029">
        <v>0.49842942756767933</v>
      </c>
      <c r="G69" s="395">
        <v>2002</v>
      </c>
      <c r="H69" s="96">
        <v>145.166731</v>
      </c>
      <c r="I69" s="2517"/>
      <c r="J69" s="558">
        <v>72.356999999999999</v>
      </c>
      <c r="K69" s="558"/>
      <c r="L69" s="558">
        <v>66.659000000000006</v>
      </c>
      <c r="M69" s="558">
        <f t="shared" si="36"/>
        <v>5.6979999999999933</v>
      </c>
      <c r="AB69" s="2532">
        <f t="shared" si="34"/>
        <v>145.166731</v>
      </c>
      <c r="AC69" s="2533">
        <f t="shared" si="35"/>
        <v>72.356999999999999</v>
      </c>
      <c r="AD69" s="2522"/>
      <c r="AE69" s="2523"/>
      <c r="AF69" s="70"/>
    </row>
    <row r="70" spans="2:32" ht="17.399999999999999">
      <c r="E70" s="2029">
        <v>0.50119972260748957</v>
      </c>
      <c r="G70" s="395">
        <v>2003</v>
      </c>
      <c r="H70" s="96">
        <v>144.96365</v>
      </c>
      <c r="I70" s="2517"/>
      <c r="J70" s="558">
        <v>72.272999999999996</v>
      </c>
      <c r="K70" s="558"/>
      <c r="L70" s="558">
        <v>66.338999999999999</v>
      </c>
      <c r="M70" s="558">
        <f t="shared" si="36"/>
        <v>5.9339999999999975</v>
      </c>
      <c r="Q70" s="70"/>
      <c r="R70" s="2515"/>
      <c r="AB70" s="2532">
        <f t="shared" si="34"/>
        <v>144.96365</v>
      </c>
      <c r="AC70" s="2533">
        <f t="shared" si="35"/>
        <v>72.272999999999996</v>
      </c>
      <c r="AD70" s="2522"/>
      <c r="AE70" s="2523"/>
      <c r="AF70" s="70"/>
    </row>
    <row r="71" spans="2:32" ht="17.399999999999999">
      <c r="E71" s="2029">
        <v>0.50860627177700346</v>
      </c>
      <c r="G71" s="395">
        <v>2004</v>
      </c>
      <c r="H71" s="96">
        <v>144.168205</v>
      </c>
      <c r="I71" s="2517"/>
      <c r="J71" s="558">
        <v>72.984999999999999</v>
      </c>
      <c r="K71" s="558"/>
      <c r="L71" s="558">
        <v>67.319000000000003</v>
      </c>
      <c r="M71" s="558">
        <f t="shared" si="36"/>
        <v>5.6659999999999968</v>
      </c>
      <c r="Q71" s="70"/>
      <c r="R71" s="2513"/>
      <c r="AB71" s="2532">
        <f t="shared" si="34"/>
        <v>144.168205</v>
      </c>
      <c r="AC71" s="2533">
        <f t="shared" si="35"/>
        <v>72.984999999999999</v>
      </c>
      <c r="AD71" s="2522"/>
      <c r="AE71" s="2523"/>
      <c r="AF71" s="70"/>
    </row>
    <row r="72" spans="2:32" ht="15.75" customHeight="1">
      <c r="E72" s="2029">
        <v>0.51527310924369751</v>
      </c>
      <c r="G72" s="395">
        <v>2005</v>
      </c>
      <c r="H72" s="96">
        <v>143.47421900000001</v>
      </c>
      <c r="I72" s="2517"/>
      <c r="J72" s="558">
        <v>73.581000000000003</v>
      </c>
      <c r="K72" s="558"/>
      <c r="L72" s="558">
        <v>68.338999999999999</v>
      </c>
      <c r="M72" s="558">
        <f t="shared" si="36"/>
        <v>5.2420000000000044</v>
      </c>
      <c r="Q72" s="70"/>
      <c r="AB72" s="2532">
        <f t="shared" si="34"/>
        <v>143.47421900000001</v>
      </c>
      <c r="AC72" s="2533">
        <f t="shared" si="35"/>
        <v>73.581000000000003</v>
      </c>
      <c r="AD72" s="2522"/>
      <c r="AE72" s="2523"/>
      <c r="AF72" s="70"/>
    </row>
    <row r="73" spans="2:32" ht="17.399999999999999">
      <c r="B73" s="2512"/>
      <c r="E73" s="2029">
        <v>0.52334036568213782</v>
      </c>
      <c r="G73" s="395">
        <v>2006</v>
      </c>
      <c r="H73" s="96">
        <v>142.75355099999999</v>
      </c>
      <c r="I73" s="2517"/>
      <c r="J73" s="558">
        <v>74.418999999999997</v>
      </c>
      <c r="K73" s="558"/>
      <c r="L73" s="558">
        <v>69.168999999999997</v>
      </c>
      <c r="M73" s="558">
        <f t="shared" si="36"/>
        <v>5.25</v>
      </c>
      <c r="Q73" s="70"/>
      <c r="AB73" s="2532">
        <f t="shared" si="34"/>
        <v>142.75355099999999</v>
      </c>
      <c r="AC73" s="2533">
        <f t="shared" si="35"/>
        <v>74.418999999999997</v>
      </c>
      <c r="AD73" s="2522"/>
      <c r="AE73" s="2523"/>
      <c r="AF73" s="70"/>
    </row>
    <row r="74" spans="2:32" ht="15.75" customHeight="1">
      <c r="B74" s="2512"/>
      <c r="E74" s="2029">
        <v>0.53020422535211265</v>
      </c>
      <c r="G74" s="395">
        <v>2007</v>
      </c>
      <c r="H74" s="96">
        <v>142.220968</v>
      </c>
      <c r="I74" s="2517"/>
      <c r="J74" s="558">
        <v>75.289000000000001</v>
      </c>
      <c r="K74" s="558"/>
      <c r="L74" s="558">
        <v>70.77</v>
      </c>
      <c r="M74" s="558">
        <f t="shared" si="36"/>
        <v>4.5190000000000055</v>
      </c>
      <c r="Q74" s="70"/>
      <c r="AB74" s="2532">
        <f t="shared" si="34"/>
        <v>142.220968</v>
      </c>
      <c r="AC74" s="2533">
        <f t="shared" si="35"/>
        <v>75.289000000000001</v>
      </c>
      <c r="AD74" s="2522"/>
      <c r="AE74" s="2523"/>
      <c r="AF74" s="70"/>
    </row>
    <row r="75" spans="2:32" ht="17.399999999999999">
      <c r="B75" s="2512"/>
      <c r="E75" s="2029">
        <v>0.53347427766032418</v>
      </c>
      <c r="G75" s="395">
        <v>2008</v>
      </c>
      <c r="H75" s="96">
        <v>142.008838</v>
      </c>
      <c r="I75" s="2517"/>
      <c r="J75" s="558">
        <v>75.7</v>
      </c>
      <c r="K75" s="558"/>
      <c r="L75" s="558">
        <v>71.003</v>
      </c>
      <c r="M75" s="558">
        <f t="shared" si="36"/>
        <v>4.6970000000000027</v>
      </c>
      <c r="Q75" s="70"/>
      <c r="R75" s="2514"/>
      <c r="AB75" s="2532">
        <f t="shared" si="34"/>
        <v>142.008838</v>
      </c>
      <c r="AC75" s="2533">
        <f t="shared" si="35"/>
        <v>75.7</v>
      </c>
      <c r="AD75" s="2522"/>
      <c r="AE75" s="2523"/>
      <c r="AF75" s="70"/>
    </row>
    <row r="76" spans="2:32" ht="17.399999999999999">
      <c r="E76" s="2029">
        <v>0.53343199436222688</v>
      </c>
      <c r="G76" s="395">
        <v>2009</v>
      </c>
      <c r="H76" s="96">
        <v>141.90397899999999</v>
      </c>
      <c r="I76" s="2517"/>
      <c r="J76" s="558">
        <v>75.694000000000003</v>
      </c>
      <c r="K76" s="558"/>
      <c r="L76" s="558">
        <v>69.41</v>
      </c>
      <c r="M76" s="558">
        <f t="shared" si="36"/>
        <v>6.284000000000006</v>
      </c>
      <c r="Q76" s="70"/>
      <c r="R76" s="2514"/>
      <c r="AB76" s="2532">
        <f t="shared" si="34"/>
        <v>141.90397899999999</v>
      </c>
      <c r="AC76" s="2533">
        <f t="shared" si="35"/>
        <v>75.694000000000003</v>
      </c>
      <c r="AD76" s="2522"/>
      <c r="AE76" s="2523"/>
      <c r="AF76" s="70"/>
    </row>
    <row r="77" spans="2:32" ht="17.399999999999999">
      <c r="E77" s="2029">
        <f t="shared" ref="E77:E83" si="37">J77/H77</f>
        <v>0.52834824442334227</v>
      </c>
      <c r="G77" s="395">
        <v>2010</v>
      </c>
      <c r="H77" s="96">
        <v>142.85653600000001</v>
      </c>
      <c r="I77" s="2517"/>
      <c r="J77" s="558">
        <v>75.477999999999994</v>
      </c>
      <c r="K77" s="558"/>
      <c r="L77" s="558">
        <v>69.933708461473046</v>
      </c>
      <c r="M77" s="558">
        <f t="shared" si="36"/>
        <v>5.5442915385269487</v>
      </c>
      <c r="Q77" s="70"/>
      <c r="AB77" s="2532">
        <f t="shared" si="34"/>
        <v>142.85653600000001</v>
      </c>
      <c r="AC77" s="2533">
        <f t="shared" si="35"/>
        <v>75.477999999999994</v>
      </c>
      <c r="AD77" s="2522"/>
      <c r="AE77" s="2523"/>
      <c r="AF77" s="70"/>
    </row>
    <row r="78" spans="2:32" ht="17.399999999999999">
      <c r="B78" s="2512"/>
      <c r="C78" s="2512"/>
      <c r="E78" s="2029">
        <f t="shared" si="37"/>
        <v>0.53042221906820519</v>
      </c>
      <c r="G78" s="395">
        <v>2011</v>
      </c>
      <c r="H78" s="96">
        <v>142.865433</v>
      </c>
      <c r="I78" s="2517"/>
      <c r="J78" s="558">
        <v>75.778999999999996</v>
      </c>
      <c r="K78" s="558"/>
      <c r="L78" s="558">
        <v>70.85661311334043</v>
      </c>
      <c r="M78" s="558">
        <f t="shared" si="36"/>
        <v>4.9223868866595666</v>
      </c>
      <c r="Q78" s="70"/>
      <c r="AB78" s="2532">
        <f t="shared" si="34"/>
        <v>142.865433</v>
      </c>
      <c r="AC78" s="2533">
        <f t="shared" si="35"/>
        <v>75.778999999999996</v>
      </c>
      <c r="AD78" s="2522"/>
      <c r="AE78" s="2523"/>
      <c r="AF78" s="70"/>
    </row>
    <row r="79" spans="2:32" ht="17.399999999999999">
      <c r="B79" s="2512"/>
      <c r="C79" s="2512"/>
      <c r="E79" s="2029">
        <f t="shared" si="37"/>
        <v>0.52829519672673386</v>
      </c>
      <c r="G79" s="395">
        <v>2012</v>
      </c>
      <c r="H79" s="96">
        <v>143.05638300000001</v>
      </c>
      <c r="I79" s="2517"/>
      <c r="J79" s="558">
        <v>75.575999999999993</v>
      </c>
      <c r="K79" s="558"/>
      <c r="L79" s="558">
        <v>71.545415863579535</v>
      </c>
      <c r="M79" s="558">
        <f t="shared" si="36"/>
        <v>4.0305841364204582</v>
      </c>
      <c r="Q79" s="70"/>
      <c r="AB79" s="2532">
        <f t="shared" si="34"/>
        <v>143.05638300000001</v>
      </c>
      <c r="AC79" s="2533">
        <f t="shared" si="35"/>
        <v>75.575999999999993</v>
      </c>
      <c r="AD79" s="2522"/>
      <c r="AE79" s="2523"/>
      <c r="AF79" s="70"/>
    </row>
    <row r="80" spans="2:32" ht="17.399999999999999">
      <c r="E80" s="2029">
        <f t="shared" si="37"/>
        <v>0.52689605581653398</v>
      </c>
      <c r="G80" s="395">
        <v>2013</v>
      </c>
      <c r="H80" s="2524">
        <v>143.347059</v>
      </c>
      <c r="I80" s="2517"/>
      <c r="J80" s="558">
        <v>75.528999999999996</v>
      </c>
      <c r="K80" s="558"/>
      <c r="L80" s="558">
        <v>71.391459581339006</v>
      </c>
      <c r="M80" s="558">
        <f t="shared" si="36"/>
        <v>4.1375404186609899</v>
      </c>
      <c r="R80" s="2511"/>
      <c r="AB80" s="2532">
        <f t="shared" si="34"/>
        <v>143.347059</v>
      </c>
      <c r="AC80" s="2533">
        <f t="shared" si="35"/>
        <v>75.528999999999996</v>
      </c>
      <c r="AD80" s="2522"/>
      <c r="AE80" s="2523"/>
      <c r="AF80" s="70"/>
    </row>
    <row r="81" spans="2:32" ht="17.399999999999999">
      <c r="E81" s="2029">
        <f t="shared" si="37"/>
        <v>0.52501991568261452</v>
      </c>
      <c r="G81" s="395">
        <v>2014</v>
      </c>
      <c r="H81" s="2524">
        <v>143.66693100000001</v>
      </c>
      <c r="I81" s="2517"/>
      <c r="J81" s="558">
        <v>75.427999999999997</v>
      </c>
      <c r="K81" s="558"/>
      <c r="L81" s="558">
        <v>71.539043569577998</v>
      </c>
      <c r="M81" s="558">
        <f t="shared" si="36"/>
        <v>3.8889564304219988</v>
      </c>
      <c r="R81" s="2511"/>
      <c r="AB81" s="2532">
        <f t="shared" si="34"/>
        <v>143.66693100000001</v>
      </c>
      <c r="AC81" s="2533">
        <f t="shared" si="35"/>
        <v>75.427999999999997</v>
      </c>
      <c r="AD81" s="2522"/>
      <c r="AE81" s="2523"/>
      <c r="AF81" s="70"/>
    </row>
    <row r="82" spans="2:32" ht="17.399999999999999">
      <c r="E82" s="2029">
        <f t="shared" si="37"/>
        <v>0.52361673650502083</v>
      </c>
      <c r="G82" s="395">
        <v>2015</v>
      </c>
      <c r="H82" s="2524">
        <v>146.26728800000001</v>
      </c>
      <c r="I82" s="2517"/>
      <c r="J82" s="558">
        <v>76.587999999999994</v>
      </c>
      <c r="K82" s="558"/>
      <c r="L82" s="558">
        <v>72.323622532452006</v>
      </c>
      <c r="M82" s="558">
        <f t="shared" si="36"/>
        <v>4.2643774675479875</v>
      </c>
      <c r="R82" s="2511"/>
      <c r="AB82" s="2532">
        <f t="shared" si="34"/>
        <v>146.26728800000001</v>
      </c>
      <c r="AC82" s="2533">
        <f t="shared" si="35"/>
        <v>76.587999999999994</v>
      </c>
      <c r="AD82" s="2522"/>
      <c r="AE82" s="2523"/>
      <c r="AF82" s="70"/>
    </row>
    <row r="83" spans="2:32" ht="17.399999999999999">
      <c r="E83" s="2029">
        <f t="shared" si="37"/>
        <v>0.52295302914721375</v>
      </c>
      <c r="G83" s="395">
        <v>2016</v>
      </c>
      <c r="H83" s="2524">
        <v>146.54471000000001</v>
      </c>
      <c r="I83" s="2517"/>
      <c r="J83" s="558">
        <v>76.635999999999996</v>
      </c>
      <c r="K83" s="558"/>
      <c r="L83" s="558">
        <v>72.393000000000001</v>
      </c>
      <c r="M83" s="558">
        <f t="shared" si="36"/>
        <v>4.242999999999995</v>
      </c>
      <c r="R83" s="2511"/>
      <c r="AB83" s="2532">
        <f t="shared" si="34"/>
        <v>146.54471000000001</v>
      </c>
      <c r="AC83" s="2533">
        <f t="shared" si="35"/>
        <v>76.635999999999996</v>
      </c>
      <c r="AD83" s="2522"/>
      <c r="AE83" s="2523"/>
      <c r="AF83" s="70"/>
    </row>
    <row r="84" spans="2:32" ht="17.399999999999999">
      <c r="E84" s="2029">
        <f>E83-0.0005</f>
        <v>0.52245302914721381</v>
      </c>
      <c r="G84" s="395">
        <v>2017</v>
      </c>
      <c r="H84" s="2524">
        <v>146.804372</v>
      </c>
      <c r="I84" s="2517"/>
      <c r="J84" s="558">
        <v>76.108999999999995</v>
      </c>
      <c r="K84" s="558"/>
      <c r="L84" s="558">
        <v>72.141999999999996</v>
      </c>
      <c r="M84" s="558">
        <f t="shared" si="36"/>
        <v>3.9669999999999987</v>
      </c>
      <c r="R84" s="2511"/>
      <c r="AB84" s="2532">
        <f t="shared" si="34"/>
        <v>146.804372</v>
      </c>
      <c r="AC84" s="2533">
        <f t="shared" si="35"/>
        <v>76.108999999999995</v>
      </c>
      <c r="AD84" s="2522"/>
      <c r="AE84" s="2523"/>
      <c r="AF84" s="70"/>
    </row>
    <row r="85" spans="2:32" ht="17.399999999999999">
      <c r="E85" s="2029">
        <f t="shared" ref="E85" si="38">E84-0.0005</f>
        <v>0.52195302914721387</v>
      </c>
      <c r="G85" s="395">
        <v>2018</v>
      </c>
      <c r="H85" s="2524">
        <v>146.88043200000001</v>
      </c>
      <c r="I85" s="2517"/>
      <c r="J85" s="558">
        <v>76.3</v>
      </c>
      <c r="K85" s="558"/>
      <c r="L85" s="558">
        <v>72.599999999999994</v>
      </c>
      <c r="M85" s="558">
        <f t="shared" si="36"/>
        <v>3.7000000000000028</v>
      </c>
      <c r="R85" s="2511"/>
      <c r="AB85" s="2532">
        <f t="shared" si="34"/>
        <v>146.88043200000001</v>
      </c>
      <c r="AC85" s="2533">
        <f t="shared" si="35"/>
        <v>76.3</v>
      </c>
      <c r="AD85" s="2522"/>
      <c r="AE85" s="2523"/>
      <c r="AF85" s="70"/>
    </row>
    <row r="86" spans="2:32" ht="17.399999999999999">
      <c r="E86" s="2029">
        <f>E85</f>
        <v>0.52195302914721387</v>
      </c>
      <c r="G86" s="395">
        <v>2019</v>
      </c>
      <c r="H86" s="2524">
        <v>146.74509800000001</v>
      </c>
      <c r="I86" s="2517"/>
      <c r="J86" s="558">
        <v>75.900000000000006</v>
      </c>
      <c r="K86" s="558"/>
      <c r="L86" s="558">
        <v>72.400000000000006</v>
      </c>
      <c r="M86" s="558">
        <f t="shared" si="36"/>
        <v>3.5</v>
      </c>
      <c r="R86" s="2511"/>
      <c r="AB86" s="2532">
        <f t="shared" si="34"/>
        <v>146.74509800000001</v>
      </c>
      <c r="AC86" s="2533">
        <f t="shared" si="35"/>
        <v>75.900000000000006</v>
      </c>
      <c r="AD86" s="70"/>
      <c r="AE86" s="70"/>
      <c r="AF86" s="70"/>
    </row>
    <row r="87" spans="2:32" ht="17.399999999999999">
      <c r="E87" s="2029">
        <f>0.53</f>
        <v>0.53</v>
      </c>
      <c r="G87" s="395">
        <v>2020</v>
      </c>
      <c r="H87" s="113"/>
      <c r="I87" s="558">
        <v>146.69999999999999</v>
      </c>
      <c r="J87" s="559"/>
      <c r="K87" s="558">
        <f t="shared" ref="K87:K102" si="39">E87*I87</f>
        <v>77.751000000000005</v>
      </c>
      <c r="L87" s="559"/>
      <c r="M87" s="559"/>
      <c r="R87" s="2511"/>
      <c r="AB87" s="2532">
        <f t="shared" ref="AB87:AB102" si="40">I87</f>
        <v>146.69999999999999</v>
      </c>
      <c r="AC87" s="2533">
        <f>K87</f>
        <v>77.751000000000005</v>
      </c>
      <c r="AD87" s="70"/>
      <c r="AE87" s="70"/>
      <c r="AF87" s="70"/>
    </row>
    <row r="88" spans="2:32" ht="17.399999999999999">
      <c r="B88" s="1075">
        <v>-0.29999999999998295</v>
      </c>
      <c r="C88" s="614">
        <f>B88/5</f>
        <v>-5.9999999999996591E-2</v>
      </c>
      <c r="E88" s="2029">
        <f t="shared" ref="E88:E102" si="41">E87</f>
        <v>0.53</v>
      </c>
      <c r="G88" s="395">
        <v>2021</v>
      </c>
      <c r="H88" s="113"/>
      <c r="I88" s="558">
        <f>I87+C88</f>
        <v>146.63999999999999</v>
      </c>
      <c r="J88" s="559"/>
      <c r="K88" s="558">
        <f t="shared" si="39"/>
        <v>77.719200000000001</v>
      </c>
      <c r="L88" s="559"/>
      <c r="M88" s="559"/>
      <c r="R88" s="2511"/>
      <c r="AB88" s="2532">
        <f t="shared" si="40"/>
        <v>146.63999999999999</v>
      </c>
      <c r="AC88" s="2533">
        <f t="shared" ref="AC88:AC102" si="42">K88</f>
        <v>77.719200000000001</v>
      </c>
    </row>
    <row r="89" spans="2:32" ht="17.399999999999999">
      <c r="B89" s="1075">
        <v>-0.40000000000000568</v>
      </c>
      <c r="C89" s="614">
        <f t="shared" ref="C89:C102" si="43">B89/5</f>
        <v>-8.000000000000114E-2</v>
      </c>
      <c r="E89" s="2029">
        <f t="shared" si="41"/>
        <v>0.53</v>
      </c>
      <c r="G89" s="395">
        <v>2022</v>
      </c>
      <c r="H89" s="113"/>
      <c r="I89" s="558">
        <f t="shared" ref="I89:I102" si="44">I88+C89</f>
        <v>146.55999999999997</v>
      </c>
      <c r="J89" s="559"/>
      <c r="K89" s="558">
        <f t="shared" si="39"/>
        <v>77.676799999999986</v>
      </c>
      <c r="L89" s="559"/>
      <c r="M89" s="559"/>
      <c r="R89" s="2511"/>
      <c r="AB89" s="2532">
        <f t="shared" si="40"/>
        <v>146.55999999999997</v>
      </c>
      <c r="AC89" s="2533">
        <f t="shared" si="42"/>
        <v>77.676799999999986</v>
      </c>
    </row>
    <row r="90" spans="2:32" ht="17.399999999999999">
      <c r="B90" s="1075">
        <v>-0.59999999999999432</v>
      </c>
      <c r="C90" s="614">
        <f t="shared" si="43"/>
        <v>-0.11999999999999886</v>
      </c>
      <c r="E90" s="2029">
        <f t="shared" si="41"/>
        <v>0.53</v>
      </c>
      <c r="G90" s="395">
        <v>2023</v>
      </c>
      <c r="H90" s="113"/>
      <c r="I90" s="558">
        <f t="shared" si="44"/>
        <v>146.43999999999997</v>
      </c>
      <c r="J90" s="559"/>
      <c r="K90" s="558">
        <f t="shared" si="39"/>
        <v>77.613199999999992</v>
      </c>
      <c r="L90" s="559"/>
      <c r="M90" s="559"/>
      <c r="R90" s="2511"/>
      <c r="AB90" s="2532">
        <f t="shared" si="40"/>
        <v>146.43999999999997</v>
      </c>
      <c r="AC90" s="2533">
        <f t="shared" si="42"/>
        <v>77.613199999999992</v>
      </c>
    </row>
    <row r="91" spans="2:32" ht="17.399999999999999">
      <c r="B91" s="1075">
        <v>-0.59999999999999432</v>
      </c>
      <c r="C91" s="614">
        <f t="shared" si="43"/>
        <v>-0.11999999999999886</v>
      </c>
      <c r="E91" s="2029">
        <f t="shared" si="41"/>
        <v>0.53</v>
      </c>
      <c r="G91" s="395">
        <v>2024</v>
      </c>
      <c r="H91" s="113"/>
      <c r="I91" s="558">
        <f t="shared" si="44"/>
        <v>146.31999999999996</v>
      </c>
      <c r="J91" s="559"/>
      <c r="K91" s="558">
        <f t="shared" si="39"/>
        <v>77.549599999999984</v>
      </c>
      <c r="L91" s="559"/>
      <c r="M91" s="559"/>
      <c r="R91" s="2511"/>
      <c r="AB91" s="2532">
        <f t="shared" si="40"/>
        <v>146.31999999999996</v>
      </c>
      <c r="AC91" s="2533">
        <f t="shared" si="42"/>
        <v>77.549599999999984</v>
      </c>
    </row>
    <row r="92" spans="2:32" ht="17.399999999999999">
      <c r="B92" s="1075">
        <v>-0.80000000000001137</v>
      </c>
      <c r="C92" s="614">
        <f t="shared" si="43"/>
        <v>-0.16000000000000228</v>
      </c>
      <c r="E92" s="2029">
        <f t="shared" si="41"/>
        <v>0.53</v>
      </c>
      <c r="G92" s="395">
        <v>2025</v>
      </c>
      <c r="H92" s="113"/>
      <c r="I92" s="558">
        <f t="shared" si="44"/>
        <v>146.15999999999997</v>
      </c>
      <c r="J92" s="559"/>
      <c r="K92" s="558">
        <f t="shared" si="39"/>
        <v>77.464799999999983</v>
      </c>
      <c r="L92" s="559"/>
      <c r="M92" s="559"/>
      <c r="R92" s="2511"/>
      <c r="AB92" s="2532">
        <f t="shared" si="40"/>
        <v>146.15999999999997</v>
      </c>
      <c r="AC92" s="2533">
        <f t="shared" si="42"/>
        <v>77.464799999999983</v>
      </c>
    </row>
    <row r="93" spans="2:32" ht="17.399999999999999">
      <c r="B93" s="1075">
        <v>-0.80000000000001137</v>
      </c>
      <c r="C93" s="614">
        <f t="shared" si="43"/>
        <v>-0.16000000000000228</v>
      </c>
      <c r="E93" s="2029">
        <f t="shared" si="41"/>
        <v>0.53</v>
      </c>
      <c r="G93" s="395">
        <v>2026</v>
      </c>
      <c r="H93" s="113"/>
      <c r="I93" s="558">
        <f t="shared" si="44"/>
        <v>145.99999999999997</v>
      </c>
      <c r="J93" s="559"/>
      <c r="K93" s="558">
        <f t="shared" si="39"/>
        <v>77.38</v>
      </c>
      <c r="L93" s="559"/>
      <c r="M93" s="559"/>
      <c r="R93" s="2511"/>
      <c r="AB93" s="2532">
        <f t="shared" si="40"/>
        <v>145.99999999999997</v>
      </c>
      <c r="AC93" s="2533">
        <f t="shared" si="42"/>
        <v>77.38</v>
      </c>
    </row>
    <row r="94" spans="2:32" ht="17.399999999999999">
      <c r="B94" s="1075">
        <v>-0.79999999999998295</v>
      </c>
      <c r="C94" s="614">
        <f t="shared" si="43"/>
        <v>-0.15999999999999659</v>
      </c>
      <c r="E94" s="2029">
        <f t="shared" si="41"/>
        <v>0.53</v>
      </c>
      <c r="G94" s="395">
        <v>2027</v>
      </c>
      <c r="H94" s="113"/>
      <c r="I94" s="558">
        <f t="shared" si="44"/>
        <v>145.83999999999997</v>
      </c>
      <c r="J94" s="559"/>
      <c r="K94" s="558">
        <f t="shared" si="39"/>
        <v>77.295199999999994</v>
      </c>
      <c r="L94" s="559"/>
      <c r="M94" s="559"/>
      <c r="R94" s="2511"/>
      <c r="AB94" s="2532">
        <f t="shared" si="40"/>
        <v>145.83999999999997</v>
      </c>
      <c r="AC94" s="2533">
        <f t="shared" si="42"/>
        <v>77.295199999999994</v>
      </c>
    </row>
    <row r="95" spans="2:32" ht="17.399999999999999">
      <c r="B95" s="1075">
        <v>-0.80000000000001137</v>
      </c>
      <c r="C95" s="614">
        <f t="shared" si="43"/>
        <v>-0.16000000000000228</v>
      </c>
      <c r="E95" s="2029">
        <f t="shared" si="41"/>
        <v>0.53</v>
      </c>
      <c r="G95" s="395">
        <v>2028</v>
      </c>
      <c r="H95" s="113"/>
      <c r="I95" s="558">
        <f t="shared" si="44"/>
        <v>145.67999999999998</v>
      </c>
      <c r="J95" s="559"/>
      <c r="K95" s="558">
        <f t="shared" si="39"/>
        <v>77.210399999999993</v>
      </c>
      <c r="L95" s="559"/>
      <c r="M95" s="559"/>
      <c r="R95" s="2511"/>
      <c r="AB95" s="2532">
        <f t="shared" si="40"/>
        <v>145.67999999999998</v>
      </c>
      <c r="AC95" s="2533">
        <f t="shared" si="42"/>
        <v>77.210399999999993</v>
      </c>
    </row>
    <row r="96" spans="2:32" ht="17.399999999999999">
      <c r="B96" s="1075">
        <v>-0.90000000000000568</v>
      </c>
      <c r="C96" s="614">
        <f t="shared" si="43"/>
        <v>-0.18000000000000113</v>
      </c>
      <c r="E96" s="2029">
        <f t="shared" si="41"/>
        <v>0.53</v>
      </c>
      <c r="G96" s="395">
        <v>2029</v>
      </c>
      <c r="H96" s="113"/>
      <c r="I96" s="558">
        <f t="shared" si="44"/>
        <v>145.49999999999997</v>
      </c>
      <c r="J96" s="559"/>
      <c r="K96" s="558">
        <f t="shared" si="39"/>
        <v>77.114999999999995</v>
      </c>
      <c r="L96" s="559"/>
      <c r="M96" s="559"/>
      <c r="AB96" s="2532">
        <f t="shared" si="40"/>
        <v>145.49999999999997</v>
      </c>
      <c r="AC96" s="2533">
        <f t="shared" si="42"/>
        <v>77.114999999999995</v>
      </c>
    </row>
    <row r="97" spans="2:29" ht="17.399999999999999">
      <c r="B97" s="1075">
        <v>-0.89999999999997726</v>
      </c>
      <c r="C97" s="614">
        <f t="shared" si="43"/>
        <v>-0.17999999999999544</v>
      </c>
      <c r="E97" s="2029">
        <f t="shared" si="41"/>
        <v>0.53</v>
      </c>
      <c r="G97" s="395">
        <v>2030</v>
      </c>
      <c r="H97" s="113"/>
      <c r="I97" s="558">
        <f t="shared" si="44"/>
        <v>145.31999999999996</v>
      </c>
      <c r="J97" s="559"/>
      <c r="K97" s="558">
        <f t="shared" si="39"/>
        <v>77.019599999999983</v>
      </c>
      <c r="L97" s="559"/>
      <c r="M97" s="559"/>
      <c r="R97" s="2510"/>
      <c r="AB97" s="2532">
        <f t="shared" si="40"/>
        <v>145.31999999999996</v>
      </c>
      <c r="AC97" s="2533">
        <f t="shared" si="42"/>
        <v>77.019599999999983</v>
      </c>
    </row>
    <row r="98" spans="2:29" ht="17.399999999999999">
      <c r="B98" s="1075">
        <v>-0.90000000000000568</v>
      </c>
      <c r="C98" s="614">
        <f t="shared" si="43"/>
        <v>-0.18000000000000113</v>
      </c>
      <c r="E98" s="2029">
        <f t="shared" si="41"/>
        <v>0.53</v>
      </c>
      <c r="G98" s="395">
        <v>2031</v>
      </c>
      <c r="H98" s="113"/>
      <c r="I98" s="558">
        <f t="shared" si="44"/>
        <v>145.13999999999996</v>
      </c>
      <c r="J98" s="559"/>
      <c r="K98" s="558">
        <f t="shared" si="39"/>
        <v>76.924199999999985</v>
      </c>
      <c r="L98" s="559"/>
      <c r="M98" s="559"/>
      <c r="AB98" s="2532">
        <f t="shared" si="40"/>
        <v>145.13999999999996</v>
      </c>
      <c r="AC98" s="2533">
        <f t="shared" si="42"/>
        <v>76.924199999999985</v>
      </c>
    </row>
    <row r="99" spans="2:29" ht="17.399999999999999">
      <c r="B99" s="1075">
        <v>-0.90000000000000568</v>
      </c>
      <c r="C99" s="614">
        <f t="shared" si="43"/>
        <v>-0.18000000000000113</v>
      </c>
      <c r="E99" s="2029">
        <f t="shared" si="41"/>
        <v>0.53</v>
      </c>
      <c r="G99" s="395">
        <v>2032</v>
      </c>
      <c r="H99" s="113"/>
      <c r="I99" s="558">
        <f t="shared" si="44"/>
        <v>144.95999999999995</v>
      </c>
      <c r="J99" s="559"/>
      <c r="K99" s="558">
        <f t="shared" si="39"/>
        <v>76.828799999999973</v>
      </c>
      <c r="L99" s="559"/>
      <c r="M99" s="559"/>
      <c r="AB99" s="2532">
        <f t="shared" si="40"/>
        <v>144.95999999999995</v>
      </c>
      <c r="AC99" s="2533">
        <f t="shared" si="42"/>
        <v>76.828799999999973</v>
      </c>
    </row>
    <row r="100" spans="2:29" ht="17.399999999999999">
      <c r="B100" s="1075">
        <v>-1</v>
      </c>
      <c r="C100" s="614">
        <f t="shared" si="43"/>
        <v>-0.2</v>
      </c>
      <c r="E100" s="2029">
        <f t="shared" si="41"/>
        <v>0.53</v>
      </c>
      <c r="G100" s="395">
        <v>2033</v>
      </c>
      <c r="H100" s="113"/>
      <c r="I100" s="558">
        <f t="shared" si="44"/>
        <v>144.75999999999996</v>
      </c>
      <c r="J100" s="559"/>
      <c r="K100" s="558">
        <f t="shared" si="39"/>
        <v>76.722799999999978</v>
      </c>
      <c r="L100" s="559"/>
      <c r="M100" s="559"/>
      <c r="AB100" s="2532">
        <f t="shared" si="40"/>
        <v>144.75999999999996</v>
      </c>
      <c r="AC100" s="2533">
        <f t="shared" si="42"/>
        <v>76.722799999999978</v>
      </c>
    </row>
    <row r="101" spans="2:29" ht="17.399999999999999">
      <c r="B101" s="1075">
        <v>-0.90000000000000568</v>
      </c>
      <c r="C101" s="614">
        <f t="shared" si="43"/>
        <v>-0.18000000000000113</v>
      </c>
      <c r="E101" s="2029">
        <f t="shared" si="41"/>
        <v>0.53</v>
      </c>
      <c r="G101" s="395">
        <v>2034</v>
      </c>
      <c r="H101" s="113"/>
      <c r="I101" s="558">
        <f t="shared" si="44"/>
        <v>144.57999999999996</v>
      </c>
      <c r="J101" s="559"/>
      <c r="K101" s="558">
        <f t="shared" si="39"/>
        <v>76.62739999999998</v>
      </c>
      <c r="L101" s="559"/>
      <c r="M101" s="559"/>
      <c r="AB101" s="2532">
        <f t="shared" si="40"/>
        <v>144.57999999999996</v>
      </c>
      <c r="AC101" s="2533">
        <f t="shared" si="42"/>
        <v>76.62739999999998</v>
      </c>
    </row>
    <row r="102" spans="2:29" ht="18" thickBot="1">
      <c r="B102" s="1075">
        <v>-0.90000000000000568</v>
      </c>
      <c r="C102" s="614">
        <f t="shared" si="43"/>
        <v>-0.18000000000000113</v>
      </c>
      <c r="E102" s="2029">
        <f t="shared" si="41"/>
        <v>0.53</v>
      </c>
      <c r="G102" s="2519">
        <v>2035</v>
      </c>
      <c r="H102" s="2520"/>
      <c r="I102" s="558">
        <f t="shared" si="44"/>
        <v>144.39999999999995</v>
      </c>
      <c r="J102" s="2521"/>
      <c r="K102" s="1183">
        <f t="shared" si="39"/>
        <v>76.531999999999982</v>
      </c>
      <c r="L102" s="2521"/>
      <c r="M102" s="2521"/>
      <c r="AB102" s="2534">
        <f t="shared" si="40"/>
        <v>144.39999999999995</v>
      </c>
      <c r="AC102" s="2535">
        <f t="shared" si="42"/>
        <v>76.531999999999982</v>
      </c>
    </row>
  </sheetData>
  <mergeCells count="5">
    <mergeCell ref="CC6:CH6"/>
    <mergeCell ref="CC8:CC10"/>
    <mergeCell ref="CE8:CF9"/>
    <mergeCell ref="CG8:CH9"/>
    <mergeCell ref="CC33:CH33"/>
  </mergeCells>
  <phoneticPr fontId="46" type="noConversion"/>
  <pageMargins left="0.7" right="0.7" top="0.75" bottom="0.75" header="0.3" footer="0.3"/>
  <pageSetup paperSize="9" orientation="portrait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D5:AX180"/>
  <sheetViews>
    <sheetView topLeftCell="P40" zoomScale="60" zoomScaleNormal="60" workbookViewId="0">
      <selection activeCell="V3" sqref="V3"/>
    </sheetView>
  </sheetViews>
  <sheetFormatPr defaultRowHeight="14.4"/>
  <cols>
    <col min="5" max="5" width="10" customWidth="1"/>
    <col min="15" max="19" width="9.5546875" bestFit="1" customWidth="1"/>
    <col min="20" max="21" width="10.88671875" bestFit="1" customWidth="1"/>
    <col min="22" max="28" width="9.44140625" bestFit="1" customWidth="1"/>
  </cols>
  <sheetData>
    <row r="5" spans="4:45" ht="15" thickBot="1"/>
    <row r="6" spans="4:45" ht="18" thickBot="1">
      <c r="D6" s="188" t="s">
        <v>695</v>
      </c>
      <c r="E6" s="189">
        <v>40580</v>
      </c>
      <c r="F6" s="275"/>
      <c r="G6" s="276" t="s">
        <v>24</v>
      </c>
      <c r="H6" s="190"/>
      <c r="I6" s="190"/>
      <c r="J6" s="190"/>
      <c r="K6" s="190"/>
      <c r="L6" s="190"/>
      <c r="M6" s="191"/>
      <c r="N6" s="192" t="s">
        <v>889</v>
      </c>
      <c r="O6" s="193" t="s">
        <v>890</v>
      </c>
      <c r="P6" s="193" t="s">
        <v>891</v>
      </c>
      <c r="Q6" s="193" t="s">
        <v>892</v>
      </c>
      <c r="R6" s="193" t="s">
        <v>893</v>
      </c>
      <c r="S6" s="193" t="s">
        <v>891</v>
      </c>
      <c r="T6" s="193"/>
      <c r="U6" s="193"/>
      <c r="V6" s="193"/>
      <c r="W6" s="193"/>
      <c r="X6" s="193"/>
      <c r="Y6" s="193"/>
      <c r="Z6" s="193"/>
      <c r="AA6" s="193"/>
      <c r="AB6" s="193"/>
      <c r="AC6" s="194" t="s">
        <v>894</v>
      </c>
      <c r="AD6" s="195" t="s">
        <v>895</v>
      </c>
      <c r="AE6" s="195" t="s">
        <v>890</v>
      </c>
      <c r="AF6" s="195" t="s">
        <v>896</v>
      </c>
      <c r="AG6" s="195" t="s">
        <v>897</v>
      </c>
      <c r="AH6" s="195" t="s">
        <v>890</v>
      </c>
      <c r="AI6" s="195" t="s">
        <v>898</v>
      </c>
      <c r="AJ6" s="195"/>
      <c r="AK6" s="195"/>
      <c r="AL6" s="195"/>
      <c r="AM6" s="195"/>
      <c r="AN6" s="195"/>
      <c r="AO6" s="195"/>
      <c r="AP6" s="195"/>
      <c r="AQ6" s="195"/>
      <c r="AR6" s="195"/>
      <c r="AS6" s="196"/>
    </row>
    <row r="7" spans="4:45" ht="16.2" thickBot="1">
      <c r="D7" s="105"/>
      <c r="E7" s="198" t="s">
        <v>899</v>
      </c>
      <c r="F7" s="199"/>
      <c r="G7" s="200"/>
      <c r="H7" s="201" t="s">
        <v>900</v>
      </c>
      <c r="I7" s="202"/>
      <c r="J7" s="202"/>
      <c r="K7" s="202"/>
      <c r="L7" s="202"/>
      <c r="M7" s="203"/>
      <c r="N7" s="42">
        <v>1995</v>
      </c>
      <c r="O7" s="48">
        <v>1996</v>
      </c>
      <c r="P7" s="48">
        <v>1997</v>
      </c>
      <c r="Q7" s="48">
        <v>1998</v>
      </c>
      <c r="R7" s="48">
        <v>1999</v>
      </c>
      <c r="S7" s="48">
        <v>2000</v>
      </c>
      <c r="T7" s="48">
        <v>2001</v>
      </c>
      <c r="U7" s="48">
        <v>2002</v>
      </c>
      <c r="V7" s="48">
        <v>2003</v>
      </c>
      <c r="W7" s="48">
        <v>2004</v>
      </c>
      <c r="X7" s="48">
        <v>2005</v>
      </c>
      <c r="Y7" s="48">
        <v>2006</v>
      </c>
      <c r="Z7" s="48">
        <v>2007</v>
      </c>
      <c r="AA7" s="48">
        <v>2008</v>
      </c>
      <c r="AB7" s="48">
        <v>2009</v>
      </c>
      <c r="AC7" s="48">
        <v>2010</v>
      </c>
      <c r="AD7" s="48">
        <v>2011</v>
      </c>
      <c r="AE7" s="48">
        <v>2012</v>
      </c>
      <c r="AF7" s="48">
        <v>2013</v>
      </c>
      <c r="AG7" s="48">
        <v>2014</v>
      </c>
      <c r="AH7" s="48">
        <v>2015</v>
      </c>
      <c r="AI7" s="48">
        <v>2016</v>
      </c>
      <c r="AJ7" s="48">
        <v>2017</v>
      </c>
      <c r="AK7" s="48">
        <v>2018</v>
      </c>
      <c r="AL7" s="48">
        <v>2019</v>
      </c>
      <c r="AM7" s="48">
        <v>2020</v>
      </c>
      <c r="AN7" s="48">
        <v>2021</v>
      </c>
      <c r="AO7" s="48">
        <v>2022</v>
      </c>
      <c r="AP7" s="48">
        <v>2023</v>
      </c>
      <c r="AQ7" s="48">
        <v>2024</v>
      </c>
      <c r="AR7" s="48">
        <v>2025</v>
      </c>
      <c r="AS7" s="16"/>
    </row>
    <row r="8" spans="4:45" ht="17.399999999999999">
      <c r="D8" s="105">
        <v>1</v>
      </c>
      <c r="E8" s="204">
        <v>40560</v>
      </c>
      <c r="F8" s="205" t="s">
        <v>458</v>
      </c>
      <c r="G8" s="51" t="s">
        <v>901</v>
      </c>
      <c r="H8" s="85" t="s">
        <v>861</v>
      </c>
      <c r="I8" s="85"/>
      <c r="J8" s="85"/>
      <c r="K8" s="85"/>
      <c r="L8" s="85"/>
      <c r="M8" s="85"/>
      <c r="N8" s="60">
        <v>148.30000000000001</v>
      </c>
      <c r="O8" s="206">
        <v>148.30000000000001</v>
      </c>
      <c r="P8" s="206">
        <v>148</v>
      </c>
      <c r="Q8" s="206">
        <v>147.80000000000001</v>
      </c>
      <c r="R8" s="206">
        <v>147.5</v>
      </c>
      <c r="S8" s="206">
        <v>146.30000000000001</v>
      </c>
      <c r="T8" s="206">
        <v>146.304</v>
      </c>
      <c r="U8" s="206">
        <v>145</v>
      </c>
      <c r="V8" s="206">
        <v>144.19999999999999</v>
      </c>
      <c r="W8" s="206">
        <v>143.5</v>
      </c>
      <c r="X8" s="206">
        <v>142.80000000000001</v>
      </c>
      <c r="Y8" s="206">
        <v>142.19999999999999</v>
      </c>
      <c r="Z8" s="206">
        <v>142</v>
      </c>
      <c r="AA8" s="206">
        <v>141.9</v>
      </c>
      <c r="AB8" s="206">
        <v>141.9</v>
      </c>
      <c r="AC8" s="206">
        <v>141.95412149540229</v>
      </c>
      <c r="AD8" s="206">
        <v>142.06986275401295</v>
      </c>
      <c r="AE8" s="206">
        <v>142.24618438836939</v>
      </c>
      <c r="AF8" s="206">
        <v>142.48887158214771</v>
      </c>
      <c r="AG8" s="206">
        <v>142.78283341279558</v>
      </c>
      <c r="AH8" s="206">
        <v>143.1211425150926</v>
      </c>
      <c r="AI8" s="206">
        <v>143.49740923331362</v>
      </c>
      <c r="AJ8" s="206">
        <v>143.90926458809869</v>
      </c>
      <c r="AK8" s="206">
        <v>144.35423473622441</v>
      </c>
      <c r="AL8" s="206">
        <v>144.82981107618048</v>
      </c>
      <c r="AM8" s="206">
        <v>145.33224864507378</v>
      </c>
      <c r="AN8" s="206">
        <v>145.8589925306585</v>
      </c>
      <c r="AO8" s="206">
        <v>146.40804730866543</v>
      </c>
      <c r="AP8" s="206">
        <v>146.97782369060408</v>
      </c>
      <c r="AQ8" s="206">
        <v>147.56679209565729</v>
      </c>
      <c r="AR8" s="206">
        <v>148.17350523684382</v>
      </c>
      <c r="AS8" s="44" t="s">
        <v>458</v>
      </c>
    </row>
    <row r="9" spans="4:45" ht="17.399999999999999">
      <c r="D9" s="105">
        <v>2</v>
      </c>
      <c r="E9" s="204">
        <v>40558</v>
      </c>
      <c r="F9" s="205" t="s">
        <v>902</v>
      </c>
      <c r="G9" s="51" t="s">
        <v>809</v>
      </c>
      <c r="H9" s="85" t="s">
        <v>903</v>
      </c>
      <c r="I9" s="85"/>
      <c r="J9" s="85"/>
      <c r="K9" s="85"/>
      <c r="L9" s="85"/>
      <c r="M9" s="85"/>
      <c r="N9" s="207">
        <v>0.47782198246797031</v>
      </c>
      <c r="O9" s="208">
        <v>0.46972353337828721</v>
      </c>
      <c r="P9" s="208">
        <v>0.4599932432432432</v>
      </c>
      <c r="Q9" s="208">
        <v>0.45560893098782135</v>
      </c>
      <c r="R9" s="208">
        <v>0.48932203389830509</v>
      </c>
      <c r="S9" s="208">
        <v>0.48847573479152423</v>
      </c>
      <c r="T9" s="208">
        <v>0.4881001202974628</v>
      </c>
      <c r="U9" s="208">
        <v>0.49945517241379317</v>
      </c>
      <c r="V9" s="208">
        <v>0.50509708737864079</v>
      </c>
      <c r="W9" s="208">
        <v>0.50807665505226485</v>
      </c>
      <c r="X9" s="208">
        <v>0.51688375350140059</v>
      </c>
      <c r="Y9" s="209">
        <v>0.52149085794655425</v>
      </c>
      <c r="Z9" s="209">
        <v>0.52859154929577468</v>
      </c>
      <c r="AA9" s="209">
        <v>0.53482734319943614</v>
      </c>
      <c r="AB9" s="209">
        <v>0.53100000000000003</v>
      </c>
      <c r="AC9" s="21">
        <v>0.53100000000000003</v>
      </c>
      <c r="AD9" s="21">
        <v>0.53100000000000003</v>
      </c>
      <c r="AE9" s="21">
        <v>0.53100000000000003</v>
      </c>
      <c r="AF9" s="21">
        <v>0.53100000000000003</v>
      </c>
      <c r="AG9" s="21">
        <v>0.53100000000000003</v>
      </c>
      <c r="AH9" s="21">
        <v>0.53100000000000003</v>
      </c>
      <c r="AI9" s="21">
        <v>0.53100000000000003</v>
      </c>
      <c r="AJ9" s="21">
        <v>0.53100000000000003</v>
      </c>
      <c r="AK9" s="21">
        <v>0.53100000000000003</v>
      </c>
      <c r="AL9" s="21">
        <v>0.53100000000000003</v>
      </c>
      <c r="AM9" s="21">
        <v>0.53100000000000003</v>
      </c>
      <c r="AN9" s="21">
        <v>0.53100000000000003</v>
      </c>
      <c r="AO9" s="21">
        <v>0.53100000000000003</v>
      </c>
      <c r="AP9" s="21">
        <v>0.53100000000000003</v>
      </c>
      <c r="AQ9" s="21">
        <v>0.53100000000000003</v>
      </c>
      <c r="AR9" s="21">
        <v>0.53100000000000003</v>
      </c>
      <c r="AS9" s="44" t="s">
        <v>902</v>
      </c>
    </row>
    <row r="10" spans="4:45" ht="17.399999999999999">
      <c r="D10" s="105">
        <v>3</v>
      </c>
      <c r="E10" s="204"/>
      <c r="F10" s="205" t="s">
        <v>470</v>
      </c>
      <c r="G10" s="51" t="s">
        <v>901</v>
      </c>
      <c r="H10" s="85" t="s">
        <v>904</v>
      </c>
      <c r="I10" s="85"/>
      <c r="J10" s="85"/>
      <c r="K10" s="85"/>
      <c r="L10" s="85"/>
      <c r="M10" s="85"/>
      <c r="N10" s="210">
        <v>6.6840000000000002</v>
      </c>
      <c r="O10" s="211">
        <v>6.7320000000000002</v>
      </c>
      <c r="P10" s="211">
        <v>8.0579999999999998</v>
      </c>
      <c r="Q10" s="211">
        <v>8.9019999999999992</v>
      </c>
      <c r="R10" s="211">
        <v>9.0939999999999994</v>
      </c>
      <c r="S10" s="211">
        <v>7.0590000000000002</v>
      </c>
      <c r="T10" s="211">
        <v>6.2880000000000003</v>
      </c>
      <c r="U10" s="211">
        <v>6.1550000000000002</v>
      </c>
      <c r="V10" s="211">
        <v>5.6829999999999998</v>
      </c>
      <c r="W10" s="211">
        <v>5.7750000000000004</v>
      </c>
      <c r="X10" s="211">
        <v>5.2080000000000002</v>
      </c>
      <c r="Y10" s="211">
        <v>4.9989999999999997</v>
      </c>
      <c r="Z10" s="211">
        <v>4.2460000000000004</v>
      </c>
      <c r="AA10" s="211">
        <v>5.2889999999999997</v>
      </c>
      <c r="AB10" s="211">
        <v>6.1623999999999999</v>
      </c>
      <c r="AC10" s="211">
        <v>4.3282648619633477</v>
      </c>
      <c r="AD10" s="211">
        <v>7.5158846139839284</v>
      </c>
      <c r="AE10" s="211">
        <v>8.7588124375524679</v>
      </c>
      <c r="AF10" s="211">
        <v>9.4021946597473676</v>
      </c>
      <c r="AG10" s="211">
        <v>9.1145218002935771</v>
      </c>
      <c r="AH10" s="211">
        <v>8.9630486474612034</v>
      </c>
      <c r="AI10" s="211">
        <v>8.4162039108610784</v>
      </c>
      <c r="AJ10" s="211">
        <v>8.169626556261921</v>
      </c>
      <c r="AK10" s="211">
        <v>8.1737288491717734</v>
      </c>
      <c r="AL10" s="211">
        <v>8.6694870979454404</v>
      </c>
      <c r="AM10" s="211">
        <v>9.2524400611914324</v>
      </c>
      <c r="AN10" s="211">
        <v>9.8767918180288738</v>
      </c>
      <c r="AO10" s="211">
        <v>10.466333790503274</v>
      </c>
      <c r="AP10" s="211">
        <v>10.996209283330691</v>
      </c>
      <c r="AQ10" s="211">
        <v>11.403399384013005</v>
      </c>
      <c r="AR10" s="211">
        <v>11.649014396204279</v>
      </c>
      <c r="AS10" s="44" t="s">
        <v>470</v>
      </c>
    </row>
    <row r="11" spans="4:45" ht="17.399999999999999">
      <c r="D11" s="105">
        <v>4</v>
      </c>
      <c r="E11" s="204">
        <v>40559</v>
      </c>
      <c r="F11" s="205" t="s">
        <v>499</v>
      </c>
      <c r="G11" s="51" t="s">
        <v>901</v>
      </c>
      <c r="H11" s="85" t="s">
        <v>905</v>
      </c>
      <c r="I11" s="85"/>
      <c r="J11" s="85"/>
      <c r="K11" s="85"/>
      <c r="L11" s="85"/>
      <c r="M11" s="85"/>
      <c r="N11" s="61">
        <v>2</v>
      </c>
      <c r="O11" s="212">
        <v>2.75</v>
      </c>
      <c r="P11" s="212">
        <v>3.5</v>
      </c>
      <c r="Q11" s="212">
        <v>4.25</v>
      </c>
      <c r="R11" s="212">
        <v>5</v>
      </c>
      <c r="S11" s="212">
        <v>5.75</v>
      </c>
      <c r="T11" s="212">
        <v>6.5</v>
      </c>
      <c r="U11" s="212">
        <v>7.25</v>
      </c>
      <c r="V11" s="212">
        <v>8</v>
      </c>
      <c r="W11" s="212">
        <v>8.75</v>
      </c>
      <c r="X11" s="212">
        <v>9.5</v>
      </c>
      <c r="Y11" s="212">
        <v>10.25</v>
      </c>
      <c r="Z11" s="212">
        <v>11</v>
      </c>
      <c r="AA11" s="212">
        <v>11.75</v>
      </c>
      <c r="AB11" s="212">
        <v>10</v>
      </c>
      <c r="AC11" s="206">
        <v>10.663399999999994</v>
      </c>
      <c r="AD11" s="206">
        <v>11.057059999999993</v>
      </c>
      <c r="AE11" s="206">
        <v>11.411353999999992</v>
      </c>
      <c r="AF11" s="206">
        <v>11.730218599999992</v>
      </c>
      <c r="AG11" s="206">
        <v>12.017196739999992</v>
      </c>
      <c r="AH11" s="206">
        <v>12.275477065999993</v>
      </c>
      <c r="AI11" s="206">
        <v>12.507929359399995</v>
      </c>
      <c r="AJ11" s="206">
        <v>12.717136423459996</v>
      </c>
      <c r="AK11" s="206">
        <v>12.905422781113996</v>
      </c>
      <c r="AL11" s="206">
        <v>13.074880503002596</v>
      </c>
      <c r="AM11" s="206">
        <v>13.227392452702336</v>
      </c>
      <c r="AN11" s="206">
        <v>13.364653207432102</v>
      </c>
      <c r="AO11" s="206">
        <v>13.488187886688891</v>
      </c>
      <c r="AP11" s="206">
        <v>13.59936909802</v>
      </c>
      <c r="AQ11" s="206">
        <v>13.699432188217999</v>
      </c>
      <c r="AR11" s="206">
        <v>13.789488969396198</v>
      </c>
      <c r="AS11" s="44" t="s">
        <v>499</v>
      </c>
    </row>
    <row r="12" spans="4:45" ht="17.399999999999999">
      <c r="D12" s="105">
        <v>5</v>
      </c>
      <c r="E12" s="204">
        <v>40558</v>
      </c>
      <c r="F12" s="205" t="s">
        <v>906</v>
      </c>
      <c r="G12" s="51" t="s">
        <v>396</v>
      </c>
      <c r="H12" s="85" t="s">
        <v>907</v>
      </c>
      <c r="I12" s="85"/>
      <c r="J12" s="85"/>
      <c r="K12" s="85"/>
      <c r="L12" s="85"/>
      <c r="M12" s="85"/>
      <c r="N12" s="213">
        <v>5182.04</v>
      </c>
      <c r="O12" s="214"/>
      <c r="P12" s="214"/>
      <c r="Q12" s="214"/>
      <c r="R12" s="214"/>
      <c r="S12" s="214"/>
      <c r="T12" s="214"/>
      <c r="U12" s="214"/>
      <c r="V12" s="214"/>
      <c r="W12" s="214"/>
      <c r="X12" s="214"/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44" t="s">
        <v>906</v>
      </c>
    </row>
    <row r="13" spans="4:45" ht="17.399999999999999">
      <c r="D13" s="105">
        <v>6</v>
      </c>
      <c r="E13" s="215">
        <v>40569</v>
      </c>
      <c r="F13" s="205" t="s">
        <v>768</v>
      </c>
      <c r="G13" s="51" t="s">
        <v>809</v>
      </c>
      <c r="H13" s="85" t="s">
        <v>908</v>
      </c>
      <c r="I13" s="85"/>
      <c r="J13" s="85"/>
      <c r="K13" s="85"/>
      <c r="L13" s="85"/>
      <c r="M13" s="85"/>
      <c r="N13" s="216">
        <v>0.50338504971343634</v>
      </c>
      <c r="O13" s="209">
        <v>0.4953618002876285</v>
      </c>
      <c r="P13" s="209">
        <v>0.48426929267941665</v>
      </c>
      <c r="Q13" s="209">
        <v>0.45447359805696708</v>
      </c>
      <c r="R13" s="209">
        <v>0.45181578644747206</v>
      </c>
      <c r="S13" s="209">
        <v>0.45421840440510231</v>
      </c>
      <c r="T13" s="209">
        <v>0.47453367284444886</v>
      </c>
      <c r="U13" s="209">
        <v>0.46500098778747362</v>
      </c>
      <c r="V13" s="209">
        <v>0.46872864665390768</v>
      </c>
      <c r="W13" s="209">
        <v>0.46217016187985543</v>
      </c>
      <c r="X13" s="209">
        <v>0.46127374316494563</v>
      </c>
      <c r="Y13" s="209">
        <v>0.46343295120179312</v>
      </c>
      <c r="Z13" s="209">
        <v>0.46816891313324255</v>
      </c>
      <c r="AA13" s="209">
        <v>0.4665734459260491</v>
      </c>
      <c r="AB13" s="209">
        <v>0.46549192085043889</v>
      </c>
      <c r="AC13" s="209">
        <v>0.46475800372679138</v>
      </c>
      <c r="AD13" s="209">
        <v>0.46402357456562238</v>
      </c>
      <c r="AE13" s="209">
        <v>0.46328863336693177</v>
      </c>
      <c r="AF13" s="209">
        <v>0.46255318013071967</v>
      </c>
      <c r="AG13" s="209">
        <v>0.46181721485698601</v>
      </c>
      <c r="AH13" s="209">
        <v>0.46108073754573076</v>
      </c>
      <c r="AI13" s="209">
        <v>0.46034374819695401</v>
      </c>
      <c r="AJ13" s="209">
        <v>0.45960624681065571</v>
      </c>
      <c r="AK13" s="209">
        <v>0.45886823338683586</v>
      </c>
      <c r="AL13" s="209">
        <v>0.45812970792549446</v>
      </c>
      <c r="AM13" s="209">
        <v>0.45739067042663156</v>
      </c>
      <c r="AN13" s="209">
        <v>0.45665112089024706</v>
      </c>
      <c r="AO13" s="209">
        <v>0.45591105931634102</v>
      </c>
      <c r="AP13" s="209">
        <v>0.45517048570491347</v>
      </c>
      <c r="AQ13" s="209">
        <v>0.45442940005596438</v>
      </c>
      <c r="AR13" s="209">
        <v>0.45368780236949369</v>
      </c>
      <c r="AS13" s="44" t="s">
        <v>768</v>
      </c>
    </row>
    <row r="14" spans="4:45" ht="17.399999999999999">
      <c r="D14" s="105">
        <v>7</v>
      </c>
      <c r="E14" s="215">
        <v>40558</v>
      </c>
      <c r="F14" s="205" t="s">
        <v>453</v>
      </c>
      <c r="G14" s="51" t="s">
        <v>809</v>
      </c>
      <c r="H14" s="85" t="s">
        <v>909</v>
      </c>
      <c r="I14" s="85"/>
      <c r="J14" s="85"/>
      <c r="K14" s="85"/>
      <c r="L14" s="85"/>
      <c r="M14" s="85"/>
      <c r="N14" s="216">
        <v>0.50338504971343623</v>
      </c>
      <c r="O14" s="209">
        <v>0.50747241555941613</v>
      </c>
      <c r="P14" s="209">
        <v>0.50747241555941613</v>
      </c>
      <c r="Q14" s="209">
        <v>0.50851040836118777</v>
      </c>
      <c r="R14" s="209">
        <v>0.50572313279423797</v>
      </c>
      <c r="S14" s="209">
        <v>0.50301229074374931</v>
      </c>
      <c r="T14" s="209">
        <v>0.5020647450635658</v>
      </c>
      <c r="U14" s="209">
        <v>0.50063389662984048</v>
      </c>
      <c r="V14" s="209">
        <v>0.50202618130466425</v>
      </c>
      <c r="W14" s="209">
        <v>0.50571487625796308</v>
      </c>
      <c r="X14" s="209">
        <v>0.50244146484245289</v>
      </c>
      <c r="Y14" s="209">
        <v>0.50563972907211552</v>
      </c>
      <c r="Z14" s="209">
        <v>0.50700285481915941</v>
      </c>
      <c r="AA14" s="209">
        <v>0.50653378046599018</v>
      </c>
      <c r="AB14" s="209">
        <v>0.50668278903163599</v>
      </c>
      <c r="AC14" s="209">
        <v>0.50683179759728181</v>
      </c>
      <c r="AD14" s="209">
        <v>0.50698080616292762</v>
      </c>
      <c r="AE14" s="209">
        <v>0.50712981472857344</v>
      </c>
      <c r="AF14" s="209">
        <v>0.50727882329421925</v>
      </c>
      <c r="AG14" s="209">
        <v>0.50742783185986506</v>
      </c>
      <c r="AH14" s="209">
        <v>0.50757684042551088</v>
      </c>
      <c r="AI14" s="209">
        <v>0.50772584899115669</v>
      </c>
      <c r="AJ14" s="209">
        <v>0.50787485755680251</v>
      </c>
      <c r="AK14" s="209">
        <v>0.50802386612244832</v>
      </c>
      <c r="AL14" s="209">
        <v>0.50817287468809413</v>
      </c>
      <c r="AM14" s="209">
        <v>0.50832188325373995</v>
      </c>
      <c r="AN14" s="209">
        <v>0.50847089181938576</v>
      </c>
      <c r="AO14" s="209">
        <v>0.50861990038503158</v>
      </c>
      <c r="AP14" s="209">
        <v>0.50876890895067739</v>
      </c>
      <c r="AQ14" s="209">
        <v>0.5089179175163232</v>
      </c>
      <c r="AR14" s="209">
        <v>0.50906692608196902</v>
      </c>
      <c r="AS14" s="44" t="s">
        <v>453</v>
      </c>
    </row>
    <row r="15" spans="4:45" ht="17.399999999999999">
      <c r="D15" s="105">
        <v>8</v>
      </c>
      <c r="E15" s="215">
        <v>40568</v>
      </c>
      <c r="F15" s="205" t="s">
        <v>455</v>
      </c>
      <c r="G15" s="51" t="s">
        <v>809</v>
      </c>
      <c r="H15" s="85" t="s">
        <v>1</v>
      </c>
      <c r="I15" s="85"/>
      <c r="J15" s="85"/>
      <c r="K15" s="85"/>
      <c r="L15" s="85"/>
      <c r="M15" s="85"/>
      <c r="N15" s="216">
        <v>1.0000000000000002</v>
      </c>
      <c r="O15" s="209">
        <v>0.97613542155106614</v>
      </c>
      <c r="P15" s="209">
        <v>0.95427707562307329</v>
      </c>
      <c r="Q15" s="209">
        <v>0.89373509486586733</v>
      </c>
      <c r="R15" s="209">
        <v>0.89340541721135969</v>
      </c>
      <c r="S15" s="209">
        <v>0.90299663201767733</v>
      </c>
      <c r="T15" s="209">
        <v>0.94516429904746402</v>
      </c>
      <c r="U15" s="209">
        <v>0.92882441823807793</v>
      </c>
      <c r="V15" s="209">
        <v>0.93367370888063439</v>
      </c>
      <c r="W15" s="209">
        <v>0.91389473313437652</v>
      </c>
      <c r="X15" s="209">
        <v>0.91806464124051557</v>
      </c>
      <c r="Y15" s="209">
        <v>0.9165279636001411</v>
      </c>
      <c r="Z15" s="209">
        <v>0.92340488556071665</v>
      </c>
      <c r="AA15" s="209">
        <v>0.92111022782492569</v>
      </c>
      <c r="AB15" s="209">
        <v>0.9187048207026719</v>
      </c>
      <c r="AC15" s="209">
        <v>0.91698667275820489</v>
      </c>
      <c r="AD15" s="209">
        <v>0.91526852481373788</v>
      </c>
      <c r="AE15" s="209">
        <v>0.91355037686927087</v>
      </c>
      <c r="AF15" s="209">
        <v>0.91183222892480387</v>
      </c>
      <c r="AG15" s="209">
        <v>0.91011408098033686</v>
      </c>
      <c r="AH15" s="209">
        <v>0.90839593303586985</v>
      </c>
      <c r="AI15" s="209">
        <v>0.90667778509140284</v>
      </c>
      <c r="AJ15" s="209">
        <v>0.90495963714693584</v>
      </c>
      <c r="AK15" s="209">
        <v>0.90324148920246883</v>
      </c>
      <c r="AL15" s="209">
        <v>0.90152334125800182</v>
      </c>
      <c r="AM15" s="209">
        <v>0.89980519331353481</v>
      </c>
      <c r="AN15" s="209">
        <v>0.8980870453690678</v>
      </c>
      <c r="AO15" s="209">
        <v>0.8963688974246008</v>
      </c>
      <c r="AP15" s="209">
        <v>0.89465074948013379</v>
      </c>
      <c r="AQ15" s="209">
        <v>0.89293260153566678</v>
      </c>
      <c r="AR15" s="209">
        <v>0.89121445359119977</v>
      </c>
      <c r="AS15" s="44" t="s">
        <v>455</v>
      </c>
    </row>
    <row r="16" spans="4:45" ht="17.399999999999999">
      <c r="D16" s="105">
        <v>9</v>
      </c>
      <c r="E16" s="215"/>
      <c r="F16" s="205" t="s">
        <v>455</v>
      </c>
      <c r="G16" s="51" t="s">
        <v>809</v>
      </c>
      <c r="H16" s="85" t="s">
        <v>2</v>
      </c>
      <c r="I16" s="85"/>
      <c r="J16" s="85"/>
      <c r="K16" s="85"/>
      <c r="L16" s="85"/>
      <c r="M16" s="85"/>
      <c r="N16" s="216">
        <v>1</v>
      </c>
      <c r="O16" s="217">
        <v>0.97613542155106603</v>
      </c>
      <c r="P16" s="217">
        <v>0.9542770756230734</v>
      </c>
      <c r="Q16" s="217">
        <v>0.89373509486586733</v>
      </c>
      <c r="R16" s="217">
        <v>0.89340541721136046</v>
      </c>
      <c r="S16" s="217">
        <v>0.90299663201767766</v>
      </c>
      <c r="T16" s="217">
        <v>0.94516429904746413</v>
      </c>
      <c r="U16" s="217">
        <v>0.92882441823807749</v>
      </c>
      <c r="V16" s="217">
        <v>0.93367370888063439</v>
      </c>
      <c r="W16" s="217">
        <v>0.91389473313437686</v>
      </c>
      <c r="X16" s="217">
        <v>0.9180646412405159</v>
      </c>
      <c r="Y16" s="217">
        <v>0.91652796360014122</v>
      </c>
      <c r="Z16" s="217">
        <v>0.92340488556071654</v>
      </c>
      <c r="AA16" s="217">
        <v>0.92111022782492569</v>
      </c>
      <c r="AB16" s="217">
        <v>0.9187048207026719</v>
      </c>
      <c r="AC16" s="217">
        <v>0.91698667275820467</v>
      </c>
      <c r="AD16" s="217">
        <v>0.91526852481373833</v>
      </c>
      <c r="AE16" s="217">
        <v>0.91355037686927065</v>
      </c>
      <c r="AF16" s="217">
        <v>0.91183222892480387</v>
      </c>
      <c r="AG16" s="217">
        <v>0.91011408098033697</v>
      </c>
      <c r="AH16" s="217">
        <v>0.90839593303586985</v>
      </c>
      <c r="AI16" s="217">
        <v>0.90667778509140284</v>
      </c>
      <c r="AJ16" s="217">
        <v>0.90495963714693584</v>
      </c>
      <c r="AK16" s="217">
        <v>0.90324148920246883</v>
      </c>
      <c r="AL16" s="217">
        <v>0.90152334125800171</v>
      </c>
      <c r="AM16" s="217">
        <v>0.89980519331353481</v>
      </c>
      <c r="AN16" s="217">
        <v>0.8980870453690678</v>
      </c>
      <c r="AO16" s="217">
        <v>0.89636889742460035</v>
      </c>
      <c r="AP16" s="217">
        <v>0.89465074948013401</v>
      </c>
      <c r="AQ16" s="217">
        <v>0.89293260153566656</v>
      </c>
      <c r="AR16" s="217">
        <v>0.89121445359119977</v>
      </c>
      <c r="AS16" s="44" t="s">
        <v>455</v>
      </c>
    </row>
    <row r="17" spans="4:45" ht="17.399999999999999">
      <c r="D17" s="105">
        <v>10</v>
      </c>
      <c r="E17" s="204">
        <v>40569</v>
      </c>
      <c r="F17" s="205" t="s">
        <v>625</v>
      </c>
      <c r="G17" s="51" t="s">
        <v>25</v>
      </c>
      <c r="H17" s="85" t="s">
        <v>910</v>
      </c>
      <c r="I17" s="85"/>
      <c r="J17" s="85"/>
      <c r="K17" s="85"/>
      <c r="L17" s="85"/>
      <c r="M17" s="85"/>
      <c r="N17" s="218">
        <v>41.898728332450226</v>
      </c>
      <c r="O17" s="206">
        <v>40.959333810408353</v>
      </c>
      <c r="P17" s="206">
        <v>42.943103946159539</v>
      </c>
      <c r="Q17" s="206">
        <v>41.295191532056663</v>
      </c>
      <c r="R17" s="206">
        <v>40.228175266900188</v>
      </c>
      <c r="S17" s="206">
        <v>42.187223907777508</v>
      </c>
      <c r="T17" s="206">
        <v>43.883057363154578</v>
      </c>
      <c r="U17" s="206">
        <v>44.634849896676116</v>
      </c>
      <c r="V17" s="206">
        <v>46.981586285186673</v>
      </c>
      <c r="W17" s="206">
        <v>50.250658719950138</v>
      </c>
      <c r="X17" s="206">
        <v>51.605886874051755</v>
      </c>
      <c r="Y17" s="206">
        <v>55.275929330773181</v>
      </c>
      <c r="Z17" s="206">
        <v>58.370862490052467</v>
      </c>
      <c r="AA17" s="206">
        <v>60.946255566803515</v>
      </c>
      <c r="AB17" s="206">
        <v>58.184038954828694</v>
      </c>
      <c r="AC17" s="206">
        <v>60.63</v>
      </c>
      <c r="AD17" s="206">
        <v>62.953662992912747</v>
      </c>
      <c r="AE17" s="206">
        <v>65.161142836179849</v>
      </c>
      <c r="AF17" s="206">
        <v>67.258248687283597</v>
      </c>
      <c r="AG17" s="206">
        <v>69.25049924583216</v>
      </c>
      <c r="AH17" s="206">
        <v>71.143137276453288</v>
      </c>
      <c r="AI17" s="206">
        <v>72.941143405543357</v>
      </c>
      <c r="AJ17" s="206">
        <v>74.649249228178917</v>
      </c>
      <c r="AK17" s="206">
        <v>76.271949759682698</v>
      </c>
      <c r="AL17" s="206">
        <v>77.813515264611297</v>
      </c>
      <c r="AM17" s="206">
        <v>79.27800249429346</v>
      </c>
      <c r="AN17" s="206">
        <v>80.669265362491515</v>
      </c>
      <c r="AO17" s="206">
        <v>81.990965087279662</v>
      </c>
      <c r="AP17" s="206">
        <v>83.246579825828405</v>
      </c>
      <c r="AQ17" s="206">
        <v>84.439413827449712</v>
      </c>
      <c r="AR17" s="206">
        <v>85.57260612898996</v>
      </c>
      <c r="AS17" s="44" t="s">
        <v>625</v>
      </c>
    </row>
    <row r="18" spans="4:45" ht="17.399999999999999">
      <c r="D18" s="105">
        <v>11</v>
      </c>
      <c r="E18" s="204">
        <v>40571</v>
      </c>
      <c r="F18" s="205" t="s">
        <v>667</v>
      </c>
      <c r="G18" s="51" t="s">
        <v>784</v>
      </c>
      <c r="H18" s="85" t="s">
        <v>911</v>
      </c>
      <c r="I18" s="85"/>
      <c r="J18" s="85"/>
      <c r="K18" s="85"/>
      <c r="L18" s="85"/>
      <c r="M18" s="85"/>
      <c r="N18" s="216">
        <v>0.52160205427817563</v>
      </c>
      <c r="O18" s="209">
        <v>0.5067438248459637</v>
      </c>
      <c r="P18" s="209">
        <v>0.51383849518465941</v>
      </c>
      <c r="Q18" s="209">
        <v>0.48885450135935193</v>
      </c>
      <c r="R18" s="209">
        <v>0.51928520325119931</v>
      </c>
      <c r="S18" s="209">
        <v>0.56781922335937107</v>
      </c>
      <c r="T18" s="209">
        <v>0.59297471844096905</v>
      </c>
      <c r="U18" s="209">
        <v>0.61475861456113512</v>
      </c>
      <c r="V18" s="209">
        <v>0.65395490757021968</v>
      </c>
      <c r="W18" s="209">
        <v>0.69617009004663599</v>
      </c>
      <c r="X18" s="209">
        <v>0.72318739636906915</v>
      </c>
      <c r="Y18" s="209">
        <v>0.77095735361632201</v>
      </c>
      <c r="Z18" s="209">
        <v>0.81631895073948835</v>
      </c>
      <c r="AA18" s="209">
        <v>0.83011082864808206</v>
      </c>
      <c r="AB18" s="209">
        <v>0.83011082864808206</v>
      </c>
      <c r="AC18" s="209">
        <v>0.83011082864808206</v>
      </c>
      <c r="AD18" s="209">
        <v>0.86011082864808208</v>
      </c>
      <c r="AE18" s="209">
        <v>0.89011082864808211</v>
      </c>
      <c r="AF18" s="209">
        <v>0.91801082864808214</v>
      </c>
      <c r="AG18" s="209">
        <v>0.9439578286480822</v>
      </c>
      <c r="AH18" s="209">
        <v>0.9680885386480822</v>
      </c>
      <c r="AI18" s="209">
        <v>0.99053009894808219</v>
      </c>
      <c r="AJ18" s="209">
        <v>1.0114007500270823</v>
      </c>
      <c r="AK18" s="209">
        <v>1.0308104555305524</v>
      </c>
      <c r="AL18" s="209">
        <v>1.0488614816487796</v>
      </c>
      <c r="AM18" s="209">
        <v>1.0656489359387309</v>
      </c>
      <c r="AN18" s="209">
        <v>1.0812612684283855</v>
      </c>
      <c r="AO18" s="209">
        <v>1.0957807376437643</v>
      </c>
      <c r="AP18" s="209">
        <v>1.1092838440140664</v>
      </c>
      <c r="AQ18" s="209">
        <v>1.1218417329384474</v>
      </c>
      <c r="AR18" s="209">
        <v>1.1335205696381216</v>
      </c>
      <c r="AS18" s="44" t="s">
        <v>667</v>
      </c>
    </row>
    <row r="19" spans="4:45" ht="17.399999999999999">
      <c r="D19" s="105">
        <v>12</v>
      </c>
      <c r="E19" s="204">
        <v>40558</v>
      </c>
      <c r="F19" s="205" t="s">
        <v>590</v>
      </c>
      <c r="G19" s="51" t="s">
        <v>809</v>
      </c>
      <c r="H19" s="85" t="s">
        <v>912</v>
      </c>
      <c r="I19" s="85"/>
      <c r="J19" s="85"/>
      <c r="K19" s="85"/>
      <c r="L19" s="85"/>
      <c r="M19" s="85"/>
      <c r="N19" s="61">
        <v>1</v>
      </c>
      <c r="O19" s="212">
        <v>1.218</v>
      </c>
      <c r="P19" s="212">
        <v>1.3519800000000002</v>
      </c>
      <c r="Q19" s="212">
        <v>2.4930511200000005</v>
      </c>
      <c r="R19" s="212">
        <v>3.4030147788000007</v>
      </c>
      <c r="S19" s="212">
        <v>4.0904237641176007</v>
      </c>
      <c r="T19" s="212">
        <v>4.8512425842434741</v>
      </c>
      <c r="U19" s="212">
        <v>5.5837802144642392</v>
      </c>
      <c r="V19" s="212">
        <v>6.2538338401999489</v>
      </c>
      <c r="W19" s="212">
        <v>6.9855323995033425</v>
      </c>
      <c r="X19" s="212">
        <v>7.7469554310492068</v>
      </c>
      <c r="Y19" s="212">
        <v>8.4441814198436358</v>
      </c>
      <c r="Z19" s="212">
        <v>9.4490390088050287</v>
      </c>
      <c r="AA19" s="212">
        <v>10.705761196976098</v>
      </c>
      <c r="AB19" s="212">
        <v>11.647868182309995</v>
      </c>
      <c r="AC19" s="212">
        <v>12.579697636894796</v>
      </c>
      <c r="AD19" s="212">
        <v>13.460276471477432</v>
      </c>
      <c r="AE19" s="212">
        <v>14.335194442123464</v>
      </c>
      <c r="AF19" s="212">
        <v>15.195306108650874</v>
      </c>
      <c r="AG19" s="212">
        <v>16.031047944626671</v>
      </c>
      <c r="AH19" s="212">
        <v>16.86466243774726</v>
      </c>
      <c r="AI19" s="212">
        <v>17.707895559634622</v>
      </c>
      <c r="AJ19" s="212">
        <v>18.504750859818177</v>
      </c>
      <c r="AK19" s="212">
        <v>19.244940894210906</v>
      </c>
      <c r="AL19" s="212">
        <v>19.822289121037233</v>
      </c>
      <c r="AM19" s="212">
        <v>20.416957794668349</v>
      </c>
      <c r="AN19" s="212">
        <v>21.029466528508401</v>
      </c>
      <c r="AO19" s="212">
        <v>21.660350524363654</v>
      </c>
      <c r="AP19" s="212">
        <v>22.310161040094563</v>
      </c>
      <c r="AQ19" s="212">
        <v>22.9794658712974</v>
      </c>
      <c r="AR19" s="212">
        <v>23.668849847436324</v>
      </c>
      <c r="AS19" s="44" t="s">
        <v>590</v>
      </c>
    </row>
    <row r="20" spans="4:45" ht="17.399999999999999">
      <c r="D20" s="105">
        <v>13</v>
      </c>
      <c r="E20" s="215">
        <v>40554</v>
      </c>
      <c r="F20" s="205" t="s">
        <v>913</v>
      </c>
      <c r="G20" s="51" t="s">
        <v>809</v>
      </c>
      <c r="H20" s="85" t="s">
        <v>914</v>
      </c>
      <c r="I20" s="85"/>
      <c r="J20" s="85"/>
      <c r="K20" s="85"/>
      <c r="L20" s="85"/>
      <c r="M20" s="85"/>
      <c r="N20" s="61">
        <v>2.3130000000000002</v>
      </c>
      <c r="O20" s="55">
        <v>1.218</v>
      </c>
      <c r="P20" s="55">
        <v>1.1100000000000001</v>
      </c>
      <c r="Q20" s="55">
        <v>1.8440000000000001</v>
      </c>
      <c r="R20" s="55">
        <v>1.365</v>
      </c>
      <c r="S20" s="55">
        <v>1.202</v>
      </c>
      <c r="T20" s="55">
        <v>1.1859999999999999</v>
      </c>
      <c r="U20" s="55">
        <v>1.151</v>
      </c>
      <c r="V20" s="55">
        <v>1.1200000000000001</v>
      </c>
      <c r="W20" s="55">
        <v>1.117</v>
      </c>
      <c r="X20" s="55">
        <v>1.109</v>
      </c>
      <c r="Y20" s="55">
        <v>1.0900000000000001</v>
      </c>
      <c r="Z20" s="55">
        <v>1.119</v>
      </c>
      <c r="AA20" s="55">
        <v>1.133</v>
      </c>
      <c r="AB20" s="219">
        <v>1.0880000000000001</v>
      </c>
      <c r="AC20" s="219">
        <v>1.08</v>
      </c>
      <c r="AD20" s="219">
        <v>1.07</v>
      </c>
      <c r="AE20" s="219">
        <v>1.0649999999999999</v>
      </c>
      <c r="AF20" s="219">
        <v>1.06</v>
      </c>
      <c r="AG20" s="219">
        <v>1.0549999999999999</v>
      </c>
      <c r="AH20" s="219">
        <v>1.052</v>
      </c>
      <c r="AI20" s="219">
        <v>1.05</v>
      </c>
      <c r="AJ20" s="219">
        <v>1.0449999999999999</v>
      </c>
      <c r="AK20" s="219">
        <v>1.04</v>
      </c>
      <c r="AL20" s="219">
        <v>1.03</v>
      </c>
      <c r="AM20" s="219">
        <v>1.03</v>
      </c>
      <c r="AN20" s="219">
        <v>1.03</v>
      </c>
      <c r="AO20" s="219">
        <v>1.03</v>
      </c>
      <c r="AP20" s="219">
        <v>1.03</v>
      </c>
      <c r="AQ20" s="219">
        <v>1.03</v>
      </c>
      <c r="AR20" s="219">
        <v>1.03</v>
      </c>
      <c r="AS20" s="44" t="s">
        <v>913</v>
      </c>
    </row>
    <row r="21" spans="4:45" ht="17.399999999999999">
      <c r="D21" s="105">
        <v>14</v>
      </c>
      <c r="E21" s="204">
        <v>40560</v>
      </c>
      <c r="F21" s="205" t="s">
        <v>501</v>
      </c>
      <c r="G21" s="51" t="s">
        <v>815</v>
      </c>
      <c r="H21" s="85" t="s">
        <v>26</v>
      </c>
      <c r="I21" s="85"/>
      <c r="J21" s="85"/>
      <c r="K21" s="85"/>
      <c r="L21" s="85"/>
      <c r="M21" s="85"/>
      <c r="N21" s="207">
        <v>9.8080387555824675</v>
      </c>
      <c r="O21" s="206">
        <v>15.570510673284815</v>
      </c>
      <c r="P21" s="206">
        <v>18.93704444199556</v>
      </c>
      <c r="Q21" s="206">
        <v>20.148467784389108</v>
      </c>
      <c r="R21" s="206">
        <v>28.401133926735408</v>
      </c>
      <c r="S21" s="206">
        <v>41.356039592807974</v>
      </c>
      <c r="T21" s="206">
        <v>53.730593097285833</v>
      </c>
      <c r="U21" s="206">
        <v>68.897926981881497</v>
      </c>
      <c r="V21" s="206">
        <v>82.917114647647423</v>
      </c>
      <c r="W21" s="206">
        <v>103.38196457751305</v>
      </c>
      <c r="X21" s="206">
        <v>121.30476422160481</v>
      </c>
      <c r="Y21" s="206">
        <v>150.94261211228229</v>
      </c>
      <c r="Z21" s="206">
        <v>189.77332363654145</v>
      </c>
      <c r="AA21" s="206">
        <v>237.43092419219701</v>
      </c>
      <c r="AB21" s="206">
        <v>254.90527282716073</v>
      </c>
      <c r="AC21" s="206">
        <v>299.97412704456832</v>
      </c>
      <c r="AD21" s="206">
        <v>339.45496379872282</v>
      </c>
      <c r="AE21" s="206">
        <v>375.29835042604122</v>
      </c>
      <c r="AF21" s="206">
        <v>408.04013142506159</v>
      </c>
      <c r="AG21" s="206">
        <v>438.03267401383857</v>
      </c>
      <c r="AH21" s="206">
        <v>466.3704400219558</v>
      </c>
      <c r="AI21" s="206">
        <v>493.77561123821073</v>
      </c>
      <c r="AJ21" s="206">
        <v>518.98489764481769</v>
      </c>
      <c r="AK21" s="206">
        <v>541.9205650304566</v>
      </c>
      <c r="AL21" s="206">
        <v>559.74727371833933</v>
      </c>
      <c r="AM21" s="206">
        <v>577.67100707224415</v>
      </c>
      <c r="AN21" s="206">
        <v>595.81681550204928</v>
      </c>
      <c r="AO21" s="206">
        <v>614.27942396202752</v>
      </c>
      <c r="AP21" s="206">
        <v>633.13182966122338</v>
      </c>
      <c r="AQ21" s="206">
        <v>652.43150511988142</v>
      </c>
      <c r="AR21" s="206">
        <v>672.22487480359825</v>
      </c>
      <c r="AS21" s="44" t="s">
        <v>501</v>
      </c>
    </row>
    <row r="22" spans="4:45" ht="17.399999999999999">
      <c r="D22" s="105">
        <v>15</v>
      </c>
      <c r="E22" s="204">
        <v>40571</v>
      </c>
      <c r="F22" s="205" t="s">
        <v>505</v>
      </c>
      <c r="G22" s="51" t="s">
        <v>809</v>
      </c>
      <c r="H22" s="85" t="s">
        <v>915</v>
      </c>
      <c r="I22" s="85"/>
      <c r="J22" s="85"/>
      <c r="K22" s="85"/>
      <c r="L22" s="85"/>
      <c r="M22" s="85"/>
      <c r="N22" s="61">
        <v>1</v>
      </c>
      <c r="O22" s="212">
        <v>1.3033870299749575</v>
      </c>
      <c r="P22" s="212">
        <v>1.428103745070993</v>
      </c>
      <c r="Q22" s="212">
        <v>0.82400276348569257</v>
      </c>
      <c r="R22" s="212">
        <v>0.85092184160655193</v>
      </c>
      <c r="S22" s="212">
        <v>1.0308333636039033</v>
      </c>
      <c r="T22" s="212">
        <v>1.1292405616766865</v>
      </c>
      <c r="U22" s="212">
        <v>1.2580435231747771</v>
      </c>
      <c r="V22" s="212">
        <v>1.3518100462463474</v>
      </c>
      <c r="W22" s="212">
        <v>1.50890916461988</v>
      </c>
      <c r="X22" s="212">
        <v>1.5964842093733607</v>
      </c>
      <c r="Y22" s="212">
        <v>1.822519285820674</v>
      </c>
      <c r="Z22" s="212">
        <v>2.0476953714022907</v>
      </c>
      <c r="AA22" s="212">
        <v>2.261192612769257</v>
      </c>
      <c r="AB22" s="212">
        <v>2.2312600969913485</v>
      </c>
      <c r="AC22" s="212">
        <v>2.4312600969913487</v>
      </c>
      <c r="AD22" s="212">
        <v>2.5712600969913488</v>
      </c>
      <c r="AE22" s="212">
        <v>2.6692600969913487</v>
      </c>
      <c r="AF22" s="212">
        <v>2.7378600969913487</v>
      </c>
      <c r="AG22" s="212">
        <v>2.7858800969913489</v>
      </c>
      <c r="AH22" s="212">
        <v>2.8194940969913489</v>
      </c>
      <c r="AI22" s="212">
        <v>2.8430238969913488</v>
      </c>
      <c r="AJ22" s="212">
        <v>2.8594947569913489</v>
      </c>
      <c r="AK22" s="212">
        <v>2.8710243589913489</v>
      </c>
      <c r="AL22" s="212">
        <v>2.8790950803913491</v>
      </c>
      <c r="AM22" s="212">
        <v>2.8847445853713491</v>
      </c>
      <c r="AN22" s="212">
        <v>2.8886992388573494</v>
      </c>
      <c r="AO22" s="212">
        <v>2.8914674962975493</v>
      </c>
      <c r="AP22" s="212">
        <v>2.893405276505689</v>
      </c>
      <c r="AQ22" s="212">
        <v>2.8947617226513866</v>
      </c>
      <c r="AR22" s="212">
        <v>2.8957112349533749</v>
      </c>
      <c r="AS22" s="44" t="s">
        <v>505</v>
      </c>
    </row>
    <row r="23" spans="4:45" ht="17.399999999999999">
      <c r="D23" s="105">
        <v>16</v>
      </c>
      <c r="E23" s="204">
        <v>40561</v>
      </c>
      <c r="F23" s="205" t="s">
        <v>636</v>
      </c>
      <c r="G23" s="51" t="s">
        <v>809</v>
      </c>
      <c r="H23" s="85" t="s">
        <v>916</v>
      </c>
      <c r="I23" s="85"/>
      <c r="J23" s="85"/>
      <c r="K23" s="85"/>
      <c r="L23" s="85"/>
      <c r="M23" s="85"/>
      <c r="N23" s="61">
        <v>1</v>
      </c>
      <c r="O23" s="208">
        <v>1.5208627234830072</v>
      </c>
      <c r="P23" s="208">
        <v>1.7178414165358655</v>
      </c>
      <c r="Q23" s="208">
        <v>2.3960063610370872</v>
      </c>
      <c r="R23" s="208">
        <v>4.6635438415007853</v>
      </c>
      <c r="S23" s="208">
        <v>5.0821555739588433</v>
      </c>
      <c r="T23" s="208">
        <v>6.2597323676099625</v>
      </c>
      <c r="U23" s="208">
        <v>7.0728069310904988</v>
      </c>
      <c r="V23" s="208">
        <v>7.858642990356409</v>
      </c>
      <c r="W23" s="208">
        <v>9.0480534412004516</v>
      </c>
      <c r="X23" s="208">
        <v>10.070168753275148</v>
      </c>
      <c r="Y23" s="208">
        <v>11.237649593940658</v>
      </c>
      <c r="Z23" s="208">
        <v>12.98598556755597</v>
      </c>
      <c r="AA23" s="208">
        <v>15.377950222948625</v>
      </c>
      <c r="AB23" s="208">
        <v>17.094995828378213</v>
      </c>
      <c r="AC23" s="208">
        <v>18.554484592993362</v>
      </c>
      <c r="AD23" s="208">
        <v>19.795050042916237</v>
      </c>
      <c r="AE23" s="208">
        <v>20.849530675350682</v>
      </c>
      <c r="AF23" s="208">
        <v>21.745839212919961</v>
      </c>
      <c r="AG23" s="208">
        <v>22.507701469853849</v>
      </c>
      <c r="AH23" s="208">
        <v>23.155284388247654</v>
      </c>
      <c r="AI23" s="208">
        <v>23.70572986888239</v>
      </c>
      <c r="AJ23" s="208">
        <v>24.173608527421916</v>
      </c>
      <c r="AK23" s="208">
        <v>24.571305387180512</v>
      </c>
      <c r="AL23" s="208">
        <v>24.909347717975319</v>
      </c>
      <c r="AM23" s="208">
        <v>25.196683699150903</v>
      </c>
      <c r="AN23" s="208">
        <v>25.440919283150148</v>
      </c>
      <c r="AO23" s="208">
        <v>25.648519529549507</v>
      </c>
      <c r="AP23" s="208">
        <v>25.824979738988961</v>
      </c>
      <c r="AQ23" s="208">
        <v>25.974970917012499</v>
      </c>
      <c r="AR23" s="208">
        <v>26.102463418332505</v>
      </c>
      <c r="AS23" s="44" t="s">
        <v>636</v>
      </c>
    </row>
    <row r="24" spans="4:45" ht="17.399999999999999">
      <c r="D24" s="105">
        <v>17</v>
      </c>
      <c r="E24" s="204">
        <v>40561</v>
      </c>
      <c r="F24" s="205" t="s">
        <v>638</v>
      </c>
      <c r="G24" s="51" t="s">
        <v>809</v>
      </c>
      <c r="H24" s="85" t="s">
        <v>917</v>
      </c>
      <c r="I24" s="85"/>
      <c r="J24" s="85"/>
      <c r="K24" s="85"/>
      <c r="L24" s="85"/>
      <c r="M24" s="85"/>
      <c r="N24" s="139">
        <v>1</v>
      </c>
      <c r="O24" s="220">
        <v>1.4723042021668387</v>
      </c>
      <c r="P24" s="220">
        <v>1.718558670886825</v>
      </c>
      <c r="Q24" s="220">
        <v>2.1060897046594418</v>
      </c>
      <c r="R24" s="220">
        <v>3.7278422973468679</v>
      </c>
      <c r="S24" s="220">
        <v>4.5918326760987345</v>
      </c>
      <c r="T24" s="220">
        <v>5.5611795404054956</v>
      </c>
      <c r="U24" s="220">
        <v>6.4682386989177063</v>
      </c>
      <c r="V24" s="220">
        <v>7.2584827706254744</v>
      </c>
      <c r="W24" s="220">
        <v>8.3282279936178867</v>
      </c>
      <c r="X24" s="220">
        <v>9.3704714639566831</v>
      </c>
      <c r="Y24" s="220">
        <v>10.171880121895711</v>
      </c>
      <c r="Z24" s="220">
        <v>10.996054426330467</v>
      </c>
      <c r="AA24" s="220">
        <v>12.387688578322294</v>
      </c>
      <c r="AB24" s="220">
        <v>14.142054699347748</v>
      </c>
      <c r="AC24" s="220">
        <v>15.720984208270655</v>
      </c>
      <c r="AD24" s="220">
        <v>17.142020766301272</v>
      </c>
      <c r="AE24" s="220">
        <v>18.420953668528828</v>
      </c>
      <c r="AF24" s="220">
        <v>19.571993280533629</v>
      </c>
      <c r="AG24" s="220">
        <v>20.607928931337952</v>
      </c>
      <c r="AH24" s="220">
        <v>21.540271017061841</v>
      </c>
      <c r="AI24" s="220">
        <v>22.379378894213339</v>
      </c>
      <c r="AJ24" s="220">
        <v>23.134575983649686</v>
      </c>
      <c r="AK24" s="220">
        <v>23.814253364142399</v>
      </c>
      <c r="AL24" s="220">
        <v>24.425963006585839</v>
      </c>
      <c r="AM24" s="220">
        <v>24.976501684784935</v>
      </c>
      <c r="AN24" s="220">
        <v>25.471986495164121</v>
      </c>
      <c r="AO24" s="220">
        <v>25.917922824505389</v>
      </c>
      <c r="AP24" s="220">
        <v>26.319265520912531</v>
      </c>
      <c r="AQ24" s="220">
        <v>26.680473947678959</v>
      </c>
      <c r="AR24" s="220">
        <v>27.005561531768745</v>
      </c>
      <c r="AS24" s="44" t="s">
        <v>638</v>
      </c>
    </row>
    <row r="25" spans="4:45" ht="17.399999999999999">
      <c r="D25" s="105">
        <v>18</v>
      </c>
      <c r="E25" s="204">
        <v>40561</v>
      </c>
      <c r="F25" s="205" t="s">
        <v>640</v>
      </c>
      <c r="G25" s="51" t="s">
        <v>809</v>
      </c>
      <c r="H25" s="85" t="s">
        <v>918</v>
      </c>
      <c r="I25" s="85"/>
      <c r="J25" s="85"/>
      <c r="K25" s="85"/>
      <c r="L25" s="85"/>
      <c r="M25" s="85"/>
      <c r="N25" s="139">
        <v>1</v>
      </c>
      <c r="O25" s="220">
        <v>1.3930686182271845</v>
      </c>
      <c r="P25" s="220">
        <v>1.8000080782573098</v>
      </c>
      <c r="Q25" s="220">
        <v>1.7787455021088285</v>
      </c>
      <c r="R25" s="220">
        <v>2.4627881934761957</v>
      </c>
      <c r="S25" s="220">
        <v>3.7854704885295649</v>
      </c>
      <c r="T25" s="220">
        <v>5.0878645956391404</v>
      </c>
      <c r="U25" s="220">
        <v>6.5528675715584006</v>
      </c>
      <c r="V25" s="220">
        <v>7.7958923176158716</v>
      </c>
      <c r="W25" s="220">
        <v>9.32454487174126</v>
      </c>
      <c r="X25" s="220">
        <v>11.601834838997735</v>
      </c>
      <c r="Y25" s="220">
        <v>14.558879763670303</v>
      </c>
      <c r="Z25" s="220">
        <v>17.418642331419541</v>
      </c>
      <c r="AA25" s="220">
        <v>21.197986953091959</v>
      </c>
      <c r="AB25" s="220">
        <v>22.736622248955495</v>
      </c>
      <c r="AC25" s="220">
        <v>23.967530485646325</v>
      </c>
      <c r="AD25" s="220">
        <v>24.95225707499899</v>
      </c>
      <c r="AE25" s="220">
        <v>25.740038346481121</v>
      </c>
      <c r="AF25" s="220">
        <v>26.370263363666826</v>
      </c>
      <c r="AG25" s="220">
        <v>26.874443377415389</v>
      </c>
      <c r="AH25" s="220">
        <v>27.277787388414239</v>
      </c>
      <c r="AI25" s="220">
        <v>27.600462597213319</v>
      </c>
      <c r="AJ25" s="220">
        <v>27.858602764252584</v>
      </c>
      <c r="AK25" s="220">
        <v>28.065114897883998</v>
      </c>
      <c r="AL25" s="220">
        <v>28.230324604789129</v>
      </c>
      <c r="AM25" s="220">
        <v>28.362492370313234</v>
      </c>
      <c r="AN25" s="220">
        <v>28.46822658273252</v>
      </c>
      <c r="AO25" s="220">
        <v>28.552813952667947</v>
      </c>
      <c r="AP25" s="220">
        <v>28.620483848616288</v>
      </c>
      <c r="AQ25" s="220">
        <v>28.674619765374963</v>
      </c>
      <c r="AR25" s="220">
        <v>28.717928498781902</v>
      </c>
      <c r="AS25" s="44" t="s">
        <v>640</v>
      </c>
    </row>
    <row r="26" spans="4:45" ht="17.399999999999999">
      <c r="D26" s="105">
        <v>19</v>
      </c>
      <c r="E26" s="204">
        <v>40561</v>
      </c>
      <c r="F26" s="205" t="s">
        <v>642</v>
      </c>
      <c r="G26" s="51" t="s">
        <v>809</v>
      </c>
      <c r="H26" s="85" t="s">
        <v>919</v>
      </c>
      <c r="I26" s="85"/>
      <c r="J26" s="85"/>
      <c r="K26" s="85"/>
      <c r="L26" s="85"/>
      <c r="M26" s="85"/>
      <c r="N26" s="139">
        <v>1</v>
      </c>
      <c r="O26" s="220">
        <v>1.4997486735151189</v>
      </c>
      <c r="P26" s="220">
        <v>1.9526312539350381</v>
      </c>
      <c r="Q26" s="220">
        <v>2.0059060303554479</v>
      </c>
      <c r="R26" s="220">
        <v>2.3429902839701637</v>
      </c>
      <c r="S26" s="220">
        <v>3.2406114791110681</v>
      </c>
      <c r="T26" s="220">
        <v>3.97066356566005</v>
      </c>
      <c r="U26" s="220">
        <v>5.2843734476785453</v>
      </c>
      <c r="V26" s="220">
        <v>6.1715081316356093</v>
      </c>
      <c r="W26" s="220">
        <v>6.7016025302099056</v>
      </c>
      <c r="X26" s="220">
        <v>7.6444391008680617</v>
      </c>
      <c r="Y26" s="220">
        <v>8.6255823418854529</v>
      </c>
      <c r="Z26" s="220">
        <v>10.098705571453516</v>
      </c>
      <c r="AA26" s="220">
        <v>11.941266045828566</v>
      </c>
      <c r="AB26" s="220">
        <v>13.041066866946434</v>
      </c>
      <c r="AC26" s="220">
        <v>14.085877647008408</v>
      </c>
      <c r="AD26" s="220">
        <v>15.078447888067283</v>
      </c>
      <c r="AE26" s="220">
        <v>16.021389617073215</v>
      </c>
      <c r="AF26" s="220">
        <v>16.917184259628851</v>
      </c>
      <c r="AG26" s="220">
        <v>17.768189170056704</v>
      </c>
      <c r="AH26" s="220">
        <v>18.576643834963164</v>
      </c>
      <c r="AI26" s="220">
        <v>19.344675766624302</v>
      </c>
      <c r="AJ26" s="220">
        <v>20.074306101702383</v>
      </c>
      <c r="AK26" s="220">
        <v>20.767454920026559</v>
      </c>
      <c r="AL26" s="220">
        <v>21.425946297434525</v>
      </c>
      <c r="AM26" s="220">
        <v>22.051513105972091</v>
      </c>
      <c r="AN26" s="220">
        <v>22.645801574082778</v>
      </c>
      <c r="AO26" s="220">
        <v>23.210375618787932</v>
      </c>
      <c r="AP26" s="220">
        <v>23.746720961257829</v>
      </c>
      <c r="AQ26" s="220">
        <v>24.256249036604231</v>
      </c>
      <c r="AR26" s="220">
        <v>24.740300708183312</v>
      </c>
      <c r="AS26" s="44" t="s">
        <v>642</v>
      </c>
    </row>
    <row r="27" spans="4:45" ht="17.399999999999999">
      <c r="D27" s="105">
        <v>20</v>
      </c>
      <c r="E27" s="204">
        <v>40561</v>
      </c>
      <c r="F27" s="205" t="s">
        <v>644</v>
      </c>
      <c r="G27" s="51" t="s">
        <v>809</v>
      </c>
      <c r="H27" s="85" t="s">
        <v>920</v>
      </c>
      <c r="I27" s="85"/>
      <c r="J27" s="85"/>
      <c r="K27" s="85"/>
      <c r="L27" s="85"/>
      <c r="M27" s="85"/>
      <c r="N27" s="61">
        <v>1</v>
      </c>
      <c r="O27" s="208">
        <v>1.2062700474653716</v>
      </c>
      <c r="P27" s="208">
        <v>1.3416177583578945</v>
      </c>
      <c r="Q27" s="208">
        <v>1.8660673788361899</v>
      </c>
      <c r="R27" s="208">
        <v>4.2606518536034752</v>
      </c>
      <c r="S27" s="208">
        <v>6.0082118596068304</v>
      </c>
      <c r="T27" s="208">
        <v>5.9105900050191611</v>
      </c>
      <c r="U27" s="208">
        <v>6.1936348205467269</v>
      </c>
      <c r="V27" s="208">
        <v>6.7152546240758211</v>
      </c>
      <c r="W27" s="208">
        <v>7.5604196927091616</v>
      </c>
      <c r="X27" s="208">
        <v>9.215042167890525</v>
      </c>
      <c r="Y27" s="208">
        <v>10.249953881504441</v>
      </c>
      <c r="Z27" s="208">
        <v>10.650833844352405</v>
      </c>
      <c r="AA27" s="208">
        <v>13.642078961141971</v>
      </c>
      <c r="AB27" s="208">
        <v>12.012592427340103</v>
      </c>
      <c r="AC27" s="208">
        <v>13.579697636894796</v>
      </c>
      <c r="AD27" s="208">
        <v>14.460276471477432</v>
      </c>
      <c r="AE27" s="208">
        <v>15.335194442123464</v>
      </c>
      <c r="AF27" s="208">
        <v>16.195306108650875</v>
      </c>
      <c r="AG27" s="208">
        <v>17.031047944626671</v>
      </c>
      <c r="AH27" s="208">
        <v>17.86466243774726</v>
      </c>
      <c r="AI27" s="208">
        <v>18.707895559634622</v>
      </c>
      <c r="AJ27" s="208">
        <v>19.504750859818177</v>
      </c>
      <c r="AK27" s="208">
        <v>20.244940894210906</v>
      </c>
      <c r="AL27" s="208">
        <v>20.822289121037233</v>
      </c>
      <c r="AM27" s="208">
        <v>21.416957794668349</v>
      </c>
      <c r="AN27" s="208">
        <v>22.029466528508401</v>
      </c>
      <c r="AO27" s="208">
        <v>22.660350524363654</v>
      </c>
      <c r="AP27" s="208">
        <v>23.310161040094563</v>
      </c>
      <c r="AQ27" s="208">
        <v>23.9794658712974</v>
      </c>
      <c r="AR27" s="208">
        <v>24.668849847436324</v>
      </c>
      <c r="AS27" s="44" t="s">
        <v>644</v>
      </c>
    </row>
    <row r="28" spans="4:45" ht="17.399999999999999">
      <c r="D28" s="105">
        <v>21</v>
      </c>
      <c r="E28" s="204">
        <v>40561</v>
      </c>
      <c r="F28" s="205" t="s">
        <v>646</v>
      </c>
      <c r="G28" s="51" t="s">
        <v>809</v>
      </c>
      <c r="H28" s="85" t="s">
        <v>921</v>
      </c>
      <c r="I28" s="85"/>
      <c r="J28" s="85"/>
      <c r="K28" s="85"/>
      <c r="L28" s="85"/>
      <c r="M28" s="85"/>
      <c r="N28" s="61">
        <v>1</v>
      </c>
      <c r="O28" s="208">
        <v>1.170751567490661</v>
      </c>
      <c r="P28" s="208">
        <v>1.4027022303089887</v>
      </c>
      <c r="Q28" s="208">
        <v>2.0776657762662096</v>
      </c>
      <c r="R28" s="208">
        <v>4.8943006185343947</v>
      </c>
      <c r="S28" s="208">
        <v>5.1416113994451784</v>
      </c>
      <c r="T28" s="208">
        <v>5.3433855590626731</v>
      </c>
      <c r="U28" s="208">
        <v>5.6965406483895427</v>
      </c>
      <c r="V28" s="208">
        <v>5.7881234617249069</v>
      </c>
      <c r="W28" s="208">
        <v>5.6171649663435339</v>
      </c>
      <c r="X28" s="208">
        <v>5.9336563381172791</v>
      </c>
      <c r="Y28" s="208">
        <v>5.9494755268032113</v>
      </c>
      <c r="Z28" s="208">
        <v>5.972486590341231</v>
      </c>
      <c r="AA28" s="208">
        <v>6.6180634586139622</v>
      </c>
      <c r="AB28" s="208">
        <v>8.3117117017026647</v>
      </c>
      <c r="AC28" s="208">
        <v>9.8698680853442706</v>
      </c>
      <c r="AD28" s="208">
        <v>11.303371958294548</v>
      </c>
      <c r="AE28" s="208">
        <v>12.622195521408804</v>
      </c>
      <c r="AF28" s="208">
        <v>13.795306108650873</v>
      </c>
      <c r="AG28" s="208">
        <v>14.631047944626671</v>
      </c>
      <c r="AH28" s="208">
        <v>15.464662437747259</v>
      </c>
      <c r="AI28" s="208">
        <v>16.307895559634623</v>
      </c>
      <c r="AJ28" s="208">
        <v>17.104750859818179</v>
      </c>
      <c r="AK28" s="208">
        <v>17.844940894210907</v>
      </c>
      <c r="AL28" s="208">
        <v>18.422289121037235</v>
      </c>
      <c r="AM28" s="208">
        <v>19.01695779466835</v>
      </c>
      <c r="AN28" s="208">
        <v>19.629466528508402</v>
      </c>
      <c r="AO28" s="208">
        <v>20.260350524363655</v>
      </c>
      <c r="AP28" s="208">
        <v>20.910161040094565</v>
      </c>
      <c r="AQ28" s="208">
        <v>21.579465871297401</v>
      </c>
      <c r="AR28" s="208">
        <v>22.268849847436325</v>
      </c>
      <c r="AS28" s="44" t="s">
        <v>646</v>
      </c>
    </row>
    <row r="29" spans="4:45" ht="17.399999999999999">
      <c r="D29" s="105">
        <v>22</v>
      </c>
      <c r="E29" s="204">
        <v>40561</v>
      </c>
      <c r="F29" s="205" t="s">
        <v>648</v>
      </c>
      <c r="G29" s="51" t="s">
        <v>809</v>
      </c>
      <c r="H29" s="85" t="s">
        <v>922</v>
      </c>
      <c r="I29" s="85"/>
      <c r="J29" s="85"/>
      <c r="K29" s="85"/>
      <c r="L29" s="85"/>
      <c r="M29" s="85"/>
      <c r="N29" s="61">
        <v>1</v>
      </c>
      <c r="O29" s="208">
        <v>1.7194377618988257</v>
      </c>
      <c r="P29" s="208">
        <v>1.9680277801214479</v>
      </c>
      <c r="Q29" s="208">
        <v>2.2270348811115843</v>
      </c>
      <c r="R29" s="208">
        <v>3.4930984248737649</v>
      </c>
      <c r="S29" s="208">
        <v>5.1712627496070169</v>
      </c>
      <c r="T29" s="208">
        <v>6.0707268468539208</v>
      </c>
      <c r="U29" s="208">
        <v>6.9167509862711292</v>
      </c>
      <c r="V29" s="208">
        <v>7.6273689193439242</v>
      </c>
      <c r="W29" s="208">
        <v>8.7904133177964709</v>
      </c>
      <c r="X29" s="208">
        <v>9.9906245526903739</v>
      </c>
      <c r="Y29" s="208">
        <v>11.213557335183449</v>
      </c>
      <c r="Z29" s="208">
        <v>12.976654669654488</v>
      </c>
      <c r="AA29" s="208">
        <v>15.438804338129833</v>
      </c>
      <c r="AB29" s="208">
        <v>16.637405826995906</v>
      </c>
      <c r="AC29" s="208">
        <v>17.716147166975372</v>
      </c>
      <c r="AD29" s="208">
        <v>18.687014372956892</v>
      </c>
      <c r="AE29" s="208">
        <v>19.560794858340259</v>
      </c>
      <c r="AF29" s="208">
        <v>20.347197295185289</v>
      </c>
      <c r="AG29" s="208">
        <v>21.054959488345816</v>
      </c>
      <c r="AH29" s="208">
        <v>21.69194546219029</v>
      </c>
      <c r="AI29" s="208">
        <v>22.265232838650316</v>
      </c>
      <c r="AJ29" s="208">
        <v>22.78119147746434</v>
      </c>
      <c r="AK29" s="208">
        <v>23.24555425239696</v>
      </c>
      <c r="AL29" s="208">
        <v>23.663480749836317</v>
      </c>
      <c r="AM29" s="208">
        <v>24.039614597531738</v>
      </c>
      <c r="AN29" s="208">
        <v>24.378135060457616</v>
      </c>
      <c r="AO29" s="208">
        <v>24.682803477090907</v>
      </c>
      <c r="AP29" s="208">
        <v>24.957005052060868</v>
      </c>
      <c r="AQ29" s="208">
        <v>25.203786469533831</v>
      </c>
      <c r="AR29" s="208">
        <v>25.425889745259497</v>
      </c>
      <c r="AS29" s="44" t="s">
        <v>648</v>
      </c>
    </row>
    <row r="30" spans="4:45" ht="17.399999999999999">
      <c r="D30" s="105">
        <v>23</v>
      </c>
      <c r="E30" s="204">
        <v>40561</v>
      </c>
      <c r="F30" s="205" t="s">
        <v>650</v>
      </c>
      <c r="G30" s="51" t="s">
        <v>809</v>
      </c>
      <c r="H30" s="85" t="s">
        <v>923</v>
      </c>
      <c r="I30" s="85"/>
      <c r="J30" s="85"/>
      <c r="K30" s="85"/>
      <c r="L30" s="85"/>
      <c r="M30" s="85"/>
      <c r="N30" s="61">
        <v>1</v>
      </c>
      <c r="O30" s="208">
        <v>2.4612360876966988</v>
      </c>
      <c r="P30" s="208">
        <v>2.506515561924533</v>
      </c>
      <c r="Q30" s="208">
        <v>2.6728985296633199</v>
      </c>
      <c r="R30" s="208">
        <v>2.6957485047616019</v>
      </c>
      <c r="S30" s="208">
        <v>3.2749932958651899</v>
      </c>
      <c r="T30" s="208">
        <v>3.7996202149562324</v>
      </c>
      <c r="U30" s="208">
        <v>4.5588218829421576</v>
      </c>
      <c r="V30" s="208">
        <v>5.642646351296694</v>
      </c>
      <c r="W30" s="208">
        <v>6.4690544948372226</v>
      </c>
      <c r="X30" s="208">
        <v>7.6743901306758477</v>
      </c>
      <c r="Y30" s="208">
        <v>8.7402895896155304</v>
      </c>
      <c r="Z30" s="208">
        <v>11.039421360369079</v>
      </c>
      <c r="AA30" s="208">
        <v>13.547565078944649</v>
      </c>
      <c r="AB30" s="208">
        <v>15.554080053805105</v>
      </c>
      <c r="AC30" s="208">
        <v>17.259617782436493</v>
      </c>
      <c r="AD30" s="208">
        <v>18.709324851773172</v>
      </c>
      <c r="AE30" s="208">
        <v>19.941575860709349</v>
      </c>
      <c r="AF30" s="208">
        <v>20.9889892183051</v>
      </c>
      <c r="AG30" s="208">
        <v>21.879290572261489</v>
      </c>
      <c r="AH30" s="208">
        <v>22.636046723124419</v>
      </c>
      <c r="AI30" s="208">
        <v>23.279289451357911</v>
      </c>
      <c r="AJ30" s="208">
        <v>23.82604577035638</v>
      </c>
      <c r="AK30" s="208">
        <v>24.290788641505078</v>
      </c>
      <c r="AL30" s="208">
        <v>24.685820081981472</v>
      </c>
      <c r="AM30" s="208">
        <v>25.021596806386405</v>
      </c>
      <c r="AN30" s="208">
        <v>25.307007022130598</v>
      </c>
      <c r="AO30" s="208">
        <v>25.549605705513162</v>
      </c>
      <c r="AP30" s="208">
        <v>25.755814586388343</v>
      </c>
      <c r="AQ30" s="208">
        <v>25.931092135132246</v>
      </c>
      <c r="AR30" s="208">
        <v>26.080078051564563</v>
      </c>
      <c r="AS30" s="44" t="s">
        <v>650</v>
      </c>
    </row>
    <row r="31" spans="4:45" ht="17.399999999999999">
      <c r="D31" s="105">
        <v>24</v>
      </c>
      <c r="E31" s="204">
        <v>40561</v>
      </c>
      <c r="F31" s="205" t="s">
        <v>652</v>
      </c>
      <c r="G31" s="51" t="s">
        <v>809</v>
      </c>
      <c r="H31" s="85" t="s">
        <v>924</v>
      </c>
      <c r="I31" s="85"/>
      <c r="J31" s="85"/>
      <c r="K31" s="85"/>
      <c r="L31" s="85"/>
      <c r="M31" s="85"/>
      <c r="N31" s="61">
        <v>1</v>
      </c>
      <c r="O31" s="208">
        <v>1.7144124132724636</v>
      </c>
      <c r="P31" s="208">
        <v>1.9638351146300819</v>
      </c>
      <c r="Q31" s="208">
        <v>2.5625046646764296</v>
      </c>
      <c r="R31" s="208">
        <v>3.3693023882459672</v>
      </c>
      <c r="S31" s="208">
        <v>3.8028401527576472</v>
      </c>
      <c r="T31" s="208">
        <v>4.2384953743561802</v>
      </c>
      <c r="U31" s="208">
        <v>5.6763761240379811</v>
      </c>
      <c r="V31" s="208">
        <v>5.6926098095933853</v>
      </c>
      <c r="W31" s="208">
        <v>5.5304952092205841</v>
      </c>
      <c r="X31" s="208">
        <v>7.4370843252007157</v>
      </c>
      <c r="Y31" s="208">
        <v>7.0776298697892646</v>
      </c>
      <c r="Z31" s="208">
        <v>7.6571813483995328</v>
      </c>
      <c r="AA31" s="208">
        <v>8.9812718150424224</v>
      </c>
      <c r="AB31" s="208">
        <v>10.00337880037632</v>
      </c>
      <c r="AC31" s="208">
        <v>10.987667827252862</v>
      </c>
      <c r="AD31" s="208">
        <v>11.935538160134971</v>
      </c>
      <c r="AE31" s="208">
        <v>12.848337290700442</v>
      </c>
      <c r="AF31" s="208">
        <v>13.727362853434991</v>
      </c>
      <c r="AG31" s="208">
        <v>14.573864470348362</v>
      </c>
      <c r="AH31" s="208">
        <v>15.389045527435936</v>
      </c>
      <c r="AI31" s="208">
        <v>16.174064885411269</v>
      </c>
      <c r="AJ31" s="208">
        <v>16.930038527141516</v>
      </c>
      <c r="AK31" s="208">
        <v>17.658041144127743</v>
      </c>
      <c r="AL31" s="208">
        <v>18.359107664285482</v>
      </c>
      <c r="AM31" s="208">
        <v>19.034234723197383</v>
      </c>
      <c r="AN31" s="208">
        <v>19.684382080929542</v>
      </c>
      <c r="AO31" s="208">
        <v>20.31047398642561</v>
      </c>
      <c r="AP31" s="208">
        <v>20.913400491418322</v>
      </c>
      <c r="AQ31" s="208">
        <v>21.494018715726305</v>
      </c>
      <c r="AR31" s="208">
        <v>22.053154065734894</v>
      </c>
      <c r="AS31" s="44" t="s">
        <v>652</v>
      </c>
    </row>
    <row r="32" spans="4:45" ht="17.399999999999999">
      <c r="D32" s="105">
        <v>25</v>
      </c>
      <c r="E32" s="215">
        <v>40577</v>
      </c>
      <c r="F32" s="205" t="s">
        <v>583</v>
      </c>
      <c r="G32" s="51" t="s">
        <v>809</v>
      </c>
      <c r="H32" s="85" t="s">
        <v>925</v>
      </c>
      <c r="I32" s="85"/>
      <c r="J32" s="85"/>
      <c r="K32" s="85"/>
      <c r="L32" s="85"/>
      <c r="M32" s="85"/>
      <c r="N32" s="216">
        <v>0.28818310642293049</v>
      </c>
      <c r="O32" s="209">
        <v>0.31004542593000078</v>
      </c>
      <c r="P32" s="209">
        <v>0.30712930623625129</v>
      </c>
      <c r="Q32" s="209">
        <v>0.26369933638084325</v>
      </c>
      <c r="R32" s="209">
        <v>0.21873673866584462</v>
      </c>
      <c r="S32" s="209">
        <v>0.27132080380921914</v>
      </c>
      <c r="T32" s="209">
        <v>0.30292093163244305</v>
      </c>
      <c r="U32" s="209">
        <v>0.32885341933947443</v>
      </c>
      <c r="V32" s="209">
        <v>0.35943877213113279</v>
      </c>
      <c r="W32" s="209">
        <v>0.40197101231710847</v>
      </c>
      <c r="X32" s="209">
        <v>0.42789144906822552</v>
      </c>
      <c r="Y32" s="209">
        <v>0.4665430852526859</v>
      </c>
      <c r="Z32" s="209">
        <v>0.51598879349501192</v>
      </c>
      <c r="AA32" s="209">
        <v>0.5416240914368341</v>
      </c>
      <c r="AB32" s="209">
        <v>0.41092020640257404</v>
      </c>
      <c r="AC32" s="209">
        <v>0.45047677299643485</v>
      </c>
      <c r="AD32" s="209">
        <v>0.49</v>
      </c>
      <c r="AE32" s="209">
        <v>0.50976161350178262</v>
      </c>
      <c r="AF32" s="209">
        <v>0.51964242025267393</v>
      </c>
      <c r="AG32" s="209">
        <v>0.52458282362811959</v>
      </c>
      <c r="AH32" s="209">
        <v>0.52705302531584242</v>
      </c>
      <c r="AI32" s="209">
        <v>0.52500000000000002</v>
      </c>
      <c r="AJ32" s="209">
        <v>0.52253636962098915</v>
      </c>
      <c r="AK32" s="209">
        <v>0.51958001316617608</v>
      </c>
      <c r="AL32" s="209">
        <v>0.51603238542040042</v>
      </c>
      <c r="AM32" s="209">
        <v>0.5117752321254696</v>
      </c>
      <c r="AN32" s="209">
        <v>0.5066666481715526</v>
      </c>
      <c r="AO32" s="209">
        <v>0.50053634742685216</v>
      </c>
      <c r="AP32" s="209">
        <v>0.4931799865332116</v>
      </c>
      <c r="AQ32" s="209">
        <v>0.48435235346084293</v>
      </c>
      <c r="AR32" s="209">
        <v>0.47375919377400055</v>
      </c>
      <c r="AS32" s="44" t="s">
        <v>583</v>
      </c>
    </row>
    <row r="33" spans="4:45" ht="17.399999999999999">
      <c r="D33" s="105">
        <v>26</v>
      </c>
      <c r="E33" s="204">
        <v>40569</v>
      </c>
      <c r="F33" s="205" t="s">
        <v>791</v>
      </c>
      <c r="G33" s="51" t="s">
        <v>809</v>
      </c>
      <c r="H33" s="85" t="s">
        <v>926</v>
      </c>
      <c r="I33" s="85"/>
      <c r="J33" s="85"/>
      <c r="K33" s="85"/>
      <c r="L33" s="85"/>
      <c r="M33" s="85"/>
      <c r="N33" s="207">
        <v>1.5435011046353679</v>
      </c>
      <c r="O33" s="209">
        <v>1.2939136919709255</v>
      </c>
      <c r="P33" s="209">
        <v>1.2544152740054975</v>
      </c>
      <c r="Q33" s="209">
        <v>1.1446539375300164</v>
      </c>
      <c r="R33" s="209">
        <v>1.1489733863508846</v>
      </c>
      <c r="S33" s="209">
        <v>1.0846823095766545</v>
      </c>
      <c r="T33" s="209">
        <v>1.005315311314948</v>
      </c>
      <c r="U33" s="209">
        <v>0.95779809085427847</v>
      </c>
      <c r="V33" s="209">
        <v>0.97317754280376723</v>
      </c>
      <c r="W33" s="209">
        <v>0.98014124615120002</v>
      </c>
      <c r="X33" s="209">
        <v>0.97633003012996977</v>
      </c>
      <c r="Y33" s="209">
        <v>0.99224032340277613</v>
      </c>
      <c r="Z33" s="209">
        <v>0.98413654808356543</v>
      </c>
      <c r="AA33" s="209">
        <v>0.95305855182829502</v>
      </c>
      <c r="AB33" s="209">
        <v>0.92400000000000004</v>
      </c>
      <c r="AC33" s="209">
        <v>0.90656486890302301</v>
      </c>
      <c r="AD33" s="209">
        <v>0.89610379024483677</v>
      </c>
      <c r="AE33" s="209">
        <v>0.88982714304992505</v>
      </c>
      <c r="AF33" s="209">
        <v>0.88606115473297797</v>
      </c>
      <c r="AG33" s="209">
        <v>0.88380156174280977</v>
      </c>
      <c r="AH33" s="209">
        <v>0.88244580594870881</v>
      </c>
      <c r="AI33" s="209">
        <v>0.88163235247224825</v>
      </c>
      <c r="AJ33" s="209">
        <v>0.88114428038637194</v>
      </c>
      <c r="AK33" s="209">
        <v>0.88085143713484615</v>
      </c>
      <c r="AL33" s="209">
        <v>0.88067573118393072</v>
      </c>
      <c r="AM33" s="209">
        <v>0.88057030761338151</v>
      </c>
      <c r="AN33" s="209">
        <v>0.88050705347105196</v>
      </c>
      <c r="AO33" s="209">
        <v>0.88046910098565423</v>
      </c>
      <c r="AP33" s="209">
        <v>0.88044632949441559</v>
      </c>
      <c r="AQ33" s="209">
        <v>0.88043266659967245</v>
      </c>
      <c r="AR33" s="209">
        <v>0.88042446886282655</v>
      </c>
      <c r="AS33" s="44" t="s">
        <v>791</v>
      </c>
    </row>
    <row r="34" spans="4:45" ht="17.399999999999999">
      <c r="D34" s="105">
        <v>27</v>
      </c>
      <c r="E34" s="204">
        <v>40559</v>
      </c>
      <c r="F34" s="205" t="s">
        <v>537</v>
      </c>
      <c r="G34" s="51" t="s">
        <v>809</v>
      </c>
      <c r="H34" s="85" t="s">
        <v>927</v>
      </c>
      <c r="I34" s="85"/>
      <c r="J34" s="85"/>
      <c r="K34" s="85"/>
      <c r="L34" s="85"/>
      <c r="M34" s="85"/>
      <c r="N34" s="216">
        <v>3.9346290432521365E-2</v>
      </c>
      <c r="O34" s="209">
        <v>4.7278242416808509E-2</v>
      </c>
      <c r="P34" s="209">
        <v>4.9588252516273142E-2</v>
      </c>
      <c r="Q34" s="209">
        <v>5.3861945523556415E-2</v>
      </c>
      <c r="R34" s="209">
        <v>5.9658936395862713E-2</v>
      </c>
      <c r="S34" s="209">
        <v>6.6398456303956632E-2</v>
      </c>
      <c r="T34" s="209">
        <v>6.8925699444092325E-2</v>
      </c>
      <c r="U34" s="209">
        <v>6.5843864838066993E-2</v>
      </c>
      <c r="V34" s="209">
        <v>6.8254797026411129E-2</v>
      </c>
      <c r="W34" s="209">
        <v>7.3528457822385887E-2</v>
      </c>
      <c r="X34" s="209">
        <v>8.3523763335885251E-2</v>
      </c>
      <c r="Y34" s="209">
        <v>8.5187594594666807E-2</v>
      </c>
      <c r="Z34" s="209">
        <v>8.2473872285148936E-2</v>
      </c>
      <c r="AA34" s="209">
        <v>8.4562313237971976E-2</v>
      </c>
      <c r="AB34" s="209">
        <v>7.0915921536912063E-2</v>
      </c>
      <c r="AC34" s="209">
        <v>7.8959058256501347E-2</v>
      </c>
      <c r="AD34" s="209">
        <v>8.4450472791767539E-2</v>
      </c>
      <c r="AE34" s="209">
        <v>8.6659832589120106E-2</v>
      </c>
      <c r="AF34" s="209">
        <v>8.8820824848660856E-2</v>
      </c>
      <c r="AG34" s="209">
        <v>9.0333519430339376E-2</v>
      </c>
      <c r="AH34" s="209">
        <v>9.1392405637514343E-2</v>
      </c>
      <c r="AI34" s="209">
        <v>9.2133625982536826E-2</v>
      </c>
      <c r="AJ34" s="209">
        <v>9.2652480224052564E-2</v>
      </c>
      <c r="AK34" s="209">
        <v>9.3015678193113585E-2</v>
      </c>
      <c r="AL34" s="209">
        <v>9.3269916771456296E-2</v>
      </c>
      <c r="AM34" s="209">
        <v>9.3447883776296189E-2</v>
      </c>
      <c r="AN34" s="209">
        <v>9.3572460679684111E-2</v>
      </c>
      <c r="AO34" s="209">
        <v>9.3659664512055651E-2</v>
      </c>
      <c r="AP34" s="209">
        <v>9.372070719471573E-2</v>
      </c>
      <c r="AQ34" s="209">
        <v>9.3763437072577782E-2</v>
      </c>
      <c r="AR34" s="209">
        <v>9.3793347987081221E-2</v>
      </c>
      <c r="AS34" s="44" t="s">
        <v>537</v>
      </c>
    </row>
    <row r="35" spans="4:45" ht="17.399999999999999">
      <c r="D35" s="105">
        <v>28</v>
      </c>
      <c r="E35" s="204">
        <v>40559</v>
      </c>
      <c r="F35" s="205" t="s">
        <v>540</v>
      </c>
      <c r="G35" s="51" t="s">
        <v>809</v>
      </c>
      <c r="H35" s="85" t="s">
        <v>928</v>
      </c>
      <c r="I35" s="85"/>
      <c r="J35" s="85"/>
      <c r="K35" s="85"/>
      <c r="L35" s="85"/>
      <c r="M35" s="85"/>
      <c r="N35" s="216">
        <v>5.4136428377645138E-2</v>
      </c>
      <c r="O35" s="209">
        <v>6.7443827250803473E-2</v>
      </c>
      <c r="P35" s="209">
        <v>7.3378422743912652E-2</v>
      </c>
      <c r="Q35" s="209">
        <v>8.0444251496902736E-2</v>
      </c>
      <c r="R35" s="209">
        <v>7.9254765355388307E-2</v>
      </c>
      <c r="S35" s="209">
        <v>8.725766032131918E-2</v>
      </c>
      <c r="T35" s="209">
        <v>7.7539085692981194E-2</v>
      </c>
      <c r="U35" s="209">
        <v>8.5441880577529258E-2</v>
      </c>
      <c r="V35" s="209">
        <v>7.9938087537364033E-2</v>
      </c>
      <c r="W35" s="209">
        <v>8.6441962043970547E-2</v>
      </c>
      <c r="X35" s="209">
        <v>0.10195514871018198</v>
      </c>
      <c r="Y35" s="209">
        <v>0.10383564125667144</v>
      </c>
      <c r="Z35" s="209">
        <v>9.757961920258694E-2</v>
      </c>
      <c r="AA35" s="209">
        <v>0.10133409582628937</v>
      </c>
      <c r="AB35" s="209">
        <v>8.3415363834001929E-2</v>
      </c>
      <c r="AC35" s="209">
        <v>9.2595292126061948E-2</v>
      </c>
      <c r="AD35" s="209">
        <v>9.9342075169598448E-2</v>
      </c>
      <c r="AE35" s="209">
        <v>0.10175458984726128</v>
      </c>
      <c r="AF35" s="209">
        <v>0.10461442517360398</v>
      </c>
      <c r="AG35" s="209">
        <v>0.10661630990204386</v>
      </c>
      <c r="AH35" s="209">
        <v>0.10801762921195178</v>
      </c>
      <c r="AI35" s="209">
        <v>0.10899855272888732</v>
      </c>
      <c r="AJ35" s="209">
        <v>0.10968519919074221</v>
      </c>
      <c r="AK35" s="209">
        <v>0.11016585171404063</v>
      </c>
      <c r="AL35" s="209">
        <v>0.11050230848034952</v>
      </c>
      <c r="AM35" s="209">
        <v>0.11073782821676574</v>
      </c>
      <c r="AN35" s="209">
        <v>0.1109026920322571</v>
      </c>
      <c r="AO35" s="209">
        <v>0.11101809670310105</v>
      </c>
      <c r="AP35" s="209">
        <v>0.11109887997269181</v>
      </c>
      <c r="AQ35" s="209">
        <v>0.11115542826140536</v>
      </c>
      <c r="AR35" s="209">
        <v>0.11119501206350484</v>
      </c>
      <c r="AS35" s="44" t="s">
        <v>540</v>
      </c>
    </row>
    <row r="36" spans="4:45" ht="17.399999999999999">
      <c r="D36" s="105">
        <v>29</v>
      </c>
      <c r="E36" s="204">
        <v>40559</v>
      </c>
      <c r="F36" s="205" t="s">
        <v>27</v>
      </c>
      <c r="G36" s="51" t="s">
        <v>809</v>
      </c>
      <c r="H36" s="85" t="s">
        <v>929</v>
      </c>
      <c r="I36" s="85"/>
      <c r="J36" s="85"/>
      <c r="K36" s="85"/>
      <c r="L36" s="85"/>
      <c r="M36" s="85"/>
      <c r="N36" s="216">
        <v>0.34814482345900655</v>
      </c>
      <c r="O36" s="209">
        <v>0.37225193107546045</v>
      </c>
      <c r="P36" s="209">
        <v>0.24807644576818072</v>
      </c>
      <c r="Q36" s="209">
        <v>0.21669287800494275</v>
      </c>
      <c r="R36" s="209">
        <v>0.13888277985484934</v>
      </c>
      <c r="S36" s="209">
        <v>0.14690466071681541</v>
      </c>
      <c r="T36" s="209">
        <v>0.1785941475826972</v>
      </c>
      <c r="U36" s="209">
        <v>0.24370430544272947</v>
      </c>
      <c r="V36" s="209">
        <v>0.28840401196551119</v>
      </c>
      <c r="W36" s="209">
        <v>0.33246753246753241</v>
      </c>
      <c r="X36" s="209">
        <v>0.35138248847926268</v>
      </c>
      <c r="Y36" s="209">
        <v>0.34846969393878779</v>
      </c>
      <c r="Z36" s="209">
        <v>0.36575600565237865</v>
      </c>
      <c r="AA36" s="209">
        <v>0.28776706371714883</v>
      </c>
      <c r="AB36" s="209">
        <v>0.34840321952486042</v>
      </c>
      <c r="AC36" s="209">
        <v>0.378</v>
      </c>
      <c r="AD36" s="209">
        <v>0.38</v>
      </c>
      <c r="AE36" s="209">
        <v>0.36799999999999999</v>
      </c>
      <c r="AF36" s="209">
        <v>0.3584</v>
      </c>
      <c r="AG36" s="209">
        <v>0.35071999999999998</v>
      </c>
      <c r="AH36" s="209">
        <v>0.34457599999999994</v>
      </c>
      <c r="AI36" s="209">
        <v>0.33966079999999993</v>
      </c>
      <c r="AJ36" s="209">
        <v>0.33572863999999991</v>
      </c>
      <c r="AK36" s="209">
        <v>0.3325829119999999</v>
      </c>
      <c r="AL36" s="209">
        <v>0.33006632959999987</v>
      </c>
      <c r="AM36" s="209">
        <v>0.32805306367999987</v>
      </c>
      <c r="AN36" s="209">
        <v>0.32644245094399987</v>
      </c>
      <c r="AO36" s="209">
        <v>0.32515396075519987</v>
      </c>
      <c r="AP36" s="209">
        <v>0.32412316860415985</v>
      </c>
      <c r="AQ36" s="209">
        <v>0.32329853488332783</v>
      </c>
      <c r="AR36" s="209">
        <v>0.32263882790666221</v>
      </c>
      <c r="AS36" s="44" t="s">
        <v>27</v>
      </c>
    </row>
    <row r="37" spans="4:45" ht="17.399999999999999">
      <c r="D37" s="105">
        <v>30</v>
      </c>
      <c r="E37" s="204">
        <v>40558</v>
      </c>
      <c r="F37" s="205" t="s">
        <v>491</v>
      </c>
      <c r="G37" s="51" t="s">
        <v>396</v>
      </c>
      <c r="H37" s="85" t="s">
        <v>930</v>
      </c>
      <c r="I37" s="85"/>
      <c r="J37" s="85"/>
      <c r="K37" s="85"/>
      <c r="L37" s="85"/>
      <c r="M37" s="85"/>
      <c r="N37" s="218">
        <v>486.1</v>
      </c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44" t="s">
        <v>491</v>
      </c>
    </row>
    <row r="38" spans="4:45" ht="17.399999999999999">
      <c r="D38" s="105">
        <v>31</v>
      </c>
      <c r="E38" s="204">
        <v>40558</v>
      </c>
      <c r="F38" s="205" t="s">
        <v>489</v>
      </c>
      <c r="G38" s="51" t="s">
        <v>396</v>
      </c>
      <c r="H38" s="85" t="s">
        <v>931</v>
      </c>
      <c r="I38" s="85"/>
      <c r="J38" s="85"/>
      <c r="K38" s="85"/>
      <c r="L38" s="85"/>
      <c r="M38" s="85"/>
      <c r="N38" s="218">
        <v>610.79200000000003</v>
      </c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44" t="s">
        <v>489</v>
      </c>
    </row>
    <row r="39" spans="4:45" ht="17.399999999999999">
      <c r="D39" s="105">
        <v>32</v>
      </c>
      <c r="E39" s="204">
        <v>40558</v>
      </c>
      <c r="F39" s="205" t="s">
        <v>932</v>
      </c>
      <c r="G39" s="51" t="s">
        <v>396</v>
      </c>
      <c r="H39" s="85" t="s">
        <v>933</v>
      </c>
      <c r="I39" s="85"/>
      <c r="J39" s="85"/>
      <c r="K39" s="85"/>
      <c r="L39" s="85"/>
      <c r="M39" s="85"/>
      <c r="N39" s="61">
        <v>910.9</v>
      </c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44" t="s">
        <v>932</v>
      </c>
    </row>
    <row r="40" spans="4:45" ht="17.399999999999999">
      <c r="D40" s="105">
        <v>33</v>
      </c>
      <c r="E40" s="204">
        <v>40558</v>
      </c>
      <c r="F40" s="205" t="s">
        <v>398</v>
      </c>
      <c r="G40" s="51" t="s">
        <v>396</v>
      </c>
      <c r="H40" s="85" t="s">
        <v>934</v>
      </c>
      <c r="I40" s="85"/>
      <c r="J40" s="85"/>
      <c r="K40" s="85"/>
      <c r="L40" s="85"/>
      <c r="M40" s="85"/>
      <c r="N40" s="218">
        <v>2767.6205</v>
      </c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44" t="s">
        <v>398</v>
      </c>
    </row>
    <row r="41" spans="4:45" ht="17.399999999999999">
      <c r="D41" s="105">
        <v>34</v>
      </c>
      <c r="E41" s="204">
        <v>40558</v>
      </c>
      <c r="F41" s="205" t="s">
        <v>427</v>
      </c>
      <c r="G41" s="51" t="s">
        <v>396</v>
      </c>
      <c r="H41" s="85" t="s">
        <v>935</v>
      </c>
      <c r="I41" s="85"/>
      <c r="J41" s="85"/>
      <c r="K41" s="85"/>
      <c r="L41" s="85"/>
      <c r="M41" s="85"/>
      <c r="N41" s="218">
        <v>108.89559999999999</v>
      </c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44" t="s">
        <v>427</v>
      </c>
    </row>
    <row r="42" spans="4:45" ht="17.399999999999999">
      <c r="D42" s="105">
        <v>35</v>
      </c>
      <c r="E42" s="204">
        <v>40558</v>
      </c>
      <c r="F42" s="205" t="s">
        <v>936</v>
      </c>
      <c r="G42" s="51" t="s">
        <v>396</v>
      </c>
      <c r="H42" s="85" t="s">
        <v>937</v>
      </c>
      <c r="I42" s="85"/>
      <c r="J42" s="85"/>
      <c r="K42" s="85"/>
      <c r="L42" s="85"/>
      <c r="M42" s="85"/>
      <c r="N42" s="61">
        <v>2876.5161000000003</v>
      </c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44" t="s">
        <v>936</v>
      </c>
    </row>
    <row r="43" spans="4:45" ht="17.399999999999999">
      <c r="D43" s="105">
        <v>36</v>
      </c>
      <c r="E43" s="204">
        <v>40569</v>
      </c>
      <c r="F43" s="205" t="s">
        <v>794</v>
      </c>
      <c r="G43" s="51" t="s">
        <v>809</v>
      </c>
      <c r="H43" s="85" t="s">
        <v>938</v>
      </c>
      <c r="I43" s="85"/>
      <c r="J43" s="85"/>
      <c r="K43" s="85"/>
      <c r="L43" s="85"/>
      <c r="M43" s="85"/>
      <c r="N43" s="216">
        <v>0.68330524880687304</v>
      </c>
      <c r="O43" s="209">
        <v>0.77655521052558896</v>
      </c>
      <c r="P43" s="209">
        <v>0.80717130322631547</v>
      </c>
      <c r="Q43" s="209">
        <v>0.87395856523262594</v>
      </c>
      <c r="R43" s="209">
        <v>0.92485324808830094</v>
      </c>
      <c r="S43" s="209">
        <v>1.0344220416771539</v>
      </c>
      <c r="T43" s="209">
        <v>1.1090558577234368</v>
      </c>
      <c r="U43" s="209">
        <v>1.1359730880008065</v>
      </c>
      <c r="V43" s="209">
        <v>1.1539329950945498</v>
      </c>
      <c r="W43" s="209">
        <v>1.1467396221612893</v>
      </c>
      <c r="X43" s="209">
        <v>1.1411128525118628</v>
      </c>
      <c r="Y43" s="209">
        <v>1.1484117630115258</v>
      </c>
      <c r="Z43" s="209">
        <v>1.1621660110973329</v>
      </c>
      <c r="AA43" s="209">
        <v>1.1761384153208247</v>
      </c>
      <c r="AB43" s="209">
        <v>1.1000000000000001</v>
      </c>
      <c r="AC43" s="209">
        <v>1.1200000000000001</v>
      </c>
      <c r="AD43" s="209">
        <v>1.1340000000000001</v>
      </c>
      <c r="AE43" s="209">
        <v>1.1438000000000001</v>
      </c>
      <c r="AF43" s="209">
        <v>1.1506600000000002</v>
      </c>
      <c r="AG43" s="209">
        <v>1.1554620000000002</v>
      </c>
      <c r="AH43" s="209">
        <v>1.1514620000000002</v>
      </c>
      <c r="AI43" s="209">
        <v>1.1434620000000002</v>
      </c>
      <c r="AJ43" s="209">
        <v>1.1314620000000002</v>
      </c>
      <c r="AK43" s="209">
        <v>1.1154620000000002</v>
      </c>
      <c r="AL43" s="209">
        <v>1.0954620000000002</v>
      </c>
      <c r="AM43" s="209">
        <v>1.0714620000000001</v>
      </c>
      <c r="AN43" s="209">
        <v>1.0434620000000001</v>
      </c>
      <c r="AO43" s="209">
        <v>1.0114620000000001</v>
      </c>
      <c r="AP43" s="209">
        <v>0.97546200000000005</v>
      </c>
      <c r="AQ43" s="209">
        <v>0.93546200000000002</v>
      </c>
      <c r="AR43" s="209">
        <v>0.89146199999999998</v>
      </c>
      <c r="AS43" s="44" t="s">
        <v>794</v>
      </c>
    </row>
    <row r="44" spans="4:45" ht="17.399999999999999">
      <c r="D44" s="105">
        <v>37</v>
      </c>
      <c r="E44" s="204">
        <v>40570</v>
      </c>
      <c r="F44" s="205" t="s">
        <v>579</v>
      </c>
      <c r="G44" s="51" t="s">
        <v>809</v>
      </c>
      <c r="H44" s="85" t="s">
        <v>939</v>
      </c>
      <c r="I44" s="85"/>
      <c r="J44" s="85"/>
      <c r="K44" s="85"/>
      <c r="L44" s="85"/>
      <c r="M44" s="85"/>
      <c r="N44" s="216">
        <v>0.04</v>
      </c>
      <c r="O44" s="209">
        <v>3.3561209950998983E-2</v>
      </c>
      <c r="P44" s="209">
        <v>3.3800349104344485E-2</v>
      </c>
      <c r="Q44" s="209">
        <v>3.5519854995165856E-2</v>
      </c>
      <c r="R44" s="209">
        <v>3.754522720369069E-2</v>
      </c>
      <c r="S44" s="209">
        <v>3.7133613686563427E-2</v>
      </c>
      <c r="T44" s="209">
        <v>4.584762853067037E-2</v>
      </c>
      <c r="U44" s="209">
        <v>4.3571305960750317E-2</v>
      </c>
      <c r="V44" s="209">
        <v>4.645884552673385E-2</v>
      </c>
      <c r="W44" s="209">
        <v>4.9621904539870032E-2</v>
      </c>
      <c r="X44" s="209">
        <v>5.2693222479582635E-2</v>
      </c>
      <c r="Y44" s="209">
        <v>5.7683838369769758E-2</v>
      </c>
      <c r="Z44" s="209">
        <v>6.6398404931141464E-2</v>
      </c>
      <c r="AA44" s="209">
        <v>7.1695617479632601E-2</v>
      </c>
      <c r="AB44" s="209">
        <v>7.6198248145850064E-2</v>
      </c>
      <c r="AC44" s="209">
        <v>8.0025484212134915E-2</v>
      </c>
      <c r="AD44" s="209">
        <v>8.3278634868477031E-2</v>
      </c>
      <c r="AE44" s="209">
        <v>8.6043812926367827E-2</v>
      </c>
      <c r="AF44" s="209">
        <v>8.8394214275575006E-2</v>
      </c>
      <c r="AG44" s="209">
        <v>9.0392055422401113E-2</v>
      </c>
      <c r="AH44" s="209">
        <v>9.2090220397203298E-2</v>
      </c>
      <c r="AI44" s="209">
        <v>9.353366062578515E-2</v>
      </c>
      <c r="AJ44" s="209">
        <v>9.4760584820079721E-2</v>
      </c>
      <c r="AK44" s="209">
        <v>9.58034703852301E-2</v>
      </c>
      <c r="AL44" s="209">
        <v>9.6689923115607923E-2</v>
      </c>
      <c r="AM44" s="209">
        <v>9.7443407936429069E-2</v>
      </c>
      <c r="AN44" s="209">
        <v>9.8083870034127038E-2</v>
      </c>
      <c r="AO44" s="209">
        <v>9.8628262817170312E-2</v>
      </c>
      <c r="AP44" s="209">
        <v>9.9090996682757088E-2</v>
      </c>
      <c r="AQ44" s="209">
        <v>9.9484320468505846E-2</v>
      </c>
      <c r="AR44" s="209">
        <v>9.9818645686392288E-2</v>
      </c>
      <c r="AS44" s="44" t="s">
        <v>579</v>
      </c>
    </row>
    <row r="45" spans="4:45" ht="17.399999999999999">
      <c r="D45" s="105">
        <v>38</v>
      </c>
      <c r="E45" s="204">
        <v>40559</v>
      </c>
      <c r="F45" s="205" t="s">
        <v>516</v>
      </c>
      <c r="G45" s="51" t="s">
        <v>809</v>
      </c>
      <c r="H45" s="85" t="s">
        <v>940</v>
      </c>
      <c r="I45" s="85"/>
      <c r="J45" s="85"/>
      <c r="K45" s="85"/>
      <c r="L45" s="85"/>
      <c r="M45" s="85"/>
      <c r="N45" s="216">
        <v>0.56058732771034769</v>
      </c>
      <c r="O45" s="221">
        <v>0.5996342883407384</v>
      </c>
      <c r="P45" s="221">
        <v>0.58793746277546166</v>
      </c>
      <c r="Q45" s="221">
        <v>0.58499061869136681</v>
      </c>
      <c r="R45" s="221">
        <v>0.55898974562798098</v>
      </c>
      <c r="S45" s="221">
        <v>0.5624698229682159</v>
      </c>
      <c r="T45" s="221">
        <v>0.60757113333884427</v>
      </c>
      <c r="U45" s="221">
        <v>0.56758373023989717</v>
      </c>
      <c r="V45" s="221">
        <v>0.5968293525687911</v>
      </c>
      <c r="W45" s="221">
        <v>0.61884371587039855</v>
      </c>
      <c r="X45" s="221">
        <v>0.53454512799460463</v>
      </c>
      <c r="Y45" s="221">
        <v>0.5588415440825294</v>
      </c>
      <c r="Z45" s="221">
        <v>0.5054202818665039</v>
      </c>
      <c r="AA45" s="221">
        <v>0.51421042114131521</v>
      </c>
      <c r="AB45" s="221">
        <v>0.49047463594274782</v>
      </c>
      <c r="AC45" s="221">
        <v>0.48542028186650388</v>
      </c>
      <c r="AD45" s="221">
        <v>0.48042028186650387</v>
      </c>
      <c r="AE45" s="221">
        <v>0.47542028186650387</v>
      </c>
      <c r="AF45" s="221">
        <v>0.47342028186650387</v>
      </c>
      <c r="AG45" s="221">
        <v>0.46842028186650386</v>
      </c>
      <c r="AH45" s="221">
        <v>0.46592028186650386</v>
      </c>
      <c r="AI45" s="221">
        <v>0.46467028186650383</v>
      </c>
      <c r="AJ45" s="221">
        <v>0.46404528186650384</v>
      </c>
      <c r="AK45" s="221">
        <v>0.46373278186650385</v>
      </c>
      <c r="AL45" s="221">
        <v>0.46357653186650383</v>
      </c>
      <c r="AM45" s="221">
        <v>0.46349840686650379</v>
      </c>
      <c r="AN45" s="221">
        <v>0.46345934436650377</v>
      </c>
      <c r="AO45" s="221">
        <v>0.46343981311650373</v>
      </c>
      <c r="AP45" s="221">
        <v>0.46343004749150374</v>
      </c>
      <c r="AQ45" s="221">
        <v>0.46342516467900374</v>
      </c>
      <c r="AR45" s="221">
        <v>0.46342272327275374</v>
      </c>
      <c r="AS45" s="44" t="s">
        <v>516</v>
      </c>
    </row>
    <row r="46" spans="4:45" ht="17.399999999999999">
      <c r="D46" s="105">
        <v>39</v>
      </c>
      <c r="E46" s="204">
        <v>40559</v>
      </c>
      <c r="F46" s="205" t="s">
        <v>519</v>
      </c>
      <c r="G46" s="51" t="s">
        <v>809</v>
      </c>
      <c r="H46" s="85" t="s">
        <v>941</v>
      </c>
      <c r="I46" s="85"/>
      <c r="J46" s="85"/>
      <c r="K46" s="85"/>
      <c r="L46" s="85"/>
      <c r="M46" s="85"/>
      <c r="N46" s="216">
        <v>0.20650529520674757</v>
      </c>
      <c r="O46" s="221">
        <v>0.18662538991879885</v>
      </c>
      <c r="P46" s="221">
        <v>0.14559893150684933</v>
      </c>
      <c r="Q46" s="221">
        <v>0.13535694098088116</v>
      </c>
      <c r="R46" s="221">
        <v>0.14655860492845788</v>
      </c>
      <c r="S46" s="221">
        <v>0.16883141472373858</v>
      </c>
      <c r="T46" s="221">
        <v>0.16792138546747129</v>
      </c>
      <c r="U46" s="221">
        <v>0.12822885194167666</v>
      </c>
      <c r="V46" s="221">
        <v>0.13951403566294232</v>
      </c>
      <c r="W46" s="221">
        <v>0.13006831273957645</v>
      </c>
      <c r="X46" s="221">
        <v>0.11965349089522916</v>
      </c>
      <c r="Y46" s="221">
        <v>0.1225534912599102</v>
      </c>
      <c r="Z46" s="221">
        <v>0.12513330435490269</v>
      </c>
      <c r="AA46" s="221">
        <v>0.12991843501345215</v>
      </c>
      <c r="AB46" s="221">
        <v>0.10130116585557349</v>
      </c>
      <c r="AC46" s="221">
        <v>0.13100000000000001</v>
      </c>
      <c r="AD46" s="221">
        <v>0.13</v>
      </c>
      <c r="AE46" s="221">
        <v>0.13</v>
      </c>
      <c r="AF46" s="221">
        <v>0.13</v>
      </c>
      <c r="AG46" s="221">
        <v>0.13</v>
      </c>
      <c r="AH46" s="221">
        <v>0.13</v>
      </c>
      <c r="AI46" s="221">
        <v>0.13</v>
      </c>
      <c r="AJ46" s="221">
        <v>0.13</v>
      </c>
      <c r="AK46" s="221">
        <v>0.13</v>
      </c>
      <c r="AL46" s="221">
        <v>0.13</v>
      </c>
      <c r="AM46" s="221">
        <v>0.13</v>
      </c>
      <c r="AN46" s="221">
        <v>0.13</v>
      </c>
      <c r="AO46" s="221">
        <v>0.13</v>
      </c>
      <c r="AP46" s="221">
        <v>0.13</v>
      </c>
      <c r="AQ46" s="221">
        <v>0.13</v>
      </c>
      <c r="AR46" s="221">
        <v>0.13</v>
      </c>
      <c r="AS46" s="44" t="s">
        <v>519</v>
      </c>
    </row>
    <row r="47" spans="4:45" ht="17.399999999999999">
      <c r="D47" s="105">
        <v>40</v>
      </c>
      <c r="E47" s="204">
        <v>40559</v>
      </c>
      <c r="F47" s="205" t="s">
        <v>522</v>
      </c>
      <c r="G47" s="51" t="s">
        <v>809</v>
      </c>
      <c r="H47" s="85" t="s">
        <v>942</v>
      </c>
      <c r="I47" s="85"/>
      <c r="J47" s="85"/>
      <c r="K47" s="85"/>
      <c r="L47" s="85"/>
      <c r="M47" s="85"/>
      <c r="N47" s="216">
        <v>0.18412751259012028</v>
      </c>
      <c r="O47" s="221">
        <v>0.16657824595487686</v>
      </c>
      <c r="P47" s="221">
        <v>0.19359545261144048</v>
      </c>
      <c r="Q47" s="221">
        <v>0.19506713300983194</v>
      </c>
      <c r="R47" s="221">
        <v>0.20204166379774025</v>
      </c>
      <c r="S47" s="221">
        <v>0.14326863278604252</v>
      </c>
      <c r="T47" s="221">
        <v>0.16519107231144708</v>
      </c>
      <c r="U47" s="221">
        <v>0.16321890642630238</v>
      </c>
      <c r="V47" s="221">
        <v>0.20207947863551601</v>
      </c>
      <c r="W47" s="221">
        <v>0.18389780313087339</v>
      </c>
      <c r="X47" s="221">
        <v>0.20105419468804508</v>
      </c>
      <c r="Y47" s="221">
        <v>0.19705243205558509</v>
      </c>
      <c r="Z47" s="221">
        <v>0.17402460344011533</v>
      </c>
      <c r="AA47" s="221">
        <v>0.13714816452350348</v>
      </c>
      <c r="AB47" s="221">
        <v>0.2115644908107519</v>
      </c>
      <c r="AC47" s="221">
        <v>0.16500000000000001</v>
      </c>
      <c r="AD47" s="221">
        <v>0.16500000000000001</v>
      </c>
      <c r="AE47" s="221">
        <v>0.16500000000000001</v>
      </c>
      <c r="AF47" s="221">
        <v>0.16500000000000001</v>
      </c>
      <c r="AG47" s="221">
        <v>0.16500000000000001</v>
      </c>
      <c r="AH47" s="221">
        <v>0.16500000000000001</v>
      </c>
      <c r="AI47" s="221">
        <v>0.16500000000000001</v>
      </c>
      <c r="AJ47" s="221">
        <v>0.16500000000000001</v>
      </c>
      <c r="AK47" s="221">
        <v>0.16500000000000001</v>
      </c>
      <c r="AL47" s="221">
        <v>0.16500000000000001</v>
      </c>
      <c r="AM47" s="221">
        <v>0.16500000000000001</v>
      </c>
      <c r="AN47" s="221">
        <v>0.16500000000000001</v>
      </c>
      <c r="AO47" s="221">
        <v>0.16500000000000001</v>
      </c>
      <c r="AP47" s="221">
        <v>0.16500000000000001</v>
      </c>
      <c r="AQ47" s="221">
        <v>0.16500000000000001</v>
      </c>
      <c r="AR47" s="221">
        <v>0.16500000000000001</v>
      </c>
      <c r="AS47" s="44" t="s">
        <v>522</v>
      </c>
    </row>
    <row r="48" spans="4:45" ht="17.399999999999999">
      <c r="D48" s="105">
        <v>41</v>
      </c>
      <c r="E48" s="204">
        <v>40559</v>
      </c>
      <c r="F48" s="205" t="s">
        <v>525</v>
      </c>
      <c r="G48" s="51" t="s">
        <v>809</v>
      </c>
      <c r="H48" s="85" t="s">
        <v>943</v>
      </c>
      <c r="I48" s="85"/>
      <c r="J48" s="85"/>
      <c r="K48" s="85"/>
      <c r="L48" s="85"/>
      <c r="M48" s="85"/>
      <c r="N48" s="216">
        <v>0.79020035130091115</v>
      </c>
      <c r="O48" s="221">
        <v>0.74263281998378905</v>
      </c>
      <c r="P48" s="221">
        <v>0.74572186669886498</v>
      </c>
      <c r="Q48" s="221">
        <v>0.82335810810810817</v>
      </c>
      <c r="R48" s="221">
        <v>0.86866610501702146</v>
      </c>
      <c r="S48" s="221">
        <v>0.82713855769472122</v>
      </c>
      <c r="T48" s="221">
        <v>0.81079295129370244</v>
      </c>
      <c r="U48" s="221">
        <v>0.79185444298052987</v>
      </c>
      <c r="V48" s="221">
        <v>0.73449823043649232</v>
      </c>
      <c r="W48" s="221">
        <v>0.76879131401291878</v>
      </c>
      <c r="X48" s="221">
        <v>0.77088485418626529</v>
      </c>
      <c r="Y48" s="221">
        <v>0.75041893580104102</v>
      </c>
      <c r="Z48" s="221">
        <v>0.75224004316816817</v>
      </c>
      <c r="AA48" s="221">
        <v>0.79299510204081636</v>
      </c>
      <c r="AB48" s="221">
        <v>0.73981377447196695</v>
      </c>
      <c r="AC48" s="221">
        <v>0.76</v>
      </c>
      <c r="AD48" s="221">
        <v>0.75900000000000001</v>
      </c>
      <c r="AE48" s="221">
        <v>0.75800000000000001</v>
      </c>
      <c r="AF48" s="221">
        <v>0.75700000000000001</v>
      </c>
      <c r="AG48" s="221">
        <v>0.75600000000000001</v>
      </c>
      <c r="AH48" s="221">
        <v>0.755</v>
      </c>
      <c r="AI48" s="221">
        <v>0.754</v>
      </c>
      <c r="AJ48" s="221">
        <v>0.753</v>
      </c>
      <c r="AK48" s="221">
        <v>0.752</v>
      </c>
      <c r="AL48" s="221">
        <v>0.751</v>
      </c>
      <c r="AM48" s="221">
        <v>0.75</v>
      </c>
      <c r="AN48" s="221">
        <v>0.749</v>
      </c>
      <c r="AO48" s="221">
        <v>0.748</v>
      </c>
      <c r="AP48" s="221">
        <v>0.747</v>
      </c>
      <c r="AQ48" s="221">
        <v>0.746</v>
      </c>
      <c r="AR48" s="221">
        <v>0.745</v>
      </c>
      <c r="AS48" s="44" t="s">
        <v>525</v>
      </c>
    </row>
    <row r="49" spans="4:45" ht="17.399999999999999">
      <c r="D49" s="105">
        <v>42</v>
      </c>
      <c r="E49" s="204">
        <v>40559</v>
      </c>
      <c r="F49" s="205" t="s">
        <v>528</v>
      </c>
      <c r="G49" s="51" t="s">
        <v>809</v>
      </c>
      <c r="H49" s="85" t="s">
        <v>944</v>
      </c>
      <c r="I49" s="85"/>
      <c r="J49" s="85"/>
      <c r="K49" s="85"/>
      <c r="L49" s="85"/>
      <c r="M49" s="85"/>
      <c r="N49" s="216">
        <v>0.13540672741244922</v>
      </c>
      <c r="O49" s="221">
        <v>0.13435975978188786</v>
      </c>
      <c r="P49" s="221">
        <v>0.10612334581019077</v>
      </c>
      <c r="Q49" s="221">
        <v>7.9996066441441444E-2</v>
      </c>
      <c r="R49" s="221">
        <v>8.460888999690519E-2</v>
      </c>
      <c r="S49" s="221">
        <v>8.160352569090587E-2</v>
      </c>
      <c r="T49" s="221">
        <v>6.1309080325960406E-2</v>
      </c>
      <c r="U49" s="221">
        <v>4.8246054750402577E-2</v>
      </c>
      <c r="V49" s="221">
        <v>4.2988596146283919E-2</v>
      </c>
      <c r="W49" s="221">
        <v>4.0718639250020477E-2</v>
      </c>
      <c r="X49" s="221">
        <v>3.3970837253057384E-2</v>
      </c>
      <c r="Y49" s="221">
        <v>3.3648930017351059E-2</v>
      </c>
      <c r="Z49" s="221">
        <v>3.2774356606606589E-2</v>
      </c>
      <c r="AA49" s="221">
        <v>3.4799286704973252E-2</v>
      </c>
      <c r="AB49" s="221">
        <v>2.7823661497438781E-2</v>
      </c>
      <c r="AC49" s="221">
        <v>3.2000000000000001E-2</v>
      </c>
      <c r="AD49" s="221">
        <v>3.2000000000000001E-2</v>
      </c>
      <c r="AE49" s="221">
        <v>3.2000000000000001E-2</v>
      </c>
      <c r="AF49" s="221">
        <v>3.2000000000000001E-2</v>
      </c>
      <c r="AG49" s="221">
        <v>3.2000000000000001E-2</v>
      </c>
      <c r="AH49" s="221">
        <v>3.2000000000000001E-2</v>
      </c>
      <c r="AI49" s="221">
        <v>3.2000000000000001E-2</v>
      </c>
      <c r="AJ49" s="221">
        <v>3.2000000000000001E-2</v>
      </c>
      <c r="AK49" s="221">
        <v>3.2000000000000001E-2</v>
      </c>
      <c r="AL49" s="221">
        <v>3.2000000000000001E-2</v>
      </c>
      <c r="AM49" s="221">
        <v>3.2000000000000001E-2</v>
      </c>
      <c r="AN49" s="221">
        <v>3.2000000000000001E-2</v>
      </c>
      <c r="AO49" s="221">
        <v>3.2000000000000001E-2</v>
      </c>
      <c r="AP49" s="221">
        <v>3.2000000000000001E-2</v>
      </c>
      <c r="AQ49" s="221">
        <v>3.2000000000000001E-2</v>
      </c>
      <c r="AR49" s="221">
        <v>3.2000000000000001E-2</v>
      </c>
      <c r="AS49" s="44" t="s">
        <v>528</v>
      </c>
    </row>
    <row r="50" spans="4:45" ht="17.399999999999999">
      <c r="D50" s="105">
        <v>43</v>
      </c>
      <c r="E50" s="204">
        <v>40559</v>
      </c>
      <c r="F50" s="205" t="s">
        <v>531</v>
      </c>
      <c r="G50" s="51" t="s">
        <v>809</v>
      </c>
      <c r="H50" s="85" t="s">
        <v>945</v>
      </c>
      <c r="I50" s="85"/>
      <c r="J50" s="85"/>
      <c r="K50" s="85"/>
      <c r="L50" s="85"/>
      <c r="M50" s="85"/>
      <c r="N50" s="216">
        <v>5.9007796434792863E-2</v>
      </c>
      <c r="O50" s="221">
        <v>8.6548604666791554E-2</v>
      </c>
      <c r="P50" s="221">
        <v>0.11898444578031329</v>
      </c>
      <c r="Q50" s="221">
        <v>0.12986318623952717</v>
      </c>
      <c r="R50" s="221">
        <v>7.7061523794448444E-2</v>
      </c>
      <c r="S50" s="221">
        <v>0.11204415839266259</v>
      </c>
      <c r="T50" s="221">
        <v>0.14995650491818585</v>
      </c>
      <c r="U50" s="221">
        <v>0.18991438128737345</v>
      </c>
      <c r="V50" s="221">
        <v>0.18563368759464693</v>
      </c>
      <c r="W50" s="221">
        <v>0.21169378862685434</v>
      </c>
      <c r="X50" s="221">
        <v>0.20603097239539089</v>
      </c>
      <c r="Y50" s="221">
        <v>0.23589083916415302</v>
      </c>
      <c r="Z50" s="221">
        <v>0.30906078059544245</v>
      </c>
      <c r="AA50" s="221">
        <v>0.34816895368916795</v>
      </c>
      <c r="AB50" s="221">
        <v>0.35380105448926585</v>
      </c>
      <c r="AC50" s="221">
        <v>0.36499999999999999</v>
      </c>
      <c r="AD50" s="221">
        <v>0.37395915640858729</v>
      </c>
      <c r="AE50" s="221">
        <v>0.38112648153545714</v>
      </c>
      <c r="AF50" s="221">
        <v>0.38686034163695304</v>
      </c>
      <c r="AG50" s="221">
        <v>0.39144742971814978</v>
      </c>
      <c r="AH50" s="221">
        <v>0.39511710018310714</v>
      </c>
      <c r="AI50" s="221">
        <v>0.39805283655507301</v>
      </c>
      <c r="AJ50" s="221">
        <v>0.40040142565264569</v>
      </c>
      <c r="AK50" s="221">
        <v>0.40228029693070383</v>
      </c>
      <c r="AL50" s="221">
        <v>0.40378339395315033</v>
      </c>
      <c r="AM50" s="221">
        <v>0.40498587157110755</v>
      </c>
      <c r="AN50" s="221">
        <v>0.40594785366547331</v>
      </c>
      <c r="AO50" s="221">
        <v>0.40671743934096594</v>
      </c>
      <c r="AP50" s="221">
        <v>0.40733310788136001</v>
      </c>
      <c r="AQ50" s="221">
        <v>0.40782564271367527</v>
      </c>
      <c r="AR50" s="221">
        <v>0.40821967057952746</v>
      </c>
      <c r="AS50" s="44" t="s">
        <v>531</v>
      </c>
    </row>
    <row r="51" spans="4:45" ht="17.399999999999999">
      <c r="D51" s="105">
        <v>44</v>
      </c>
      <c r="E51" s="204">
        <v>40559</v>
      </c>
      <c r="F51" s="205" t="s">
        <v>534</v>
      </c>
      <c r="G51" s="51" t="s">
        <v>809</v>
      </c>
      <c r="H51" s="85" t="s">
        <v>946</v>
      </c>
      <c r="I51" s="85"/>
      <c r="J51" s="85"/>
      <c r="K51" s="85"/>
      <c r="L51" s="85"/>
      <c r="M51" s="85"/>
      <c r="N51" s="216">
        <v>2.7000000000000024E-2</v>
      </c>
      <c r="O51" s="221">
        <v>0.03</v>
      </c>
      <c r="P51" s="221">
        <v>4.3000000000000038E-2</v>
      </c>
      <c r="Q51" s="221">
        <v>6.899999999999995E-2</v>
      </c>
      <c r="R51" s="221">
        <v>0.11299999999999999</v>
      </c>
      <c r="S51" s="221">
        <v>0.13700000000000001</v>
      </c>
      <c r="T51" s="221">
        <v>0.14499999999999999</v>
      </c>
      <c r="U51" s="221">
        <v>0.14300000000000002</v>
      </c>
      <c r="V51" s="221">
        <v>0.15900000000000003</v>
      </c>
      <c r="W51" s="221">
        <v>0.16600000000000004</v>
      </c>
      <c r="X51" s="221">
        <v>0.19399999999999995</v>
      </c>
      <c r="Y51" s="221">
        <v>0.18400000000000005</v>
      </c>
      <c r="Z51" s="221">
        <v>0.16</v>
      </c>
      <c r="AA51" s="221">
        <v>0.15</v>
      </c>
      <c r="AB51" s="221">
        <v>0.14000000000000001</v>
      </c>
      <c r="AC51" s="221">
        <v>0.14000000000000001</v>
      </c>
      <c r="AD51" s="221">
        <v>0.14499999999999999</v>
      </c>
      <c r="AE51" s="221">
        <v>0.155</v>
      </c>
      <c r="AF51" s="221">
        <v>0.17</v>
      </c>
      <c r="AG51" s="221">
        <v>0.18</v>
      </c>
      <c r="AH51" s="221">
        <v>0.18699999999999997</v>
      </c>
      <c r="AI51" s="221">
        <v>0.19189999999999996</v>
      </c>
      <c r="AJ51" s="221">
        <v>0.19532999999999995</v>
      </c>
      <c r="AK51" s="221">
        <v>0.19773099999999993</v>
      </c>
      <c r="AL51" s="221">
        <v>0.19941169999999991</v>
      </c>
      <c r="AM51" s="221">
        <v>0.20058818999999989</v>
      </c>
      <c r="AN51" s="221">
        <v>0.20141173299999987</v>
      </c>
      <c r="AO51" s="221">
        <v>0.20198821309999987</v>
      </c>
      <c r="AP51" s="221">
        <v>0.20239174916999986</v>
      </c>
      <c r="AQ51" s="221">
        <v>0.20267422441899985</v>
      </c>
      <c r="AR51" s="221">
        <v>0.20287195709329983</v>
      </c>
      <c r="AS51" s="44" t="s">
        <v>534</v>
      </c>
    </row>
    <row r="52" spans="4:45" ht="17.399999999999999">
      <c r="D52" s="105">
        <v>45</v>
      </c>
      <c r="E52" s="204">
        <v>40559</v>
      </c>
      <c r="F52" s="205" t="s">
        <v>947</v>
      </c>
      <c r="G52" s="51" t="s">
        <v>809</v>
      </c>
      <c r="H52" s="85" t="s">
        <v>28</v>
      </c>
      <c r="I52" s="85"/>
      <c r="J52" s="85"/>
      <c r="K52" s="85"/>
      <c r="L52" s="85"/>
      <c r="M52" s="85"/>
      <c r="N52" s="216">
        <v>4.9988274017691826E-2</v>
      </c>
      <c r="O52" s="221">
        <v>5.6168990347786107E-2</v>
      </c>
      <c r="P52" s="221">
        <v>5.6403097081596187E-2</v>
      </c>
      <c r="Q52" s="221">
        <v>5.8051894074337966E-2</v>
      </c>
      <c r="R52" s="221">
        <v>4.4754451510333859E-2</v>
      </c>
      <c r="S52" s="221">
        <v>4.0363501862149896E-2</v>
      </c>
      <c r="T52" s="221">
        <v>4.0829089856989333E-2</v>
      </c>
      <c r="U52" s="221">
        <v>3.8721327762031375E-2</v>
      </c>
      <c r="V52" s="221">
        <v>3.9072208630734691E-2</v>
      </c>
      <c r="W52" s="221">
        <v>3.202582607019723E-2</v>
      </c>
      <c r="X52" s="221">
        <v>2.04341113685013E-2</v>
      </c>
      <c r="Y52" s="221">
        <v>1.8457780112713727E-2</v>
      </c>
      <c r="Z52" s="221">
        <v>1.633557374216708E-2</v>
      </c>
      <c r="AA52" s="221">
        <v>1.5488549426277757E-2</v>
      </c>
      <c r="AB52" s="221">
        <v>1.4541010574328746E-2</v>
      </c>
      <c r="AC52" s="221">
        <v>1.4488549426277756E-2</v>
      </c>
      <c r="AD52" s="221">
        <v>1.3988549426277756E-2</v>
      </c>
      <c r="AE52" s="221">
        <v>1.3488549426277755E-2</v>
      </c>
      <c r="AF52" s="221">
        <v>1.2988549426277755E-2</v>
      </c>
      <c r="AG52" s="221">
        <v>1.2488549426277754E-2</v>
      </c>
      <c r="AH52" s="221">
        <v>1.1988549426277754E-2</v>
      </c>
      <c r="AI52" s="221">
        <v>1.1488549426277753E-2</v>
      </c>
      <c r="AJ52" s="221">
        <v>1.0988549426277753E-2</v>
      </c>
      <c r="AK52" s="221">
        <v>1.0488549426277752E-2</v>
      </c>
      <c r="AL52" s="221">
        <v>9.988549426277752E-3</v>
      </c>
      <c r="AM52" s="221">
        <v>9.4885494262777516E-3</v>
      </c>
      <c r="AN52" s="221">
        <v>8.9885494262777511E-3</v>
      </c>
      <c r="AO52" s="221">
        <v>8.4885494262777507E-3</v>
      </c>
      <c r="AP52" s="221">
        <v>7.9885494262777502E-3</v>
      </c>
      <c r="AQ52" s="221">
        <v>7.4885494262777498E-3</v>
      </c>
      <c r="AR52" s="221">
        <v>6.9885494262777494E-3</v>
      </c>
      <c r="AS52" s="44" t="s">
        <v>947</v>
      </c>
    </row>
    <row r="53" spans="4:45" ht="17.399999999999999">
      <c r="D53" s="105">
        <v>46</v>
      </c>
      <c r="E53" s="204">
        <v>40560</v>
      </c>
      <c r="F53" s="205" t="s">
        <v>948</v>
      </c>
      <c r="G53" s="51" t="s">
        <v>809</v>
      </c>
      <c r="H53" s="85" t="s">
        <v>949</v>
      </c>
      <c r="I53" s="85"/>
      <c r="J53" s="85"/>
      <c r="K53" s="85"/>
      <c r="L53" s="85"/>
      <c r="M53" s="85"/>
      <c r="N53" s="216">
        <v>0.34028203577560534</v>
      </c>
      <c r="O53" s="209">
        <v>0.32507809942817723</v>
      </c>
      <c r="P53" s="209">
        <v>0.35837570555083637</v>
      </c>
      <c r="Q53" s="209">
        <v>0.32023603080122254</v>
      </c>
      <c r="R53" s="209">
        <v>0.26082091121911194</v>
      </c>
      <c r="S53" s="209">
        <v>0.26829931795496376</v>
      </c>
      <c r="T53" s="209">
        <v>0.27051799130250104</v>
      </c>
      <c r="U53" s="209">
        <v>0.31631692817415186</v>
      </c>
      <c r="V53" s="209">
        <v>0.30018396555033727</v>
      </c>
      <c r="W53" s="209">
        <v>0.27424958276588063</v>
      </c>
      <c r="X53" s="209">
        <v>0.31562582203865192</v>
      </c>
      <c r="Y53" s="209">
        <v>0.31114675985594847</v>
      </c>
      <c r="Z53" s="209">
        <v>0.34223846853003126</v>
      </c>
      <c r="AA53" s="209">
        <v>0.33773289880862623</v>
      </c>
      <c r="AB53" s="209">
        <v>0.41043560275290336</v>
      </c>
      <c r="AC53" s="209">
        <v>0.39</v>
      </c>
      <c r="AD53" s="209">
        <v>0.41000000000000003</v>
      </c>
      <c r="AE53" s="209">
        <v>0.42200000000000004</v>
      </c>
      <c r="AF53" s="209">
        <v>0.42920000000000003</v>
      </c>
      <c r="AG53" s="209">
        <v>0.43352000000000002</v>
      </c>
      <c r="AH53" s="209">
        <v>0.436112</v>
      </c>
      <c r="AI53" s="209">
        <v>0.43766719999999998</v>
      </c>
      <c r="AJ53" s="209">
        <v>0.43860031999999999</v>
      </c>
      <c r="AK53" s="209">
        <v>0.439160192</v>
      </c>
      <c r="AL53" s="209">
        <v>0.43949611520000004</v>
      </c>
      <c r="AM53" s="209">
        <v>0.43969766912000008</v>
      </c>
      <c r="AN53" s="209">
        <v>0.43981860147200008</v>
      </c>
      <c r="AO53" s="209">
        <v>0.43989116088320007</v>
      </c>
      <c r="AP53" s="209">
        <v>0.43993469652992007</v>
      </c>
      <c r="AQ53" s="209">
        <v>0.43996081791795205</v>
      </c>
      <c r="AR53" s="209">
        <v>0.43997649075077122</v>
      </c>
      <c r="AS53" s="44" t="s">
        <v>948</v>
      </c>
    </row>
    <row r="54" spans="4:45" ht="17.399999999999999">
      <c r="D54" s="105">
        <v>47</v>
      </c>
      <c r="E54" s="204">
        <v>40560</v>
      </c>
      <c r="F54" s="205" t="s">
        <v>586</v>
      </c>
      <c r="G54" s="51" t="s">
        <v>809</v>
      </c>
      <c r="H54" s="85" t="s">
        <v>950</v>
      </c>
      <c r="I54" s="85"/>
      <c r="J54" s="85"/>
      <c r="K54" s="85"/>
      <c r="L54" s="85"/>
      <c r="M54" s="85"/>
      <c r="N54" s="216">
        <v>0.30591082006570569</v>
      </c>
      <c r="O54" s="209">
        <v>0.27816166467080888</v>
      </c>
      <c r="P54" s="209">
        <v>0.30377623832039924</v>
      </c>
      <c r="Q54" s="209">
        <v>0.26117813318403943</v>
      </c>
      <c r="R54" s="209">
        <v>0.25161546729373147</v>
      </c>
      <c r="S54" s="209">
        <v>0.28713406421821713</v>
      </c>
      <c r="T54" s="209">
        <v>0.30006990710858972</v>
      </c>
      <c r="U54" s="209">
        <v>0.32527321790330338</v>
      </c>
      <c r="V54" s="209">
        <v>0.31334242432928466</v>
      </c>
      <c r="W54" s="209">
        <v>0.31889581974440651</v>
      </c>
      <c r="X54" s="209">
        <v>0.39702420648664605</v>
      </c>
      <c r="Y54" s="209">
        <v>0.39475872109052162</v>
      </c>
      <c r="Z54" s="209">
        <v>0.40208306466662297</v>
      </c>
      <c r="AA54" s="209">
        <v>0.38630016620659358</v>
      </c>
      <c r="AB54" s="209">
        <v>0.34781260736393638</v>
      </c>
      <c r="AC54" s="209">
        <v>0.3778126073639364</v>
      </c>
      <c r="AD54" s="209">
        <v>0.39881260736393642</v>
      </c>
      <c r="AE54" s="209">
        <v>0.41351260736393641</v>
      </c>
      <c r="AF54" s="209">
        <v>0.42380260736393638</v>
      </c>
      <c r="AG54" s="209">
        <v>0.43100560736393634</v>
      </c>
      <c r="AH54" s="209">
        <v>0.43604770736393633</v>
      </c>
      <c r="AI54" s="209">
        <v>0.43957717736393631</v>
      </c>
      <c r="AJ54" s="209">
        <v>0.44204780636393631</v>
      </c>
      <c r="AK54" s="209">
        <v>0.44377724666393631</v>
      </c>
      <c r="AL54" s="209">
        <v>0.44498785487393633</v>
      </c>
      <c r="AM54" s="209">
        <v>0.44583528062093636</v>
      </c>
      <c r="AN54" s="209">
        <v>0.44642847864383639</v>
      </c>
      <c r="AO54" s="209">
        <v>0.44684371725986644</v>
      </c>
      <c r="AP54" s="209">
        <v>0.44713438429108748</v>
      </c>
      <c r="AQ54" s="209">
        <v>0.44733785121294223</v>
      </c>
      <c r="AR54" s="209">
        <v>0.44748027805824053</v>
      </c>
      <c r="AS54" s="44" t="s">
        <v>586</v>
      </c>
    </row>
    <row r="55" spans="4:45" ht="17.399999999999999">
      <c r="D55" s="105">
        <v>48</v>
      </c>
      <c r="E55" s="204">
        <v>40558</v>
      </c>
      <c r="F55" s="205" t="s">
        <v>628</v>
      </c>
      <c r="G55" s="51" t="s">
        <v>809</v>
      </c>
      <c r="H55" s="85" t="s">
        <v>29</v>
      </c>
      <c r="I55" s="85"/>
      <c r="J55" s="85"/>
      <c r="K55" s="85"/>
      <c r="L55" s="85"/>
      <c r="M55" s="85"/>
      <c r="N55" s="216">
        <v>2.2490438989016016E-2</v>
      </c>
      <c r="O55" s="209">
        <v>2.7958204381156079E-2</v>
      </c>
      <c r="P55" s="209">
        <v>2.9747212180728878E-2</v>
      </c>
      <c r="Q55" s="209">
        <v>-1.0512157616833476E-2</v>
      </c>
      <c r="R55" s="209">
        <v>-1.8366803715713895E-2</v>
      </c>
      <c r="S55" s="209">
        <v>9.4033448320917194E-3</v>
      </c>
      <c r="T55" s="209">
        <v>1.543589803541465E-2</v>
      </c>
      <c r="U55" s="209">
        <v>1.042070684290726E-2</v>
      </c>
      <c r="V55" s="209">
        <v>1.1378312982583544E-2</v>
      </c>
      <c r="W55" s="209">
        <v>1.1495203825421829E-2</v>
      </c>
      <c r="X55" s="209">
        <v>1.1017693783579013E-2</v>
      </c>
      <c r="Y55" s="209">
        <v>1.165095823940036E-2</v>
      </c>
      <c r="Z55" s="209">
        <v>1.3921150402853136E-2</v>
      </c>
      <c r="AA55" s="209">
        <v>1.4869696175550911E-2</v>
      </c>
      <c r="AB55" s="209">
        <v>-1.8530890526070161E-2</v>
      </c>
      <c r="AC55" s="209">
        <v>1.042070684290726E-2</v>
      </c>
      <c r="AD55" s="209">
        <v>1.1378312982583544E-2</v>
      </c>
      <c r="AE55" s="209">
        <v>1.1495203825421829E-2</v>
      </c>
      <c r="AF55" s="209">
        <v>1.1017693783579013E-2</v>
      </c>
      <c r="AG55" s="209">
        <v>1.165095823940036E-2</v>
      </c>
      <c r="AH55" s="209">
        <v>1.1597070197194794E-2</v>
      </c>
      <c r="AI55" s="209">
        <v>1.1687951949467068E-2</v>
      </c>
      <c r="AJ55" s="209">
        <v>1.1721907406724724E-2</v>
      </c>
      <c r="AK55" s="209">
        <v>1.1945326795354073E-2</v>
      </c>
      <c r="AL55" s="209">
        <v>1.1968976517795528E-2</v>
      </c>
      <c r="AM55" s="209">
        <v>1.2085062050515287E-2</v>
      </c>
      <c r="AN55" s="209">
        <v>1.2178736906624776E-2</v>
      </c>
      <c r="AO55" s="209">
        <v>1.2299788454554962E-2</v>
      </c>
      <c r="AP55" s="209">
        <v>1.237759182497853E-2</v>
      </c>
      <c r="AQ55" s="209">
        <v>1.2487862470565009E-2</v>
      </c>
      <c r="AR55" s="209">
        <v>1.2585372395386089E-2</v>
      </c>
      <c r="AS55" s="44" t="s">
        <v>628</v>
      </c>
    </row>
    <row r="56" spans="4:45" ht="17.399999999999999">
      <c r="D56" s="105">
        <v>49</v>
      </c>
      <c r="E56" s="215">
        <v>40554</v>
      </c>
      <c r="F56" s="205" t="s">
        <v>738</v>
      </c>
      <c r="G56" s="51" t="s">
        <v>809</v>
      </c>
      <c r="H56" s="85" t="s">
        <v>951</v>
      </c>
      <c r="I56" s="85"/>
      <c r="J56" s="85"/>
      <c r="K56" s="85"/>
      <c r="L56" s="85"/>
      <c r="M56" s="85"/>
      <c r="N56" s="61">
        <v>1</v>
      </c>
      <c r="O56" s="209">
        <v>1.0369999999999999</v>
      </c>
      <c r="P56" s="209">
        <v>1.0318149999999999</v>
      </c>
      <c r="Q56" s="209">
        <v>1.0514194849999998</v>
      </c>
      <c r="R56" s="209">
        <v>1.1691784673199999</v>
      </c>
      <c r="S56" s="209">
        <v>1.2802504217153998</v>
      </c>
      <c r="T56" s="209">
        <v>1.3340209394274467</v>
      </c>
      <c r="U56" s="209">
        <v>1.4714250961884736</v>
      </c>
      <c r="V56" s="209">
        <v>1.6568246583082211</v>
      </c>
      <c r="W56" s="209">
        <v>1.8523299679885914</v>
      </c>
      <c r="X56" s="209">
        <v>1.9727314159078497</v>
      </c>
      <c r="Y56" s="209">
        <v>2.1167408092691224</v>
      </c>
      <c r="Z56" s="209">
        <v>2.2500954802530773</v>
      </c>
      <c r="AA56" s="209">
        <v>2.2635960531345956</v>
      </c>
      <c r="AB56" s="209">
        <v>2.1572070386372695</v>
      </c>
      <c r="AC56" s="209">
        <v>2.301216431998542</v>
      </c>
      <c r="AD56" s="209">
        <v>2.4452258253598149</v>
      </c>
      <c r="AE56" s="209">
        <v>2.5748342793849606</v>
      </c>
      <c r="AF56" s="209">
        <v>2.6914818880075915</v>
      </c>
      <c r="AG56" s="209">
        <v>2.7964647357679593</v>
      </c>
      <c r="AH56" s="209">
        <v>2.8909492987522905</v>
      </c>
      <c r="AI56" s="209">
        <v>2.9759854054381885</v>
      </c>
      <c r="AJ56" s="209">
        <v>3.0525179014554968</v>
      </c>
      <c r="AK56" s="209">
        <v>3.1213971478710745</v>
      </c>
      <c r="AL56" s="209">
        <v>3.1833884696450943</v>
      </c>
      <c r="AM56" s="209">
        <v>3.2391806592417121</v>
      </c>
      <c r="AN56" s="209">
        <v>3.2893936298786679</v>
      </c>
      <c r="AO56" s="209">
        <v>3.3345853034519282</v>
      </c>
      <c r="AP56" s="209">
        <v>3.3752578096678625</v>
      </c>
      <c r="AQ56" s="209">
        <v>3.4118630652622035</v>
      </c>
      <c r="AR56" s="209">
        <v>3.4448077952971103</v>
      </c>
      <c r="AS56" s="44" t="s">
        <v>738</v>
      </c>
    </row>
    <row r="57" spans="4:45" ht="17.399999999999999">
      <c r="D57" s="105">
        <v>50</v>
      </c>
      <c r="E57" s="36"/>
      <c r="F57" s="205" t="s">
        <v>952</v>
      </c>
      <c r="G57" s="51" t="s">
        <v>396</v>
      </c>
      <c r="H57" s="85" t="s">
        <v>737</v>
      </c>
      <c r="I57" s="85"/>
      <c r="J57" s="85"/>
      <c r="K57" s="85"/>
      <c r="L57" s="85"/>
      <c r="M57" s="85"/>
      <c r="N57" s="218">
        <v>418.46850000000001</v>
      </c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44" t="s">
        <v>952</v>
      </c>
    </row>
    <row r="58" spans="4:45" ht="17.399999999999999">
      <c r="D58" s="105">
        <v>51</v>
      </c>
      <c r="E58" s="36"/>
      <c r="F58" s="205" t="s">
        <v>660</v>
      </c>
      <c r="G58" s="51" t="s">
        <v>396</v>
      </c>
      <c r="H58" s="85" t="s">
        <v>953</v>
      </c>
      <c r="I58" s="85"/>
      <c r="J58" s="85"/>
      <c r="K58" s="85"/>
      <c r="L58" s="222">
        <v>392.29556398346608</v>
      </c>
      <c r="M58" s="223">
        <v>296.96774193548384</v>
      </c>
      <c r="N58" s="224">
        <v>266.97399999999999</v>
      </c>
      <c r="O58" s="206">
        <v>218.65170599999999</v>
      </c>
      <c r="P58" s="206">
        <v>207.71912069999996</v>
      </c>
      <c r="Q58" s="206">
        <v>182.79282621599998</v>
      </c>
      <c r="R58" s="206">
        <v>191.93246752679997</v>
      </c>
      <c r="S58" s="206">
        <v>225.32871687646315</v>
      </c>
      <c r="T58" s="206">
        <v>247.86158856410947</v>
      </c>
      <c r="U58" s="206">
        <v>254.80171304390456</v>
      </c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44" t="s">
        <v>660</v>
      </c>
    </row>
    <row r="59" spans="4:45" ht="17.399999999999999">
      <c r="D59" s="105">
        <v>52</v>
      </c>
      <c r="E59" s="36"/>
      <c r="F59" s="205" t="s">
        <v>425</v>
      </c>
      <c r="G59" s="51" t="s">
        <v>396</v>
      </c>
      <c r="H59" s="85" t="s">
        <v>954</v>
      </c>
      <c r="I59" s="85"/>
      <c r="J59" s="85"/>
      <c r="K59" s="85"/>
      <c r="L59" s="85"/>
      <c r="M59" s="225">
        <v>610.83799999999997</v>
      </c>
      <c r="N59" s="218">
        <v>1428.5209000000002</v>
      </c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44" t="s">
        <v>425</v>
      </c>
    </row>
    <row r="60" spans="4:45" ht="17.399999999999999">
      <c r="D60" s="105">
        <v>53</v>
      </c>
      <c r="E60" s="36"/>
      <c r="F60" s="205" t="s">
        <v>423</v>
      </c>
      <c r="G60" s="51" t="s">
        <v>396</v>
      </c>
      <c r="H60" s="85" t="s">
        <v>955</v>
      </c>
      <c r="I60" s="85"/>
      <c r="J60" s="85"/>
      <c r="K60" s="85"/>
      <c r="L60" s="85"/>
      <c r="M60" s="85"/>
      <c r="N60" s="61">
        <v>0</v>
      </c>
      <c r="O60" s="206">
        <v>11.9298</v>
      </c>
      <c r="P60" s="206">
        <v>0</v>
      </c>
      <c r="Q60" s="206">
        <v>56.941099999999999</v>
      </c>
      <c r="R60" s="206">
        <v>0</v>
      </c>
      <c r="S60" s="206">
        <v>0</v>
      </c>
      <c r="T60" s="206">
        <v>-40.022599999999997</v>
      </c>
      <c r="U60" s="206">
        <v>-1.7070000000000001</v>
      </c>
      <c r="V60" s="206">
        <v>-107.4624</v>
      </c>
      <c r="W60" s="206">
        <v>-96.143500000000003</v>
      </c>
      <c r="X60" s="206">
        <v>-126.09529999999999</v>
      </c>
      <c r="Y60" s="206">
        <v>-17.179400000000001</v>
      </c>
      <c r="Z60" s="206">
        <v>378.2842</v>
      </c>
      <c r="AA60" s="206">
        <v>-327.93029999999999</v>
      </c>
      <c r="AB60" s="206">
        <v>-292.68819999999999</v>
      </c>
      <c r="AC60" s="206">
        <v>0</v>
      </c>
      <c r="AD60" s="206">
        <v>0</v>
      </c>
      <c r="AE60" s="206">
        <v>0</v>
      </c>
      <c r="AF60" s="206">
        <v>0</v>
      </c>
      <c r="AG60" s="206">
        <v>0</v>
      </c>
      <c r="AH60" s="206">
        <v>0</v>
      </c>
      <c r="AI60" s="206">
        <v>0</v>
      </c>
      <c r="AJ60" s="206">
        <v>0</v>
      </c>
      <c r="AK60" s="206">
        <v>0</v>
      </c>
      <c r="AL60" s="206">
        <v>0</v>
      </c>
      <c r="AM60" s="206">
        <v>0</v>
      </c>
      <c r="AN60" s="206">
        <v>0</v>
      </c>
      <c r="AO60" s="206">
        <v>0</v>
      </c>
      <c r="AP60" s="206">
        <v>0</v>
      </c>
      <c r="AQ60" s="206">
        <v>0</v>
      </c>
      <c r="AR60" s="206">
        <v>0</v>
      </c>
      <c r="AS60" s="44" t="s">
        <v>423</v>
      </c>
    </row>
    <row r="61" spans="4:45" ht="17.399999999999999">
      <c r="D61" s="106">
        <v>54</v>
      </c>
      <c r="E61" s="226">
        <v>40552</v>
      </c>
      <c r="F61" s="227" t="s">
        <v>749</v>
      </c>
      <c r="G61" s="3" t="s">
        <v>809</v>
      </c>
      <c r="H61" s="228" t="s">
        <v>956</v>
      </c>
      <c r="I61" s="228"/>
      <c r="J61" s="228"/>
      <c r="K61" s="228"/>
      <c r="L61" s="85"/>
      <c r="M61" s="85"/>
      <c r="N61" s="68">
        <v>0</v>
      </c>
      <c r="O61" s="209">
        <v>1.1343465719042075E-2</v>
      </c>
      <c r="P61" s="209">
        <v>1.7427192161378825E-2</v>
      </c>
      <c r="Q61" s="209">
        <v>2.5812691747178478E-2</v>
      </c>
      <c r="R61" s="209">
        <v>2.5554051948353751E-2</v>
      </c>
      <c r="S61" s="209">
        <v>3.436726962448533E-2</v>
      </c>
      <c r="T61" s="209">
        <v>4.4871582370444703E-2</v>
      </c>
      <c r="U61" s="209">
        <v>5.4086981552360254E-2</v>
      </c>
      <c r="V61" s="209">
        <v>5.7340173506267515E-2</v>
      </c>
      <c r="W61" s="209">
        <v>6.3450478588481712E-2</v>
      </c>
      <c r="X61" s="209">
        <v>7.3117509621860699E-2</v>
      </c>
      <c r="Y61" s="209">
        <v>9.6061580553901432E-2</v>
      </c>
      <c r="Z61" s="209">
        <v>0.12889058349208682</v>
      </c>
      <c r="AA61" s="209">
        <v>0.15550492231931867</v>
      </c>
      <c r="AB61" s="209">
        <v>6.411146360941819E-2</v>
      </c>
      <c r="AC61" s="209">
        <v>0.05</v>
      </c>
      <c r="AD61" s="209">
        <v>4.5766560917174549E-2</v>
      </c>
      <c r="AE61" s="209">
        <v>4.3649841375761819E-2</v>
      </c>
      <c r="AF61" s="209">
        <v>4.2591481605055451E-2</v>
      </c>
      <c r="AG61" s="209">
        <v>4.2062301719702266E-2</v>
      </c>
      <c r="AH61" s="209">
        <v>4.1797711777025674E-2</v>
      </c>
      <c r="AI61" s="209">
        <v>4.1665416805687375E-2</v>
      </c>
      <c r="AJ61" s="209">
        <v>4.1599269320018228E-2</v>
      </c>
      <c r="AK61" s="209">
        <v>4.1566195577183655E-2</v>
      </c>
      <c r="AL61" s="209">
        <v>4.1549658705766365E-2</v>
      </c>
      <c r="AM61" s="209">
        <v>4.1541390270057724E-2</v>
      </c>
      <c r="AN61" s="209">
        <v>4.1537256052203403E-2</v>
      </c>
      <c r="AO61" s="209">
        <v>4.1535188943276243E-2</v>
      </c>
      <c r="AP61" s="209">
        <v>4.1534155388812666E-2</v>
      </c>
      <c r="AQ61" s="209">
        <v>4.1533638611580881E-2</v>
      </c>
      <c r="AR61" s="209">
        <v>4.1533380222964988E-2</v>
      </c>
      <c r="AS61" s="44" t="s">
        <v>749</v>
      </c>
    </row>
    <row r="62" spans="4:45" ht="15.6">
      <c r="L62" s="47">
        <v>1993</v>
      </c>
      <c r="M62" s="48">
        <v>1994</v>
      </c>
      <c r="N62" s="58">
        <v>1995</v>
      </c>
      <c r="O62" s="48">
        <v>1996</v>
      </c>
      <c r="P62" s="48">
        <v>1997</v>
      </c>
      <c r="Q62" s="48">
        <v>1998</v>
      </c>
      <c r="R62" s="48">
        <v>1999</v>
      </c>
      <c r="S62" s="48">
        <v>2000</v>
      </c>
      <c r="T62" s="48">
        <v>2001</v>
      </c>
      <c r="U62" s="48">
        <v>2002</v>
      </c>
      <c r="V62" s="48">
        <v>2003</v>
      </c>
      <c r="W62" s="48">
        <v>2004</v>
      </c>
      <c r="X62" s="48">
        <v>2005</v>
      </c>
      <c r="Y62" s="48">
        <v>2006</v>
      </c>
      <c r="Z62" s="48">
        <v>2007</v>
      </c>
      <c r="AA62" s="48">
        <v>2008</v>
      </c>
      <c r="AB62" s="48">
        <v>2009</v>
      </c>
      <c r="AC62" s="48">
        <v>2010</v>
      </c>
      <c r="AD62" s="48">
        <v>2011</v>
      </c>
      <c r="AE62" s="48">
        <v>2012</v>
      </c>
      <c r="AF62" s="48">
        <v>2013</v>
      </c>
      <c r="AG62" s="48">
        <v>2014</v>
      </c>
      <c r="AH62" s="48">
        <v>2015</v>
      </c>
      <c r="AI62" s="48">
        <v>2016</v>
      </c>
      <c r="AJ62" s="48">
        <v>2017</v>
      </c>
      <c r="AK62" s="48">
        <v>2018</v>
      </c>
      <c r="AL62" s="48">
        <v>2019</v>
      </c>
      <c r="AM62" s="48">
        <v>2020</v>
      </c>
      <c r="AN62" s="48">
        <v>2021</v>
      </c>
      <c r="AO62" s="48">
        <v>2022</v>
      </c>
      <c r="AP62" s="48">
        <v>2023</v>
      </c>
      <c r="AQ62" s="48">
        <v>2024</v>
      </c>
      <c r="AR62" s="229">
        <v>2025</v>
      </c>
      <c r="AS62" s="44"/>
    </row>
    <row r="64" spans="4:45" ht="15" thickBot="1"/>
    <row r="65" spans="4:50" ht="18" thickBot="1">
      <c r="D65" s="188" t="s">
        <v>695</v>
      </c>
      <c r="E65" s="189">
        <v>40588</v>
      </c>
      <c r="F65" s="270" t="s">
        <v>3</v>
      </c>
      <c r="G65" s="190"/>
      <c r="H65" s="190"/>
      <c r="I65" s="190"/>
      <c r="J65" s="190"/>
      <c r="K65" s="190"/>
      <c r="L65" s="190"/>
      <c r="M65" s="191"/>
      <c r="N65" s="192" t="s">
        <v>889</v>
      </c>
      <c r="O65" s="193" t="s">
        <v>890</v>
      </c>
      <c r="P65" s="193" t="s">
        <v>891</v>
      </c>
      <c r="Q65" s="193" t="s">
        <v>892</v>
      </c>
      <c r="R65" s="193" t="s">
        <v>893</v>
      </c>
      <c r="S65" s="193" t="s">
        <v>891</v>
      </c>
      <c r="T65" s="193"/>
      <c r="U65" s="193"/>
      <c r="V65" s="193"/>
      <c r="W65" s="193"/>
      <c r="X65" s="193"/>
      <c r="Y65" s="193"/>
      <c r="Z65" s="193"/>
      <c r="AA65" s="193"/>
      <c r="AB65" s="193"/>
      <c r="AC65" s="194" t="s">
        <v>894</v>
      </c>
      <c r="AD65" s="195" t="s">
        <v>895</v>
      </c>
      <c r="AE65" s="195" t="s">
        <v>890</v>
      </c>
      <c r="AF65" s="195" t="s">
        <v>896</v>
      </c>
      <c r="AG65" s="195" t="s">
        <v>897</v>
      </c>
      <c r="AH65" s="195" t="s">
        <v>890</v>
      </c>
      <c r="AI65" s="195" t="s">
        <v>898</v>
      </c>
      <c r="AJ65" s="195"/>
      <c r="AK65" s="195"/>
      <c r="AL65" s="195"/>
      <c r="AM65" s="195"/>
      <c r="AN65" s="195"/>
      <c r="AO65" s="195"/>
      <c r="AP65" s="195"/>
      <c r="AQ65" s="195"/>
      <c r="AR65" s="195"/>
      <c r="AS65" s="195"/>
      <c r="AT65" s="195"/>
      <c r="AU65" s="195"/>
      <c r="AV65" s="195"/>
      <c r="AW65" s="195"/>
      <c r="AX65" s="196"/>
    </row>
    <row r="66" spans="4:50" ht="16.2" thickBot="1">
      <c r="D66" s="105"/>
      <c r="E66" s="198" t="s">
        <v>899</v>
      </c>
      <c r="F66" s="199"/>
      <c r="G66" s="200"/>
      <c r="H66" s="201" t="s">
        <v>900</v>
      </c>
      <c r="I66" s="202"/>
      <c r="J66" s="202"/>
      <c r="K66" s="202"/>
      <c r="L66" s="202"/>
      <c r="M66" s="203"/>
      <c r="N66" s="42">
        <v>1995</v>
      </c>
      <c r="O66" s="48">
        <v>1996</v>
      </c>
      <c r="P66" s="48">
        <v>1997</v>
      </c>
      <c r="Q66" s="48">
        <v>1998</v>
      </c>
      <c r="R66" s="48">
        <v>1999</v>
      </c>
      <c r="S66" s="48">
        <v>2000</v>
      </c>
      <c r="T66" s="48">
        <v>2001</v>
      </c>
      <c r="U66" s="48">
        <v>2002</v>
      </c>
      <c r="V66" s="48">
        <v>2003</v>
      </c>
      <c r="W66" s="48">
        <v>2004</v>
      </c>
      <c r="X66" s="48">
        <v>2005</v>
      </c>
      <c r="Y66" s="48">
        <v>2006</v>
      </c>
      <c r="Z66" s="48">
        <v>2007</v>
      </c>
      <c r="AA66" s="48">
        <v>2008</v>
      </c>
      <c r="AB66" s="48">
        <v>2009</v>
      </c>
      <c r="AC66" s="48">
        <v>2010</v>
      </c>
      <c r="AD66" s="48">
        <v>2011</v>
      </c>
      <c r="AE66" s="48">
        <v>2012</v>
      </c>
      <c r="AF66" s="48">
        <v>2013</v>
      </c>
      <c r="AG66" s="48">
        <v>2014</v>
      </c>
      <c r="AH66" s="48">
        <v>2015</v>
      </c>
      <c r="AI66" s="48">
        <v>2016</v>
      </c>
      <c r="AJ66" s="48">
        <v>2017</v>
      </c>
      <c r="AK66" s="48">
        <v>2018</v>
      </c>
      <c r="AL66" s="48">
        <v>2019</v>
      </c>
      <c r="AM66" s="48">
        <v>2020</v>
      </c>
      <c r="AN66" s="48">
        <v>2021</v>
      </c>
      <c r="AO66" s="48">
        <v>2022</v>
      </c>
      <c r="AP66" s="48">
        <v>2023</v>
      </c>
      <c r="AQ66" s="48">
        <v>2024</v>
      </c>
      <c r="AR66" s="48">
        <v>2025</v>
      </c>
      <c r="AS66" s="48">
        <v>2026</v>
      </c>
      <c r="AT66" s="48">
        <v>2027</v>
      </c>
      <c r="AU66" s="48">
        <v>2028</v>
      </c>
      <c r="AV66" s="48">
        <v>2029</v>
      </c>
      <c r="AW66" s="48">
        <v>2030</v>
      </c>
      <c r="AX66" s="16"/>
    </row>
    <row r="67" spans="4:50" ht="17.399999999999999">
      <c r="D67" s="105">
        <v>1</v>
      </c>
      <c r="E67" s="204">
        <v>40588</v>
      </c>
      <c r="F67" s="205" t="s">
        <v>458</v>
      </c>
      <c r="G67" s="51" t="s">
        <v>901</v>
      </c>
      <c r="H67" s="85" t="s">
        <v>861</v>
      </c>
      <c r="I67" s="85"/>
      <c r="J67" s="85"/>
      <c r="K67" s="85"/>
      <c r="L67" s="85"/>
      <c r="M67" s="85"/>
      <c r="N67" s="60">
        <v>148.30000000000001</v>
      </c>
      <c r="O67" s="212">
        <f>СЧЁТ!P6</f>
        <v>148.29163800000001</v>
      </c>
      <c r="P67" s="212">
        <f>СЧЁТ!Q6</f>
        <v>148.02861300000001</v>
      </c>
      <c r="Q67" s="212">
        <f>СЧЁТ!R6</f>
        <v>147.802133</v>
      </c>
      <c r="R67" s="212">
        <f>СЧЁТ!S6</f>
        <v>147.53942599999999</v>
      </c>
      <c r="S67" s="212">
        <f>СЧЁТ!T6</f>
        <v>146.890128</v>
      </c>
      <c r="T67" s="212">
        <f>СЧЁТ!U6</f>
        <v>146.30361099999999</v>
      </c>
      <c r="U67" s="212">
        <f>СЧЁТ!V6</f>
        <v>145.166731</v>
      </c>
      <c r="V67" s="212">
        <f>СЧЁТ!W6</f>
        <v>144.96365</v>
      </c>
      <c r="W67" s="212">
        <f>СЧЁТ!X6</f>
        <v>144.168205</v>
      </c>
      <c r="X67" s="212">
        <f>СЧЁТ!Y6</f>
        <v>143.47421900000001</v>
      </c>
      <c r="Y67" s="212">
        <f>СЧЁТ!Z6</f>
        <v>142.75355099999999</v>
      </c>
      <c r="Z67" s="212">
        <f>СЧЁТ!AA6</f>
        <v>142.220968</v>
      </c>
      <c r="AA67" s="212">
        <f>СЧЁТ!AB6</f>
        <v>142.008838</v>
      </c>
      <c r="AB67" s="212">
        <f>СЧЁТ!AC6</f>
        <v>141.90397899999999</v>
      </c>
      <c r="AC67" s="212">
        <f>СЧЁТ!AD6</f>
        <v>142.85653600000001</v>
      </c>
      <c r="AD67" s="212">
        <f>СЧЁТ!AE6</f>
        <v>142.865433</v>
      </c>
      <c r="AE67" s="212">
        <f>СЧЁТ!AF6</f>
        <v>143.05638300000001</v>
      </c>
      <c r="AF67" s="212">
        <f>СЧЁТ!AG6</f>
        <v>143.347059</v>
      </c>
      <c r="AG67" s="212">
        <f>СЧЁТ!AH6</f>
        <v>143.66693100000001</v>
      </c>
      <c r="AH67" s="212">
        <f>СЧЁТ!AI6</f>
        <v>146.26728800000001</v>
      </c>
      <c r="AI67" s="212">
        <f>СЧЁТ!AJ6</f>
        <v>146.54471000000001</v>
      </c>
      <c r="AJ67" s="212">
        <f>СЧЁТ!AK6</f>
        <v>146.804372</v>
      </c>
      <c r="AK67" s="212">
        <f>СЧЁТ!AL6</f>
        <v>146.88043200000001</v>
      </c>
      <c r="AL67" s="212">
        <f>СЧЁТ!AM6</f>
        <v>146.74509800000001</v>
      </c>
      <c r="AM67" s="212">
        <f>СЧЁТ!AN6</f>
        <v>146.69999999999999</v>
      </c>
      <c r="AN67" s="212">
        <f>СЧЁТ!AO6</f>
        <v>146.63999999999999</v>
      </c>
      <c r="AO67" s="212">
        <f>СЧЁТ!AP6</f>
        <v>146.55999999999997</v>
      </c>
      <c r="AP67" s="212">
        <f>СЧЁТ!AQ6</f>
        <v>146.43999999999997</v>
      </c>
      <c r="AQ67" s="212">
        <f>СЧЁТ!AR6</f>
        <v>146.31999999999996</v>
      </c>
      <c r="AR67" s="212">
        <f>СЧЁТ!AS6</f>
        <v>146.15999999999997</v>
      </c>
      <c r="AS67" s="271">
        <v>146.20217980604284</v>
      </c>
      <c r="AT67" s="271">
        <v>146.62969068893696</v>
      </c>
      <c r="AU67" s="271">
        <v>147.06694106035741</v>
      </c>
      <c r="AV67" s="271">
        <v>147.51309629678479</v>
      </c>
      <c r="AW67" s="271">
        <v>147.96741480595435</v>
      </c>
      <c r="AX67" s="44" t="s">
        <v>458</v>
      </c>
    </row>
    <row r="68" spans="4:50" ht="17.399999999999999">
      <c r="D68" s="105">
        <v>2</v>
      </c>
      <c r="E68" s="204">
        <v>40588</v>
      </c>
      <c r="F68" s="205" t="s">
        <v>902</v>
      </c>
      <c r="G68" s="51" t="s">
        <v>809</v>
      </c>
      <c r="H68" s="85" t="s">
        <v>903</v>
      </c>
      <c r="I68" s="85"/>
      <c r="J68" s="85"/>
      <c r="K68" s="85"/>
      <c r="L68" s="85"/>
      <c r="M68" s="85"/>
      <c r="N68" s="216">
        <v>0.47700606877950091</v>
      </c>
      <c r="O68" s="212">
        <f>СЧЁТ!P7</f>
        <v>0.46972353337828721</v>
      </c>
      <c r="P68" s="212">
        <f>СЧЁТ!Q7</f>
        <v>0.4599932432432432</v>
      </c>
      <c r="Q68" s="212">
        <f>СЧЁТ!R7</f>
        <v>0.45560893098782135</v>
      </c>
      <c r="R68" s="212">
        <f>СЧЁТ!S7</f>
        <v>0.48932203389830509</v>
      </c>
      <c r="S68" s="212">
        <f>СЧЁТ!T7</f>
        <v>0.49740259740259735</v>
      </c>
      <c r="T68" s="212">
        <f>СЧЁТ!U7</f>
        <v>0.48901602143482065</v>
      </c>
      <c r="U68" s="212">
        <f>СЧЁТ!V7</f>
        <v>0.49842942756767933</v>
      </c>
      <c r="V68" s="212">
        <f>СЧЁТ!W7</f>
        <v>0.50119972260748957</v>
      </c>
      <c r="W68" s="212">
        <f>СЧЁТ!X7</f>
        <v>0.50860627177700346</v>
      </c>
      <c r="X68" s="212">
        <f>СЧЁТ!Y7</f>
        <v>0.51527310924369751</v>
      </c>
      <c r="Y68" s="212">
        <f>СЧЁТ!Z7</f>
        <v>0.52334036568213782</v>
      </c>
      <c r="Z68" s="212">
        <f>СЧЁТ!AA7</f>
        <v>0.53020422535211265</v>
      </c>
      <c r="AA68" s="212">
        <f>СЧЁТ!AB7</f>
        <v>0.53347427766032418</v>
      </c>
      <c r="AB68" s="212">
        <f>СЧЁТ!AC7</f>
        <v>0.53343199436222688</v>
      </c>
      <c r="AC68" s="212">
        <f>СЧЁТ!AD7</f>
        <v>0.52834824442334227</v>
      </c>
      <c r="AD68" s="212">
        <f>СЧЁТ!AE7</f>
        <v>0.53042221906820519</v>
      </c>
      <c r="AE68" s="212">
        <f>СЧЁТ!AF7</f>
        <v>0.52829519672673386</v>
      </c>
      <c r="AF68" s="212">
        <f>СЧЁТ!AG7</f>
        <v>0.52689605581653398</v>
      </c>
      <c r="AG68" s="212">
        <f>СЧЁТ!AH7</f>
        <v>0.52501991568261452</v>
      </c>
      <c r="AH68" s="212">
        <f>СЧЁТ!AI7</f>
        <v>0.52361673650502083</v>
      </c>
      <c r="AI68" s="212">
        <f>СЧЁТ!AJ7</f>
        <v>0.52295302914721375</v>
      </c>
      <c r="AJ68" s="212">
        <f>СЧЁТ!AK7</f>
        <v>0.51843823833802438</v>
      </c>
      <c r="AK68" s="212">
        <f>СЧЁТ!AL7</f>
        <v>0.51947014970653127</v>
      </c>
      <c r="AL68" s="212">
        <f>СЧЁТ!AM7</f>
        <v>0.51722341007942907</v>
      </c>
      <c r="AM68" s="212">
        <f>СЧЁТ!AN7</f>
        <v>0.51672341007942912</v>
      </c>
      <c r="AN68" s="212">
        <f>СЧЁТ!AO7</f>
        <v>0.51622341007942918</v>
      </c>
      <c r="AO68" s="212">
        <f>СЧЁТ!AP7</f>
        <v>0.51572341007942923</v>
      </c>
      <c r="AP68" s="212">
        <f>СЧЁТ!AQ7</f>
        <v>0.51522341007942929</v>
      </c>
      <c r="AQ68" s="212">
        <f>СЧЁТ!AR7</f>
        <v>0.51472341007942934</v>
      </c>
      <c r="AR68" s="212">
        <f>СЧЁТ!AS7</f>
        <v>0.5142234100794294</v>
      </c>
      <c r="AS68" s="272">
        <v>0.57300226490217643</v>
      </c>
      <c r="AT68" s="272">
        <v>0.57381824822565286</v>
      </c>
      <c r="AU68" s="272">
        <v>0.57455263321678163</v>
      </c>
      <c r="AV68" s="272">
        <v>0.5752135797087975</v>
      </c>
      <c r="AW68" s="272">
        <v>0.57580843155161177</v>
      </c>
      <c r="AX68" s="44" t="s">
        <v>902</v>
      </c>
    </row>
    <row r="69" spans="4:50" ht="17.399999999999999">
      <c r="D69" s="105">
        <v>3</v>
      </c>
      <c r="E69" s="204"/>
      <c r="F69" s="205" t="s">
        <v>470</v>
      </c>
      <c r="G69" s="51" t="s">
        <v>901</v>
      </c>
      <c r="H69" s="85" t="s">
        <v>904</v>
      </c>
      <c r="I69" s="85"/>
      <c r="J69" s="85"/>
      <c r="K69" s="85"/>
      <c r="L69" s="85"/>
      <c r="M69" s="85"/>
      <c r="N69" s="210">
        <v>6.6840000000000002</v>
      </c>
      <c r="O69" s="212">
        <f>СЧЁТ!P8</f>
        <v>69.66</v>
      </c>
      <c r="P69" s="212">
        <f>СЧЁТ!Q8</f>
        <v>68.078999999999994</v>
      </c>
      <c r="Q69" s="212">
        <f>СЧЁТ!R8</f>
        <v>67.338999999999999</v>
      </c>
      <c r="R69" s="212">
        <f>СЧЁТ!S8</f>
        <v>72.174999999999997</v>
      </c>
      <c r="S69" s="212">
        <f>СЧЁТ!T8</f>
        <v>72.77</v>
      </c>
      <c r="T69" s="212">
        <f>СЧЁТ!U8</f>
        <v>71.545000000000002</v>
      </c>
      <c r="U69" s="212">
        <f>СЧЁТ!V8</f>
        <v>72.356999999999999</v>
      </c>
      <c r="V69" s="212">
        <f>СЧЁТ!W8</f>
        <v>72.272999999999996</v>
      </c>
      <c r="W69" s="212">
        <f>СЧЁТ!X8</f>
        <v>72.984999999999999</v>
      </c>
      <c r="X69" s="212">
        <f>СЧЁТ!Y8</f>
        <v>73.581000000000003</v>
      </c>
      <c r="Y69" s="212">
        <f>СЧЁТ!Z8</f>
        <v>74.418999999999997</v>
      </c>
      <c r="Z69" s="212">
        <f>СЧЁТ!AA8</f>
        <v>75.289000000000001</v>
      </c>
      <c r="AA69" s="212">
        <f>СЧЁТ!AB8</f>
        <v>75.7</v>
      </c>
      <c r="AB69" s="212">
        <f>СЧЁТ!AC8</f>
        <v>75.694000000000003</v>
      </c>
      <c r="AC69" s="212">
        <f>СЧЁТ!AD8</f>
        <v>75.477999999999994</v>
      </c>
      <c r="AD69" s="212">
        <f>СЧЁТ!AE8</f>
        <v>75.778999999999996</v>
      </c>
      <c r="AE69" s="212">
        <f>СЧЁТ!AF8</f>
        <v>75.575999999999993</v>
      </c>
      <c r="AF69" s="212">
        <f>СЧЁТ!AG8</f>
        <v>75.528999999999996</v>
      </c>
      <c r="AG69" s="212">
        <f>СЧЁТ!AH8</f>
        <v>75.427999999999997</v>
      </c>
      <c r="AH69" s="212">
        <f>СЧЁТ!AI8</f>
        <v>76.587999999999994</v>
      </c>
      <c r="AI69" s="212">
        <f>СЧЁТ!AJ8</f>
        <v>76.635999999999996</v>
      </c>
      <c r="AJ69" s="212">
        <f>СЧЁТ!AK8</f>
        <v>76.108999999999995</v>
      </c>
      <c r="AK69" s="212">
        <f>СЧЁТ!AL8</f>
        <v>76.3</v>
      </c>
      <c r="AL69" s="212">
        <f>СЧЁТ!AM8</f>
        <v>75.900000000000006</v>
      </c>
      <c r="AM69" s="212">
        <f>СЧЁТ!AN8</f>
        <v>77.751000000000005</v>
      </c>
      <c r="AN69" s="212">
        <f>СЧЁТ!AO8</f>
        <v>77.719200000000001</v>
      </c>
      <c r="AO69" s="212">
        <f>СЧЁТ!AP8</f>
        <v>77.676799999999986</v>
      </c>
      <c r="AP69" s="212">
        <f>СЧЁТ!AQ8</f>
        <v>77.613199999999992</v>
      </c>
      <c r="AQ69" s="212">
        <f>СЧЁТ!AR8</f>
        <v>77.549599999999984</v>
      </c>
      <c r="AR69" s="212">
        <f>СЧЁТ!AS8</f>
        <v>77.464799999999983</v>
      </c>
      <c r="AS69" s="211"/>
      <c r="AT69" s="211"/>
      <c r="AU69" s="211"/>
      <c r="AV69" s="211"/>
      <c r="AW69" s="211"/>
      <c r="AX69" s="44" t="s">
        <v>470</v>
      </c>
    </row>
    <row r="70" spans="4:50" ht="17.399999999999999">
      <c r="D70" s="105">
        <v>4</v>
      </c>
      <c r="E70" s="204">
        <v>40559</v>
      </c>
      <c r="F70" s="205" t="s">
        <v>499</v>
      </c>
      <c r="G70" s="51" t="s">
        <v>901</v>
      </c>
      <c r="H70" s="85" t="s">
        <v>905</v>
      </c>
      <c r="I70" s="85"/>
      <c r="J70" s="85"/>
      <c r="K70" s="85"/>
      <c r="L70" s="85"/>
      <c r="M70" s="85"/>
      <c r="N70" s="61">
        <v>2</v>
      </c>
      <c r="O70" s="212">
        <f>СЧЁТ!P9</f>
        <v>11.9298</v>
      </c>
      <c r="P70" s="212">
        <f>СЧЁТ!Q9</f>
        <v>0</v>
      </c>
      <c r="Q70" s="212">
        <f>СЧЁТ!R9</f>
        <v>56.941099999999999</v>
      </c>
      <c r="R70" s="212">
        <f>СЧЁТ!S9</f>
        <v>0</v>
      </c>
      <c r="S70" s="212">
        <f>СЧЁТ!T9</f>
        <v>0</v>
      </c>
      <c r="T70" s="212">
        <f>СЧЁТ!U9</f>
        <v>-40.022599999999997</v>
      </c>
      <c r="U70" s="212">
        <f>СЧЁТ!V9</f>
        <v>-1.7070000000000001</v>
      </c>
      <c r="V70" s="212">
        <f>СЧЁТ!W9</f>
        <v>-107.4624</v>
      </c>
      <c r="W70" s="212">
        <f>СЧЁТ!X9</f>
        <v>-96.143500000000003</v>
      </c>
      <c r="X70" s="212">
        <f>СЧЁТ!Y9</f>
        <v>-126.09529999999999</v>
      </c>
      <c r="Y70" s="212">
        <f>СЧЁТ!Z9</f>
        <v>-17.179400000000001</v>
      </c>
      <c r="Z70" s="212">
        <f>СЧЁТ!AA9</f>
        <v>378.2842</v>
      </c>
      <c r="AA70" s="212">
        <f>СЧЁТ!AB9</f>
        <v>-605.34550000000002</v>
      </c>
      <c r="AB70" s="212">
        <f>СЧЁТ!AC9</f>
        <v>-694.86199999999997</v>
      </c>
      <c r="AC70" s="212">
        <f>СЧЁТ!AD9</f>
        <v>-418.459</v>
      </c>
      <c r="AD70" s="212">
        <f>СЧЁТ!AE9</f>
        <v>0</v>
      </c>
      <c r="AE70" s="212">
        <f>СЧЁТ!AF9</f>
        <v>0</v>
      </c>
      <c r="AF70" s="212">
        <f>СЧЁТ!AG9</f>
        <v>0</v>
      </c>
      <c r="AG70" s="212">
        <f>СЧЁТ!AH9</f>
        <v>-317.8</v>
      </c>
      <c r="AH70" s="212">
        <f>СЧЁТ!AI9</f>
        <v>-450.2</v>
      </c>
      <c r="AI70" s="212">
        <f>СЧЁТ!AJ9</f>
        <v>-67.02</v>
      </c>
      <c r="AJ70" s="212">
        <f>СЧЁТ!AK9</f>
        <v>0</v>
      </c>
      <c r="AK70" s="212">
        <f>СЧЁТ!AL9</f>
        <v>0</v>
      </c>
      <c r="AL70" s="212">
        <f>СЧЁТ!AM9</f>
        <v>0</v>
      </c>
      <c r="AM70" s="212">
        <f>СЧЁТ!AN9</f>
        <v>0</v>
      </c>
      <c r="AN70" s="212">
        <f>СЧЁТ!AO9</f>
        <v>0</v>
      </c>
      <c r="AO70" s="212">
        <f>СЧЁТ!AP9</f>
        <v>0</v>
      </c>
      <c r="AP70" s="212">
        <f>СЧЁТ!AQ9</f>
        <v>0</v>
      </c>
      <c r="AQ70" s="212">
        <f>СЧЁТ!AR9</f>
        <v>0</v>
      </c>
      <c r="AR70" s="212">
        <f>СЧЁТ!AS9</f>
        <v>0</v>
      </c>
      <c r="AX70" s="44" t="s">
        <v>499</v>
      </c>
    </row>
    <row r="71" spans="4:50" ht="17.399999999999999">
      <c r="D71" s="105">
        <v>5</v>
      </c>
      <c r="E71" s="204">
        <v>40558</v>
      </c>
      <c r="F71" s="205" t="s">
        <v>906</v>
      </c>
      <c r="G71" s="51" t="s">
        <v>396</v>
      </c>
      <c r="H71" s="85" t="s">
        <v>907</v>
      </c>
      <c r="I71" s="85"/>
      <c r="J71" s="85"/>
      <c r="K71" s="85"/>
      <c r="L71" s="85"/>
      <c r="M71" s="85"/>
      <c r="N71" s="213">
        <v>5182.04</v>
      </c>
      <c r="O71" s="212" t="e">
        <f>СЧЁТ!#REF!</f>
        <v>#REF!</v>
      </c>
      <c r="P71" s="212" t="e">
        <f>СЧЁТ!#REF!</f>
        <v>#REF!</v>
      </c>
      <c r="Q71" s="212" t="e">
        <f>СЧЁТ!#REF!</f>
        <v>#REF!</v>
      </c>
      <c r="R71" s="212" t="e">
        <f>СЧЁТ!#REF!</f>
        <v>#REF!</v>
      </c>
      <c r="S71" s="212" t="e">
        <f>СЧЁТ!#REF!</f>
        <v>#REF!</v>
      </c>
      <c r="T71" s="212" t="e">
        <f>СЧЁТ!#REF!</f>
        <v>#REF!</v>
      </c>
      <c r="U71" s="212" t="e">
        <f>СЧЁТ!#REF!</f>
        <v>#REF!</v>
      </c>
      <c r="V71" s="212" t="e">
        <f>СЧЁТ!#REF!</f>
        <v>#REF!</v>
      </c>
      <c r="W71" s="212" t="e">
        <f>СЧЁТ!#REF!</f>
        <v>#REF!</v>
      </c>
      <c r="X71" s="212" t="e">
        <f>СЧЁТ!#REF!</f>
        <v>#REF!</v>
      </c>
      <c r="Y71" s="212" t="e">
        <f>СЧЁТ!#REF!</f>
        <v>#REF!</v>
      </c>
      <c r="Z71" s="212" t="e">
        <f>СЧЁТ!#REF!</f>
        <v>#REF!</v>
      </c>
      <c r="AA71" s="212" t="e">
        <f>СЧЁТ!#REF!</f>
        <v>#REF!</v>
      </c>
      <c r="AB71" s="212" t="e">
        <f>СЧЁТ!#REF!</f>
        <v>#REF!</v>
      </c>
      <c r="AC71" s="212" t="e">
        <f>СЧЁТ!#REF!</f>
        <v>#REF!</v>
      </c>
      <c r="AD71" s="212" t="e">
        <f>СЧЁТ!#REF!</f>
        <v>#REF!</v>
      </c>
      <c r="AE71" s="212" t="e">
        <f>СЧЁТ!#REF!</f>
        <v>#REF!</v>
      </c>
      <c r="AF71" s="212" t="e">
        <f>СЧЁТ!#REF!</f>
        <v>#REF!</v>
      </c>
      <c r="AG71" s="212" t="e">
        <f>СЧЁТ!#REF!</f>
        <v>#REF!</v>
      </c>
      <c r="AH71" s="212" t="e">
        <f>СЧЁТ!#REF!</f>
        <v>#REF!</v>
      </c>
      <c r="AI71" s="212" t="e">
        <f>СЧЁТ!#REF!</f>
        <v>#REF!</v>
      </c>
      <c r="AJ71" s="212" t="e">
        <f>СЧЁТ!#REF!</f>
        <v>#REF!</v>
      </c>
      <c r="AK71" s="212" t="e">
        <f>СЧЁТ!#REF!</f>
        <v>#REF!</v>
      </c>
      <c r="AL71" s="212" t="e">
        <f>СЧЁТ!#REF!</f>
        <v>#REF!</v>
      </c>
      <c r="AM71" s="212" t="e">
        <f>СЧЁТ!#REF!</f>
        <v>#REF!</v>
      </c>
      <c r="AN71" s="212" t="e">
        <f>СЧЁТ!#REF!</f>
        <v>#REF!</v>
      </c>
      <c r="AO71" s="212" t="e">
        <f>СЧЁТ!#REF!</f>
        <v>#REF!</v>
      </c>
      <c r="AP71" s="212" t="e">
        <f>СЧЁТ!#REF!</f>
        <v>#REF!</v>
      </c>
      <c r="AQ71" s="212" t="e">
        <f>СЧЁТ!#REF!</f>
        <v>#REF!</v>
      </c>
      <c r="AR71" s="212" t="e">
        <f>СЧЁТ!#REF!</f>
        <v>#REF!</v>
      </c>
      <c r="AX71" s="44" t="s">
        <v>906</v>
      </c>
    </row>
    <row r="72" spans="4:50" ht="17.399999999999999">
      <c r="D72" s="105">
        <v>6</v>
      </c>
      <c r="E72" s="215">
        <v>40585</v>
      </c>
      <c r="F72" s="205" t="s">
        <v>768</v>
      </c>
      <c r="G72" s="51" t="s">
        <v>809</v>
      </c>
      <c r="H72" s="85" t="s">
        <v>908</v>
      </c>
      <c r="I72" s="85"/>
      <c r="J72" s="85"/>
      <c r="K72" s="85"/>
      <c r="L72" s="85"/>
      <c r="M72" s="85"/>
      <c r="N72" s="216">
        <v>0.50338504971343634</v>
      </c>
      <c r="O72" s="212" t="e">
        <f>СЧЁТ!#REF!</f>
        <v>#REF!</v>
      </c>
      <c r="P72" s="212" t="e">
        <f>СЧЁТ!#REF!</f>
        <v>#REF!</v>
      </c>
      <c r="Q72" s="212" t="e">
        <f>СЧЁТ!#REF!</f>
        <v>#REF!</v>
      </c>
      <c r="R72" s="212" t="e">
        <f>СЧЁТ!#REF!</f>
        <v>#REF!</v>
      </c>
      <c r="S72" s="212" t="e">
        <f>СЧЁТ!#REF!</f>
        <v>#REF!</v>
      </c>
      <c r="T72" s="212" t="e">
        <f>СЧЁТ!#REF!</f>
        <v>#REF!</v>
      </c>
      <c r="U72" s="212" t="e">
        <f>СЧЁТ!#REF!</f>
        <v>#REF!</v>
      </c>
      <c r="V72" s="212" t="e">
        <f>СЧЁТ!#REF!</f>
        <v>#REF!</v>
      </c>
      <c r="W72" s="212" t="e">
        <f>СЧЁТ!#REF!</f>
        <v>#REF!</v>
      </c>
      <c r="X72" s="212" t="e">
        <f>СЧЁТ!#REF!</f>
        <v>#REF!</v>
      </c>
      <c r="Y72" s="212" t="e">
        <f>СЧЁТ!#REF!</f>
        <v>#REF!</v>
      </c>
      <c r="Z72" s="212" t="e">
        <f>СЧЁТ!#REF!</f>
        <v>#REF!</v>
      </c>
      <c r="AA72" s="212" t="e">
        <f>СЧЁТ!#REF!</f>
        <v>#REF!</v>
      </c>
      <c r="AB72" s="212" t="e">
        <f>СЧЁТ!#REF!</f>
        <v>#REF!</v>
      </c>
      <c r="AC72" s="212" t="e">
        <f>СЧЁТ!#REF!</f>
        <v>#REF!</v>
      </c>
      <c r="AD72" s="212" t="e">
        <f>СЧЁТ!#REF!</f>
        <v>#REF!</v>
      </c>
      <c r="AE72" s="212" t="e">
        <f>СЧЁТ!#REF!</f>
        <v>#REF!</v>
      </c>
      <c r="AF72" s="212" t="e">
        <f>СЧЁТ!#REF!</f>
        <v>#REF!</v>
      </c>
      <c r="AG72" s="212" t="e">
        <f>СЧЁТ!#REF!</f>
        <v>#REF!</v>
      </c>
      <c r="AH72" s="212" t="e">
        <f>СЧЁТ!#REF!</f>
        <v>#REF!</v>
      </c>
      <c r="AI72" s="212" t="e">
        <f>СЧЁТ!#REF!</f>
        <v>#REF!</v>
      </c>
      <c r="AJ72" s="212" t="e">
        <f>СЧЁТ!#REF!</f>
        <v>#REF!</v>
      </c>
      <c r="AK72" s="212" t="e">
        <f>СЧЁТ!#REF!</f>
        <v>#REF!</v>
      </c>
      <c r="AL72" s="212" t="e">
        <f>СЧЁТ!#REF!</f>
        <v>#REF!</v>
      </c>
      <c r="AM72" s="212" t="e">
        <f>СЧЁТ!#REF!</f>
        <v>#REF!</v>
      </c>
      <c r="AN72" s="212" t="e">
        <f>СЧЁТ!#REF!</f>
        <v>#REF!</v>
      </c>
      <c r="AO72" s="212" t="e">
        <f>СЧЁТ!#REF!</f>
        <v>#REF!</v>
      </c>
      <c r="AP72" s="212" t="e">
        <f>СЧЁТ!#REF!</f>
        <v>#REF!</v>
      </c>
      <c r="AQ72" s="212" t="e">
        <f>СЧЁТ!#REF!</f>
        <v>#REF!</v>
      </c>
      <c r="AR72" s="212" t="e">
        <f>СЧЁТ!#REF!</f>
        <v>#REF!</v>
      </c>
      <c r="AS72" s="221">
        <v>0.47158495077192053</v>
      </c>
      <c r="AT72" s="209">
        <v>0.46853245689896555</v>
      </c>
      <c r="AU72" s="209">
        <v>0.47151487515500229</v>
      </c>
      <c r="AV72" s="209">
        <v>0.4727860056249466</v>
      </c>
      <c r="AW72" s="209">
        <v>0.47234858838425853</v>
      </c>
      <c r="AX72" s="44" t="s">
        <v>768</v>
      </c>
    </row>
    <row r="73" spans="4:50" ht="17.399999999999999">
      <c r="D73" s="105">
        <v>7</v>
      </c>
      <c r="E73" s="215">
        <v>40585</v>
      </c>
      <c r="F73" s="205" t="s">
        <v>453</v>
      </c>
      <c r="G73" s="51" t="s">
        <v>809</v>
      </c>
      <c r="H73" s="85" t="s">
        <v>909</v>
      </c>
      <c r="I73" s="85"/>
      <c r="J73" s="85"/>
      <c r="K73" s="85"/>
      <c r="L73" s="85"/>
      <c r="M73" s="85"/>
      <c r="N73" s="216">
        <v>0.50338504971343634</v>
      </c>
      <c r="O73" s="212">
        <f>СЧЁТ!P10</f>
        <v>0.50747241555941625</v>
      </c>
      <c r="P73" s="212">
        <f>СЧЁТ!Q10</f>
        <v>0.50747241555941636</v>
      </c>
      <c r="Q73" s="212">
        <f>СЧЁТ!R10</f>
        <v>0.50851040836118788</v>
      </c>
      <c r="R73" s="212">
        <f>СЧЁТ!S10</f>
        <v>0.50572313279423808</v>
      </c>
      <c r="S73" s="212">
        <f>СЧЁТ!T10</f>
        <v>0.50301229074374942</v>
      </c>
      <c r="T73" s="212">
        <f>СЧЁТ!U10</f>
        <v>0.50206474506356591</v>
      </c>
      <c r="U73" s="212">
        <f>СЧЁТ!V10</f>
        <v>0.50063389662984059</v>
      </c>
      <c r="V73" s="212">
        <f>СЧЁТ!W10</f>
        <v>0.50202618130466459</v>
      </c>
      <c r="W73" s="212">
        <f>СЧЁТ!X10</f>
        <v>0.5057148762579633</v>
      </c>
      <c r="X73" s="212">
        <f>СЧЁТ!Y10</f>
        <v>0.502441464842453</v>
      </c>
      <c r="Y73" s="212">
        <f>СЧЁТ!Z10</f>
        <v>0.50563972907211574</v>
      </c>
      <c r="Z73" s="212">
        <f>СЧЁТ!AA10</f>
        <v>0.50700285481915963</v>
      </c>
      <c r="AA73" s="212">
        <f>СЧЁТ!AB10</f>
        <v>0.50606381263786271</v>
      </c>
      <c r="AB73" s="212">
        <f>СЧЁТ!AC10</f>
        <v>0.50873085468625434</v>
      </c>
      <c r="AC73" s="212">
        <f>СЧЁТ!AD10</f>
        <v>0.51107023156870091</v>
      </c>
      <c r="AD73" s="212">
        <f>СЧЁТ!AE10</f>
        <v>0.51107023156870091</v>
      </c>
      <c r="AE73" s="212">
        <f>СЧЁТ!AF10</f>
        <v>0.51221890324681785</v>
      </c>
      <c r="AF73" s="212">
        <f>СЧЁТ!AG10</f>
        <v>0.51372211702384318</v>
      </c>
      <c r="AG73" s="212">
        <f>СЧЁТ!AH10</f>
        <v>0.51401831827360078</v>
      </c>
      <c r="AH73" s="212">
        <f>СЧЁТ!AI10</f>
        <v>0.51894214483617829</v>
      </c>
      <c r="AI73" s="212">
        <f>СЧЁТ!AJ10</f>
        <v>0.52322032734257595</v>
      </c>
      <c r="AJ73" s="212">
        <f>СЧЁТ!AK10</f>
        <v>0.52740668544395819</v>
      </c>
      <c r="AK73" s="212">
        <f>СЧЁТ!AL10</f>
        <v>0.52832881874065285</v>
      </c>
      <c r="AL73" s="212">
        <f>СЧЁТ!AM10</f>
        <v>0.52932881874065285</v>
      </c>
      <c r="AM73" s="212">
        <f>СЧЁТ!AN10</f>
        <v>0.53032881874065285</v>
      </c>
      <c r="AN73" s="212">
        <f>СЧЁТ!AO10</f>
        <v>0.53132881874065285</v>
      </c>
      <c r="AO73" s="212">
        <f>СЧЁТ!AP10</f>
        <v>0.53232881874065285</v>
      </c>
      <c r="AP73" s="212">
        <f>СЧЁТ!AQ10</f>
        <v>0.53332881874065285</v>
      </c>
      <c r="AQ73" s="212">
        <f>СЧЁТ!AR10</f>
        <v>0.53432881874065286</v>
      </c>
      <c r="AR73" s="212">
        <f>СЧЁТ!AS10</f>
        <v>0.53532881874065286</v>
      </c>
      <c r="AS73" s="221">
        <v>0.50571487625796319</v>
      </c>
      <c r="AT73" s="209">
        <v>0.502441464842453</v>
      </c>
      <c r="AU73" s="209">
        <v>0.50563972907211574</v>
      </c>
      <c r="AV73" s="209">
        <v>0.50700285481915963</v>
      </c>
      <c r="AW73" s="209">
        <v>0.5065337804659904</v>
      </c>
      <c r="AX73" s="44" t="s">
        <v>453</v>
      </c>
    </row>
    <row r="74" spans="4:50" ht="17.399999999999999">
      <c r="D74" s="105">
        <v>8</v>
      </c>
      <c r="E74" s="215">
        <v>40585</v>
      </c>
      <c r="F74" s="205" t="s">
        <v>455</v>
      </c>
      <c r="G74" s="51" t="s">
        <v>809</v>
      </c>
      <c r="H74" s="85" t="s">
        <v>1</v>
      </c>
      <c r="I74" s="85"/>
      <c r="J74" s="85"/>
      <c r="K74" s="85"/>
      <c r="L74" s="85"/>
      <c r="M74" s="85"/>
      <c r="N74" s="216">
        <v>1.0000000000000002</v>
      </c>
      <c r="O74" s="212">
        <f>СЧЁТ!P13</f>
        <v>0.13929134853086492</v>
      </c>
      <c r="P74" s="212">
        <f>СЧЁТ!Q13</f>
        <v>0.1379176665926907</v>
      </c>
      <c r="Q74" s="212">
        <f>СЧЁТ!R13</f>
        <v>0.12004214183937038</v>
      </c>
      <c r="R74" s="212">
        <f>СЧЁТ!S13</f>
        <v>9.4172946811604347E-2</v>
      </c>
      <c r="S74" s="212">
        <f>СЧЁТ!T13</f>
        <v>0.11397164678113725</v>
      </c>
      <c r="T74" s="212">
        <f>СЧЁТ!U13</f>
        <v>0.12896505693918964</v>
      </c>
      <c r="U74" s="212">
        <f>СЧЁТ!V13</f>
        <v>0.14156509123784608</v>
      </c>
      <c r="V74" s="212">
        <f>СЧЁТ!W13</f>
        <v>0.15432700002044</v>
      </c>
      <c r="W74" s="212">
        <f>СЧЁТ!X13</f>
        <v>0.17618999169000235</v>
      </c>
      <c r="X74" s="212">
        <f>СЧЁТ!Y13</f>
        <v>0.19435906368074052</v>
      </c>
      <c r="Y74" s="212">
        <f>СЧЁТ!Z13</f>
        <v>0.2164899396186761</v>
      </c>
      <c r="Z74" s="212">
        <f>СЧЁТ!AA13</f>
        <v>0.25111241157975112</v>
      </c>
      <c r="AA74" s="212">
        <f>СЧЁТ!AB13</f>
        <v>0.27454956999386115</v>
      </c>
      <c r="AB74" s="212">
        <f>СЧЁТ!AC13</f>
        <v>0.20635691222000796</v>
      </c>
      <c r="AC74" s="212">
        <f>СЧЁТ!AD13</f>
        <v>0.24723523387882859</v>
      </c>
      <c r="AD74" s="212">
        <f>СЧЁТ!AE13</f>
        <v>0.28516201951699982</v>
      </c>
      <c r="AE74" s="212">
        <f>СЧЁТ!AF13</f>
        <v>0.30108059231005663</v>
      </c>
      <c r="AF74" s="212">
        <f>СЧЁТ!AG13</f>
        <v>0.30520902354643348</v>
      </c>
      <c r="AG74" s="212">
        <f>СЧЁТ!AH13</f>
        <v>0.2806832984400236</v>
      </c>
      <c r="AH74" s="212">
        <f>СЧЁТ!AI13</f>
        <v>0.21300080094384774</v>
      </c>
      <c r="AI74" s="212">
        <f>СЧЁТ!AJ13</f>
        <v>0.20289799615599724</v>
      </c>
      <c r="AJ74" s="212">
        <f>СЧЁТ!AK13</f>
        <v>0.23239243657282024</v>
      </c>
      <c r="AK74" s="212">
        <f>СЧЁТ!AL13</f>
        <v>0.23284588522954772</v>
      </c>
      <c r="AL74" s="212">
        <f>СЧЁТ!AM13</f>
        <v>0.23384588522954772</v>
      </c>
      <c r="AM74" s="212">
        <f>СЧЁТ!AN13</f>
        <v>0.23484588522954772</v>
      </c>
      <c r="AN74" s="212">
        <f>СЧЁТ!AO13</f>
        <v>0.23584588522954772</v>
      </c>
      <c r="AO74" s="212">
        <f>СЧЁТ!AP13</f>
        <v>0.23684588522954772</v>
      </c>
      <c r="AP74" s="212">
        <f>СЧЁТ!AQ13</f>
        <v>0.23784588522954772</v>
      </c>
      <c r="AQ74" s="212">
        <f>СЧЁТ!AR13</f>
        <v>0.23884588522954772</v>
      </c>
      <c r="AR74" s="212">
        <f>СЧЁТ!AS13</f>
        <v>0.23984588522954772</v>
      </c>
      <c r="AS74" s="221">
        <v>0.93251152558811989</v>
      </c>
      <c r="AT74" s="209">
        <v>0.93251152558811989</v>
      </c>
      <c r="AU74" s="209">
        <v>0.93251152558811989</v>
      </c>
      <c r="AV74" s="209">
        <v>0.93251152558811989</v>
      </c>
      <c r="AW74" s="209">
        <v>0.93251152558811989</v>
      </c>
      <c r="AX74" s="44" t="s">
        <v>455</v>
      </c>
    </row>
    <row r="75" spans="4:50" ht="17.399999999999999">
      <c r="D75" s="105">
        <v>9</v>
      </c>
      <c r="E75" s="215"/>
      <c r="F75" s="205" t="s">
        <v>455</v>
      </c>
      <c r="G75" s="51" t="s">
        <v>809</v>
      </c>
      <c r="H75" s="85" t="s">
        <v>2</v>
      </c>
      <c r="I75" s="85"/>
      <c r="J75" s="85"/>
      <c r="K75" s="85"/>
      <c r="L75" s="85"/>
      <c r="M75" s="85"/>
      <c r="N75" s="216">
        <v>1</v>
      </c>
      <c r="O75" s="212" t="e">
        <f>СЧЁТ!#REF!</f>
        <v>#REF!</v>
      </c>
      <c r="P75" s="212" t="e">
        <f>СЧЁТ!#REF!</f>
        <v>#REF!</v>
      </c>
      <c r="Q75" s="212" t="e">
        <f>СЧЁТ!#REF!</f>
        <v>#REF!</v>
      </c>
      <c r="R75" s="212" t="e">
        <f>СЧЁТ!#REF!</f>
        <v>#REF!</v>
      </c>
      <c r="S75" s="212" t="e">
        <f>СЧЁТ!#REF!</f>
        <v>#REF!</v>
      </c>
      <c r="T75" s="212" t="e">
        <f>СЧЁТ!#REF!</f>
        <v>#REF!</v>
      </c>
      <c r="U75" s="212" t="e">
        <f>СЧЁТ!#REF!</f>
        <v>#REF!</v>
      </c>
      <c r="V75" s="212" t="e">
        <f>СЧЁТ!#REF!</f>
        <v>#REF!</v>
      </c>
      <c r="W75" s="212" t="e">
        <f>СЧЁТ!#REF!</f>
        <v>#REF!</v>
      </c>
      <c r="X75" s="212" t="e">
        <f>СЧЁТ!#REF!</f>
        <v>#REF!</v>
      </c>
      <c r="Y75" s="212" t="e">
        <f>СЧЁТ!#REF!</f>
        <v>#REF!</v>
      </c>
      <c r="Z75" s="212" t="e">
        <f>СЧЁТ!#REF!</f>
        <v>#REF!</v>
      </c>
      <c r="AA75" s="212" t="e">
        <f>СЧЁТ!#REF!</f>
        <v>#REF!</v>
      </c>
      <c r="AB75" s="212" t="e">
        <f>СЧЁТ!#REF!</f>
        <v>#REF!</v>
      </c>
      <c r="AC75" s="212" t="e">
        <f>СЧЁТ!#REF!</f>
        <v>#REF!</v>
      </c>
      <c r="AD75" s="212" t="e">
        <f>СЧЁТ!#REF!</f>
        <v>#REF!</v>
      </c>
      <c r="AE75" s="212" t="e">
        <f>СЧЁТ!#REF!</f>
        <v>#REF!</v>
      </c>
      <c r="AF75" s="212" t="e">
        <f>СЧЁТ!#REF!</f>
        <v>#REF!</v>
      </c>
      <c r="AG75" s="212" t="e">
        <f>СЧЁТ!#REF!</f>
        <v>#REF!</v>
      </c>
      <c r="AH75" s="212" t="e">
        <f>СЧЁТ!#REF!</f>
        <v>#REF!</v>
      </c>
      <c r="AI75" s="212" t="e">
        <f>СЧЁТ!#REF!</f>
        <v>#REF!</v>
      </c>
      <c r="AJ75" s="212" t="e">
        <f>СЧЁТ!#REF!</f>
        <v>#REF!</v>
      </c>
      <c r="AK75" s="212" t="e">
        <f>СЧЁТ!#REF!</f>
        <v>#REF!</v>
      </c>
      <c r="AL75" s="212" t="e">
        <f>СЧЁТ!#REF!</f>
        <v>#REF!</v>
      </c>
      <c r="AM75" s="212" t="e">
        <f>СЧЁТ!#REF!</f>
        <v>#REF!</v>
      </c>
      <c r="AN75" s="212" t="e">
        <f>СЧЁТ!#REF!</f>
        <v>#REF!</v>
      </c>
      <c r="AO75" s="212" t="e">
        <f>СЧЁТ!#REF!</f>
        <v>#REF!</v>
      </c>
      <c r="AP75" s="212" t="e">
        <f>СЧЁТ!#REF!</f>
        <v>#REF!</v>
      </c>
      <c r="AQ75" s="212" t="e">
        <f>СЧЁТ!#REF!</f>
        <v>#REF!</v>
      </c>
      <c r="AR75" s="212" t="e">
        <f>СЧЁТ!#REF!</f>
        <v>#REF!</v>
      </c>
      <c r="AX75" s="44" t="s">
        <v>455</v>
      </c>
    </row>
    <row r="76" spans="4:50" ht="17.399999999999999">
      <c r="D76" s="105">
        <v>10</v>
      </c>
      <c r="E76" s="204">
        <v>40585</v>
      </c>
      <c r="F76" s="205" t="s">
        <v>625</v>
      </c>
      <c r="G76" s="51" t="s">
        <v>4</v>
      </c>
      <c r="H76" s="85" t="s">
        <v>910</v>
      </c>
      <c r="I76" s="85"/>
      <c r="J76" s="85"/>
      <c r="K76" s="85"/>
      <c r="L76" s="85"/>
      <c r="M76" s="85"/>
      <c r="N76" s="218">
        <v>41.898728332450226</v>
      </c>
      <c r="O76" s="212" t="e">
        <f>СЧЁТ!#REF!</f>
        <v>#REF!</v>
      </c>
      <c r="P76" s="212" t="e">
        <f>СЧЁТ!#REF!</f>
        <v>#REF!</v>
      </c>
      <c r="Q76" s="212" t="e">
        <f>СЧЁТ!#REF!</f>
        <v>#REF!</v>
      </c>
      <c r="R76" s="212" t="e">
        <f>СЧЁТ!#REF!</f>
        <v>#REF!</v>
      </c>
      <c r="S76" s="212" t="e">
        <f>СЧЁТ!#REF!</f>
        <v>#REF!</v>
      </c>
      <c r="T76" s="212" t="e">
        <f>СЧЁТ!#REF!</f>
        <v>#REF!</v>
      </c>
      <c r="U76" s="212" t="e">
        <f>СЧЁТ!#REF!</f>
        <v>#REF!</v>
      </c>
      <c r="V76" s="212" t="e">
        <f>СЧЁТ!#REF!</f>
        <v>#REF!</v>
      </c>
      <c r="W76" s="212" t="e">
        <f>СЧЁТ!#REF!</f>
        <v>#REF!</v>
      </c>
      <c r="X76" s="212" t="e">
        <f>СЧЁТ!#REF!</f>
        <v>#REF!</v>
      </c>
      <c r="Y76" s="212" t="e">
        <f>СЧЁТ!#REF!</f>
        <v>#REF!</v>
      </c>
      <c r="Z76" s="212" t="e">
        <f>СЧЁТ!#REF!</f>
        <v>#REF!</v>
      </c>
      <c r="AA76" s="212" t="e">
        <f>СЧЁТ!#REF!</f>
        <v>#REF!</v>
      </c>
      <c r="AB76" s="212" t="e">
        <f>СЧЁТ!#REF!</f>
        <v>#REF!</v>
      </c>
      <c r="AC76" s="212" t="e">
        <f>СЧЁТ!#REF!</f>
        <v>#REF!</v>
      </c>
      <c r="AD76" s="212" t="e">
        <f>СЧЁТ!#REF!</f>
        <v>#REF!</v>
      </c>
      <c r="AE76" s="212" t="e">
        <f>СЧЁТ!#REF!</f>
        <v>#REF!</v>
      </c>
      <c r="AF76" s="212" t="e">
        <f>СЧЁТ!#REF!</f>
        <v>#REF!</v>
      </c>
      <c r="AG76" s="212" t="e">
        <f>СЧЁТ!#REF!</f>
        <v>#REF!</v>
      </c>
      <c r="AH76" s="212" t="e">
        <f>СЧЁТ!#REF!</f>
        <v>#REF!</v>
      </c>
      <c r="AI76" s="212" t="e">
        <f>СЧЁТ!#REF!</f>
        <v>#REF!</v>
      </c>
      <c r="AJ76" s="212" t="e">
        <f>СЧЁТ!#REF!</f>
        <v>#REF!</v>
      </c>
      <c r="AK76" s="212" t="e">
        <f>СЧЁТ!#REF!</f>
        <v>#REF!</v>
      </c>
      <c r="AL76" s="212" t="e">
        <f>СЧЁТ!#REF!</f>
        <v>#REF!</v>
      </c>
      <c r="AM76" s="212" t="e">
        <f>СЧЁТ!#REF!</f>
        <v>#REF!</v>
      </c>
      <c r="AN76" s="212" t="e">
        <f>СЧЁТ!#REF!</f>
        <v>#REF!</v>
      </c>
      <c r="AO76" s="212" t="e">
        <f>СЧЁТ!#REF!</f>
        <v>#REF!</v>
      </c>
      <c r="AP76" s="212" t="e">
        <f>СЧЁТ!#REF!</f>
        <v>#REF!</v>
      </c>
      <c r="AQ76" s="212" t="e">
        <f>СЧЁТ!#REF!</f>
        <v>#REF!</v>
      </c>
      <c r="AR76" s="212" t="e">
        <f>СЧЁТ!#REF!</f>
        <v>#REF!</v>
      </c>
      <c r="AS76" s="206">
        <v>84.018949632981574</v>
      </c>
      <c r="AT76" s="206">
        <v>84.677433662343034</v>
      </c>
      <c r="AU76" s="206">
        <v>85.28323896935558</v>
      </c>
      <c r="AV76" s="206">
        <v>85.840579851807121</v>
      </c>
      <c r="AW76" s="206">
        <v>86.353333463662537</v>
      </c>
      <c r="AX76" s="44" t="s">
        <v>625</v>
      </c>
    </row>
    <row r="77" spans="4:50" ht="17.399999999999999">
      <c r="D77" s="105">
        <v>11</v>
      </c>
      <c r="E77" s="204">
        <v>40586</v>
      </c>
      <c r="F77" s="205" t="s">
        <v>667</v>
      </c>
      <c r="G77" s="51" t="s">
        <v>784</v>
      </c>
      <c r="H77" s="85" t="s">
        <v>911</v>
      </c>
      <c r="I77" s="85"/>
      <c r="J77" s="85"/>
      <c r="K77" s="85"/>
      <c r="L77" s="85"/>
      <c r="M77" s="85"/>
      <c r="N77" s="216">
        <v>0.52160205427817563</v>
      </c>
      <c r="O77" s="212" t="e">
        <f>СЧЁТ!#REF!</f>
        <v>#REF!</v>
      </c>
      <c r="P77" s="212" t="e">
        <f>СЧЁТ!#REF!</f>
        <v>#REF!</v>
      </c>
      <c r="Q77" s="212" t="e">
        <f>СЧЁТ!#REF!</f>
        <v>#REF!</v>
      </c>
      <c r="R77" s="212" t="e">
        <f>СЧЁТ!#REF!</f>
        <v>#REF!</v>
      </c>
      <c r="S77" s="212" t="e">
        <f>СЧЁТ!#REF!</f>
        <v>#REF!</v>
      </c>
      <c r="T77" s="212" t="e">
        <f>СЧЁТ!#REF!</f>
        <v>#REF!</v>
      </c>
      <c r="U77" s="212" t="e">
        <f>СЧЁТ!#REF!</f>
        <v>#REF!</v>
      </c>
      <c r="V77" s="212" t="e">
        <f>СЧЁТ!#REF!</f>
        <v>#REF!</v>
      </c>
      <c r="W77" s="212" t="e">
        <f>СЧЁТ!#REF!</f>
        <v>#REF!</v>
      </c>
      <c r="X77" s="212" t="e">
        <f>СЧЁТ!#REF!</f>
        <v>#REF!</v>
      </c>
      <c r="Y77" s="212" t="e">
        <f>СЧЁТ!#REF!</f>
        <v>#REF!</v>
      </c>
      <c r="Z77" s="212" t="e">
        <f>СЧЁТ!#REF!</f>
        <v>#REF!</v>
      </c>
      <c r="AA77" s="212" t="e">
        <f>СЧЁТ!#REF!</f>
        <v>#REF!</v>
      </c>
      <c r="AB77" s="212" t="e">
        <f>СЧЁТ!#REF!</f>
        <v>#REF!</v>
      </c>
      <c r="AC77" s="212" t="e">
        <f>СЧЁТ!#REF!</f>
        <v>#REF!</v>
      </c>
      <c r="AD77" s="212" t="e">
        <f>СЧЁТ!#REF!</f>
        <v>#REF!</v>
      </c>
      <c r="AE77" s="212" t="e">
        <f>СЧЁТ!#REF!</f>
        <v>#REF!</v>
      </c>
      <c r="AF77" s="212" t="e">
        <f>СЧЁТ!#REF!</f>
        <v>#REF!</v>
      </c>
      <c r="AG77" s="212" t="e">
        <f>СЧЁТ!#REF!</f>
        <v>#REF!</v>
      </c>
      <c r="AH77" s="212" t="e">
        <f>СЧЁТ!#REF!</f>
        <v>#REF!</v>
      </c>
      <c r="AI77" s="212" t="e">
        <f>СЧЁТ!#REF!</f>
        <v>#REF!</v>
      </c>
      <c r="AJ77" s="212" t="e">
        <f>СЧЁТ!#REF!</f>
        <v>#REF!</v>
      </c>
      <c r="AK77" s="212" t="e">
        <f>СЧЁТ!#REF!</f>
        <v>#REF!</v>
      </c>
      <c r="AL77" s="212" t="e">
        <f>СЧЁТ!#REF!</f>
        <v>#REF!</v>
      </c>
      <c r="AM77" s="212" t="e">
        <f>СЧЁТ!#REF!</f>
        <v>#REF!</v>
      </c>
      <c r="AN77" s="212" t="e">
        <f>СЧЁТ!#REF!</f>
        <v>#REF!</v>
      </c>
      <c r="AO77" s="212" t="e">
        <f>СЧЁТ!#REF!</f>
        <v>#REF!</v>
      </c>
      <c r="AP77" s="212" t="e">
        <f>СЧЁТ!#REF!</f>
        <v>#REF!</v>
      </c>
      <c r="AQ77" s="212" t="e">
        <f>СЧЁТ!#REF!</f>
        <v>#REF!</v>
      </c>
      <c r="AR77" s="212" t="e">
        <f>СЧЁТ!#REF!</f>
        <v>#REF!</v>
      </c>
      <c r="AS77" s="209">
        <v>1.0994230994433609</v>
      </c>
      <c r="AT77" s="209">
        <v>1.1082745098051545</v>
      </c>
      <c r="AU77" s="209">
        <v>1.1164178073380047</v>
      </c>
      <c r="AV77" s="209">
        <v>1.1239096410682268</v>
      </c>
      <c r="AW77" s="209">
        <v>1.1308021281000311</v>
      </c>
      <c r="AX77" s="44" t="s">
        <v>667</v>
      </c>
    </row>
    <row r="78" spans="4:50" ht="17.399999999999999">
      <c r="D78" s="105">
        <v>12</v>
      </c>
      <c r="E78" s="204">
        <v>40585</v>
      </c>
      <c r="F78" s="205" t="s">
        <v>590</v>
      </c>
      <c r="G78" s="51" t="s">
        <v>809</v>
      </c>
      <c r="H78" s="85" t="s">
        <v>912</v>
      </c>
      <c r="I78" s="85"/>
      <c r="J78" s="85"/>
      <c r="K78" s="85"/>
      <c r="L78" s="85"/>
      <c r="M78" s="85"/>
      <c r="N78" s="61">
        <v>1</v>
      </c>
      <c r="O78" s="212">
        <f>СЧЁТ!P14</f>
        <v>1.218</v>
      </c>
      <c r="P78" s="212">
        <f>СЧЁТ!Q14</f>
        <v>1.3519800000000002</v>
      </c>
      <c r="Q78" s="212">
        <f>СЧЁТ!R14</f>
        <v>2.4930511200000005</v>
      </c>
      <c r="R78" s="212">
        <f>СЧЁТ!S14</f>
        <v>3.4030147788000007</v>
      </c>
      <c r="S78" s="212">
        <f>СЧЁТ!T14</f>
        <v>4.0904237641176007</v>
      </c>
      <c r="T78" s="212">
        <f>СЧЁТ!U14</f>
        <v>4.8512425842434741</v>
      </c>
      <c r="U78" s="212">
        <f>СЧЁТ!V14</f>
        <v>5.5837802144642392</v>
      </c>
      <c r="V78" s="212">
        <f>СЧЁТ!W14</f>
        <v>6.2538338401999489</v>
      </c>
      <c r="W78" s="212">
        <f>СЧЁТ!X14</f>
        <v>6.9855323995033425</v>
      </c>
      <c r="X78" s="212">
        <f>СЧЁТ!Y14</f>
        <v>7.7469554310492068</v>
      </c>
      <c r="Y78" s="212">
        <f>СЧЁТ!Z14</f>
        <v>8.4441814198436358</v>
      </c>
      <c r="Z78" s="212">
        <f>СЧЁТ!AA14</f>
        <v>9.4465057543790749</v>
      </c>
      <c r="AA78" s="212">
        <f>СЧЁТ!AB14</f>
        <v>10.701001718560617</v>
      </c>
      <c r="AB78" s="212">
        <f>СЧЁТ!AC14</f>
        <v>11.642689869793951</v>
      </c>
      <c r="AC78" s="212">
        <f>СЧЁТ!AD14</f>
        <v>12.664918040361862</v>
      </c>
      <c r="AD78" s="212">
        <f>СЧЁТ!AE14</f>
        <v>13.437478040823935</v>
      </c>
      <c r="AE78" s="212">
        <f>СЧЁТ!AF14</f>
        <v>14.321664095910151</v>
      </c>
      <c r="AF78" s="212">
        <f>СЧЁТ!AG14</f>
        <v>15.245411430096356</v>
      </c>
      <c r="AG78" s="212">
        <f>СЧЁТ!AH14</f>
        <v>17.318787384589459</v>
      </c>
      <c r="AH78" s="212">
        <f>СЧЁТ!AI14</f>
        <v>19.552910957201501</v>
      </c>
      <c r="AI78" s="212">
        <f>СЧЁТ!AJ14</f>
        <v>20.606812857794662</v>
      </c>
      <c r="AJ78" s="212">
        <f>СЧЁТ!AK14</f>
        <v>21.124043860525305</v>
      </c>
      <c r="AK78" s="212">
        <f>СЧЁТ!AL14</f>
        <v>22.02392812898368</v>
      </c>
      <c r="AL78" s="212">
        <f>СЧЁТ!AM14</f>
        <v>22.693455544104783</v>
      </c>
      <c r="AM78" s="212">
        <f>СЧЁТ!AN14</f>
        <v>23.807704211320324</v>
      </c>
      <c r="AN78" s="212">
        <f>СЧЁТ!AO14</f>
        <v>24.998089421886341</v>
      </c>
      <c r="AO78" s="212">
        <f>СЧЁТ!AP14</f>
        <v>26.247993892980659</v>
      </c>
      <c r="AP78" s="212">
        <f>СЧЁТ!AQ14</f>
        <v>27.560393587629694</v>
      </c>
      <c r="AQ78" s="212">
        <f>СЧЁТ!AR14</f>
        <v>28.938413267011178</v>
      </c>
      <c r="AR78" s="212">
        <f>СЧЁТ!AS14</f>
        <v>30.385333930361739</v>
      </c>
      <c r="AS78" s="212">
        <v>26.729243118692256</v>
      </c>
      <c r="AT78" s="212">
        <v>27.531120412253024</v>
      </c>
      <c r="AU78" s="212">
        <v>28.357054024620616</v>
      </c>
      <c r="AV78" s="212">
        <v>29.207765645359235</v>
      </c>
      <c r="AW78" s="212">
        <v>30.083998614720013</v>
      </c>
      <c r="AX78" s="44" t="s">
        <v>590</v>
      </c>
    </row>
    <row r="79" spans="4:50" ht="17.399999999999999">
      <c r="D79" s="105">
        <v>13</v>
      </c>
      <c r="E79" s="215">
        <v>40586</v>
      </c>
      <c r="F79" s="205" t="s">
        <v>913</v>
      </c>
      <c r="G79" s="51" t="s">
        <v>809</v>
      </c>
      <c r="H79" s="85" t="s">
        <v>914</v>
      </c>
      <c r="I79" s="85"/>
      <c r="J79" s="85"/>
      <c r="K79" s="85"/>
      <c r="L79" s="85"/>
      <c r="M79" s="85"/>
      <c r="N79" s="61">
        <v>2.3130000000000002</v>
      </c>
      <c r="O79" s="212">
        <f>СЧЁТ!P15</f>
        <v>1.218</v>
      </c>
      <c r="P79" s="212">
        <f>СЧЁТ!Q15</f>
        <v>1.1100000000000001</v>
      </c>
      <c r="Q79" s="212">
        <f>СЧЁТ!R15</f>
        <v>1.8440000000000001</v>
      </c>
      <c r="R79" s="212">
        <f>СЧЁТ!S15</f>
        <v>1.365</v>
      </c>
      <c r="S79" s="212">
        <f>СЧЁТ!T15</f>
        <v>1.202</v>
      </c>
      <c r="T79" s="212">
        <f>СЧЁТ!U15</f>
        <v>1.1859999999999999</v>
      </c>
      <c r="U79" s="212">
        <f>СЧЁТ!V15</f>
        <v>1.151</v>
      </c>
      <c r="V79" s="212">
        <f>СЧЁТ!W15</f>
        <v>1.1200000000000001</v>
      </c>
      <c r="W79" s="212">
        <f>СЧЁТ!X15</f>
        <v>1.117</v>
      </c>
      <c r="X79" s="212">
        <f>СЧЁТ!Y15</f>
        <v>1.109</v>
      </c>
      <c r="Y79" s="212">
        <f>СЧЁТ!Z15</f>
        <v>1.0900000000000001</v>
      </c>
      <c r="Z79" s="212">
        <f>СЧЁТ!AA15</f>
        <v>1.1187</v>
      </c>
      <c r="AA79" s="212">
        <f>СЧЁТ!AB15</f>
        <v>1.1328</v>
      </c>
      <c r="AB79" s="212">
        <f>СЧЁТ!AC15</f>
        <v>1.0880000000000001</v>
      </c>
      <c r="AC79" s="212">
        <f>СЧЁТ!AD15</f>
        <v>1.0878000000000001</v>
      </c>
      <c r="AD79" s="212">
        <f>СЧЁТ!AE15</f>
        <v>1.0609999999999999</v>
      </c>
      <c r="AE79" s="212">
        <f>СЧЁТ!AF15</f>
        <v>1.0658000000000001</v>
      </c>
      <c r="AF79" s="212">
        <f>СЧЁТ!AG15</f>
        <v>1.0645</v>
      </c>
      <c r="AG79" s="212">
        <f>СЧЁТ!AH15</f>
        <v>1.1359999999999999</v>
      </c>
      <c r="AH79" s="212">
        <f>СЧЁТ!AI15</f>
        <v>1.129</v>
      </c>
      <c r="AI79" s="212">
        <f>СЧЁТ!AJ15</f>
        <v>1.0539000000000001</v>
      </c>
      <c r="AJ79" s="212">
        <f>СЧЁТ!AK15</f>
        <v>1.0250999999999999</v>
      </c>
      <c r="AK79" s="212">
        <f>СЧЁТ!AL15</f>
        <v>1.0426</v>
      </c>
      <c r="AL79" s="212">
        <f>СЧЁТ!AM15</f>
        <v>1.0304</v>
      </c>
      <c r="AM79" s="212">
        <f>СЧЁТ!AN15</f>
        <v>1.0490999999999999</v>
      </c>
      <c r="AN79" s="212">
        <f>СЧЁТ!AO15</f>
        <v>1.05</v>
      </c>
      <c r="AO79" s="212">
        <f>СЧЁТ!AP15</f>
        <v>1.05</v>
      </c>
      <c r="AP79" s="212">
        <f>СЧЁТ!AQ15</f>
        <v>1.05</v>
      </c>
      <c r="AQ79" s="212">
        <f>СЧЁТ!AR15</f>
        <v>1.05</v>
      </c>
      <c r="AR79" s="212">
        <f>СЧЁТ!AS15</f>
        <v>1.05</v>
      </c>
      <c r="AS79" s="219">
        <v>1.03</v>
      </c>
      <c r="AT79" s="219">
        <v>1.03</v>
      </c>
      <c r="AU79" s="219">
        <v>1.03</v>
      </c>
      <c r="AV79" s="219">
        <v>1.03</v>
      </c>
      <c r="AW79" s="219">
        <v>1.03</v>
      </c>
      <c r="AX79" s="44" t="s">
        <v>913</v>
      </c>
    </row>
    <row r="80" spans="4:50" ht="17.399999999999999">
      <c r="D80" s="105">
        <v>14</v>
      </c>
      <c r="E80" s="204">
        <v>40560</v>
      </c>
      <c r="F80" s="205" t="s">
        <v>501</v>
      </c>
      <c r="G80" s="51" t="s">
        <v>4</v>
      </c>
      <c r="H80" s="85" t="s">
        <v>20</v>
      </c>
      <c r="I80" s="85"/>
      <c r="J80" s="85"/>
      <c r="K80" s="85"/>
      <c r="L80" s="85"/>
      <c r="M80" s="85"/>
      <c r="N80" s="207">
        <v>9.8080387555824675</v>
      </c>
      <c r="O80" s="212">
        <f>СЧЁТ!P16</f>
        <v>0</v>
      </c>
      <c r="P80" s="212">
        <f>СЧЁТ!Q16</f>
        <v>0</v>
      </c>
      <c r="Q80" s="212">
        <f>СЧЁТ!R16</f>
        <v>0</v>
      </c>
      <c r="R80" s="212">
        <f>СЧЁТ!S16</f>
        <v>0</v>
      </c>
      <c r="S80" s="212">
        <f>СЧЁТ!T16</f>
        <v>0</v>
      </c>
      <c r="T80" s="212">
        <f>СЧЁТ!U16</f>
        <v>0</v>
      </c>
      <c r="U80" s="212">
        <f>СЧЁТ!V16</f>
        <v>0</v>
      </c>
      <c r="V80" s="212">
        <f>СЧЁТ!W16</f>
        <v>0</v>
      </c>
      <c r="W80" s="212">
        <f>СЧЁТ!X16</f>
        <v>0</v>
      </c>
      <c r="X80" s="212">
        <f>СЧЁТ!Y16</f>
        <v>0</v>
      </c>
      <c r="Y80" s="212">
        <f>СЧЁТ!Z16</f>
        <v>0</v>
      </c>
      <c r="Z80" s="212">
        <f>СЧЁТ!AA16</f>
        <v>0</v>
      </c>
      <c r="AA80" s="212">
        <f>СЧЁТ!AB16</f>
        <v>0</v>
      </c>
      <c r="AB80" s="212">
        <f>СЧЁТ!AC16</f>
        <v>0</v>
      </c>
      <c r="AC80" s="212">
        <f>СЧЁТ!AD16</f>
        <v>0</v>
      </c>
      <c r="AD80" s="212">
        <f>СЧЁТ!AE16</f>
        <v>0</v>
      </c>
      <c r="AE80" s="212">
        <f>СЧЁТ!AF16</f>
        <v>0</v>
      </c>
      <c r="AF80" s="212">
        <f>СЧЁТ!AG16</f>
        <v>0</v>
      </c>
      <c r="AG80" s="212">
        <f>СЧЁТ!AH16</f>
        <v>0</v>
      </c>
      <c r="AH80" s="212">
        <f>СЧЁТ!AI16</f>
        <v>0</v>
      </c>
      <c r="AI80" s="212">
        <f>СЧЁТ!AJ16</f>
        <v>0</v>
      </c>
      <c r="AJ80" s="212">
        <f>СЧЁТ!AK16</f>
        <v>0</v>
      </c>
      <c r="AK80" s="212">
        <f>СЧЁТ!AL16</f>
        <v>0</v>
      </c>
      <c r="AL80" s="212">
        <f>СЧЁТ!AM16</f>
        <v>0</v>
      </c>
      <c r="AM80" s="212">
        <f>СЧЁТ!AN16</f>
        <v>0</v>
      </c>
      <c r="AN80" s="212">
        <f>СЧЁТ!AO16</f>
        <v>0</v>
      </c>
      <c r="AO80" s="212">
        <f>СЧЁТ!AP16</f>
        <v>0</v>
      </c>
      <c r="AP80" s="212">
        <f>СЧЁТ!AQ16</f>
        <v>0</v>
      </c>
      <c r="AQ80" s="212">
        <f>СЧЁТ!AR16</f>
        <v>0</v>
      </c>
      <c r="AR80" s="212">
        <f>СЧЁТ!AS16</f>
        <v>0</v>
      </c>
      <c r="AX80" s="44" t="s">
        <v>501</v>
      </c>
    </row>
    <row r="81" spans="4:50" ht="17.399999999999999">
      <c r="D81" s="105">
        <v>15</v>
      </c>
      <c r="E81" s="204">
        <v>40585</v>
      </c>
      <c r="F81" s="205" t="s">
        <v>505</v>
      </c>
      <c r="G81" s="51" t="s">
        <v>809</v>
      </c>
      <c r="H81" s="85" t="s">
        <v>915</v>
      </c>
      <c r="I81" s="85"/>
      <c r="J81" s="85"/>
      <c r="K81" s="85"/>
      <c r="L81" s="85"/>
      <c r="M81" s="85"/>
      <c r="N81" s="61">
        <v>1</v>
      </c>
      <c r="O81" s="212">
        <f>СЧЁТ!P11</f>
        <v>20.5</v>
      </c>
      <c r="P81" s="212">
        <f>СЧЁТ!Q11</f>
        <v>19.100000000000001</v>
      </c>
      <c r="Q81" s="212">
        <f>СЧЁТ!R11</f>
        <v>12.7</v>
      </c>
      <c r="R81" s="212">
        <f>СЧЁТ!S11</f>
        <v>17.7</v>
      </c>
      <c r="S81" s="212">
        <f>СЧЁТ!T11</f>
        <v>28.3</v>
      </c>
      <c r="T81" s="212">
        <f>СЧЁТ!U11</f>
        <v>24.4</v>
      </c>
      <c r="U81" s="212">
        <f>СЧЁТ!V11</f>
        <v>25</v>
      </c>
      <c r="V81" s="212">
        <f>СЧЁТ!W11</f>
        <v>28.9</v>
      </c>
      <c r="W81" s="212">
        <f>СЧЁТ!X11</f>
        <v>38.299999999999997</v>
      </c>
      <c r="X81" s="212">
        <f>СЧЁТ!Y11</f>
        <v>54.4</v>
      </c>
      <c r="Y81" s="212">
        <f>СЧЁТ!Z11</f>
        <v>65.400000000000006</v>
      </c>
      <c r="Z81" s="212">
        <f>СЧЁТ!AA11</f>
        <v>72.7</v>
      </c>
      <c r="AA81" s="212">
        <f>СЧЁТ!AB11</f>
        <v>97.7</v>
      </c>
      <c r="AB81" s="212">
        <f>СЧЁТ!AC11</f>
        <v>61.9</v>
      </c>
      <c r="AC81" s="212">
        <f>СЧЁТ!AD11</f>
        <v>79.599999999999994</v>
      </c>
      <c r="AD81" s="212">
        <f>СЧЁТ!AE11</f>
        <v>111</v>
      </c>
      <c r="AE81" s="212">
        <f>СЧЁТ!AF11</f>
        <v>111.4</v>
      </c>
      <c r="AF81" s="212">
        <f>СЧЁТ!AG11</f>
        <v>108.8</v>
      </c>
      <c r="AG81" s="212">
        <f>СЧЁТ!AH11</f>
        <v>98.9</v>
      </c>
      <c r="AH81" s="212">
        <f>СЧЁТ!AI11</f>
        <v>52.4</v>
      </c>
      <c r="AI81" s="212">
        <f>СЧЁТ!AJ11</f>
        <v>44</v>
      </c>
      <c r="AJ81" s="212">
        <f>СЧЁТ!AK11</f>
        <v>55</v>
      </c>
      <c r="AK81" s="212">
        <f>СЧЁТ!AL11</f>
        <v>70</v>
      </c>
      <c r="AL81" s="212">
        <f>СЧЁТ!AM11</f>
        <v>72</v>
      </c>
      <c r="AM81" s="212">
        <f>СЧЁТ!AN11</f>
        <v>40</v>
      </c>
      <c r="AN81" s="212">
        <f>СЧЁТ!AO11</f>
        <v>50</v>
      </c>
      <c r="AO81" s="212">
        <f>СЧЁТ!AP11</f>
        <v>58</v>
      </c>
      <c r="AP81" s="212">
        <f>СЧЁТ!AQ11</f>
        <v>64.400000000000006</v>
      </c>
      <c r="AQ81" s="212">
        <f>СЧЁТ!AR11</f>
        <v>69.52000000000001</v>
      </c>
      <c r="AR81" s="212">
        <f>СЧЁТ!AS11</f>
        <v>73.616000000000014</v>
      </c>
      <c r="AS81" s="212">
        <v>2.8957112349533749</v>
      </c>
      <c r="AT81" s="212">
        <v>2.8957112349533749</v>
      </c>
      <c r="AU81" s="212">
        <v>2.8957112349533749</v>
      </c>
      <c r="AV81" s="212">
        <v>2.8957112349533749</v>
      </c>
      <c r="AW81" s="212">
        <v>2.89571123495337</v>
      </c>
      <c r="AX81" s="44" t="s">
        <v>505</v>
      </c>
    </row>
    <row r="82" spans="4:50" ht="17.399999999999999">
      <c r="D82" s="105">
        <v>16</v>
      </c>
      <c r="E82" s="204">
        <v>40588</v>
      </c>
      <c r="F82" s="205" t="s">
        <v>636</v>
      </c>
      <c r="G82" s="51" t="s">
        <v>809</v>
      </c>
      <c r="H82" s="85" t="s">
        <v>916</v>
      </c>
      <c r="I82" s="85"/>
      <c r="J82" s="85"/>
      <c r="K82" s="85"/>
      <c r="L82" s="85"/>
      <c r="M82" s="85"/>
      <c r="N82" s="61">
        <v>1</v>
      </c>
      <c r="O82" s="212">
        <f>СЧЁТ!P17</f>
        <v>0.20193696820110807</v>
      </c>
      <c r="P82" s="212">
        <f>СЧЁТ!Q17</f>
        <v>0.20077030917127051</v>
      </c>
      <c r="Q82" s="212">
        <f>СЧЁТ!R17</f>
        <v>0.17564649920911823</v>
      </c>
      <c r="R82" s="212">
        <f>СЧЁТ!S17</f>
        <v>0.17736677529339789</v>
      </c>
      <c r="S82" s="212">
        <f>СЧЁТ!T17</f>
        <v>0.21045165705943777</v>
      </c>
      <c r="T82" s="212">
        <f>СЧЁТ!U17</f>
        <v>0.22075386925949722</v>
      </c>
      <c r="U82" s="212">
        <f>СЧЁТ!V17</f>
        <v>0.23009857341476964</v>
      </c>
      <c r="V82" s="212">
        <f>СЧЁТ!W17</f>
        <v>0.24253877934926296</v>
      </c>
      <c r="W82" s="212">
        <f>СЧЁТ!X17</f>
        <v>0.25160823372823521</v>
      </c>
      <c r="X82" s="212">
        <f>СЧЁТ!Y17</f>
        <v>0.25783555641470957</v>
      </c>
      <c r="Y82" s="212">
        <f>СЧЁТ!Z17</f>
        <v>0.26687813853792092</v>
      </c>
      <c r="Z82" s="212">
        <f>СЧЁТ!AA17</f>
        <v>0.27752871293871573</v>
      </c>
      <c r="AA82" s="212">
        <f>СЧЁТ!AB17</f>
        <v>0.28233244102428678</v>
      </c>
      <c r="AB82" s="212">
        <f>СЧЁТ!AC17</f>
        <v>0.20580264972695869</v>
      </c>
      <c r="AC82" s="212">
        <f>СЧЁТ!AD17</f>
        <v>0.24609376472050032</v>
      </c>
      <c r="AD82" s="212">
        <f>СЧЁТ!AE17</f>
        <v>0.27167126619383269</v>
      </c>
      <c r="AE82" s="212">
        <f>СЧЁТ!AF17</f>
        <v>0.27117347874806208</v>
      </c>
      <c r="AF82" s="212">
        <f>СЧЁТ!AG17</f>
        <v>0.26539413338300072</v>
      </c>
      <c r="AG82" s="212">
        <f>СЧЁТ!AH17</f>
        <v>0.24074796552908859</v>
      </c>
      <c r="AH82" s="212">
        <f>СЧЁТ!AI17</f>
        <v>0.20957161629151927</v>
      </c>
      <c r="AI82" s="212">
        <f>СЧЁТ!AJ17</f>
        <v>0.20657808103265329</v>
      </c>
      <c r="AJ82" s="212">
        <f>СЧЁТ!AK17</f>
        <v>0.22697099503222676</v>
      </c>
      <c r="AK82" s="212">
        <f>СЧЁТ!AL17</f>
        <v>0.2265787550715769</v>
      </c>
      <c r="AL82" s="212">
        <f>СЧЁТ!AM17</f>
        <v>0.22634341109518699</v>
      </c>
      <c r="AM82" s="212">
        <f>СЧЁТ!AN17</f>
        <v>0.22620220470935304</v>
      </c>
      <c r="AN82" s="212">
        <f>СЧЁТ!AO17</f>
        <v>0.22611748087785266</v>
      </c>
      <c r="AO82" s="212">
        <f>СЧЁТ!AP17</f>
        <v>0.22606664657895242</v>
      </c>
      <c r="AP82" s="212">
        <f>СЧЁТ!AQ17</f>
        <v>0.22603614599961228</v>
      </c>
      <c r="AQ82" s="212">
        <f>СЧЁТ!AR17</f>
        <v>0.22601784565200819</v>
      </c>
      <c r="AR82" s="212">
        <f>СЧЁТ!AS17</f>
        <v>0.22600686544344575</v>
      </c>
      <c r="AS82" s="212">
        <v>25.974970917012499</v>
      </c>
      <c r="AT82" s="212">
        <v>25.974970917012499</v>
      </c>
      <c r="AU82" s="212">
        <v>25.974970917012499</v>
      </c>
      <c r="AV82" s="212">
        <v>25.974970917012499</v>
      </c>
      <c r="AW82" s="212">
        <v>26.102463418332505</v>
      </c>
      <c r="AX82" s="44" t="s">
        <v>636</v>
      </c>
    </row>
    <row r="83" spans="4:50" ht="17.399999999999999">
      <c r="D83" s="105">
        <v>17</v>
      </c>
      <c r="E83" s="204">
        <v>40588</v>
      </c>
      <c r="F83" s="205" t="s">
        <v>638</v>
      </c>
      <c r="G83" s="51" t="s">
        <v>809</v>
      </c>
      <c r="H83" s="85" t="s">
        <v>917</v>
      </c>
      <c r="I83" s="85"/>
      <c r="J83" s="85"/>
      <c r="K83" s="85"/>
      <c r="L83" s="85"/>
      <c r="M83" s="85"/>
      <c r="N83" s="139">
        <v>1</v>
      </c>
      <c r="O83" s="212">
        <f>СЧЁТ!P18</f>
        <v>1.4723042021668387</v>
      </c>
      <c r="P83" s="212">
        <f>СЧЁТ!Q18</f>
        <v>1.718558670886825</v>
      </c>
      <c r="Q83" s="212">
        <f>СЧЁТ!R18</f>
        <v>2.1060897046594418</v>
      </c>
      <c r="R83" s="212">
        <f>СЧЁТ!S18</f>
        <v>3.7278422973468679</v>
      </c>
      <c r="S83" s="212">
        <f>СЧЁТ!T18</f>
        <v>4.5918326760987345</v>
      </c>
      <c r="T83" s="212">
        <f>СЧЁТ!U18</f>
        <v>5.5611795404054956</v>
      </c>
      <c r="U83" s="212">
        <f>СЧЁТ!V18</f>
        <v>6.4682386989177063</v>
      </c>
      <c r="V83" s="212">
        <f>СЧЁТ!W18</f>
        <v>7.2584827706254744</v>
      </c>
      <c r="W83" s="212">
        <f>СЧЁТ!X18</f>
        <v>8.3282279936178867</v>
      </c>
      <c r="X83" s="212">
        <f>СЧЁТ!Y18</f>
        <v>9.3704714639566831</v>
      </c>
      <c r="Y83" s="212">
        <f>СЧЁТ!Z18</f>
        <v>10.171880121895711</v>
      </c>
      <c r="Z83" s="212">
        <f>СЧЁТ!AA18</f>
        <v>10.996054426330467</v>
      </c>
      <c r="AA83" s="212">
        <f>СЧЁТ!AB18</f>
        <v>12.382630991276981</v>
      </c>
      <c r="AB83" s="212">
        <f>СЧЁТ!AC18</f>
        <v>13.714036448863869</v>
      </c>
      <c r="AC83" s="212">
        <f>СЧЁТ!AD18</f>
        <v>14.629133800462956</v>
      </c>
      <c r="AD83" s="212">
        <f>СЧЁТ!AE18</f>
        <v>17.36421630879255</v>
      </c>
      <c r="AE83" s="212">
        <f>СЧЁТ!AF18</f>
        <v>18.540125110660799</v>
      </c>
      <c r="AF83" s="212">
        <f>СЧЁТ!AG18</f>
        <v>19.653563919076568</v>
      </c>
      <c r="AG83" s="212">
        <f>СЧЁТ!AH18</f>
        <v>21.016276952701091</v>
      </c>
      <c r="AH83" s="212">
        <f>СЧЁТ!AI18</f>
        <v>23.908625308988828</v>
      </c>
      <c r="AI83" s="212">
        <f>СЧЁТ!AJ18</f>
        <v>25.541020349632802</v>
      </c>
      <c r="AJ83" s="212">
        <f>СЧЁТ!AK18</f>
        <v>26.262932750374507</v>
      </c>
      <c r="AK83" s="212">
        <f>СЧЁТ!AL18</f>
        <v>27.120680464307846</v>
      </c>
      <c r="AL83" s="212">
        <f>СЧЁТ!AM18</f>
        <v>28.12440071334408</v>
      </c>
      <c r="AM83" s="212">
        <f>СЧЁТ!AN18</f>
        <v>28.998911158369268</v>
      </c>
      <c r="AN83" s="212">
        <f>СЧЁТ!AO18</f>
        <v>31.029391716287734</v>
      </c>
      <c r="AO83" s="212">
        <f>СЧЁТ!AP18</f>
        <v>32.604896302102119</v>
      </c>
      <c r="AP83" s="212">
        <f>СЧЁТ!AQ18</f>
        <v>34.259176117207225</v>
      </c>
      <c r="AQ83" s="212">
        <f>СЧЁТ!AR18</f>
        <v>35.99616992306759</v>
      </c>
      <c r="AR83" s="212">
        <f>СЧЁТ!AS18</f>
        <v>37.82001341922097</v>
      </c>
      <c r="AS83" s="212">
        <v>27.980997322168587</v>
      </c>
      <c r="AT83" s="212">
        <v>28.689762187278227</v>
      </c>
      <c r="AU83" s="212">
        <v>29.419789998341155</v>
      </c>
      <c r="AV83" s="212">
        <v>30.171718643735971</v>
      </c>
      <c r="AW83" s="212">
        <v>30.946205148492631</v>
      </c>
      <c r="AX83" s="44" t="s">
        <v>638</v>
      </c>
    </row>
    <row r="84" spans="4:50" ht="17.399999999999999">
      <c r="D84" s="105">
        <v>18</v>
      </c>
      <c r="E84" s="204">
        <v>40588</v>
      </c>
      <c r="F84" s="205" t="s">
        <v>640</v>
      </c>
      <c r="G84" s="51" t="s">
        <v>809</v>
      </c>
      <c r="H84" s="85" t="s">
        <v>918</v>
      </c>
      <c r="I84" s="85"/>
      <c r="J84" s="85"/>
      <c r="K84" s="85"/>
      <c r="L84" s="85"/>
      <c r="M84" s="85"/>
      <c r="N84" s="139">
        <v>1</v>
      </c>
      <c r="O84" s="212">
        <f>СЧЁТ!P19</f>
        <v>1.3930686182271845</v>
      </c>
      <c r="P84" s="212">
        <f>СЧЁТ!Q19</f>
        <v>1.8000080782573098</v>
      </c>
      <c r="Q84" s="212">
        <f>СЧЁТ!R19</f>
        <v>1.7787455021088285</v>
      </c>
      <c r="R84" s="212">
        <f>СЧЁТ!S19</f>
        <v>2.4627881934761957</v>
      </c>
      <c r="S84" s="212">
        <f>СЧЁТ!T19</f>
        <v>3.7854704885295649</v>
      </c>
      <c r="T84" s="212">
        <f>СЧЁТ!U19</f>
        <v>5.0878645956391404</v>
      </c>
      <c r="U84" s="212">
        <f>СЧЁТ!V19</f>
        <v>6.5528675715584006</v>
      </c>
      <c r="V84" s="212">
        <f>СЧЁТ!W19</f>
        <v>7.7958923176158716</v>
      </c>
      <c r="W84" s="212">
        <f>СЧЁТ!X19</f>
        <v>9.32454487174126</v>
      </c>
      <c r="X84" s="212">
        <f>СЧЁТ!Y19</f>
        <v>11.601834838997735</v>
      </c>
      <c r="Y84" s="212">
        <f>СЧЁТ!Z19</f>
        <v>14.558879763670303</v>
      </c>
      <c r="Z84" s="212">
        <f>СЧЁТ!AA19</f>
        <v>17.418642331419541</v>
      </c>
      <c r="AA84" s="212">
        <f>СЧЁТ!AB19</f>
        <v>21.558658204106848</v>
      </c>
      <c r="AB84" s="212">
        <f>СЧЁТ!AC19</f>
        <v>23.771830652990928</v>
      </c>
      <c r="AC84" s="212">
        <f>СЧЁТ!AD19</f>
        <v>25.942740710668115</v>
      </c>
      <c r="AD84" s="212">
        <f>СЧЁТ!AE19</f>
        <v>31.060937552257776</v>
      </c>
      <c r="AE84" s="212">
        <f>СЧЁТ!AF19</f>
        <v>34.957056458668305</v>
      </c>
      <c r="AF84" s="212">
        <f>СЧЁТ!AG19</f>
        <v>38.623860073036887</v>
      </c>
      <c r="AG84" s="212">
        <f>СЧЁТ!AH19</f>
        <v>41.260921847659759</v>
      </c>
      <c r="AH84" s="212">
        <f>СЧЁТ!AI19</f>
        <v>44.344749772395339</v>
      </c>
      <c r="AI84" s="212">
        <f>СЧЁТ!AJ19</f>
        <v>46.796704667591264</v>
      </c>
      <c r="AJ84" s="212">
        <f>СЧЁТ!AK19</f>
        <v>48.327851197265097</v>
      </c>
      <c r="AK84" s="212">
        <f>СЧЁТ!AL19</f>
        <v>52.235265501486438</v>
      </c>
      <c r="AL84" s="212">
        <f>СЧЁТ!AM19</f>
        <v>53.174963523769726</v>
      </c>
      <c r="AM84" s="212">
        <f>СЧЁТ!AN19</f>
        <v>56.051730732786808</v>
      </c>
      <c r="AN84" s="212">
        <f>СЧЁТ!AO19</f>
        <v>59.125067269426147</v>
      </c>
      <c r="AO84" s="212">
        <f>СЧЁТ!AP19</f>
        <v>62.352070632897458</v>
      </c>
      <c r="AP84" s="212">
        <f>СЧЁТ!AQ19</f>
        <v>65.740424164542333</v>
      </c>
      <c r="AQ84" s="212">
        <f>СЧЁТ!AR19</f>
        <v>69.298195372769456</v>
      </c>
      <c r="AR84" s="212">
        <f>СЧЁТ!AS19</f>
        <v>73.033855141407926</v>
      </c>
      <c r="AS84" s="208">
        <v>30.905273861360961</v>
      </c>
      <c r="AT84" s="208">
        <v>30.987816120984149</v>
      </c>
      <c r="AU84" s="208">
        <v>31.057977041663861</v>
      </c>
      <c r="AV84" s="208">
        <v>31.117613824241616</v>
      </c>
      <c r="AW84" s="208">
        <v>31.168305089432707</v>
      </c>
      <c r="AX84" s="44" t="s">
        <v>640</v>
      </c>
    </row>
    <row r="85" spans="4:50" ht="17.399999999999999">
      <c r="D85" s="105">
        <v>19</v>
      </c>
      <c r="E85" s="204">
        <v>40588</v>
      </c>
      <c r="F85" s="205" t="s">
        <v>642</v>
      </c>
      <c r="G85" s="51" t="s">
        <v>809</v>
      </c>
      <c r="H85" s="85" t="s">
        <v>919</v>
      </c>
      <c r="I85" s="85"/>
      <c r="J85" s="85"/>
      <c r="K85" s="85"/>
      <c r="L85" s="85"/>
      <c r="M85" s="85"/>
      <c r="N85" s="139">
        <v>1</v>
      </c>
      <c r="O85" s="212">
        <f>СЧЁТ!P20</f>
        <v>1.4997486735151189</v>
      </c>
      <c r="P85" s="212">
        <f>СЧЁТ!Q20</f>
        <v>1.9526312539350381</v>
      </c>
      <c r="Q85" s="212">
        <f>СЧЁТ!R20</f>
        <v>2.0059060303554479</v>
      </c>
      <c r="R85" s="212">
        <f>СЧЁТ!S20</f>
        <v>2.3429902839701637</v>
      </c>
      <c r="S85" s="212">
        <f>СЧЁТ!T20</f>
        <v>3.2406114791110681</v>
      </c>
      <c r="T85" s="212">
        <f>СЧЁТ!U20</f>
        <v>3.97066356566005</v>
      </c>
      <c r="U85" s="212">
        <f>СЧЁТ!V20</f>
        <v>5.2843734476785453</v>
      </c>
      <c r="V85" s="212">
        <f>СЧЁТ!W20</f>
        <v>6.1715081316356093</v>
      </c>
      <c r="W85" s="212">
        <f>СЧЁТ!X20</f>
        <v>6.7016025302099056</v>
      </c>
      <c r="X85" s="212">
        <f>СЧЁТ!Y20</f>
        <v>7.6444391008680617</v>
      </c>
      <c r="Y85" s="212">
        <f>СЧЁТ!Z20</f>
        <v>8.6255823418854529</v>
      </c>
      <c r="Z85" s="212">
        <f>СЧЁТ!AA20</f>
        <v>10.098705571453516</v>
      </c>
      <c r="AA85" s="212">
        <f>СЧЁТ!AB20</f>
        <v>11.941266045828566</v>
      </c>
      <c r="AB85" s="212">
        <f>СЧЁТ!AC20</f>
        <v>12.996640727607122</v>
      </c>
      <c r="AC85" s="212">
        <f>СЧЁТ!AD20</f>
        <v>13.587422805401822</v>
      </c>
      <c r="AD85" s="212">
        <f>СЧЁТ!AE20</f>
        <v>14.262597604124318</v>
      </c>
      <c r="AE85" s="212">
        <f>СЧЁТ!AF20</f>
        <v>15.820545673088896</v>
      </c>
      <c r="AF85" s="212">
        <f>СЧЁТ!AG20</f>
        <v>16.643637181160418</v>
      </c>
      <c r="AG85" s="212">
        <f>СЧЁТ!AH20</f>
        <v>18.778754615584578</v>
      </c>
      <c r="AH85" s="212">
        <f>СЧЁТ!AI20</f>
        <v>20.932137525435952</v>
      </c>
      <c r="AI85" s="212">
        <f>СЧЁТ!AJ20</f>
        <v>22.713794876355891</v>
      </c>
      <c r="AJ85" s="212">
        <f>СЧЁТ!AK20</f>
        <v>24.993896175246313</v>
      </c>
      <c r="AK85" s="212">
        <f>СЧЁТ!AL20</f>
        <v>27.181442967904612</v>
      </c>
      <c r="AL85" s="212">
        <f>СЧЁТ!AM20</f>
        <v>28.304690887736221</v>
      </c>
      <c r="AM85" s="212">
        <f>СЧЁТ!AN20</f>
        <v>29.498051210324068</v>
      </c>
      <c r="AN85" s="212">
        <f>СЧЁТ!AO20</f>
        <v>30.772953770840271</v>
      </c>
      <c r="AO85" s="212">
        <f>СЧЁТ!AP20</f>
        <v>32.111601459382285</v>
      </c>
      <c r="AP85" s="212">
        <f>СЧЁТ!AQ20</f>
        <v>33.517181532351401</v>
      </c>
      <c r="AQ85" s="212">
        <f>СЧЁТ!AR20</f>
        <v>34.993040608968968</v>
      </c>
      <c r="AR85" s="212">
        <f>СЧЁТ!AS20</f>
        <v>36.542692639417417</v>
      </c>
      <c r="AS85" s="208">
        <v>27.053611238009953</v>
      </c>
      <c r="AT85" s="208">
        <v>27.783319575150252</v>
      </c>
      <c r="AU85" s="208">
        <v>28.534919162404762</v>
      </c>
      <c r="AV85" s="208">
        <v>29.3090667372769</v>
      </c>
      <c r="AW85" s="208">
        <v>30.106438739395216</v>
      </c>
      <c r="AX85" s="44" t="s">
        <v>642</v>
      </c>
    </row>
    <row r="86" spans="4:50" ht="17.399999999999999">
      <c r="D86" s="105">
        <v>20</v>
      </c>
      <c r="E86" s="204">
        <v>40561</v>
      </c>
      <c r="F86" s="205" t="s">
        <v>644</v>
      </c>
      <c r="G86" s="51" t="s">
        <v>809</v>
      </c>
      <c r="H86" s="85" t="s">
        <v>920</v>
      </c>
      <c r="I86" s="85"/>
      <c r="J86" s="85"/>
      <c r="K86" s="85"/>
      <c r="L86" s="85"/>
      <c r="M86" s="85"/>
      <c r="N86" s="61">
        <v>1</v>
      </c>
      <c r="O86" s="212">
        <f>СЧЁТ!P21</f>
        <v>1.006</v>
      </c>
      <c r="P86" s="212">
        <f>СЧЁТ!Q21</f>
        <v>0.99795199999999995</v>
      </c>
      <c r="Q86" s="212">
        <f>СЧЁТ!R21</f>
        <v>1.0029417599999999</v>
      </c>
      <c r="R86" s="212">
        <f>СЧЁТ!S21</f>
        <v>0.98890057535999987</v>
      </c>
      <c r="S86" s="212">
        <f>СЧЁТ!T21</f>
        <v>1.0047229845657599</v>
      </c>
      <c r="T86" s="212">
        <f>СЧЁТ!U21</f>
        <v>1.0238127212725092</v>
      </c>
      <c r="U86" s="212">
        <f>СЧЁТ!V21</f>
        <v>1.0320032230426892</v>
      </c>
      <c r="V86" s="212">
        <f>СЧЁТ!W21</f>
        <v>1.0330352262657319</v>
      </c>
      <c r="W86" s="212">
        <f>СЧЁТ!X21</f>
        <v>0.91836831615023562</v>
      </c>
      <c r="X86" s="212">
        <f>СЧЁТ!Y21</f>
        <v>0.7503069142947425</v>
      </c>
      <c r="Y86" s="212">
        <f>СЧЁТ!Z21</f>
        <v>0.73755169675173182</v>
      </c>
      <c r="Z86" s="212">
        <f>СЧЁТ!AA21</f>
        <v>0.75746559256402857</v>
      </c>
      <c r="AA86" s="212">
        <f>СЧЁТ!AB21</f>
        <v>0.7468610742681322</v>
      </c>
      <c r="AB86" s="212">
        <f>СЧЁТ!AC21</f>
        <v>0.68711218832668164</v>
      </c>
      <c r="AC86" s="212">
        <f>СЧЁТ!AD21</f>
        <v>0.6836766273850482</v>
      </c>
      <c r="AD86" s="212">
        <f>СЧЁТ!AE21</f>
        <v>0.65017647264318079</v>
      </c>
      <c r="AE86" s="212">
        <f>СЧЁТ!AF21</f>
        <v>0.64367470791674897</v>
      </c>
      <c r="AF86" s="212">
        <f>СЧЁТ!AG21</f>
        <v>0.63595061142174802</v>
      </c>
      <c r="AG86" s="212">
        <f>СЧЁТ!AH21</f>
        <v>0.63595061142174802</v>
      </c>
      <c r="AH86" s="212">
        <f>СЧЁТ!AI21</f>
        <v>0.61750804369051726</v>
      </c>
      <c r="AI86" s="212">
        <f>СЧЁТ!AJ21</f>
        <v>0.62368312412742244</v>
      </c>
      <c r="AJ86" s="212">
        <f>СЧЁТ!AK21</f>
        <v>0.62680153974805952</v>
      </c>
      <c r="AK86" s="212">
        <f>СЧЁТ!AL21</f>
        <v>0.65500760903672217</v>
      </c>
      <c r="AL86" s="212">
        <f>СЧЁТ!AM21</f>
        <v>0.68180337486095166</v>
      </c>
      <c r="AM86" s="212">
        <f>СЧЁТ!AN21</f>
        <v>0.70725935239396964</v>
      </c>
      <c r="AN86" s="212">
        <f>СЧЁТ!AO21</f>
        <v>0.73144253105033674</v>
      </c>
      <c r="AO86" s="212">
        <f>СЧЁТ!AP21</f>
        <v>0.75441655077388547</v>
      </c>
      <c r="AP86" s="212">
        <f>СЧЁТ!AQ21</f>
        <v>0.77624186951125673</v>
      </c>
      <c r="AQ86" s="212">
        <f>СЧЁТ!AR21</f>
        <v>0.7969759223117594</v>
      </c>
      <c r="AR86" s="212">
        <f>СЧЁТ!AS21</f>
        <v>0.81667327247223698</v>
      </c>
      <c r="AS86" s="208">
        <v>27.729243118692256</v>
      </c>
      <c r="AT86" s="208">
        <v>28.531120412253024</v>
      </c>
      <c r="AU86" s="208">
        <v>29.357054024620616</v>
      </c>
      <c r="AV86" s="208">
        <v>30.207765645359235</v>
      </c>
      <c r="AW86" s="208">
        <v>31.083998614720013</v>
      </c>
      <c r="AX86" s="44" t="s">
        <v>644</v>
      </c>
    </row>
    <row r="87" spans="4:50" ht="17.399999999999999">
      <c r="D87" s="105">
        <v>21</v>
      </c>
      <c r="E87" s="204">
        <v>40561</v>
      </c>
      <c r="F87" s="205" t="s">
        <v>646</v>
      </c>
      <c r="G87" s="51" t="s">
        <v>809</v>
      </c>
      <c r="H87" s="85" t="s">
        <v>921</v>
      </c>
      <c r="I87" s="85"/>
      <c r="J87" s="85"/>
      <c r="K87" s="85"/>
      <c r="L87" s="85"/>
      <c r="M87" s="85"/>
      <c r="N87" s="61">
        <v>1</v>
      </c>
      <c r="O87" s="212">
        <f>СЧЁТ!P22</f>
        <v>1.1463921152743077</v>
      </c>
      <c r="P87" s="212">
        <f>СЧЁТ!Q22</f>
        <v>1.2513079717780982</v>
      </c>
      <c r="Q87" s="212">
        <f>СЧЁТ!R22</f>
        <v>1.7757982734232494</v>
      </c>
      <c r="R87" s="212">
        <f>СЧЁТ!S22</f>
        <v>4.3836468174313525</v>
      </c>
      <c r="S87" s="212">
        <f>СЧЁТ!T22</f>
        <v>5.422670804728047</v>
      </c>
      <c r="T87" s="212">
        <f>СЧЁТ!U22</f>
        <v>5.4161394271000169</v>
      </c>
      <c r="U87" s="212">
        <f>СЧЁТ!V22</f>
        <v>5.5899915734957792</v>
      </c>
      <c r="V87" s="212">
        <f>СЧЁТ!W22</f>
        <v>6.1009492646947514</v>
      </c>
      <c r="W87" s="212">
        <f>СЧЁТ!X22</f>
        <v>6.8314599646456458</v>
      </c>
      <c r="X87" s="212">
        <f>СЧЁТ!Y22</f>
        <v>8.0203116455157293</v>
      </c>
      <c r="Y87" s="212">
        <f>СЧЁТ!Z22</f>
        <v>8.5777715926432858</v>
      </c>
      <c r="Z87" s="212">
        <f>СЧЁТ!AA22</f>
        <v>8.5612179305936174</v>
      </c>
      <c r="AA87" s="212">
        <f>СЧЁТ!AB22</f>
        <v>10.360928463828223</v>
      </c>
      <c r="AB87" s="212">
        <f>СЧЁТ!AC22</f>
        <v>10.685163024983835</v>
      </c>
      <c r="AC87" s="212">
        <f>СЧЁТ!AD22</f>
        <v>12.376778209553063</v>
      </c>
      <c r="AD87" s="212">
        <f>СЧЁТ!AE22</f>
        <v>14.886630426588821</v>
      </c>
      <c r="AE87" s="212">
        <f>СЧЁТ!AF22</f>
        <v>15.682710215951944</v>
      </c>
      <c r="AF87" s="212">
        <f>СЧЁТ!AG22</f>
        <v>15.596922733834738</v>
      </c>
      <c r="AG87" s="212">
        <f>СЧЁТ!AH22</f>
        <v>19.408072573294923</v>
      </c>
      <c r="AH87" s="212">
        <f>СЧЁТ!AI22</f>
        <v>25.392619710313024</v>
      </c>
      <c r="AI87" s="212">
        <f>СЧЁТ!AJ22</f>
        <v>24.686694352693262</v>
      </c>
      <c r="AJ87" s="212">
        <f>СЧЁТ!AK22</f>
        <v>23.815961506525245</v>
      </c>
      <c r="AK87" s="212">
        <f>СЧЁТ!AL22</f>
        <v>28.984298505855161</v>
      </c>
      <c r="AL87" s="212">
        <f>СЧЁТ!AM22</f>
        <v>28.287941205989458</v>
      </c>
      <c r="AM87" s="212">
        <f>СЧЁТ!AN22</f>
        <v>30.295292486376674</v>
      </c>
      <c r="AN87" s="212">
        <f>СЧЁТ!AO22</f>
        <v>32.50839100920102</v>
      </c>
      <c r="AO87" s="212">
        <f>СЧЁТ!AP22</f>
        <v>34.908397682763393</v>
      </c>
      <c r="AP87" s="212">
        <f>СЧЁТ!AQ22</f>
        <v>37.512473870121873</v>
      </c>
      <c r="AQ87" s="212">
        <f>СЧЁТ!AR22</f>
        <v>40.339440137928356</v>
      </c>
      <c r="AR87" s="212">
        <f>СЧЁТ!AS22</f>
        <v>43.409941332990961</v>
      </c>
      <c r="AS87" s="208">
        <v>26.102167430561483</v>
      </c>
      <c r="AT87" s="208">
        <v>26.984232453478327</v>
      </c>
      <c r="AU87" s="208">
        <v>27.89275942708268</v>
      </c>
      <c r="AV87" s="208">
        <v>28.828542209895161</v>
      </c>
      <c r="AW87" s="208">
        <v>29.792398476192016</v>
      </c>
      <c r="AX87" s="44" t="s">
        <v>646</v>
      </c>
    </row>
    <row r="88" spans="4:50" ht="17.399999999999999">
      <c r="D88" s="105">
        <v>22</v>
      </c>
      <c r="E88" s="204">
        <v>40588</v>
      </c>
      <c r="F88" s="205" t="s">
        <v>648</v>
      </c>
      <c r="G88" s="51" t="s">
        <v>809</v>
      </c>
      <c r="H88" s="85" t="s">
        <v>922</v>
      </c>
      <c r="I88" s="85"/>
      <c r="J88" s="85"/>
      <c r="K88" s="85"/>
      <c r="L88" s="85"/>
      <c r="M88" s="85"/>
      <c r="N88" s="61">
        <v>1</v>
      </c>
      <c r="O88" s="212">
        <f>СЧЁТ!P23</f>
        <v>0</v>
      </c>
      <c r="P88" s="212">
        <f>СЧЁТ!Q23</f>
        <v>0</v>
      </c>
      <c r="Q88" s="212">
        <f>СЧЁТ!R23</f>
        <v>0</v>
      </c>
      <c r="R88" s="212">
        <f>СЧЁТ!S23</f>
        <v>0</v>
      </c>
      <c r="S88" s="212">
        <f>СЧЁТ!T23</f>
        <v>0</v>
      </c>
      <c r="T88" s="212">
        <f>СЧЁТ!U23</f>
        <v>0</v>
      </c>
      <c r="U88" s="212">
        <f>СЧЁТ!V23</f>
        <v>0</v>
      </c>
      <c r="V88" s="212">
        <f>СЧЁТ!W23</f>
        <v>0</v>
      </c>
      <c r="W88" s="212">
        <f>СЧЁТ!X23</f>
        <v>0</v>
      </c>
      <c r="X88" s="212">
        <f>СЧЁТ!Y23</f>
        <v>0</v>
      </c>
      <c r="Y88" s="212">
        <f>СЧЁТ!Z23</f>
        <v>0</v>
      </c>
      <c r="Z88" s="212">
        <f>СЧЁТ!AA23</f>
        <v>0</v>
      </c>
      <c r="AA88" s="212">
        <f>СЧЁТ!AB23</f>
        <v>0</v>
      </c>
      <c r="AB88" s="212">
        <f>СЧЁТ!AC23</f>
        <v>0</v>
      </c>
      <c r="AC88" s="212">
        <f>СЧЁТ!AD23</f>
        <v>0</v>
      </c>
      <c r="AD88" s="212">
        <f>СЧЁТ!AE23</f>
        <v>0</v>
      </c>
      <c r="AE88" s="212">
        <f>СЧЁТ!AF23</f>
        <v>0</v>
      </c>
      <c r="AF88" s="212">
        <f>СЧЁТ!AG23</f>
        <v>0</v>
      </c>
      <c r="AG88" s="212">
        <f>СЧЁТ!AH23</f>
        <v>0</v>
      </c>
      <c r="AH88" s="212">
        <f>СЧЁТ!AI23</f>
        <v>0</v>
      </c>
      <c r="AI88" s="212">
        <f>СЧЁТ!AJ23</f>
        <v>0</v>
      </c>
      <c r="AJ88" s="212">
        <f>СЧЁТ!AK23</f>
        <v>0</v>
      </c>
      <c r="AK88" s="212">
        <f>СЧЁТ!AL23</f>
        <v>0</v>
      </c>
      <c r="AL88" s="212">
        <f>СЧЁТ!AM23</f>
        <v>0</v>
      </c>
      <c r="AM88" s="212">
        <f>СЧЁТ!AN23</f>
        <v>0</v>
      </c>
      <c r="AN88" s="212">
        <f>СЧЁТ!AO23</f>
        <v>0</v>
      </c>
      <c r="AO88" s="212">
        <f>СЧЁТ!AP23</f>
        <v>0</v>
      </c>
      <c r="AP88" s="212">
        <f>СЧЁТ!AQ23</f>
        <v>0</v>
      </c>
      <c r="AQ88" s="212">
        <f>СЧЁТ!AR23</f>
        <v>0</v>
      </c>
      <c r="AR88" s="212">
        <f>СЧЁТ!AS23</f>
        <v>0</v>
      </c>
      <c r="AS88" s="208">
        <v>28.856687675472461</v>
      </c>
      <c r="AT88" s="208">
        <v>29.250216164097985</v>
      </c>
      <c r="AU88" s="208">
        <v>29.620132943405977</v>
      </c>
      <c r="AV88" s="208">
        <v>29.96785471595549</v>
      </c>
      <c r="AW88" s="208">
        <v>30.29471318215203</v>
      </c>
      <c r="AX88" s="44" t="s">
        <v>648</v>
      </c>
    </row>
    <row r="89" spans="4:50" ht="17.399999999999999">
      <c r="D89" s="105">
        <v>23</v>
      </c>
      <c r="E89" s="204">
        <v>40588</v>
      </c>
      <c r="F89" s="205" t="s">
        <v>650</v>
      </c>
      <c r="G89" s="51" t="s">
        <v>809</v>
      </c>
      <c r="H89" s="85" t="s">
        <v>923</v>
      </c>
      <c r="I89" s="85"/>
      <c r="J89" s="85"/>
      <c r="K89" s="85"/>
      <c r="L89" s="85"/>
      <c r="M89" s="85"/>
      <c r="N89" s="61">
        <v>1</v>
      </c>
      <c r="O89" s="212">
        <f>СЧЁТ!P24</f>
        <v>1.7194377618988257</v>
      </c>
      <c r="P89" s="212">
        <f>СЧЁТ!Q24</f>
        <v>1.9680277801214476</v>
      </c>
      <c r="Q89" s="212">
        <f>СЧЁТ!R24</f>
        <v>2.2270348811115843</v>
      </c>
      <c r="R89" s="212">
        <f>СЧЁТ!S24</f>
        <v>3.493098424873764</v>
      </c>
      <c r="S89" s="212">
        <f>СЧЁТ!T24</f>
        <v>5.1712627496070169</v>
      </c>
      <c r="T89" s="212">
        <f>СЧЁТ!U24</f>
        <v>6.0707268468539191</v>
      </c>
      <c r="U89" s="212">
        <f>СЧЁТ!V24</f>
        <v>6.9167509862711283</v>
      </c>
      <c r="V89" s="212">
        <f>СЧЁТ!W24</f>
        <v>7.6273689193439225</v>
      </c>
      <c r="W89" s="212">
        <f>СЧЁТ!X24</f>
        <v>8.7904133177964692</v>
      </c>
      <c r="X89" s="212">
        <f>СЧЁТ!Y24</f>
        <v>10.054085870175701</v>
      </c>
      <c r="Y89" s="212">
        <f>СЧЁТ!Z24</f>
        <v>11.28478682823815</v>
      </c>
      <c r="Z89" s="212">
        <f>СЧЁТ!AA24</f>
        <v>13.059083510568804</v>
      </c>
      <c r="AA89" s="212">
        <f>СЧЁТ!AB24</f>
        <v>15.593657080025292</v>
      </c>
      <c r="AB89" s="212">
        <f>СЧЁТ!AC24</f>
        <v>16.373566297801105</v>
      </c>
      <c r="AC89" s="212">
        <f>СЧЁТ!AD24</f>
        <v>17.674409856030426</v>
      </c>
      <c r="AD89" s="212">
        <f>СЧЁТ!AE24</f>
        <v>19.234566440524752</v>
      </c>
      <c r="AE89" s="212">
        <f>СЧЁТ!AF24</f>
        <v>20.540168341333807</v>
      </c>
      <c r="AF89" s="212">
        <f>СЧЁТ!AG24</f>
        <v>21.776225011581559</v>
      </c>
      <c r="AG89" s="212">
        <f>СЧЁТ!AH24</f>
        <v>22.851453644141124</v>
      </c>
      <c r="AH89" s="212">
        <f>СЧЁТ!AI24</f>
        <v>25.408791247612854</v>
      </c>
      <c r="AI89" s="212">
        <f>СЧЁТ!AJ24</f>
        <v>27.019844336572895</v>
      </c>
      <c r="AJ89" s="212">
        <f>СЧЁТ!AK24</f>
        <v>28.017232863734257</v>
      </c>
      <c r="AK89" s="212">
        <f>СЧЁТ!AL24</f>
        <v>29.489664817255768</v>
      </c>
      <c r="AL89" s="212">
        <f>СЧЁТ!AM24</f>
        <v>30.569829658758049</v>
      </c>
      <c r="AM89" s="212">
        <f>СЧЁТ!AN24</f>
        <v>32.000596695003054</v>
      </c>
      <c r="AN89" s="212">
        <f>СЧЁТ!AO24</f>
        <v>34.39782652975321</v>
      </c>
      <c r="AO89" s="212">
        <f>СЧЁТ!AP24</f>
        <v>36.473917856240874</v>
      </c>
      <c r="AP89" s="212">
        <f>СЧЁТ!AQ24</f>
        <v>38.653813749052922</v>
      </c>
      <c r="AQ89" s="212">
        <f>СЧЁТ!AR24</f>
        <v>40.942704436505565</v>
      </c>
      <c r="AR89" s="212">
        <f>СЧЁТ!AS24</f>
        <v>43.346039658330845</v>
      </c>
      <c r="AS89" s="208">
        <v>27.292780962757643</v>
      </c>
      <c r="AT89" s="208">
        <v>28.054564391640373</v>
      </c>
      <c r="AU89" s="208">
        <v>28.839201323389585</v>
      </c>
      <c r="AV89" s="208">
        <v>29.647377363091273</v>
      </c>
      <c r="AW89" s="208">
        <v>30.479798683984015</v>
      </c>
      <c r="AX89" s="44" t="s">
        <v>650</v>
      </c>
    </row>
    <row r="90" spans="4:50" ht="17.399999999999999">
      <c r="D90" s="105">
        <v>24</v>
      </c>
      <c r="E90" s="204">
        <v>40588</v>
      </c>
      <c r="F90" s="205" t="s">
        <v>652</v>
      </c>
      <c r="G90" s="51" t="s">
        <v>809</v>
      </c>
      <c r="H90" s="85" t="s">
        <v>924</v>
      </c>
      <c r="I90" s="85"/>
      <c r="J90" s="85"/>
      <c r="K90" s="85"/>
      <c r="L90" s="85"/>
      <c r="M90" s="85"/>
      <c r="N90" s="61">
        <v>1</v>
      </c>
      <c r="O90" s="212">
        <f>СЧЁТ!P25</f>
        <v>2.4661634872716665</v>
      </c>
      <c r="P90" s="212">
        <f>СЧЁТ!Q25</f>
        <v>2.5165818894824628</v>
      </c>
      <c r="Q90" s="212">
        <f>СЧЁТ!R25</f>
        <v>2.6836249787031963</v>
      </c>
      <c r="R90" s="212">
        <f>СЧЁТ!S25</f>
        <v>2.701164323022275</v>
      </c>
      <c r="S90" s="212">
        <f>СЧЁТ!T25</f>
        <v>3.2947518370474893</v>
      </c>
      <c r="T90" s="212">
        <f>СЧЁТ!U25</f>
        <v>3.7846782806927575</v>
      </c>
      <c r="U90" s="212">
        <f>СЧЁТ!V25</f>
        <v>4.5228031897927927</v>
      </c>
      <c r="V90" s="212">
        <f>СЧЁТ!W25</f>
        <v>5.542638112686384</v>
      </c>
      <c r="W90" s="212">
        <f>СЧЁТ!X25</f>
        <v>6.2728522161048463</v>
      </c>
      <c r="X90" s="212">
        <f>СЧЁТ!Y25</f>
        <v>7.3244397581202456</v>
      </c>
      <c r="Y90" s="212">
        <f>СЧЁТ!Z25</f>
        <v>8.1861967165379976</v>
      </c>
      <c r="Z90" s="212">
        <f>СЧЁТ!AA25</f>
        <v>10.097240670067599</v>
      </c>
      <c r="AA90" s="212">
        <f>СЧЁТ!AB25</f>
        <v>12.014838376677151</v>
      </c>
      <c r="AB90" s="212">
        <f>СЧЁТ!AC25</f>
        <v>12.870829474853368</v>
      </c>
      <c r="AC90" s="212">
        <f>СЧЁТ!AD25</f>
        <v>14.148307151553455</v>
      </c>
      <c r="AD90" s="212">
        <f>СЧЁТ!AE25</f>
        <v>15.766970202222982</v>
      </c>
      <c r="AE90" s="212">
        <f>СЧЁТ!AF25</f>
        <v>16.974068796381736</v>
      </c>
      <c r="AF90" s="212">
        <f>СЧЁТ!AG25</f>
        <v>17.953158422730532</v>
      </c>
      <c r="AG90" s="212">
        <f>СЧЁТ!AH25</f>
        <v>19.115802786548628</v>
      </c>
      <c r="AH90" s="212">
        <f>СЧЁТ!AI25</f>
        <v>20.193444864834213</v>
      </c>
      <c r="AI90" s="212">
        <f>СЧЁТ!AJ25</f>
        <v>22.177890468882978</v>
      </c>
      <c r="AJ90" s="212">
        <f>СЧЁТ!AK25</f>
        <v>22.675989872141365</v>
      </c>
      <c r="AK90" s="212">
        <f>СЧЁТ!AL25</f>
        <v>23.085153319082956</v>
      </c>
      <c r="AL90" s="212">
        <f>СЧЁТ!AM25</f>
        <v>24.669713611800503</v>
      </c>
      <c r="AM90" s="212">
        <f>СЧЁТ!AN25</f>
        <v>25.900066990139901</v>
      </c>
      <c r="AN90" s="212">
        <f>СЧЁТ!AO25</f>
        <v>27.2144903396469</v>
      </c>
      <c r="AO90" s="212">
        <f>СЧЁТ!AP25</f>
        <v>28.594634856629245</v>
      </c>
      <c r="AP90" s="212">
        <f>СЧЁТ!AQ25</f>
        <v>30.043786599460709</v>
      </c>
      <c r="AQ90" s="212">
        <f>СЧЁТ!AR25</f>
        <v>31.565395929433745</v>
      </c>
      <c r="AR90" s="212">
        <f>СЧЁТ!AS25</f>
        <v>33.163085725905439</v>
      </c>
      <c r="AS90" s="208">
        <v>26.070705274626871</v>
      </c>
      <c r="AT90" s="208">
        <v>26.912676432865677</v>
      </c>
      <c r="AU90" s="208">
        <v>27.779906725851649</v>
      </c>
      <c r="AV90" s="208">
        <v>28.673153927627197</v>
      </c>
      <c r="AW90" s="208">
        <v>29.593198545456016</v>
      </c>
      <c r="AX90" s="44" t="s">
        <v>652</v>
      </c>
    </row>
    <row r="91" spans="4:50" ht="17.399999999999999">
      <c r="D91" s="105">
        <v>25</v>
      </c>
      <c r="E91" s="215">
        <v>40585</v>
      </c>
      <c r="F91" s="205" t="s">
        <v>583</v>
      </c>
      <c r="G91" s="51" t="s">
        <v>809</v>
      </c>
      <c r="H91" s="85" t="s">
        <v>925</v>
      </c>
      <c r="I91" s="85"/>
      <c r="J91" s="85"/>
      <c r="K91" s="85"/>
      <c r="L91" s="85"/>
      <c r="M91" s="85"/>
      <c r="N91" s="216">
        <v>0.28818310642293049</v>
      </c>
      <c r="O91" s="212" t="str">
        <f>СЧЁТ!A31</f>
        <v>экспертный прогноз</v>
      </c>
      <c r="P91" s="212">
        <f>СЧЁТ!B31</f>
        <v>0</v>
      </c>
      <c r="Q91" s="212">
        <f>СЧЁТ!C31</f>
        <v>0</v>
      </c>
      <c r="R91" s="212">
        <f>СЧЁТ!S31</f>
        <v>0.98890057535999987</v>
      </c>
      <c r="S91" s="212">
        <f>СЧЁТ!T31</f>
        <v>1.0047229845657599</v>
      </c>
      <c r="T91" s="212">
        <f>СЧЁТ!U31</f>
        <v>1.0238127212725092</v>
      </c>
      <c r="U91" s="212">
        <f>СЧЁТ!V31</f>
        <v>1.0320032230426892</v>
      </c>
      <c r="V91" s="212">
        <f>СЧЁТ!W31</f>
        <v>1.0330352262657319</v>
      </c>
      <c r="W91" s="212">
        <f>СЧЁТ!X31</f>
        <v>0.91836831615023562</v>
      </c>
      <c r="X91" s="212">
        <f>СЧЁТ!Y31</f>
        <v>0.7503069142947425</v>
      </c>
      <c r="Y91" s="212">
        <f>СЧЁТ!Z31</f>
        <v>0.73755169675173182</v>
      </c>
      <c r="Z91" s="212">
        <f>СЧЁТ!AA31</f>
        <v>0.75746559256402857</v>
      </c>
      <c r="AA91" s="212">
        <f>СЧЁТ!AB31</f>
        <v>0.7468610742681322</v>
      </c>
      <c r="AB91" s="212">
        <f>СЧЁТ!AC31</f>
        <v>0.68711218832668164</v>
      </c>
      <c r="AC91" s="212">
        <f>СЧЁТ!AD31</f>
        <v>0.6836766273850482</v>
      </c>
      <c r="AD91" s="212">
        <f>СЧЁТ!AE31</f>
        <v>0.65017647264318079</v>
      </c>
      <c r="AE91" s="212">
        <f>СЧЁТ!AF31</f>
        <v>0.64367470791674897</v>
      </c>
      <c r="AF91" s="212">
        <f>СЧЁТ!AG31</f>
        <v>0.63595061142174802</v>
      </c>
      <c r="AG91" s="212">
        <f>СЧЁТ!AH31</f>
        <v>0.63595061142174802</v>
      </c>
      <c r="AH91" s="212">
        <f>СЧЁТ!AI31</f>
        <v>0.61750804369051726</v>
      </c>
      <c r="AI91" s="212">
        <f>СЧЁТ!AJ31</f>
        <v>0.62368312412742244</v>
      </c>
      <c r="AJ91" s="212">
        <f>СЧЁТ!AK31</f>
        <v>0.62680153974805952</v>
      </c>
      <c r="AK91" s="212">
        <f>СЧЁТ!AL31</f>
        <v>0.65500760903672217</v>
      </c>
      <c r="AL91" s="212">
        <f>СЧЁТ!AM31</f>
        <v>0.68180337486095166</v>
      </c>
      <c r="AM91" s="212">
        <f>СЧЁТ!AN31</f>
        <v>0.70725935239396964</v>
      </c>
      <c r="AN91" s="212">
        <f>СЧЁТ!AO31</f>
        <v>0.73144253105033674</v>
      </c>
      <c r="AO91" s="212">
        <f>СЧЁТ!AP31</f>
        <v>0.75441655077388547</v>
      </c>
      <c r="AP91" s="212">
        <f>СЧЁТ!AQ31</f>
        <v>0.77624186951125673</v>
      </c>
      <c r="AQ91" s="212">
        <f>СЧЁТ!AR31</f>
        <v>0.7969759223117594</v>
      </c>
      <c r="AR91" s="212">
        <f>СЧЁТ!AS31</f>
        <v>0.81667327247223698</v>
      </c>
      <c r="AS91" s="208">
        <v>0.58362113719536057</v>
      </c>
      <c r="AT91" s="208">
        <v>0.58395812775041067</v>
      </c>
      <c r="AU91" s="208">
        <v>0.58421087066669819</v>
      </c>
      <c r="AV91" s="208">
        <v>0.58440042785391388</v>
      </c>
      <c r="AW91" s="208">
        <v>0.58454259574432565</v>
      </c>
      <c r="AX91" s="44" t="s">
        <v>583</v>
      </c>
    </row>
    <row r="92" spans="4:50" ht="17.399999999999999">
      <c r="D92" s="105">
        <v>26</v>
      </c>
      <c r="E92" s="204">
        <v>40585</v>
      </c>
      <c r="F92" s="205" t="s">
        <v>791</v>
      </c>
      <c r="G92" s="51" t="s">
        <v>809</v>
      </c>
      <c r="H92" s="85" t="s">
        <v>926</v>
      </c>
      <c r="I92" s="85"/>
      <c r="J92" s="85"/>
      <c r="K92" s="85"/>
      <c r="L92" s="85"/>
      <c r="M92" s="85"/>
      <c r="N92" s="207">
        <v>1.5435011046353679</v>
      </c>
      <c r="O92" s="212">
        <f>СЧЁТ!P32</f>
        <v>1.0551238685898738</v>
      </c>
      <c r="P92" s="212">
        <f>СЧЁТ!Q32</f>
        <v>1.0637144494078237</v>
      </c>
      <c r="Q92" s="212">
        <f>СЧЁТ!R32</f>
        <v>0.88314350986207779</v>
      </c>
      <c r="R92" s="212">
        <f>СЧЁТ!S32</f>
        <v>0.94351698193098643</v>
      </c>
      <c r="S92" s="212">
        <f>СЧЁТ!T32</f>
        <v>1.2247490822844354</v>
      </c>
      <c r="T92" s="212">
        <f>СЧЁТ!U32</f>
        <v>1.3476545615734206</v>
      </c>
      <c r="U92" s="212">
        <f>СЧЁТ!V32</f>
        <v>1.4665088426814834</v>
      </c>
      <c r="V92" s="212">
        <f>СЧЁТ!W32</f>
        <v>1.6632756085335001</v>
      </c>
      <c r="W92" s="212">
        <f>СЧЁТ!X32</f>
        <v>1.8635096058631688</v>
      </c>
      <c r="X92" s="212">
        <f>СЧЁТ!Y32</f>
        <v>2.0184806102920132</v>
      </c>
      <c r="Y92" s="212">
        <f>СЧЁТ!Z32</f>
        <v>2.2752161070197054</v>
      </c>
      <c r="Z92" s="212">
        <f>СЧЁТ!AA32</f>
        <v>2.574224804669774</v>
      </c>
      <c r="AA92" s="212">
        <f>СЧЁТ!AB32</f>
        <v>2.7497210051148255</v>
      </c>
      <c r="AB92" s="212">
        <f>СЧЁТ!AC32</f>
        <v>1.8560505362598563</v>
      </c>
      <c r="AC92" s="212">
        <f>СЧЁТ!AD32</f>
        <v>2.3303907302212532</v>
      </c>
      <c r="AD92" s="212">
        <f>СЧЁТ!AE32</f>
        <v>2.683219177751119</v>
      </c>
      <c r="AE92" s="212">
        <f>СЧЁТ!AF32</f>
        <v>2.7827564782033063</v>
      </c>
      <c r="AF92" s="212">
        <f>СЧЁТ!AG32</f>
        <v>2.7806418221752773</v>
      </c>
      <c r="AG92" s="212">
        <f>СЧЁТ!AH32</f>
        <v>2.5425932511944835</v>
      </c>
      <c r="AH92" s="212">
        <f>СЧЁТ!AI32</f>
        <v>2.1845595087999583</v>
      </c>
      <c r="AI92" s="212">
        <f>СЧЁТ!AJ32</f>
        <v>2.1739835580660896</v>
      </c>
      <c r="AJ92" s="212">
        <f>СЧЁТ!AK32</f>
        <v>2.4593278252133119</v>
      </c>
      <c r="AK92" s="212">
        <f>СЧЁТ!AL32</f>
        <v>2.5430346985333676</v>
      </c>
      <c r="AL92" s="212">
        <f>СЧЁТ!AM32</f>
        <v>2.5932588225254012</v>
      </c>
      <c r="AM92" s="212">
        <f>СЧЁТ!AN32</f>
        <v>2.6233932969206215</v>
      </c>
      <c r="AN92" s="212">
        <f>СЧЁТ!AO32</f>
        <v>2.6414739815577537</v>
      </c>
      <c r="AO92" s="212">
        <f>СЧЁТ!AP32</f>
        <v>2.6523223923400332</v>
      </c>
      <c r="AP92" s="212">
        <f>СЧЁТ!AQ32</f>
        <v>2.658831438809401</v>
      </c>
      <c r="AQ92" s="212">
        <f>СЧЁТ!AR32</f>
        <v>2.6627368666910218</v>
      </c>
      <c r="AR92" s="212">
        <f>СЧЁТ!AS32</f>
        <v>2.6650801234199943</v>
      </c>
      <c r="AS92" s="208">
        <v>0.98993910806793495</v>
      </c>
      <c r="AT92" s="208">
        <v>0.99219824185774474</v>
      </c>
      <c r="AU92" s="208">
        <v>0.9941185055790831</v>
      </c>
      <c r="AV92" s="208">
        <v>0.99575072974222067</v>
      </c>
      <c r="AW92" s="208">
        <v>0.99713812028088766</v>
      </c>
      <c r="AX92" s="44" t="s">
        <v>791</v>
      </c>
    </row>
    <row r="93" spans="4:50" ht="17.399999999999999">
      <c r="D93" s="105">
        <v>27</v>
      </c>
      <c r="E93" s="204">
        <v>40585</v>
      </c>
      <c r="F93" s="205" t="s">
        <v>537</v>
      </c>
      <c r="G93" s="51" t="s">
        <v>809</v>
      </c>
      <c r="H93" s="85" t="s">
        <v>927</v>
      </c>
      <c r="I93" s="85"/>
      <c r="J93" s="85"/>
      <c r="K93" s="85"/>
      <c r="L93" s="85"/>
      <c r="M93" s="85"/>
      <c r="N93" s="216">
        <v>3.9346290432521365E-2</v>
      </c>
      <c r="O93" s="212">
        <f>СЧЁТ!P33</f>
        <v>5300.6940000000004</v>
      </c>
      <c r="P93" s="212">
        <f>СЧЁТ!Q33</f>
        <v>5279.4912240000003</v>
      </c>
      <c r="Q93" s="212">
        <f>СЧЁТ!R33</f>
        <v>5263.6527503280004</v>
      </c>
      <c r="R93" s="212">
        <f>СЧЁТ!S33</f>
        <v>5274.1800558286568</v>
      </c>
      <c r="S93" s="212">
        <f>СЧЁТ!T33</f>
        <v>5300.5509561077997</v>
      </c>
      <c r="T93" s="212">
        <f>СЧЁТ!U33</f>
        <v>5348.2559147127704</v>
      </c>
      <c r="U93" s="212">
        <f>СЧЁТ!V33</f>
        <v>5401.7384738598985</v>
      </c>
      <c r="V93" s="212">
        <f>СЧЁТ!W33</f>
        <v>5471.961074020076</v>
      </c>
      <c r="W93" s="212">
        <f>СЧЁТ!X33</f>
        <v>5559.5124512043967</v>
      </c>
      <c r="X93" s="212">
        <f>СЧЁТ!Y33</f>
        <v>5665.1431877772811</v>
      </c>
      <c r="Y93" s="212">
        <f>СЧЁТ!Z33</f>
        <v>5801.1066242839361</v>
      </c>
      <c r="Z93" s="212">
        <f>СЧЁТ!AA33</f>
        <v>5980.9409296367376</v>
      </c>
      <c r="AA93" s="212">
        <f>СЧЁТ!AB33</f>
        <v>6196.2548031036604</v>
      </c>
      <c r="AB93" s="212">
        <f>СЧЁТ!AC33</f>
        <v>6394.5349568029778</v>
      </c>
      <c r="AC93" s="212">
        <f>СЧЁТ!AD33</f>
        <v>6586.3710055070669</v>
      </c>
      <c r="AD93" s="212">
        <f>СЧЁТ!AE33</f>
        <v>6849.8258457273505</v>
      </c>
      <c r="AE93" s="212">
        <f>СЧЁТ!AF33</f>
        <v>7144.3683570936255</v>
      </c>
      <c r="AF93" s="212">
        <f>СЧЁТ!AG33</f>
        <v>7437.2874597344635</v>
      </c>
      <c r="AG93" s="212">
        <f>СЧЁТ!AH33</f>
        <v>7712.4670957446378</v>
      </c>
      <c r="AH93" s="212">
        <f>СЧЁТ!AI33</f>
        <v>7959.2660428084673</v>
      </c>
      <c r="AI93" s="212">
        <f>СЧЁТ!AJ33</f>
        <v>8269.677418477997</v>
      </c>
      <c r="AJ93" s="212">
        <f>СЧЁТ!AK33</f>
        <v>8583.9251603801604</v>
      </c>
      <c r="AK93" s="212">
        <f>СЧЁТ!AL33</f>
        <v>8944.4500171161289</v>
      </c>
      <c r="AL93" s="212">
        <f>СЧЁТ!AM33</f>
        <v>9315.4794364663703</v>
      </c>
      <c r="AM93" s="212">
        <f>СЧЁТ!AN33</f>
        <v>9701.5634658874351</v>
      </c>
      <c r="AN93" s="212">
        <f>СЧЁТ!AO33</f>
        <v>10100.449024754149</v>
      </c>
      <c r="AO93" s="212">
        <f>СЧЁТ!AP33</f>
        <v>10526.232536339399</v>
      </c>
      <c r="AP93" s="212">
        <f>СЧЁТ!AQ33</f>
        <v>10976.127338183813</v>
      </c>
      <c r="AQ93" s="212">
        <f>СЧЁТ!AR33</f>
        <v>11450.376438115263</v>
      </c>
      <c r="AR93" s="212">
        <f>СЧЁТ!AS33</f>
        <v>11948.374451382973</v>
      </c>
      <c r="AS93" s="208">
        <v>8.6056049707670626E-2</v>
      </c>
      <c r="AT93" s="208">
        <v>8.6056051268303416E-2</v>
      </c>
      <c r="AU93" s="208">
        <v>8.6056051892556537E-2</v>
      </c>
      <c r="AV93" s="208">
        <v>8.6056052142257783E-2</v>
      </c>
      <c r="AW93" s="208">
        <v>8.6056052242138276E-2</v>
      </c>
      <c r="AX93" s="44" t="s">
        <v>537</v>
      </c>
    </row>
    <row r="94" spans="4:50" ht="17.399999999999999">
      <c r="D94" s="105">
        <v>28</v>
      </c>
      <c r="E94" s="204">
        <v>40585</v>
      </c>
      <c r="F94" s="205" t="s">
        <v>540</v>
      </c>
      <c r="G94" s="51" t="s">
        <v>809</v>
      </c>
      <c r="H94" s="85" t="s">
        <v>928</v>
      </c>
      <c r="I94" s="85"/>
      <c r="J94" s="85"/>
      <c r="K94" s="85"/>
      <c r="L94" s="85"/>
      <c r="M94" s="85"/>
      <c r="N94" s="216">
        <v>5.4136428377645138E-2</v>
      </c>
      <c r="O94" s="212">
        <f>СЧЁТ!P34</f>
        <v>0</v>
      </c>
      <c r="P94" s="212">
        <f>СЧЁТ!Q34</f>
        <v>0</v>
      </c>
      <c r="Q94" s="212">
        <f>СЧЁТ!R34</f>
        <v>0</v>
      </c>
      <c r="R94" s="212">
        <f>СЧЁТ!S34</f>
        <v>0</v>
      </c>
      <c r="S94" s="212">
        <f>СЧЁТ!T34</f>
        <v>0</v>
      </c>
      <c r="T94" s="212">
        <f>СЧЁТ!U34</f>
        <v>0</v>
      </c>
      <c r="U94" s="212">
        <f>СЧЁТ!V34</f>
        <v>0</v>
      </c>
      <c r="V94" s="212">
        <f>СЧЁТ!W34</f>
        <v>0</v>
      </c>
      <c r="W94" s="212">
        <f>СЧЁТ!X34</f>
        <v>0</v>
      </c>
      <c r="X94" s="212">
        <f>СЧЁТ!Y34</f>
        <v>0</v>
      </c>
      <c r="Y94" s="212">
        <f>СЧЁТ!Z34</f>
        <v>0</v>
      </c>
      <c r="Z94" s="212">
        <f>СЧЁТ!AA34</f>
        <v>0</v>
      </c>
      <c r="AA94" s="212">
        <f>СЧЁТ!AB34</f>
        <v>0</v>
      </c>
      <c r="AB94" s="212">
        <f>СЧЁТ!AC34</f>
        <v>0</v>
      </c>
      <c r="AC94" s="212">
        <f>СЧЁТ!AD34</f>
        <v>0</v>
      </c>
      <c r="AD94" s="212">
        <f>СЧЁТ!AE34</f>
        <v>0</v>
      </c>
      <c r="AE94" s="212">
        <f>СЧЁТ!AF34</f>
        <v>0</v>
      </c>
      <c r="AF94" s="212">
        <f>СЧЁТ!AG34</f>
        <v>0</v>
      </c>
      <c r="AG94" s="212">
        <f>СЧЁТ!AH34</f>
        <v>0</v>
      </c>
      <c r="AH94" s="212">
        <f>СЧЁТ!AI34</f>
        <v>0</v>
      </c>
      <c r="AI94" s="212">
        <f>СЧЁТ!AJ34</f>
        <v>0</v>
      </c>
      <c r="AJ94" s="212">
        <f>СЧЁТ!AK34</f>
        <v>0</v>
      </c>
      <c r="AK94" s="212">
        <f>СЧЁТ!AL34</f>
        <v>0</v>
      </c>
      <c r="AL94" s="212">
        <f>СЧЁТ!AM34</f>
        <v>0</v>
      </c>
      <c r="AM94" s="212">
        <f>СЧЁТ!AN34</f>
        <v>0</v>
      </c>
      <c r="AN94" s="212">
        <f>СЧЁТ!AO34</f>
        <v>0</v>
      </c>
      <c r="AO94" s="212">
        <f>СЧЁТ!AP34</f>
        <v>0</v>
      </c>
      <c r="AP94" s="212">
        <f>СЧЁТ!AQ34</f>
        <v>0</v>
      </c>
      <c r="AQ94" s="212">
        <f>СЧЁТ!AR34</f>
        <v>0</v>
      </c>
      <c r="AR94" s="212">
        <f>СЧЁТ!AS34</f>
        <v>0</v>
      </c>
      <c r="AS94" s="208">
        <v>0.10008202763735707</v>
      </c>
      <c r="AT94" s="208">
        <v>0.10008202935534399</v>
      </c>
      <c r="AU94" s="208">
        <v>0.10008203004253877</v>
      </c>
      <c r="AV94" s="208">
        <v>0.10008203031741668</v>
      </c>
      <c r="AW94" s="208">
        <v>0.10008203042736784</v>
      </c>
      <c r="AX94" s="44" t="s">
        <v>540</v>
      </c>
    </row>
    <row r="95" spans="4:50" ht="17.399999999999999">
      <c r="D95" s="105">
        <v>29</v>
      </c>
      <c r="E95" s="204">
        <v>40585</v>
      </c>
      <c r="F95" s="205" t="s">
        <v>476</v>
      </c>
      <c r="G95" s="51" t="s">
        <v>809</v>
      </c>
      <c r="H95" s="85" t="s">
        <v>929</v>
      </c>
      <c r="I95" s="85"/>
      <c r="J95" s="85"/>
      <c r="K95" s="85"/>
      <c r="L95" s="85"/>
      <c r="M95" s="85"/>
      <c r="N95" s="216">
        <v>0.34814482345900655</v>
      </c>
      <c r="O95" s="212">
        <f>СЧЁТ!P35</f>
        <v>0</v>
      </c>
      <c r="P95" s="212">
        <f>СЧЁТ!Q35</f>
        <v>0</v>
      </c>
      <c r="Q95" s="212">
        <f>СЧЁТ!R35</f>
        <v>0</v>
      </c>
      <c r="R95" s="212">
        <f>СЧЁТ!S35</f>
        <v>0</v>
      </c>
      <c r="S95" s="212">
        <f>СЧЁТ!T35</f>
        <v>0</v>
      </c>
      <c r="T95" s="212">
        <f>СЧЁТ!U35</f>
        <v>0</v>
      </c>
      <c r="U95" s="212">
        <f>СЧЁТ!V35</f>
        <v>0</v>
      </c>
      <c r="V95" s="212">
        <f>СЧЁТ!W35</f>
        <v>0</v>
      </c>
      <c r="W95" s="212">
        <f>СЧЁТ!X35</f>
        <v>0</v>
      </c>
      <c r="X95" s="212">
        <f>СЧЁТ!Y35</f>
        <v>0</v>
      </c>
      <c r="Y95" s="212">
        <f>СЧЁТ!Z35</f>
        <v>0</v>
      </c>
      <c r="Z95" s="212">
        <f>СЧЁТ!AA35</f>
        <v>0</v>
      </c>
      <c r="AA95" s="212">
        <f>СЧЁТ!AB35</f>
        <v>0</v>
      </c>
      <c r="AB95" s="212">
        <f>СЧЁТ!AC35</f>
        <v>0</v>
      </c>
      <c r="AC95" s="212">
        <f>СЧЁТ!AD35</f>
        <v>0</v>
      </c>
      <c r="AD95" s="212">
        <f>СЧЁТ!AE35</f>
        <v>0</v>
      </c>
      <c r="AE95" s="212">
        <f>СЧЁТ!AF35</f>
        <v>0</v>
      </c>
      <c r="AF95" s="212">
        <f>СЧЁТ!AG35</f>
        <v>0</v>
      </c>
      <c r="AG95" s="212">
        <f>СЧЁТ!AH35</f>
        <v>0</v>
      </c>
      <c r="AH95" s="212">
        <f>СЧЁТ!AI35</f>
        <v>0</v>
      </c>
      <c r="AI95" s="212">
        <f>СЧЁТ!AJ35</f>
        <v>0</v>
      </c>
      <c r="AJ95" s="212">
        <f>СЧЁТ!AK35</f>
        <v>0</v>
      </c>
      <c r="AK95" s="212">
        <f>СЧЁТ!AL35</f>
        <v>0</v>
      </c>
      <c r="AL95" s="212">
        <f>СЧЁТ!AM35</f>
        <v>0</v>
      </c>
      <c r="AM95" s="212">
        <f>СЧЁТ!AN35</f>
        <v>0</v>
      </c>
      <c r="AN95" s="212">
        <f>СЧЁТ!AO35</f>
        <v>0</v>
      </c>
      <c r="AO95" s="212">
        <f>СЧЁТ!AP35</f>
        <v>0</v>
      </c>
      <c r="AP95" s="212">
        <f>СЧЁТ!AQ35</f>
        <v>0</v>
      </c>
      <c r="AQ95" s="212">
        <f>СЧЁТ!AR35</f>
        <v>0</v>
      </c>
      <c r="AR95" s="212">
        <f>СЧЁТ!AS35</f>
        <v>0</v>
      </c>
      <c r="AS95" s="208">
        <v>0.32329853488332783</v>
      </c>
      <c r="AT95" s="208">
        <v>0.32329853488332783</v>
      </c>
      <c r="AU95" s="208">
        <v>0.32329853488332783</v>
      </c>
      <c r="AV95" s="208">
        <v>0.32329853488332783</v>
      </c>
      <c r="AW95" s="208">
        <v>0.32329853488332783</v>
      </c>
      <c r="AX95" s="44" t="s">
        <v>476</v>
      </c>
    </row>
    <row r="96" spans="4:50" ht="17.399999999999999">
      <c r="D96" s="105">
        <v>30</v>
      </c>
      <c r="E96" s="204">
        <v>40558</v>
      </c>
      <c r="F96" s="205" t="s">
        <v>491</v>
      </c>
      <c r="G96" s="51" t="s">
        <v>396</v>
      </c>
      <c r="H96" s="85" t="s">
        <v>930</v>
      </c>
      <c r="I96" s="85"/>
      <c r="J96" s="85"/>
      <c r="K96" s="85"/>
      <c r="L96" s="85"/>
      <c r="M96" s="85"/>
      <c r="N96" s="218">
        <v>486.1</v>
      </c>
      <c r="O96" s="212" t="e">
        <f>СЧЁТ!#REF!</f>
        <v>#REF!</v>
      </c>
      <c r="P96" s="212" t="e">
        <f>СЧЁТ!#REF!</f>
        <v>#REF!</v>
      </c>
      <c r="Q96" s="212" t="e">
        <f>СЧЁТ!#REF!</f>
        <v>#REF!</v>
      </c>
      <c r="R96" s="212" t="e">
        <f>СЧЁТ!#REF!</f>
        <v>#REF!</v>
      </c>
      <c r="S96" s="212" t="e">
        <f>СЧЁТ!#REF!</f>
        <v>#REF!</v>
      </c>
      <c r="T96" s="212" t="e">
        <f>СЧЁТ!#REF!</f>
        <v>#REF!</v>
      </c>
      <c r="U96" s="212" t="e">
        <f>СЧЁТ!#REF!</f>
        <v>#REF!</v>
      </c>
      <c r="V96" s="212" t="e">
        <f>СЧЁТ!#REF!</f>
        <v>#REF!</v>
      </c>
      <c r="W96" s="212" t="e">
        <f>СЧЁТ!#REF!</f>
        <v>#REF!</v>
      </c>
      <c r="X96" s="212" t="e">
        <f>СЧЁТ!#REF!</f>
        <v>#REF!</v>
      </c>
      <c r="Y96" s="212" t="e">
        <f>СЧЁТ!#REF!</f>
        <v>#REF!</v>
      </c>
      <c r="Z96" s="212" t="e">
        <f>СЧЁТ!#REF!</f>
        <v>#REF!</v>
      </c>
      <c r="AA96" s="212" t="e">
        <f>СЧЁТ!#REF!</f>
        <v>#REF!</v>
      </c>
      <c r="AB96" s="212" t="e">
        <f>СЧЁТ!#REF!</f>
        <v>#REF!</v>
      </c>
      <c r="AC96" s="212" t="e">
        <f>СЧЁТ!#REF!</f>
        <v>#REF!</v>
      </c>
      <c r="AD96" s="212" t="e">
        <f>СЧЁТ!#REF!</f>
        <v>#REF!</v>
      </c>
      <c r="AE96" s="212" t="e">
        <f>СЧЁТ!#REF!</f>
        <v>#REF!</v>
      </c>
      <c r="AF96" s="212" t="e">
        <f>СЧЁТ!#REF!</f>
        <v>#REF!</v>
      </c>
      <c r="AG96" s="212" t="e">
        <f>СЧЁТ!#REF!</f>
        <v>#REF!</v>
      </c>
      <c r="AH96" s="212" t="e">
        <f>СЧЁТ!#REF!</f>
        <v>#REF!</v>
      </c>
      <c r="AI96" s="212" t="e">
        <f>СЧЁТ!#REF!</f>
        <v>#REF!</v>
      </c>
      <c r="AJ96" s="212" t="e">
        <f>СЧЁТ!#REF!</f>
        <v>#REF!</v>
      </c>
      <c r="AK96" s="212" t="e">
        <f>СЧЁТ!#REF!</f>
        <v>#REF!</v>
      </c>
      <c r="AL96" s="212" t="e">
        <f>СЧЁТ!#REF!</f>
        <v>#REF!</v>
      </c>
      <c r="AM96" s="212" t="e">
        <f>СЧЁТ!#REF!</f>
        <v>#REF!</v>
      </c>
      <c r="AN96" s="212" t="e">
        <f>СЧЁТ!#REF!</f>
        <v>#REF!</v>
      </c>
      <c r="AO96" s="212" t="e">
        <f>СЧЁТ!#REF!</f>
        <v>#REF!</v>
      </c>
      <c r="AP96" s="212" t="e">
        <f>СЧЁТ!#REF!</f>
        <v>#REF!</v>
      </c>
      <c r="AQ96" s="212" t="e">
        <f>СЧЁТ!#REF!</f>
        <v>#REF!</v>
      </c>
      <c r="AR96" s="212" t="e">
        <f>СЧЁТ!#REF!</f>
        <v>#REF!</v>
      </c>
      <c r="AX96" s="44" t="s">
        <v>491</v>
      </c>
    </row>
    <row r="97" spans="4:50" ht="17.399999999999999">
      <c r="D97" s="105">
        <v>31</v>
      </c>
      <c r="E97" s="204">
        <v>40558</v>
      </c>
      <c r="F97" s="205" t="s">
        <v>489</v>
      </c>
      <c r="G97" s="51" t="s">
        <v>396</v>
      </c>
      <c r="H97" s="85" t="s">
        <v>931</v>
      </c>
      <c r="I97" s="85"/>
      <c r="J97" s="85"/>
      <c r="K97" s="85"/>
      <c r="L97" s="85"/>
      <c r="M97" s="85"/>
      <c r="N97" s="218">
        <v>610.79200000000003</v>
      </c>
      <c r="O97" s="212" t="e">
        <f>СЧЁТ!#REF!</f>
        <v>#REF!</v>
      </c>
      <c r="P97" s="212" t="e">
        <f>СЧЁТ!#REF!</f>
        <v>#REF!</v>
      </c>
      <c r="Q97" s="212" t="e">
        <f>СЧЁТ!#REF!</f>
        <v>#REF!</v>
      </c>
      <c r="R97" s="212" t="e">
        <f>СЧЁТ!#REF!</f>
        <v>#REF!</v>
      </c>
      <c r="S97" s="212" t="e">
        <f>СЧЁТ!#REF!</f>
        <v>#REF!</v>
      </c>
      <c r="T97" s="212" t="e">
        <f>СЧЁТ!#REF!</f>
        <v>#REF!</v>
      </c>
      <c r="U97" s="212" t="e">
        <f>СЧЁТ!#REF!</f>
        <v>#REF!</v>
      </c>
      <c r="V97" s="212" t="e">
        <f>СЧЁТ!#REF!</f>
        <v>#REF!</v>
      </c>
      <c r="W97" s="212" t="e">
        <f>СЧЁТ!#REF!</f>
        <v>#REF!</v>
      </c>
      <c r="X97" s="212" t="e">
        <f>СЧЁТ!#REF!</f>
        <v>#REF!</v>
      </c>
      <c r="Y97" s="212" t="e">
        <f>СЧЁТ!#REF!</f>
        <v>#REF!</v>
      </c>
      <c r="Z97" s="212" t="e">
        <f>СЧЁТ!#REF!</f>
        <v>#REF!</v>
      </c>
      <c r="AA97" s="212" t="e">
        <f>СЧЁТ!#REF!</f>
        <v>#REF!</v>
      </c>
      <c r="AB97" s="212" t="e">
        <f>СЧЁТ!#REF!</f>
        <v>#REF!</v>
      </c>
      <c r="AC97" s="212" t="e">
        <f>СЧЁТ!#REF!</f>
        <v>#REF!</v>
      </c>
      <c r="AD97" s="212" t="e">
        <f>СЧЁТ!#REF!</f>
        <v>#REF!</v>
      </c>
      <c r="AE97" s="212" t="e">
        <f>СЧЁТ!#REF!</f>
        <v>#REF!</v>
      </c>
      <c r="AF97" s="212" t="e">
        <f>СЧЁТ!#REF!</f>
        <v>#REF!</v>
      </c>
      <c r="AG97" s="212" t="e">
        <f>СЧЁТ!#REF!</f>
        <v>#REF!</v>
      </c>
      <c r="AH97" s="212" t="e">
        <f>СЧЁТ!#REF!</f>
        <v>#REF!</v>
      </c>
      <c r="AI97" s="212" t="e">
        <f>СЧЁТ!#REF!</f>
        <v>#REF!</v>
      </c>
      <c r="AJ97" s="212" t="e">
        <f>СЧЁТ!#REF!</f>
        <v>#REF!</v>
      </c>
      <c r="AK97" s="212" t="e">
        <f>СЧЁТ!#REF!</f>
        <v>#REF!</v>
      </c>
      <c r="AL97" s="212" t="e">
        <f>СЧЁТ!#REF!</f>
        <v>#REF!</v>
      </c>
      <c r="AM97" s="212" t="e">
        <f>СЧЁТ!#REF!</f>
        <v>#REF!</v>
      </c>
      <c r="AN97" s="212" t="e">
        <f>СЧЁТ!#REF!</f>
        <v>#REF!</v>
      </c>
      <c r="AO97" s="212" t="e">
        <f>СЧЁТ!#REF!</f>
        <v>#REF!</v>
      </c>
      <c r="AP97" s="212" t="e">
        <f>СЧЁТ!#REF!</f>
        <v>#REF!</v>
      </c>
      <c r="AQ97" s="212" t="e">
        <f>СЧЁТ!#REF!</f>
        <v>#REF!</v>
      </c>
      <c r="AR97" s="212" t="e">
        <f>СЧЁТ!#REF!</f>
        <v>#REF!</v>
      </c>
      <c r="AX97" s="44" t="s">
        <v>489</v>
      </c>
    </row>
    <row r="98" spans="4:50" ht="17.399999999999999">
      <c r="D98" s="105">
        <v>32</v>
      </c>
      <c r="E98" s="204">
        <v>40558</v>
      </c>
      <c r="F98" s="205" t="s">
        <v>932</v>
      </c>
      <c r="G98" s="51" t="s">
        <v>396</v>
      </c>
      <c r="H98" s="85" t="s">
        <v>933</v>
      </c>
      <c r="I98" s="85"/>
      <c r="J98" s="85"/>
      <c r="K98" s="85"/>
      <c r="L98" s="85"/>
      <c r="M98" s="85"/>
      <c r="N98" s="61">
        <v>910.9</v>
      </c>
      <c r="O98" s="212" t="e">
        <f>СЧЁТ!#REF!</f>
        <v>#REF!</v>
      </c>
      <c r="P98" s="212" t="e">
        <f>СЧЁТ!#REF!</f>
        <v>#REF!</v>
      </c>
      <c r="Q98" s="212" t="e">
        <f>СЧЁТ!#REF!</f>
        <v>#REF!</v>
      </c>
      <c r="R98" s="212" t="e">
        <f>СЧЁТ!#REF!</f>
        <v>#REF!</v>
      </c>
      <c r="S98" s="212" t="e">
        <f>СЧЁТ!#REF!</f>
        <v>#REF!</v>
      </c>
      <c r="T98" s="212" t="e">
        <f>СЧЁТ!#REF!</f>
        <v>#REF!</v>
      </c>
      <c r="U98" s="212" t="e">
        <f>СЧЁТ!#REF!</f>
        <v>#REF!</v>
      </c>
      <c r="V98" s="212" t="e">
        <f>СЧЁТ!#REF!</f>
        <v>#REF!</v>
      </c>
      <c r="W98" s="212" t="e">
        <f>СЧЁТ!#REF!</f>
        <v>#REF!</v>
      </c>
      <c r="X98" s="212" t="e">
        <f>СЧЁТ!#REF!</f>
        <v>#REF!</v>
      </c>
      <c r="Y98" s="212" t="e">
        <f>СЧЁТ!#REF!</f>
        <v>#REF!</v>
      </c>
      <c r="Z98" s="212" t="e">
        <f>СЧЁТ!#REF!</f>
        <v>#REF!</v>
      </c>
      <c r="AA98" s="212" t="e">
        <f>СЧЁТ!#REF!</f>
        <v>#REF!</v>
      </c>
      <c r="AB98" s="212" t="e">
        <f>СЧЁТ!#REF!</f>
        <v>#REF!</v>
      </c>
      <c r="AC98" s="212" t="e">
        <f>СЧЁТ!#REF!</f>
        <v>#REF!</v>
      </c>
      <c r="AD98" s="212" t="e">
        <f>СЧЁТ!#REF!</f>
        <v>#REF!</v>
      </c>
      <c r="AE98" s="212" t="e">
        <f>СЧЁТ!#REF!</f>
        <v>#REF!</v>
      </c>
      <c r="AF98" s="212" t="e">
        <f>СЧЁТ!#REF!</f>
        <v>#REF!</v>
      </c>
      <c r="AG98" s="212" t="e">
        <f>СЧЁТ!#REF!</f>
        <v>#REF!</v>
      </c>
      <c r="AH98" s="212" t="e">
        <f>СЧЁТ!#REF!</f>
        <v>#REF!</v>
      </c>
      <c r="AI98" s="212" t="e">
        <f>СЧЁТ!#REF!</f>
        <v>#REF!</v>
      </c>
      <c r="AJ98" s="212" t="e">
        <f>СЧЁТ!#REF!</f>
        <v>#REF!</v>
      </c>
      <c r="AK98" s="212" t="e">
        <f>СЧЁТ!#REF!</f>
        <v>#REF!</v>
      </c>
      <c r="AL98" s="212" t="e">
        <f>СЧЁТ!#REF!</f>
        <v>#REF!</v>
      </c>
      <c r="AM98" s="212" t="e">
        <f>СЧЁТ!#REF!</f>
        <v>#REF!</v>
      </c>
      <c r="AN98" s="212" t="e">
        <f>СЧЁТ!#REF!</f>
        <v>#REF!</v>
      </c>
      <c r="AO98" s="212" t="e">
        <f>СЧЁТ!#REF!</f>
        <v>#REF!</v>
      </c>
      <c r="AP98" s="212" t="e">
        <f>СЧЁТ!#REF!</f>
        <v>#REF!</v>
      </c>
      <c r="AQ98" s="212" t="e">
        <f>СЧЁТ!#REF!</f>
        <v>#REF!</v>
      </c>
      <c r="AR98" s="212" t="e">
        <f>СЧЁТ!#REF!</f>
        <v>#REF!</v>
      </c>
      <c r="AX98" s="44" t="s">
        <v>932</v>
      </c>
    </row>
    <row r="99" spans="4:50" ht="17.399999999999999">
      <c r="D99" s="105">
        <v>33</v>
      </c>
      <c r="E99" s="204">
        <v>40558</v>
      </c>
      <c r="F99" s="205" t="s">
        <v>398</v>
      </c>
      <c r="G99" s="51" t="s">
        <v>396</v>
      </c>
      <c r="H99" s="85" t="s">
        <v>934</v>
      </c>
      <c r="I99" s="85"/>
      <c r="J99" s="85"/>
      <c r="K99" s="85"/>
      <c r="L99" s="85"/>
      <c r="M99" s="85"/>
      <c r="N99" s="218">
        <v>2767.6205</v>
      </c>
      <c r="O99" s="212">
        <f>СЧЁТ!P39</f>
        <v>0</v>
      </c>
      <c r="P99" s="212">
        <f>СЧЁТ!Q39</f>
        <v>0</v>
      </c>
      <c r="Q99" s="212">
        <f>СЧЁТ!R39</f>
        <v>0</v>
      </c>
      <c r="R99" s="212">
        <f>СЧЁТ!S39</f>
        <v>0</v>
      </c>
      <c r="S99" s="212">
        <f>СЧЁТ!T39</f>
        <v>0</v>
      </c>
      <c r="T99" s="212">
        <f>СЧЁТ!U39</f>
        <v>0</v>
      </c>
      <c r="U99" s="212">
        <f>СЧЁТ!V39</f>
        <v>0</v>
      </c>
      <c r="V99" s="212">
        <f>СЧЁТ!W39</f>
        <v>0</v>
      </c>
      <c r="W99" s="212">
        <f>СЧЁТ!X39</f>
        <v>0</v>
      </c>
      <c r="X99" s="212">
        <f>СЧЁТ!Y39</f>
        <v>0</v>
      </c>
      <c r="Y99" s="212">
        <f>СЧЁТ!Z39</f>
        <v>0</v>
      </c>
      <c r="Z99" s="212">
        <f>СЧЁТ!AA39</f>
        <v>0</v>
      </c>
      <c r="AA99" s="212">
        <f>СЧЁТ!AB39</f>
        <v>0</v>
      </c>
      <c r="AB99" s="212">
        <f>СЧЁТ!AC39</f>
        <v>0</v>
      </c>
      <c r="AC99" s="212">
        <f>СЧЁТ!AD39</f>
        <v>0</v>
      </c>
      <c r="AD99" s="212">
        <f>СЧЁТ!AE39</f>
        <v>0</v>
      </c>
      <c r="AE99" s="212">
        <f>СЧЁТ!AF39</f>
        <v>0</v>
      </c>
      <c r="AF99" s="212">
        <f>СЧЁТ!AG39</f>
        <v>0</v>
      </c>
      <c r="AG99" s="212">
        <f>СЧЁТ!AH39</f>
        <v>0</v>
      </c>
      <c r="AH99" s="212">
        <f>СЧЁТ!AI39</f>
        <v>0</v>
      </c>
      <c r="AI99" s="212">
        <f>СЧЁТ!AJ39</f>
        <v>0</v>
      </c>
      <c r="AJ99" s="212">
        <f>СЧЁТ!AK39</f>
        <v>0</v>
      </c>
      <c r="AK99" s="212">
        <f>СЧЁТ!AL39</f>
        <v>0</v>
      </c>
      <c r="AL99" s="212">
        <f>СЧЁТ!AM39</f>
        <v>0</v>
      </c>
      <c r="AM99" s="212">
        <f>СЧЁТ!AN39</f>
        <v>0</v>
      </c>
      <c r="AN99" s="212">
        <f>СЧЁТ!AO39</f>
        <v>0</v>
      </c>
      <c r="AO99" s="212">
        <f>СЧЁТ!AP39</f>
        <v>0</v>
      </c>
      <c r="AP99" s="212">
        <f>СЧЁТ!AQ39</f>
        <v>0</v>
      </c>
      <c r="AQ99" s="212">
        <f>СЧЁТ!AR39</f>
        <v>0</v>
      </c>
      <c r="AR99" s="212">
        <f>СЧЁТ!AS39</f>
        <v>0</v>
      </c>
      <c r="AX99" s="44" t="s">
        <v>398</v>
      </c>
    </row>
    <row r="100" spans="4:50" ht="17.399999999999999">
      <c r="D100" s="105">
        <v>34</v>
      </c>
      <c r="E100" s="204">
        <v>40558</v>
      </c>
      <c r="F100" s="205" t="s">
        <v>427</v>
      </c>
      <c r="G100" s="51" t="s">
        <v>396</v>
      </c>
      <c r="H100" s="85" t="s">
        <v>935</v>
      </c>
      <c r="I100" s="85"/>
      <c r="J100" s="85"/>
      <c r="K100" s="85"/>
      <c r="L100" s="85"/>
      <c r="M100" s="85"/>
      <c r="N100" s="218">
        <v>108.89559999999999</v>
      </c>
      <c r="O100" s="212">
        <f>СЧЁТ!P40</f>
        <v>0</v>
      </c>
      <c r="P100" s="212">
        <f>СЧЁТ!Q40</f>
        <v>0</v>
      </c>
      <c r="Q100" s="212">
        <f>СЧЁТ!R40</f>
        <v>0</v>
      </c>
      <c r="R100" s="212">
        <f>СЧЁТ!S40</f>
        <v>0</v>
      </c>
      <c r="S100" s="212">
        <f>СЧЁТ!T40</f>
        <v>0</v>
      </c>
      <c r="T100" s="212">
        <f>СЧЁТ!U40</f>
        <v>0</v>
      </c>
      <c r="U100" s="212">
        <f>СЧЁТ!V40</f>
        <v>0</v>
      </c>
      <c r="V100" s="212">
        <f>СЧЁТ!W40</f>
        <v>0</v>
      </c>
      <c r="W100" s="212">
        <f>СЧЁТ!X40</f>
        <v>0</v>
      </c>
      <c r="X100" s="212">
        <f>СЧЁТ!Y40</f>
        <v>0</v>
      </c>
      <c r="Y100" s="212">
        <f>СЧЁТ!Z40</f>
        <v>0</v>
      </c>
      <c r="Z100" s="212">
        <f>СЧЁТ!AA40</f>
        <v>0</v>
      </c>
      <c r="AA100" s="212">
        <f>СЧЁТ!AB40</f>
        <v>0</v>
      </c>
      <c r="AB100" s="212">
        <f>СЧЁТ!AC40</f>
        <v>0</v>
      </c>
      <c r="AC100" s="212">
        <f>СЧЁТ!AD40</f>
        <v>0</v>
      </c>
      <c r="AD100" s="212">
        <f>СЧЁТ!AE40</f>
        <v>0</v>
      </c>
      <c r="AE100" s="212">
        <f>СЧЁТ!AF40</f>
        <v>0</v>
      </c>
      <c r="AF100" s="212">
        <f>СЧЁТ!AG40</f>
        <v>0</v>
      </c>
      <c r="AG100" s="212">
        <f>СЧЁТ!AH40</f>
        <v>0</v>
      </c>
      <c r="AH100" s="212">
        <f>СЧЁТ!AI40</f>
        <v>0</v>
      </c>
      <c r="AI100" s="212">
        <f>СЧЁТ!AJ40</f>
        <v>0</v>
      </c>
      <c r="AJ100" s="212">
        <f>СЧЁТ!AK40</f>
        <v>0</v>
      </c>
      <c r="AK100" s="212">
        <f>СЧЁТ!AL40</f>
        <v>0</v>
      </c>
      <c r="AL100" s="212">
        <f>СЧЁТ!AM40</f>
        <v>0</v>
      </c>
      <c r="AM100" s="212">
        <f>СЧЁТ!AN40</f>
        <v>0</v>
      </c>
      <c r="AN100" s="212">
        <f>СЧЁТ!AO40</f>
        <v>0</v>
      </c>
      <c r="AO100" s="212">
        <f>СЧЁТ!AP40</f>
        <v>0</v>
      </c>
      <c r="AP100" s="212">
        <f>СЧЁТ!AQ40</f>
        <v>0</v>
      </c>
      <c r="AQ100" s="212">
        <f>СЧЁТ!AR40</f>
        <v>0</v>
      </c>
      <c r="AR100" s="212">
        <f>СЧЁТ!AS40</f>
        <v>0</v>
      </c>
      <c r="AX100" s="44" t="s">
        <v>427</v>
      </c>
    </row>
    <row r="101" spans="4:50" ht="17.399999999999999">
      <c r="D101" s="105">
        <v>35</v>
      </c>
      <c r="E101" s="204">
        <v>40558</v>
      </c>
      <c r="F101" s="205" t="s">
        <v>936</v>
      </c>
      <c r="G101" s="51" t="s">
        <v>396</v>
      </c>
      <c r="H101" s="85" t="s">
        <v>937</v>
      </c>
      <c r="I101" s="85"/>
      <c r="J101" s="85"/>
      <c r="K101" s="85"/>
      <c r="L101" s="85"/>
      <c r="M101" s="85"/>
      <c r="N101" s="61">
        <v>2876.5161000000003</v>
      </c>
      <c r="O101" s="212">
        <f>СЧЁТ!P41</f>
        <v>0.5075047014598465</v>
      </c>
      <c r="P101" s="212">
        <f>СЧЁТ!Q41</f>
        <v>0.51667647317297627</v>
      </c>
      <c r="Q101" s="212">
        <f>СЧЁТ!R41</f>
        <v>0.49180137717267253</v>
      </c>
      <c r="R101" s="212">
        <f>СЧЁТ!S41</f>
        <v>0.51928728248372014</v>
      </c>
      <c r="S101" s="212">
        <f>СЧЁТ!T41</f>
        <v>0.56527391744994016</v>
      </c>
      <c r="T101" s="212">
        <f>СЧЁТ!U41</f>
        <v>0.58768319068878805</v>
      </c>
      <c r="U101" s="212">
        <f>СЧЁТ!V41</f>
        <v>0.60746658522682651</v>
      </c>
      <c r="V101" s="212">
        <f>СЧЁТ!W41</f>
        <v>0.64524584965850473</v>
      </c>
      <c r="W101" s="212">
        <f>СЧЁТ!X41</f>
        <v>0.68589125751100888</v>
      </c>
      <c r="X101" s="212">
        <f>СЧЁТ!Y41</f>
        <v>0.71146914542604145</v>
      </c>
      <c r="Y101" s="212">
        <f>СЧЁТ!Z41</f>
        <v>0.75663076110249916</v>
      </c>
      <c r="Z101" s="212">
        <f>СЧЁТ!AA41</f>
        <v>0.79846194770079459</v>
      </c>
      <c r="AA101" s="212">
        <f>СЧЁТ!AB41</f>
        <v>0.80925197402107563</v>
      </c>
      <c r="AB101" s="212">
        <f>СЧЁТ!AC41</f>
        <v>0.7261311317282132</v>
      </c>
      <c r="AC101" s="212">
        <f>СЧЁТ!AD41</f>
        <v>0.74023076535400356</v>
      </c>
      <c r="AD101" s="212">
        <f>СЧЁТ!AE41</f>
        <v>0.74236604640790949</v>
      </c>
      <c r="AE101" s="212">
        <f>СЧЁТ!AF41</f>
        <v>0.73951900500270173</v>
      </c>
      <c r="AF101" s="212">
        <f>СЧЁТ!AG41</f>
        <v>0.72531114707757793</v>
      </c>
      <c r="AG101" s="212">
        <f>СЧЁТ!AH41</f>
        <v>0.70502761451706719</v>
      </c>
      <c r="AH101" s="212">
        <f>СЧЁТ!AI41</f>
        <v>0.67428513132591583</v>
      </c>
      <c r="AI101" s="212">
        <f>СЧЁТ!AJ41</f>
        <v>0.65676280356287475</v>
      </c>
      <c r="AJ101" s="212">
        <f>СЧЁТ!AK41</f>
        <v>0.64853745053174061</v>
      </c>
      <c r="AK101" s="212">
        <f>СЧЁТ!AL41</f>
        <v>0.63795670517757586</v>
      </c>
      <c r="AL101" s="212">
        <f>СЧЁТ!AM41</f>
        <v>0</v>
      </c>
      <c r="AM101" s="212">
        <f>СЧЁТ!AN41</f>
        <v>0</v>
      </c>
      <c r="AN101" s="212">
        <f>СЧЁТ!AO41</f>
        <v>0</v>
      </c>
      <c r="AO101" s="212">
        <f>СЧЁТ!AP41</f>
        <v>0</v>
      </c>
      <c r="AP101" s="212">
        <f>СЧЁТ!AQ41</f>
        <v>0</v>
      </c>
      <c r="AQ101" s="212">
        <f>СЧЁТ!AR41</f>
        <v>0</v>
      </c>
      <c r="AR101" s="212">
        <f>СЧЁТ!AS41</f>
        <v>0</v>
      </c>
      <c r="AX101" s="44" t="s">
        <v>936</v>
      </c>
    </row>
    <row r="102" spans="4:50" ht="17.399999999999999">
      <c r="D102" s="105">
        <v>36</v>
      </c>
      <c r="E102" s="204">
        <v>40585</v>
      </c>
      <c r="F102" s="205" t="s">
        <v>794</v>
      </c>
      <c r="G102" s="51" t="s">
        <v>809</v>
      </c>
      <c r="H102" s="85" t="s">
        <v>938</v>
      </c>
      <c r="I102" s="85"/>
      <c r="J102" s="85"/>
      <c r="K102" s="85"/>
      <c r="L102" s="85"/>
      <c r="M102" s="85"/>
      <c r="N102" s="216">
        <v>0.68330524880687304</v>
      </c>
      <c r="O102" s="212">
        <f>СЧЁТ!P36</f>
        <v>0</v>
      </c>
      <c r="P102" s="212">
        <f>СЧЁТ!Q36</f>
        <v>0</v>
      </c>
      <c r="Q102" s="212">
        <f>СЧЁТ!R36</f>
        <v>0</v>
      </c>
      <c r="R102" s="212">
        <f>СЧЁТ!S36</f>
        <v>0</v>
      </c>
      <c r="S102" s="212">
        <f>СЧЁТ!T36</f>
        <v>0</v>
      </c>
      <c r="T102" s="212">
        <f>СЧЁТ!U36</f>
        <v>0</v>
      </c>
      <c r="U102" s="212">
        <f>СЧЁТ!V36</f>
        <v>0</v>
      </c>
      <c r="V102" s="212">
        <f>СЧЁТ!W36</f>
        <v>0</v>
      </c>
      <c r="W102" s="212">
        <f>СЧЁТ!X36</f>
        <v>0</v>
      </c>
      <c r="X102" s="212">
        <f>СЧЁТ!Y36</f>
        <v>0</v>
      </c>
      <c r="Y102" s="212">
        <f>СЧЁТ!Z36</f>
        <v>0</v>
      </c>
      <c r="Z102" s="212">
        <f>СЧЁТ!AA36</f>
        <v>0</v>
      </c>
      <c r="AA102" s="212">
        <f>СЧЁТ!AB36</f>
        <v>0</v>
      </c>
      <c r="AB102" s="212">
        <f>СЧЁТ!AC36</f>
        <v>0</v>
      </c>
      <c r="AC102" s="212">
        <f>СЧЁТ!AD36</f>
        <v>0</v>
      </c>
      <c r="AD102" s="212">
        <f>СЧЁТ!AE36</f>
        <v>0</v>
      </c>
      <c r="AE102" s="212">
        <f>СЧЁТ!AF36</f>
        <v>0</v>
      </c>
      <c r="AF102" s="212">
        <f>СЧЁТ!AG36</f>
        <v>0</v>
      </c>
      <c r="AG102" s="212">
        <f>СЧЁТ!AH36</f>
        <v>0</v>
      </c>
      <c r="AH102" s="212">
        <f>СЧЁТ!AI36</f>
        <v>0</v>
      </c>
      <c r="AI102" s="212">
        <f>СЧЁТ!AJ36</f>
        <v>0</v>
      </c>
      <c r="AJ102" s="212">
        <f>СЧЁТ!AK36</f>
        <v>0</v>
      </c>
      <c r="AK102" s="212">
        <f>СЧЁТ!AL36</f>
        <v>0</v>
      </c>
      <c r="AL102" s="212">
        <f>СЧЁТ!AM36</f>
        <v>0</v>
      </c>
      <c r="AM102" s="212">
        <f>СЧЁТ!AN36</f>
        <v>0</v>
      </c>
      <c r="AN102" s="212">
        <f>СЧЁТ!AO36</f>
        <v>0</v>
      </c>
      <c r="AO102" s="212">
        <f>СЧЁТ!AP36</f>
        <v>0</v>
      </c>
      <c r="AP102" s="212">
        <f>СЧЁТ!AQ36</f>
        <v>0</v>
      </c>
      <c r="AQ102" s="212">
        <f>СЧЁТ!AR36</f>
        <v>0</v>
      </c>
      <c r="AR102" s="212">
        <f>СЧЁТ!AS36</f>
        <v>0</v>
      </c>
      <c r="AS102" s="209">
        <v>0.96789647769600073</v>
      </c>
      <c r="AT102" s="209">
        <v>0.96287793438720082</v>
      </c>
      <c r="AU102" s="209">
        <v>0.95936495407104083</v>
      </c>
      <c r="AV102" s="209">
        <v>0.95690586784972886</v>
      </c>
      <c r="AW102" s="209">
        <v>0.95518450749481054</v>
      </c>
      <c r="AX102" s="44" t="s">
        <v>794</v>
      </c>
    </row>
    <row r="103" spans="4:50" ht="17.399999999999999">
      <c r="D103" s="105">
        <v>37</v>
      </c>
      <c r="E103" s="204">
        <v>40585</v>
      </c>
      <c r="F103" s="205" t="s">
        <v>579</v>
      </c>
      <c r="G103" s="51" t="s">
        <v>809</v>
      </c>
      <c r="H103" s="85" t="s">
        <v>939</v>
      </c>
      <c r="I103" s="85"/>
      <c r="J103" s="85"/>
      <c r="K103" s="85"/>
      <c r="L103" s="85"/>
      <c r="M103" s="85"/>
      <c r="N103" s="216">
        <v>3.3000000000000002E-2</v>
      </c>
      <c r="O103" s="212">
        <f>СЧЁТ!P43</f>
        <v>1996</v>
      </c>
      <c r="P103" s="212">
        <f>СЧЁТ!Q43</f>
        <v>1997</v>
      </c>
      <c r="Q103" s="212">
        <f>СЧЁТ!R43</f>
        <v>1998</v>
      </c>
      <c r="R103" s="212">
        <f>СЧЁТ!S43</f>
        <v>1999</v>
      </c>
      <c r="S103" s="212">
        <f>СЧЁТ!T43</f>
        <v>2000</v>
      </c>
      <c r="T103" s="212">
        <f>СЧЁТ!U43</f>
        <v>2001</v>
      </c>
      <c r="U103" s="212">
        <f>СЧЁТ!V43</f>
        <v>2002</v>
      </c>
      <c r="V103" s="212">
        <f>СЧЁТ!W43</f>
        <v>2003</v>
      </c>
      <c r="W103" s="212">
        <f>СЧЁТ!X43</f>
        <v>2004</v>
      </c>
      <c r="X103" s="212">
        <f>СЧЁТ!Y43</f>
        <v>2005</v>
      </c>
      <c r="Y103" s="212">
        <f>СЧЁТ!Z43</f>
        <v>2006</v>
      </c>
      <c r="Z103" s="212">
        <f>СЧЁТ!AA43</f>
        <v>2007</v>
      </c>
      <c r="AA103" s="212">
        <f>СЧЁТ!AB43</f>
        <v>2008</v>
      </c>
      <c r="AB103" s="212">
        <f>СЧЁТ!AC43</f>
        <v>2009</v>
      </c>
      <c r="AC103" s="212">
        <f>СЧЁТ!AD43</f>
        <v>2010</v>
      </c>
      <c r="AD103" s="212">
        <f>СЧЁТ!AE43</f>
        <v>2011</v>
      </c>
      <c r="AE103" s="212">
        <f>СЧЁТ!AF43</f>
        <v>2012</v>
      </c>
      <c r="AF103" s="212">
        <f>СЧЁТ!AG43</f>
        <v>2013</v>
      </c>
      <c r="AG103" s="212">
        <f>СЧЁТ!AH43</f>
        <v>2014</v>
      </c>
      <c r="AH103" s="212">
        <f>СЧЁТ!AI43</f>
        <v>2015</v>
      </c>
      <c r="AI103" s="212">
        <f>СЧЁТ!AJ43</f>
        <v>2016</v>
      </c>
      <c r="AJ103" s="212">
        <f>СЧЁТ!AK43</f>
        <v>2017</v>
      </c>
      <c r="AK103" s="212">
        <f>СЧЁТ!AL43</f>
        <v>2018</v>
      </c>
      <c r="AL103" s="212">
        <f>СЧЁТ!AM43</f>
        <v>2019</v>
      </c>
      <c r="AM103" s="212">
        <f>СЧЁТ!AN43</f>
        <v>2020</v>
      </c>
      <c r="AN103" s="212">
        <f>СЧЁТ!AO43</f>
        <v>2021</v>
      </c>
      <c r="AO103" s="212">
        <f>СЧЁТ!AP43</f>
        <v>2022</v>
      </c>
      <c r="AP103" s="212">
        <f>СЧЁТ!AQ43</f>
        <v>2023</v>
      </c>
      <c r="AQ103" s="212">
        <f>СЧЁТ!AR43</f>
        <v>2024</v>
      </c>
      <c r="AR103" s="212">
        <f>СЧЁТ!AS43</f>
        <v>2025</v>
      </c>
      <c r="AS103" s="209">
        <v>0.10010282212159541</v>
      </c>
      <c r="AT103" s="209">
        <v>0.10034437209151836</v>
      </c>
      <c r="AU103" s="209">
        <v>0.10054968956595288</v>
      </c>
      <c r="AV103" s="209">
        <v>0.10072420941922222</v>
      </c>
      <c r="AW103" s="209">
        <v>0.10087255129450116</v>
      </c>
      <c r="AX103" s="44" t="s">
        <v>579</v>
      </c>
    </row>
    <row r="104" spans="4:50" ht="17.399999999999999">
      <c r="D104" s="105">
        <v>38</v>
      </c>
      <c r="E104" s="204">
        <v>40585</v>
      </c>
      <c r="F104" s="205" t="s">
        <v>516</v>
      </c>
      <c r="G104" s="51" t="s">
        <v>809</v>
      </c>
      <c r="H104" s="85" t="s">
        <v>940</v>
      </c>
      <c r="I104" s="85"/>
      <c r="J104" s="85"/>
      <c r="K104" s="85"/>
      <c r="L104" s="85"/>
      <c r="M104" s="85"/>
      <c r="N104" s="216">
        <v>0.56058732771034769</v>
      </c>
      <c r="O104" s="212" t="e">
        <f>СЧЁТ!#REF!</f>
        <v>#REF!</v>
      </c>
      <c r="P104" s="212" t="e">
        <f>СЧЁТ!#REF!</f>
        <v>#REF!</v>
      </c>
      <c r="Q104" s="212" t="e">
        <f>СЧЁТ!#REF!</f>
        <v>#REF!</v>
      </c>
      <c r="R104" s="212" t="e">
        <f>СЧЁТ!#REF!</f>
        <v>#REF!</v>
      </c>
      <c r="S104" s="212">
        <f>СЧЁТ!T44</f>
        <v>0</v>
      </c>
      <c r="T104" s="212">
        <f>СЧЁТ!V44</f>
        <v>0</v>
      </c>
      <c r="U104" s="212">
        <f>СЧЁТ!W44</f>
        <v>0</v>
      </c>
      <c r="V104" s="212">
        <f>СЧЁТ!X44</f>
        <v>0</v>
      </c>
      <c r="W104" s="212">
        <f>СЧЁТ!Y44</f>
        <v>0</v>
      </c>
      <c r="X104" s="212">
        <f>СЧЁТ!Z44</f>
        <v>0</v>
      </c>
      <c r="Y104" s="212" t="e">
        <f>СЧЁТ!#REF!</f>
        <v>#REF!</v>
      </c>
      <c r="Z104" s="212">
        <f>СЧЁТ!AA44</f>
        <v>0</v>
      </c>
      <c r="AA104" s="212">
        <f>СЧЁТ!AB44</f>
        <v>0</v>
      </c>
      <c r="AB104" s="212">
        <f>СЧЁТ!AC44</f>
        <v>0</v>
      </c>
      <c r="AC104" s="212">
        <f>СЧЁТ!AD44</f>
        <v>0</v>
      </c>
      <c r="AD104" s="212">
        <f>СЧЁТ!AE44</f>
        <v>0</v>
      </c>
      <c r="AE104" s="212">
        <f>СЧЁТ!AF44</f>
        <v>0</v>
      </c>
      <c r="AF104" s="212">
        <f>СЧЁТ!AG44</f>
        <v>0</v>
      </c>
      <c r="AG104" s="212">
        <f>СЧЁТ!AH44</f>
        <v>0</v>
      </c>
      <c r="AH104" s="212">
        <f>СЧЁТ!AI44</f>
        <v>0</v>
      </c>
      <c r="AI104" s="212">
        <f>СЧЁТ!AJ44</f>
        <v>0</v>
      </c>
      <c r="AJ104" s="212">
        <f>СЧЁТ!AK44</f>
        <v>0</v>
      </c>
      <c r="AK104" s="212">
        <f>СЧЁТ!AL44</f>
        <v>0</v>
      </c>
      <c r="AL104" s="212">
        <f>СЧЁТ!AM44</f>
        <v>0</v>
      </c>
      <c r="AM104" s="212">
        <f>СЧЁТ!AN44</f>
        <v>0</v>
      </c>
      <c r="AN104" s="212">
        <f>СЧЁТ!AO44</f>
        <v>0</v>
      </c>
      <c r="AO104" s="212">
        <f>СЧЁТ!AP44</f>
        <v>0</v>
      </c>
      <c r="AP104" s="212">
        <f>СЧЁТ!AQ44</f>
        <v>0</v>
      </c>
      <c r="AQ104" s="212">
        <f>СЧЁТ!AR44</f>
        <v>0</v>
      </c>
      <c r="AR104" s="212">
        <f>СЧЁТ!AS44</f>
        <v>0</v>
      </c>
      <c r="AS104" s="209">
        <v>0.46341539905400397</v>
      </c>
      <c r="AT104" s="209">
        <v>0.46341051624150398</v>
      </c>
      <c r="AU104" s="209">
        <v>0.46340563342900398</v>
      </c>
      <c r="AV104" s="209">
        <v>0.46340075061650399</v>
      </c>
      <c r="AW104" s="209">
        <v>0.46339586780400399</v>
      </c>
      <c r="AX104" s="44" t="s">
        <v>516</v>
      </c>
    </row>
    <row r="105" spans="4:50" ht="17.399999999999999">
      <c r="D105" s="105">
        <v>39</v>
      </c>
      <c r="E105" s="204">
        <v>40585</v>
      </c>
      <c r="F105" s="205" t="s">
        <v>519</v>
      </c>
      <c r="G105" s="51" t="s">
        <v>809</v>
      </c>
      <c r="H105" s="85" t="s">
        <v>941</v>
      </c>
      <c r="I105" s="85"/>
      <c r="J105" s="85"/>
      <c r="K105" s="85"/>
      <c r="L105" s="85"/>
      <c r="M105" s="85"/>
      <c r="N105" s="216">
        <v>0.20650529520674757</v>
      </c>
      <c r="O105" s="212" t="e">
        <f>СЧЁТ!#REF!</f>
        <v>#REF!</v>
      </c>
      <c r="P105" s="212" t="e">
        <f>СЧЁТ!#REF!</f>
        <v>#REF!</v>
      </c>
      <c r="Q105" s="212" t="e">
        <f>СЧЁТ!#REF!</f>
        <v>#REF!</v>
      </c>
      <c r="R105" s="212" t="e">
        <f>СЧЁТ!#REF!</f>
        <v>#REF!</v>
      </c>
      <c r="S105" s="212" t="e">
        <f>СЧЁТ!#REF!</f>
        <v>#REF!</v>
      </c>
      <c r="T105" s="212" t="e">
        <f>СЧЁТ!#REF!</f>
        <v>#REF!</v>
      </c>
      <c r="U105" s="212">
        <f>СЧЁТ!W49</f>
        <v>0</v>
      </c>
      <c r="V105" s="212">
        <f>СЧЁТ!X49</f>
        <v>0</v>
      </c>
      <c r="W105" s="212">
        <f>СЧЁТ!Y49</f>
        <v>0</v>
      </c>
      <c r="X105" s="212">
        <f>СЧЁТ!Z49</f>
        <v>0</v>
      </c>
      <c r="Y105" s="212" t="e">
        <f>СЧЁТ!#REF!</f>
        <v>#REF!</v>
      </c>
      <c r="Z105" s="212">
        <f>СЧЁТ!AA49</f>
        <v>0</v>
      </c>
      <c r="AA105" s="212">
        <f>СЧЁТ!AB49</f>
        <v>0</v>
      </c>
      <c r="AB105" s="212">
        <f>СЧЁТ!AC45</f>
        <v>0</v>
      </c>
      <c r="AC105" s="212">
        <f>СЧЁТ!AD45</f>
        <v>0</v>
      </c>
      <c r="AD105" s="212">
        <f>СЧЁТ!AE45</f>
        <v>0</v>
      </c>
      <c r="AE105" s="212">
        <f>СЧЁТ!AF45</f>
        <v>0</v>
      </c>
      <c r="AF105" s="212">
        <f>СЧЁТ!AG45</f>
        <v>0</v>
      </c>
      <c r="AG105" s="212">
        <f>СЧЁТ!AH45</f>
        <v>0</v>
      </c>
      <c r="AH105" s="212">
        <f>СЧЁТ!AI45</f>
        <v>0</v>
      </c>
      <c r="AI105" s="212">
        <f>СЧЁТ!AJ45</f>
        <v>0</v>
      </c>
      <c r="AJ105" s="212">
        <f>СЧЁТ!AK45</f>
        <v>0</v>
      </c>
      <c r="AK105" s="212">
        <f>СЧЁТ!AL45</f>
        <v>0</v>
      </c>
      <c r="AL105" s="212">
        <f>СЧЁТ!AM45</f>
        <v>0</v>
      </c>
      <c r="AM105" s="212">
        <f>СЧЁТ!AN45</f>
        <v>0</v>
      </c>
      <c r="AN105" s="212">
        <f>СЧЁТ!AO45</f>
        <v>0</v>
      </c>
      <c r="AO105" s="212">
        <f>СЧЁТ!AP45</f>
        <v>0</v>
      </c>
      <c r="AP105" s="212">
        <f>СЧЁТ!AQ45</f>
        <v>0</v>
      </c>
      <c r="AQ105" s="212">
        <f>СЧЁТ!AR45</f>
        <v>0</v>
      </c>
      <c r="AR105" s="212">
        <f>СЧЁТ!AS45</f>
        <v>0</v>
      </c>
      <c r="AS105" s="209">
        <v>0.13</v>
      </c>
      <c r="AT105" s="209">
        <v>0.13</v>
      </c>
      <c r="AU105" s="209">
        <v>0.13</v>
      </c>
      <c r="AV105" s="209">
        <v>0.13</v>
      </c>
      <c r="AW105" s="209">
        <v>0.13</v>
      </c>
      <c r="AX105" s="44" t="s">
        <v>519</v>
      </c>
    </row>
    <row r="106" spans="4:50" ht="17.399999999999999">
      <c r="D106" s="105">
        <v>40</v>
      </c>
      <c r="E106" s="204">
        <v>40585</v>
      </c>
      <c r="F106" s="205" t="s">
        <v>522</v>
      </c>
      <c r="G106" s="51" t="s">
        <v>809</v>
      </c>
      <c r="H106" s="85" t="s">
        <v>942</v>
      </c>
      <c r="I106" s="85"/>
      <c r="J106" s="85"/>
      <c r="K106" s="85"/>
      <c r="L106" s="85"/>
      <c r="M106" s="85"/>
      <c r="N106" s="216">
        <v>0.18412751259012028</v>
      </c>
      <c r="O106" s="212" t="e">
        <f>СЧЁТ!#REF!</f>
        <v>#REF!</v>
      </c>
      <c r="P106" s="212" t="e">
        <f>СЧЁТ!#REF!</f>
        <v>#REF!</v>
      </c>
      <c r="Q106" s="212" t="e">
        <f>СЧЁТ!#REF!</f>
        <v>#REF!</v>
      </c>
      <c r="R106" s="212" t="e">
        <f>СЧЁТ!#REF!</f>
        <v>#REF!</v>
      </c>
      <c r="S106" s="212" t="e">
        <f>СЧЁТ!#REF!</f>
        <v>#REF!</v>
      </c>
      <c r="T106" s="212" t="e">
        <f>СЧЁТ!#REF!</f>
        <v>#REF!</v>
      </c>
      <c r="U106" s="212" t="e">
        <f>СЧЁТ!#REF!</f>
        <v>#REF!</v>
      </c>
      <c r="V106" s="212" t="e">
        <f>СЧЁТ!#REF!</f>
        <v>#REF!</v>
      </c>
      <c r="W106" s="212" t="e">
        <f>СЧЁТ!#REF!</f>
        <v>#REF!</v>
      </c>
      <c r="X106" s="212" t="e">
        <f>СЧЁТ!#REF!</f>
        <v>#REF!</v>
      </c>
      <c r="Y106" s="212" t="e">
        <f>СЧЁТ!#REF!</f>
        <v>#REF!</v>
      </c>
      <c r="Z106" s="212" t="e">
        <f>СЧЁТ!#REF!</f>
        <v>#REF!</v>
      </c>
      <c r="AA106" s="212" t="e">
        <f>СЧЁТ!#REF!</f>
        <v>#REF!</v>
      </c>
      <c r="AB106" s="212">
        <f>СЧЁТ!AC46</f>
        <v>0</v>
      </c>
      <c r="AC106" s="212">
        <f>СЧЁТ!AD46</f>
        <v>0</v>
      </c>
      <c r="AD106" s="212">
        <f>СЧЁТ!AE46</f>
        <v>0</v>
      </c>
      <c r="AE106" s="212">
        <f>СЧЁТ!AF46</f>
        <v>0</v>
      </c>
      <c r="AF106" s="212">
        <f>СЧЁТ!AG46</f>
        <v>0</v>
      </c>
      <c r="AG106" s="212">
        <f>СЧЁТ!AH46</f>
        <v>0</v>
      </c>
      <c r="AH106" s="212">
        <f>СЧЁТ!AI46</f>
        <v>0</v>
      </c>
      <c r="AI106" s="212">
        <f>СЧЁТ!AJ46</f>
        <v>0</v>
      </c>
      <c r="AJ106" s="212">
        <f>СЧЁТ!AK46</f>
        <v>0</v>
      </c>
      <c r="AK106" s="212">
        <f>СЧЁТ!AL46</f>
        <v>0</v>
      </c>
      <c r="AL106" s="212">
        <f>СЧЁТ!AM46</f>
        <v>0</v>
      </c>
      <c r="AM106" s="212">
        <f>СЧЁТ!AN46</f>
        <v>0</v>
      </c>
      <c r="AN106" s="212">
        <f>СЧЁТ!AO46</f>
        <v>0</v>
      </c>
      <c r="AO106" s="212">
        <f>СЧЁТ!AP46</f>
        <v>0</v>
      </c>
      <c r="AP106" s="212">
        <f>СЧЁТ!AQ46</f>
        <v>0</v>
      </c>
      <c r="AQ106" s="212">
        <f>СЧЁТ!AR46</f>
        <v>0</v>
      </c>
      <c r="AR106" s="212">
        <f>СЧЁТ!AS46</f>
        <v>0</v>
      </c>
      <c r="AS106" s="209">
        <v>0.16500000000000001</v>
      </c>
      <c r="AT106" s="209">
        <v>0.16500000000000001</v>
      </c>
      <c r="AU106" s="209">
        <v>0.16500000000000001</v>
      </c>
      <c r="AV106" s="209">
        <v>0.16500000000000001</v>
      </c>
      <c r="AW106" s="209">
        <v>0.16500000000000001</v>
      </c>
      <c r="AX106" s="44" t="s">
        <v>522</v>
      </c>
    </row>
    <row r="107" spans="4:50" ht="17.399999999999999">
      <c r="D107" s="105">
        <v>41</v>
      </c>
      <c r="E107" s="204">
        <v>40585</v>
      </c>
      <c r="F107" s="205" t="s">
        <v>525</v>
      </c>
      <c r="G107" s="51" t="s">
        <v>809</v>
      </c>
      <c r="H107" s="85" t="s">
        <v>943</v>
      </c>
      <c r="I107" s="85"/>
      <c r="J107" s="85"/>
      <c r="K107" s="85"/>
      <c r="L107" s="85"/>
      <c r="M107" s="85"/>
      <c r="N107" s="216">
        <v>0.79020035130091115</v>
      </c>
      <c r="O107" s="212" t="e">
        <f>СЧЁТ!#REF!</f>
        <v>#REF!</v>
      </c>
      <c r="P107" s="212" t="e">
        <f>СЧЁТ!#REF!</f>
        <v>#REF!</v>
      </c>
      <c r="Q107" s="212" t="e">
        <f>СЧЁТ!#REF!</f>
        <v>#REF!</v>
      </c>
      <c r="R107" s="212" t="e">
        <f>СЧЁТ!#REF!</f>
        <v>#REF!</v>
      </c>
      <c r="S107" s="212" t="e">
        <f>СЧЁТ!#REF!</f>
        <v>#REF!</v>
      </c>
      <c r="T107" s="212">
        <f>СЧЁТ!U48</f>
        <v>0</v>
      </c>
      <c r="U107" s="212">
        <f>СЧЁТ!V48</f>
        <v>0</v>
      </c>
      <c r="V107" s="212">
        <f>СЧЁТ!W48</f>
        <v>0</v>
      </c>
      <c r="W107" s="212">
        <f>СЧЁТ!X48</f>
        <v>0</v>
      </c>
      <c r="X107" s="212">
        <f>СЧЁТ!Y48</f>
        <v>0</v>
      </c>
      <c r="Y107" s="212">
        <f>СЧЁТ!Z48</f>
        <v>0</v>
      </c>
      <c r="Z107" s="212">
        <f>СЧЁТ!AA48</f>
        <v>0</v>
      </c>
      <c r="AA107" s="212">
        <f>СЧЁТ!AB48</f>
        <v>0</v>
      </c>
      <c r="AB107" s="212">
        <f>СЧЁТ!AC47</f>
        <v>0</v>
      </c>
      <c r="AC107" s="212">
        <f>СЧЁТ!AD47</f>
        <v>0</v>
      </c>
      <c r="AD107" s="212">
        <f>СЧЁТ!AE47</f>
        <v>0</v>
      </c>
      <c r="AE107" s="212">
        <f>СЧЁТ!AF47</f>
        <v>0</v>
      </c>
      <c r="AF107" s="212">
        <f>СЧЁТ!AG47</f>
        <v>0</v>
      </c>
      <c r="AG107" s="212">
        <f>СЧЁТ!AH47</f>
        <v>0</v>
      </c>
      <c r="AH107" s="212">
        <f>СЧЁТ!AI47</f>
        <v>0</v>
      </c>
      <c r="AI107" s="212">
        <f>СЧЁТ!AJ47</f>
        <v>0</v>
      </c>
      <c r="AJ107" s="212">
        <f>СЧЁТ!AK47</f>
        <v>0</v>
      </c>
      <c r="AK107" s="212">
        <f>СЧЁТ!AL47</f>
        <v>0</v>
      </c>
      <c r="AL107" s="212">
        <f>СЧЁТ!AM47</f>
        <v>0</v>
      </c>
      <c r="AM107" s="212">
        <f>СЧЁТ!AN47</f>
        <v>0</v>
      </c>
      <c r="AN107" s="212">
        <f>СЧЁТ!AO47</f>
        <v>0</v>
      </c>
      <c r="AO107" s="212">
        <f>СЧЁТ!AP47</f>
        <v>0</v>
      </c>
      <c r="AP107" s="212">
        <f>СЧЁТ!AQ47</f>
        <v>0</v>
      </c>
      <c r="AQ107" s="212">
        <f>СЧЁТ!AR47</f>
        <v>0</v>
      </c>
      <c r="AR107" s="212">
        <f>СЧЁТ!AS47</f>
        <v>0</v>
      </c>
      <c r="AS107" s="209">
        <v>0.74399999999999999</v>
      </c>
      <c r="AT107" s="209">
        <v>0.74299999999999999</v>
      </c>
      <c r="AU107" s="209">
        <v>0.74199999999999999</v>
      </c>
      <c r="AV107" s="209">
        <v>0.74099999999999999</v>
      </c>
      <c r="AW107" s="209">
        <v>0.74</v>
      </c>
      <c r="AX107" s="44" t="s">
        <v>525</v>
      </c>
    </row>
    <row r="108" spans="4:50" ht="17.399999999999999">
      <c r="D108" s="105">
        <v>42</v>
      </c>
      <c r="E108" s="204">
        <v>40586</v>
      </c>
      <c r="F108" s="205" t="s">
        <v>528</v>
      </c>
      <c r="G108" s="51" t="s">
        <v>809</v>
      </c>
      <c r="H108" s="85" t="s">
        <v>944</v>
      </c>
      <c r="I108" s="85"/>
      <c r="J108" s="85"/>
      <c r="K108" s="85"/>
      <c r="L108" s="85"/>
      <c r="M108" s="85"/>
      <c r="N108" s="216">
        <v>0.13540672741244922</v>
      </c>
      <c r="O108" s="212" t="e">
        <f>СЧЁТ!#REF!</f>
        <v>#REF!</v>
      </c>
      <c r="P108" s="212" t="e">
        <f>СЧЁТ!#REF!</f>
        <v>#REF!</v>
      </c>
      <c r="Q108" s="212" t="str">
        <f>СЧЁТ!P49</f>
        <v>DH = 0,1909*WWP + 37701</v>
      </c>
      <c r="R108" s="212">
        <f>СЧЁТ!Q49</f>
        <v>0</v>
      </c>
      <c r="S108" s="212" t="e">
        <f>СЧЁТ!#REF!</f>
        <v>#REF!</v>
      </c>
      <c r="T108" s="212" t="e">
        <f>СЧЁТ!#REF!</f>
        <v>#REF!</v>
      </c>
      <c r="U108" s="212" t="e">
        <f>СЧЁТ!#REF!</f>
        <v>#REF!</v>
      </c>
      <c r="V108" s="212">
        <f>СЧЁТ!W47</f>
        <v>0</v>
      </c>
      <c r="W108" s="212">
        <f>СЧЁТ!X74</f>
        <v>0</v>
      </c>
      <c r="X108" s="212">
        <f>СЧЁТ!Y60</f>
        <v>0</v>
      </c>
      <c r="Y108" s="212">
        <f>СЧЁТ!Z60</f>
        <v>0</v>
      </c>
      <c r="Z108" s="212">
        <f>СЧЁТ!AA60</f>
        <v>0</v>
      </c>
      <c r="AA108" s="212">
        <f>СЧЁТ!AB60</f>
        <v>0</v>
      </c>
      <c r="AB108" s="212">
        <f>СЧЁТ!AC48</f>
        <v>0</v>
      </c>
      <c r="AC108" s="212">
        <f>СЧЁТ!AD48</f>
        <v>0</v>
      </c>
      <c r="AD108" s="212">
        <f>СЧЁТ!AE48</f>
        <v>0</v>
      </c>
      <c r="AE108" s="212">
        <f>СЧЁТ!AF48</f>
        <v>0</v>
      </c>
      <c r="AF108" s="212">
        <f>СЧЁТ!AG48</f>
        <v>0</v>
      </c>
      <c r="AG108" s="212">
        <f>СЧЁТ!AH48</f>
        <v>0</v>
      </c>
      <c r="AH108" s="212">
        <f>СЧЁТ!AI48</f>
        <v>0</v>
      </c>
      <c r="AI108" s="212">
        <f>СЧЁТ!AJ48</f>
        <v>0</v>
      </c>
      <c r="AJ108" s="212">
        <f>СЧЁТ!AK48</f>
        <v>0</v>
      </c>
      <c r="AK108" s="212">
        <f>СЧЁТ!AL48</f>
        <v>0</v>
      </c>
      <c r="AL108" s="212">
        <f>СЧЁТ!AM48</f>
        <v>0</v>
      </c>
      <c r="AM108" s="212">
        <f>СЧЁТ!AN48</f>
        <v>0</v>
      </c>
      <c r="AN108" s="212">
        <f>СЧЁТ!AO48</f>
        <v>0</v>
      </c>
      <c r="AO108" s="212">
        <f>СЧЁТ!AP48</f>
        <v>0</v>
      </c>
      <c r="AP108" s="212">
        <f>СЧЁТ!AQ48</f>
        <v>0</v>
      </c>
      <c r="AQ108" s="212">
        <f>СЧЁТ!AR48</f>
        <v>0</v>
      </c>
      <c r="AR108" s="212">
        <f>СЧЁТ!AS48</f>
        <v>0</v>
      </c>
      <c r="AS108" s="209">
        <v>3.2000000000000001E-2</v>
      </c>
      <c r="AT108" s="209">
        <v>3.2000000000000001E-2</v>
      </c>
      <c r="AU108" s="209">
        <v>3.2000000000000001E-2</v>
      </c>
      <c r="AV108" s="209">
        <v>3.2000000000000001E-2</v>
      </c>
      <c r="AW108" s="209">
        <v>3.2000000000000001E-2</v>
      </c>
      <c r="AX108" s="44" t="s">
        <v>528</v>
      </c>
    </row>
    <row r="109" spans="4:50" ht="17.399999999999999">
      <c r="D109" s="105">
        <v>43</v>
      </c>
      <c r="E109" s="204">
        <v>40585</v>
      </c>
      <c r="F109" s="205" t="s">
        <v>531</v>
      </c>
      <c r="G109" s="51" t="s">
        <v>809</v>
      </c>
      <c r="H109" s="85" t="s">
        <v>945</v>
      </c>
      <c r="I109" s="85"/>
      <c r="J109" s="85"/>
      <c r="K109" s="85"/>
      <c r="L109" s="85"/>
      <c r="M109" s="85"/>
      <c r="N109" s="216">
        <v>5.9007796434792863E-2</v>
      </c>
      <c r="O109" s="212">
        <f>СЧЁТ!P75</f>
        <v>0</v>
      </c>
      <c r="P109" s="212">
        <f>СЧЁТ!R49</f>
        <v>0</v>
      </c>
      <c r="Q109" s="212" t="str">
        <f>СЧЁТ!P44</f>
        <v>DBJ = 0,5355*WWP - 18298</v>
      </c>
      <c r="R109" s="212">
        <f>СЧЁТ!Q44</f>
        <v>0</v>
      </c>
      <c r="S109" s="212">
        <f>СЧЁТ!R44</f>
        <v>0</v>
      </c>
      <c r="T109" s="212" t="e">
        <f>СЧЁТ!#REF!</f>
        <v>#REF!</v>
      </c>
      <c r="U109" s="212" t="e">
        <f>СЧЁТ!#REF!</f>
        <v>#REF!</v>
      </c>
      <c r="V109" s="212">
        <f>СЧЁТ!W75</f>
        <v>0</v>
      </c>
      <c r="W109" s="212">
        <f>СЧЁТ!X75</f>
        <v>0</v>
      </c>
      <c r="X109" s="212">
        <f>СЧЁТ!Y65</f>
        <v>0</v>
      </c>
      <c r="Y109" s="212">
        <f>СЧЁТ!Z65</f>
        <v>0</v>
      </c>
      <c r="Z109" s="212">
        <f>СЧЁТ!AA65</f>
        <v>0</v>
      </c>
      <c r="AA109" s="212">
        <f>СЧЁТ!AB65</f>
        <v>0</v>
      </c>
      <c r="AB109" s="212">
        <f>СЧЁТ!AC49</f>
        <v>0</v>
      </c>
      <c r="AC109" s="212">
        <f>СЧЁТ!AD49</f>
        <v>0</v>
      </c>
      <c r="AD109" s="212">
        <f>СЧЁТ!AE49</f>
        <v>0</v>
      </c>
      <c r="AE109" s="212">
        <f>СЧЁТ!AF49</f>
        <v>0</v>
      </c>
      <c r="AF109" s="212">
        <f>СЧЁТ!AG49</f>
        <v>0</v>
      </c>
      <c r="AG109" s="212">
        <f>СЧЁТ!AH49</f>
        <v>0</v>
      </c>
      <c r="AH109" s="212">
        <f>СЧЁТ!AI49</f>
        <v>0</v>
      </c>
      <c r="AI109" s="212">
        <f>СЧЁТ!AJ49</f>
        <v>0</v>
      </c>
      <c r="AJ109" s="212">
        <f>СЧЁТ!AK49</f>
        <v>0</v>
      </c>
      <c r="AK109" s="212">
        <f>СЧЁТ!AL49</f>
        <v>0</v>
      </c>
      <c r="AL109" s="212">
        <f>СЧЁТ!AM49</f>
        <v>0</v>
      </c>
      <c r="AM109" s="212">
        <f>СЧЁТ!AN49</f>
        <v>0</v>
      </c>
      <c r="AN109" s="212">
        <f>СЧЁТ!AO49</f>
        <v>0</v>
      </c>
      <c r="AO109" s="212">
        <f>СЧЁТ!AP49</f>
        <v>0</v>
      </c>
      <c r="AP109" s="212">
        <f>СЧЁТ!AQ49</f>
        <v>0</v>
      </c>
      <c r="AQ109" s="212">
        <f>СЧЁТ!AR49</f>
        <v>0</v>
      </c>
      <c r="AR109" s="212">
        <f>СЧЁТ!AS49</f>
        <v>0</v>
      </c>
      <c r="AS109" s="209">
        <v>0.48412982768295942</v>
      </c>
      <c r="AT109" s="209">
        <v>0.48881233453400885</v>
      </c>
      <c r="AU109" s="209">
        <v>0.49326071604250582</v>
      </c>
      <c r="AV109" s="209">
        <v>0.49748667847557793</v>
      </c>
      <c r="AW109" s="209">
        <v>0.50150134278699643</v>
      </c>
      <c r="AX109" s="44" t="s">
        <v>531</v>
      </c>
    </row>
    <row r="110" spans="4:50" ht="17.399999999999999">
      <c r="D110" s="105">
        <v>44</v>
      </c>
      <c r="E110" s="204">
        <v>40585</v>
      </c>
      <c r="F110" s="205" t="s">
        <v>534</v>
      </c>
      <c r="G110" s="51" t="s">
        <v>809</v>
      </c>
      <c r="H110" s="85" t="s">
        <v>946</v>
      </c>
      <c r="I110" s="85"/>
      <c r="J110" s="85"/>
      <c r="K110" s="85"/>
      <c r="L110" s="85"/>
      <c r="M110" s="85"/>
      <c r="N110" s="216">
        <v>2.7000000000000024E-2</v>
      </c>
      <c r="O110" s="212" t="e">
        <f>СЧЁТ!#REF!</f>
        <v>#REF!</v>
      </c>
      <c r="P110" s="212" t="e">
        <f>СЧЁТ!#REF!</f>
        <v>#REF!</v>
      </c>
      <c r="Q110" s="212">
        <f>СЧЁТ!S44</f>
        <v>0</v>
      </c>
      <c r="R110" s="212">
        <f>СЧЁТ!S56</f>
        <v>0</v>
      </c>
      <c r="S110" s="212" t="e">
        <f>СЧЁТ!#REF!</f>
        <v>#REF!</v>
      </c>
      <c r="T110" s="212">
        <f>СЧЁТ!U55</f>
        <v>0</v>
      </c>
      <c r="U110" s="212">
        <f>СЧЁТ!V55</f>
        <v>0</v>
      </c>
      <c r="V110" s="212">
        <f>СЧЁТ!W55</f>
        <v>0</v>
      </c>
      <c r="W110" s="212">
        <f>СЧЁТ!X66</f>
        <v>0</v>
      </c>
      <c r="X110" s="212">
        <f>СЧЁТ!Y66</f>
        <v>0</v>
      </c>
      <c r="Y110" s="212">
        <f>СЧЁТ!Z66</f>
        <v>0</v>
      </c>
      <c r="Z110" s="212">
        <f>СЧЁТ!AA66</f>
        <v>0</v>
      </c>
      <c r="AA110" s="212">
        <f>СЧЁТ!AB66</f>
        <v>0</v>
      </c>
      <c r="AB110" s="212">
        <f>СЧЁТ!AC50</f>
        <v>0</v>
      </c>
      <c r="AC110" s="212">
        <f>СЧЁТ!AD50</f>
        <v>0</v>
      </c>
      <c r="AD110" s="212">
        <f>СЧЁТ!AE50</f>
        <v>0</v>
      </c>
      <c r="AE110" s="212">
        <f>СЧЁТ!AF50</f>
        <v>0</v>
      </c>
      <c r="AF110" s="212">
        <f>СЧЁТ!AG50</f>
        <v>0</v>
      </c>
      <c r="AG110" s="212">
        <f>СЧЁТ!AH50</f>
        <v>0</v>
      </c>
      <c r="AH110" s="212">
        <f>СЧЁТ!AI50</f>
        <v>0</v>
      </c>
      <c r="AI110" s="212">
        <f>СЧЁТ!AJ50</f>
        <v>0</v>
      </c>
      <c r="AJ110" s="212">
        <f>СЧЁТ!AK50</f>
        <v>0</v>
      </c>
      <c r="AK110" s="212">
        <f>СЧЁТ!AL50</f>
        <v>0</v>
      </c>
      <c r="AL110" s="212">
        <f>СЧЁТ!AM50</f>
        <v>0</v>
      </c>
      <c r="AM110" s="212">
        <f>СЧЁТ!AN50</f>
        <v>0</v>
      </c>
      <c r="AN110" s="212">
        <f>СЧЁТ!AO50</f>
        <v>0</v>
      </c>
      <c r="AO110" s="212">
        <f>СЧЁТ!AP50</f>
        <v>0</v>
      </c>
      <c r="AP110" s="212">
        <f>СЧЁТ!AQ50</f>
        <v>0</v>
      </c>
      <c r="AQ110" s="212">
        <f>СЧЁТ!AR50</f>
        <v>0</v>
      </c>
      <c r="AR110" s="212">
        <f>СЧЁТ!AS50</f>
        <v>0</v>
      </c>
      <c r="AS110" s="209">
        <v>0</v>
      </c>
      <c r="AT110" s="209">
        <v>0</v>
      </c>
      <c r="AU110" s="209">
        <v>0</v>
      </c>
      <c r="AV110" s="209">
        <v>0</v>
      </c>
      <c r="AW110" s="209">
        <v>0</v>
      </c>
      <c r="AX110" s="44" t="s">
        <v>534</v>
      </c>
    </row>
    <row r="111" spans="4:50" ht="17.399999999999999">
      <c r="D111" s="105">
        <v>45</v>
      </c>
      <c r="E111" s="204">
        <v>40586</v>
      </c>
      <c r="F111" s="205" t="s">
        <v>947</v>
      </c>
      <c r="G111" s="51" t="s">
        <v>809</v>
      </c>
      <c r="H111" s="85" t="s">
        <v>23</v>
      </c>
      <c r="I111" s="85"/>
      <c r="J111" s="85"/>
      <c r="K111" s="85"/>
      <c r="L111" s="85"/>
      <c r="M111" s="85"/>
      <c r="N111" s="216">
        <v>4.9988274017691826E-2</v>
      </c>
      <c r="O111" s="212" t="str">
        <f>СЧЁТ!P57</f>
        <v>WWS = 2,191*(FSt - FSt-1 +70,942)</v>
      </c>
      <c r="P111" s="212">
        <f>СЧЁТ!Q57</f>
        <v>0</v>
      </c>
      <c r="Q111" s="212">
        <f>СЧЁТ!R57</f>
        <v>0</v>
      </c>
      <c r="R111" s="212" t="str">
        <f>СЧЁТ!P47</f>
        <v>YG = 0,1814*WWP - 46,215</v>
      </c>
      <c r="S111" s="212">
        <f>СЧЁТ!Q47</f>
        <v>0</v>
      </c>
      <c r="T111" s="212">
        <f>СЧЁТ!R47</f>
        <v>0</v>
      </c>
      <c r="U111" s="212" t="e">
        <f>СЧЁТ!#REF!</f>
        <v>#REF!</v>
      </c>
      <c r="V111" s="212">
        <f>СЧЁТ!T47</f>
        <v>0</v>
      </c>
      <c r="W111" s="212">
        <f>СЧЁТ!X67</f>
        <v>0</v>
      </c>
      <c r="X111" s="212">
        <f>СЧЁТ!Y67</f>
        <v>0</v>
      </c>
      <c r="Y111" s="212">
        <f>СЧЁТ!Z67</f>
        <v>0</v>
      </c>
      <c r="Z111" s="212">
        <f>СЧЁТ!AA67</f>
        <v>0</v>
      </c>
      <c r="AA111" s="212">
        <f>СЧЁТ!AB67</f>
        <v>0</v>
      </c>
      <c r="AB111" s="212">
        <f>СЧЁТ!AC51</f>
        <v>0</v>
      </c>
      <c r="AC111" s="212">
        <f>СЧЁТ!AD51</f>
        <v>0</v>
      </c>
      <c r="AD111" s="212">
        <f>СЧЁТ!AE51</f>
        <v>0</v>
      </c>
      <c r="AE111" s="212">
        <f>СЧЁТ!AF51</f>
        <v>0</v>
      </c>
      <c r="AF111" s="212">
        <f>СЧЁТ!AG51</f>
        <v>0</v>
      </c>
      <c r="AG111" s="212">
        <f>СЧЁТ!AH51</f>
        <v>0</v>
      </c>
      <c r="AH111" s="212">
        <f>СЧЁТ!AI51</f>
        <v>0</v>
      </c>
      <c r="AI111" s="212">
        <f>СЧЁТ!AJ51</f>
        <v>0</v>
      </c>
      <c r="AJ111" s="212">
        <f>СЧЁТ!AK51</f>
        <v>0</v>
      </c>
      <c r="AK111" s="212">
        <f>СЧЁТ!AL51</f>
        <v>0</v>
      </c>
      <c r="AL111" s="212">
        <f>СЧЁТ!AM51</f>
        <v>0</v>
      </c>
      <c r="AM111" s="212">
        <f>СЧЁТ!AN51</f>
        <v>0</v>
      </c>
      <c r="AN111" s="212">
        <f>СЧЁТ!AO51</f>
        <v>0</v>
      </c>
      <c r="AO111" s="212">
        <f>СЧЁТ!AP51</f>
        <v>0</v>
      </c>
      <c r="AP111" s="212">
        <f>СЧЁТ!AQ51</f>
        <v>0</v>
      </c>
      <c r="AQ111" s="212">
        <f>СЧЁТ!AR51</f>
        <v>0</v>
      </c>
      <c r="AR111" s="212">
        <f>СЧЁТ!AS51</f>
        <v>0</v>
      </c>
      <c r="AS111" s="209">
        <v>6.4885494262777498E-3</v>
      </c>
      <c r="AT111" s="209">
        <v>5.9885494262777502E-3</v>
      </c>
      <c r="AU111" s="209">
        <v>5.4885494262777498E-3</v>
      </c>
      <c r="AV111" s="209">
        <v>4.9885494262777502E-3</v>
      </c>
      <c r="AW111" s="209">
        <v>4.4885494262777497E-3</v>
      </c>
      <c r="AX111" s="44" t="s">
        <v>947</v>
      </c>
    </row>
    <row r="112" spans="4:50" ht="17.399999999999999">
      <c r="D112" s="105">
        <v>46</v>
      </c>
      <c r="E112" s="204">
        <v>40585</v>
      </c>
      <c r="F112" s="205" t="s">
        <v>586</v>
      </c>
      <c r="G112" s="51" t="s">
        <v>809</v>
      </c>
      <c r="H112" s="85" t="s">
        <v>950</v>
      </c>
      <c r="I112" s="85"/>
      <c r="J112" s="85"/>
      <c r="K112" s="85"/>
      <c r="L112" s="85"/>
      <c r="M112" s="85"/>
      <c r="N112" s="216">
        <v>0.30591082006570569</v>
      </c>
      <c r="O112" s="212">
        <f>СЧЁТ!P76</f>
        <v>0</v>
      </c>
      <c r="P112" s="212">
        <f>СЧЁТ!Q76</f>
        <v>0</v>
      </c>
      <c r="Q112" s="212">
        <f>СЧЁТ!R76</f>
        <v>0</v>
      </c>
      <c r="R112" s="212">
        <f>СЧЁТ!S47</f>
        <v>0</v>
      </c>
      <c r="S112" s="212" t="e">
        <f>СЧЁТ!#REF!</f>
        <v>#REF!</v>
      </c>
      <c r="T112" s="212">
        <f>СЧЁТ!U76</f>
        <v>0</v>
      </c>
      <c r="U112" s="212">
        <f>СЧЁТ!V76</f>
        <v>0</v>
      </c>
      <c r="V112" s="212">
        <f>СЧЁТ!W76</f>
        <v>0</v>
      </c>
      <c r="W112" s="212">
        <f>СЧЁТ!X76</f>
        <v>0</v>
      </c>
      <c r="X112" s="212">
        <f>СЧЁТ!Y76</f>
        <v>0</v>
      </c>
      <c r="Y112" s="212">
        <f>СЧЁТ!Z76</f>
        <v>0</v>
      </c>
      <c r="Z112" s="212">
        <f>СЧЁТ!AA76</f>
        <v>0</v>
      </c>
      <c r="AA112" s="212">
        <f>СЧЁТ!AB59</f>
        <v>0</v>
      </c>
      <c r="AB112" s="212">
        <f>СЧЁТ!AC52</f>
        <v>0</v>
      </c>
      <c r="AC112" s="212">
        <f>СЧЁТ!AD52</f>
        <v>0</v>
      </c>
      <c r="AD112" s="212">
        <f>СЧЁТ!AE52</f>
        <v>0</v>
      </c>
      <c r="AE112" s="212">
        <f>СЧЁТ!AF52</f>
        <v>0</v>
      </c>
      <c r="AF112" s="212">
        <f>СЧЁТ!AG52</f>
        <v>0</v>
      </c>
      <c r="AG112" s="212">
        <f>СЧЁТ!AH52</f>
        <v>0</v>
      </c>
      <c r="AH112" s="212">
        <f>СЧЁТ!AI52</f>
        <v>0</v>
      </c>
      <c r="AI112" s="212">
        <f>СЧЁТ!AJ52</f>
        <v>0</v>
      </c>
      <c r="AJ112" s="212">
        <f>СЧЁТ!AK52</f>
        <v>0</v>
      </c>
      <c r="AK112" s="212">
        <f>СЧЁТ!AL52</f>
        <v>0</v>
      </c>
      <c r="AL112" s="212">
        <f>СЧЁТ!AM52</f>
        <v>0</v>
      </c>
      <c r="AM112" s="212">
        <f>СЧЁТ!AN52</f>
        <v>0</v>
      </c>
      <c r="AN112" s="212">
        <f>СЧЁТ!AO52</f>
        <v>0</v>
      </c>
      <c r="AO112" s="212">
        <f>СЧЁТ!AP52</f>
        <v>0</v>
      </c>
      <c r="AP112" s="212">
        <f>СЧЁТ!AQ52</f>
        <v>0</v>
      </c>
      <c r="AQ112" s="212">
        <f>СЧЁТ!AR52</f>
        <v>0</v>
      </c>
      <c r="AR112" s="212">
        <f>СЧЁТ!AS52</f>
        <v>0</v>
      </c>
      <c r="AS112" s="209">
        <v>0.36199999999999999</v>
      </c>
      <c r="AT112" s="209">
        <v>0.36199999999999999</v>
      </c>
      <c r="AU112" s="209">
        <v>0.36199999999999999</v>
      </c>
      <c r="AV112" s="209">
        <v>0.36199999999999999</v>
      </c>
      <c r="AW112" s="209">
        <v>0.36199999999999999</v>
      </c>
      <c r="AX112" s="44" t="s">
        <v>586</v>
      </c>
    </row>
    <row r="113" spans="4:50" ht="17.399999999999999">
      <c r="D113" s="105">
        <v>47</v>
      </c>
      <c r="E113" s="204">
        <v>40585</v>
      </c>
      <c r="F113" s="205" t="s">
        <v>810</v>
      </c>
      <c r="G113" s="51" t="s">
        <v>809</v>
      </c>
      <c r="H113" s="85" t="s">
        <v>949</v>
      </c>
      <c r="I113" s="85"/>
      <c r="J113" s="85"/>
      <c r="K113" s="85"/>
      <c r="L113" s="85"/>
      <c r="M113" s="85"/>
      <c r="N113" s="216">
        <v>0.34028203577560534</v>
      </c>
      <c r="O113" s="212" t="e">
        <f>СЧЁТ!#REF!</f>
        <v>#REF!</v>
      </c>
      <c r="P113" s="212" t="e">
        <f>СЧЁТ!#REF!</f>
        <v>#REF!</v>
      </c>
      <c r="Q113" s="212" t="e">
        <f>СЧЁТ!#REF!</f>
        <v>#REF!</v>
      </c>
      <c r="R113" s="212">
        <f>СЧЁТ!S52</f>
        <v>0</v>
      </c>
      <c r="S113" s="212" t="e">
        <f>СЧЁТ!#REF!</f>
        <v>#REF!</v>
      </c>
      <c r="T113" s="212">
        <f>СЧЁТ!U54</f>
        <v>0</v>
      </c>
      <c r="U113" s="212">
        <f>СЧЁТ!V54</f>
        <v>0</v>
      </c>
      <c r="V113" s="212" t="e">
        <f>СЧЁТ!#REF!</f>
        <v>#REF!</v>
      </c>
      <c r="W113" s="212">
        <f>СЧЁТ!X56</f>
        <v>0</v>
      </c>
      <c r="X113" s="212">
        <f>СЧЁТ!Y56</f>
        <v>0</v>
      </c>
      <c r="Y113" s="212">
        <f>СЧЁТ!Z69</f>
        <v>0</v>
      </c>
      <c r="Z113" s="212">
        <f>СЧЁТ!AA69</f>
        <v>0</v>
      </c>
      <c r="AA113" s="212">
        <f>СЧЁТ!AB69</f>
        <v>0</v>
      </c>
      <c r="AB113" s="212">
        <f>СЧЁТ!AC54</f>
        <v>0</v>
      </c>
      <c r="AC113" s="212">
        <f>СЧЁТ!AD54</f>
        <v>0</v>
      </c>
      <c r="AD113" s="212">
        <f>СЧЁТ!AE54</f>
        <v>0</v>
      </c>
      <c r="AE113" s="212">
        <f>СЧЁТ!AF54</f>
        <v>0</v>
      </c>
      <c r="AF113" s="212">
        <f>СЧЁТ!AG54</f>
        <v>0</v>
      </c>
      <c r="AG113" s="212">
        <f>СЧЁТ!AH54</f>
        <v>0</v>
      </c>
      <c r="AH113" s="212">
        <f>СЧЁТ!AI54</f>
        <v>0</v>
      </c>
      <c r="AI113" s="212">
        <f>СЧЁТ!AJ54</f>
        <v>0</v>
      </c>
      <c r="AJ113" s="212">
        <f>СЧЁТ!AK54</f>
        <v>0</v>
      </c>
      <c r="AK113" s="212">
        <f>СЧЁТ!AL54</f>
        <v>0</v>
      </c>
      <c r="AL113" s="212">
        <f>СЧЁТ!AM54</f>
        <v>0</v>
      </c>
      <c r="AM113" s="212">
        <f>СЧЁТ!AN54</f>
        <v>0</v>
      </c>
      <c r="AN113" s="212">
        <f>СЧЁТ!AO54</f>
        <v>0</v>
      </c>
      <c r="AO113" s="212">
        <f>СЧЁТ!AP54</f>
        <v>0</v>
      </c>
      <c r="AP113" s="212">
        <f>СЧЁТ!AQ54</f>
        <v>0</v>
      </c>
      <c r="AQ113" s="212">
        <f>СЧЁТ!AR54</f>
        <v>0</v>
      </c>
      <c r="AR113" s="212">
        <f>СЧЁТ!AS54</f>
        <v>0</v>
      </c>
      <c r="AS113" s="209">
        <v>0.36699999999999999</v>
      </c>
      <c r="AT113" s="209">
        <v>0.36699999999999999</v>
      </c>
      <c r="AU113" s="209">
        <v>0.36699999999999999</v>
      </c>
      <c r="AV113" s="209">
        <v>0.36699999999999999</v>
      </c>
      <c r="AW113" s="209">
        <v>0.36699999999999999</v>
      </c>
      <c r="AX113" s="44" t="s">
        <v>810</v>
      </c>
    </row>
    <row r="114" spans="4:50" ht="17.399999999999999">
      <c r="D114" s="105">
        <v>48</v>
      </c>
      <c r="E114" s="204">
        <v>40585</v>
      </c>
      <c r="F114" s="205" t="s">
        <v>628</v>
      </c>
      <c r="G114" s="51" t="s">
        <v>809</v>
      </c>
      <c r="H114" s="85" t="s">
        <v>22</v>
      </c>
      <c r="I114" s="85"/>
      <c r="J114" s="85"/>
      <c r="K114" s="85"/>
      <c r="L114" s="85"/>
      <c r="M114" s="85"/>
      <c r="N114" s="216">
        <v>2.2490438989016016E-2</v>
      </c>
      <c r="O114" s="212">
        <f>СЧЁТ!P37</f>
        <v>0</v>
      </c>
      <c r="P114" s="212">
        <f>СЧЁТ!Q37</f>
        <v>0</v>
      </c>
      <c r="Q114" s="212">
        <f>СЧЁТ!R37</f>
        <v>0</v>
      </c>
      <c r="R114" s="212">
        <f>СЧЁТ!S37</f>
        <v>0</v>
      </c>
      <c r="S114" s="212">
        <f>СЧЁТ!T37</f>
        <v>0</v>
      </c>
      <c r="T114" s="212">
        <f>СЧЁТ!U37</f>
        <v>0</v>
      </c>
      <c r="U114" s="212">
        <f>СЧЁТ!V37</f>
        <v>0</v>
      </c>
      <c r="V114" s="212">
        <f>СЧЁТ!W37</f>
        <v>0</v>
      </c>
      <c r="W114" s="212">
        <f>СЧЁТ!X37</f>
        <v>0</v>
      </c>
      <c r="X114" s="212">
        <f>СЧЁТ!Y37</f>
        <v>0</v>
      </c>
      <c r="Y114" s="212">
        <f>СЧЁТ!Z37</f>
        <v>0</v>
      </c>
      <c r="Z114" s="212">
        <f>СЧЁТ!AA37</f>
        <v>0</v>
      </c>
      <c r="AA114" s="212">
        <f>СЧЁТ!AB37</f>
        <v>0</v>
      </c>
      <c r="AB114" s="212">
        <f>СЧЁТ!AC37</f>
        <v>0</v>
      </c>
      <c r="AC114" s="212">
        <f>СЧЁТ!AD37</f>
        <v>0</v>
      </c>
      <c r="AD114" s="212">
        <f>СЧЁТ!AE37</f>
        <v>0</v>
      </c>
      <c r="AE114" s="212">
        <f>СЧЁТ!AF37</f>
        <v>0</v>
      </c>
      <c r="AF114" s="212">
        <f>СЧЁТ!AG37</f>
        <v>0</v>
      </c>
      <c r="AG114" s="212">
        <f>СЧЁТ!AH37</f>
        <v>0</v>
      </c>
      <c r="AH114" s="212">
        <f>СЧЁТ!AI37</f>
        <v>0</v>
      </c>
      <c r="AI114" s="212">
        <f>СЧЁТ!AJ37</f>
        <v>0</v>
      </c>
      <c r="AJ114" s="212">
        <f>СЧЁТ!AK37</f>
        <v>0</v>
      </c>
      <c r="AK114" s="212">
        <f>СЧЁТ!AL37</f>
        <v>0</v>
      </c>
      <c r="AL114" s="212">
        <f>СЧЁТ!AM37</f>
        <v>0</v>
      </c>
      <c r="AM114" s="212">
        <f>СЧЁТ!AN37</f>
        <v>0</v>
      </c>
      <c r="AN114" s="212">
        <f>СЧЁТ!AO37</f>
        <v>0</v>
      </c>
      <c r="AO114" s="212">
        <f>СЧЁТ!AP37</f>
        <v>0</v>
      </c>
      <c r="AP114" s="212">
        <f>СЧЁТ!AQ37</f>
        <v>0</v>
      </c>
      <c r="AQ114" s="212">
        <f>СЧЁТ!AR37</f>
        <v>0</v>
      </c>
      <c r="AR114" s="212">
        <f>СЧЁТ!AS37</f>
        <v>0</v>
      </c>
      <c r="AS114" s="209">
        <v>1.2487862470565009E-2</v>
      </c>
      <c r="AT114" s="209">
        <v>1.2487862470565009E-2</v>
      </c>
      <c r="AU114" s="209">
        <v>1.2487862470565009E-2</v>
      </c>
      <c r="AV114" s="209">
        <v>1.2487862470565009E-2</v>
      </c>
      <c r="AW114" s="209">
        <v>1.2487862470565009E-2</v>
      </c>
      <c r="AX114" s="44" t="s">
        <v>628</v>
      </c>
    </row>
    <row r="115" spans="4:50" ht="17.399999999999999">
      <c r="D115" s="105">
        <v>49</v>
      </c>
      <c r="E115" s="215">
        <v>40586</v>
      </c>
      <c r="F115" s="205" t="s">
        <v>738</v>
      </c>
      <c r="G115" s="51" t="s">
        <v>809</v>
      </c>
      <c r="H115" s="85" t="s">
        <v>951</v>
      </c>
      <c r="I115" s="85"/>
      <c r="J115" s="85"/>
      <c r="K115" s="85"/>
      <c r="L115" s="85"/>
      <c r="M115" s="85"/>
      <c r="N115" s="61">
        <v>1</v>
      </c>
      <c r="O115" s="212">
        <f>СЧЁТ!P38</f>
        <v>0</v>
      </c>
      <c r="P115" s="212">
        <f>СЧЁТ!Q38</f>
        <v>0</v>
      </c>
      <c r="Q115" s="212">
        <f>СЧЁТ!R38</f>
        <v>0</v>
      </c>
      <c r="R115" s="212">
        <f>СЧЁТ!S38</f>
        <v>0</v>
      </c>
      <c r="S115" s="212">
        <f>СЧЁТ!T38</f>
        <v>0</v>
      </c>
      <c r="T115" s="212">
        <f>СЧЁТ!U38</f>
        <v>0</v>
      </c>
      <c r="U115" s="212">
        <f>СЧЁТ!V38</f>
        <v>0</v>
      </c>
      <c r="V115" s="212">
        <f>СЧЁТ!W38</f>
        <v>0</v>
      </c>
      <c r="W115" s="212">
        <f>СЧЁТ!X38</f>
        <v>0</v>
      </c>
      <c r="X115" s="212">
        <f>СЧЁТ!Y38</f>
        <v>0</v>
      </c>
      <c r="Y115" s="212">
        <f>СЧЁТ!Z38</f>
        <v>0</v>
      </c>
      <c r="Z115" s="212">
        <f>СЧЁТ!AA38</f>
        <v>0</v>
      </c>
      <c r="AA115" s="212">
        <f>СЧЁТ!AB38</f>
        <v>0</v>
      </c>
      <c r="AB115" s="212">
        <f>СЧЁТ!AC38</f>
        <v>0</v>
      </c>
      <c r="AC115" s="212">
        <f>СЧЁТ!AD38</f>
        <v>0</v>
      </c>
      <c r="AD115" s="212">
        <f>СЧЁТ!AE38</f>
        <v>0</v>
      </c>
      <c r="AE115" s="212">
        <f>СЧЁТ!AF38</f>
        <v>0</v>
      </c>
      <c r="AF115" s="212">
        <f>СЧЁТ!AG38</f>
        <v>0</v>
      </c>
      <c r="AG115" s="212">
        <f>СЧЁТ!AH38</f>
        <v>0</v>
      </c>
      <c r="AH115" s="212">
        <f>СЧЁТ!AI38</f>
        <v>0</v>
      </c>
      <c r="AI115" s="212">
        <f>СЧЁТ!AJ38</f>
        <v>0</v>
      </c>
      <c r="AJ115" s="212">
        <f>СЧЁТ!AK38</f>
        <v>0</v>
      </c>
      <c r="AK115" s="212">
        <f>СЧЁТ!AL38</f>
        <v>0</v>
      </c>
      <c r="AL115" s="212">
        <f>СЧЁТ!AM38</f>
        <v>0</v>
      </c>
      <c r="AM115" s="212">
        <f>СЧЁТ!AN38</f>
        <v>0</v>
      </c>
      <c r="AN115" s="212">
        <f>СЧЁТ!AO38</f>
        <v>0</v>
      </c>
      <c r="AO115" s="212">
        <f>СЧЁТ!AP38</f>
        <v>0</v>
      </c>
      <c r="AP115" s="212">
        <f>СЧЁТ!AQ38</f>
        <v>0</v>
      </c>
      <c r="AQ115" s="212">
        <f>СЧЁТ!AR38</f>
        <v>0</v>
      </c>
      <c r="AR115" s="212">
        <f>СЧЁТ!AS38</f>
        <v>0</v>
      </c>
      <c r="AS115" s="209">
        <v>2.930384144554933</v>
      </c>
      <c r="AT115" s="209">
        <v>2.9458593953258969</v>
      </c>
      <c r="AU115" s="209">
        <v>2.9597871210197644</v>
      </c>
      <c r="AV115" s="209">
        <v>2.9723220741442451</v>
      </c>
      <c r="AW115" s="209">
        <v>2.9836035319562777</v>
      </c>
      <c r="AX115" s="44" t="s">
        <v>738</v>
      </c>
    </row>
    <row r="116" spans="4:50" ht="17.399999999999999">
      <c r="D116" s="105">
        <v>50</v>
      </c>
      <c r="E116" s="36"/>
      <c r="F116" s="205" t="s">
        <v>952</v>
      </c>
      <c r="G116" s="51" t="s">
        <v>396</v>
      </c>
      <c r="H116" s="85" t="s">
        <v>737</v>
      </c>
      <c r="I116" s="85"/>
      <c r="J116" s="85"/>
      <c r="K116" s="85"/>
      <c r="L116" s="85"/>
      <c r="M116" s="85"/>
      <c r="N116" s="218">
        <v>418.46850000000001</v>
      </c>
      <c r="O116" s="212" t="e">
        <f>СЧЁТ!#REF!</f>
        <v>#REF!</v>
      </c>
      <c r="P116" s="212" t="e">
        <f>СЧЁТ!#REF!</f>
        <v>#REF!</v>
      </c>
      <c r="Q116" s="212" t="e">
        <f>СЧЁТ!#REF!</f>
        <v>#REF!</v>
      </c>
      <c r="R116" s="212" t="e">
        <f>СЧЁТ!#REF!</f>
        <v>#REF!</v>
      </c>
      <c r="S116" s="212" t="e">
        <f>СЧЁТ!#REF!</f>
        <v>#REF!</v>
      </c>
      <c r="T116" s="212" t="e">
        <f>СЧЁТ!#REF!</f>
        <v>#REF!</v>
      </c>
      <c r="U116" s="212" t="e">
        <f>СЧЁТ!#REF!</f>
        <v>#REF!</v>
      </c>
      <c r="V116" s="212" t="e">
        <f>СЧЁТ!#REF!</f>
        <v>#REF!</v>
      </c>
      <c r="W116" s="212" t="e">
        <f>СЧЁТ!#REF!</f>
        <v>#REF!</v>
      </c>
      <c r="X116" s="212" t="e">
        <f>СЧЁТ!#REF!</f>
        <v>#REF!</v>
      </c>
      <c r="Y116" s="212" t="e">
        <f>СЧЁТ!#REF!</f>
        <v>#REF!</v>
      </c>
      <c r="Z116" s="212" t="e">
        <f>СЧЁТ!#REF!</f>
        <v>#REF!</v>
      </c>
      <c r="AA116" s="212" t="e">
        <f>СЧЁТ!#REF!</f>
        <v>#REF!</v>
      </c>
      <c r="AB116" s="212">
        <f>СЧЁТ!AC65</f>
        <v>0</v>
      </c>
      <c r="AC116" s="212">
        <f>СЧЁТ!AD65</f>
        <v>0</v>
      </c>
      <c r="AD116" s="212">
        <f>СЧЁТ!AE65</f>
        <v>0</v>
      </c>
      <c r="AE116" s="212">
        <f>СЧЁТ!AF65</f>
        <v>0</v>
      </c>
      <c r="AF116" s="212">
        <f>СЧЁТ!AG65</f>
        <v>0</v>
      </c>
      <c r="AG116" s="212">
        <f>СЧЁТ!AH65</f>
        <v>0</v>
      </c>
      <c r="AH116" s="212">
        <f>СЧЁТ!AI65</f>
        <v>0</v>
      </c>
      <c r="AI116" s="212">
        <f>СЧЁТ!AJ65</f>
        <v>0</v>
      </c>
      <c r="AJ116" s="212">
        <f>СЧЁТ!AK65</f>
        <v>0</v>
      </c>
      <c r="AK116" s="212">
        <f>СЧЁТ!AL65</f>
        <v>0</v>
      </c>
      <c r="AL116" s="212">
        <f>СЧЁТ!AM65</f>
        <v>0</v>
      </c>
      <c r="AM116" s="212">
        <f>СЧЁТ!AN65</f>
        <v>0</v>
      </c>
      <c r="AN116" s="212">
        <f>СЧЁТ!AO65</f>
        <v>0</v>
      </c>
      <c r="AO116" s="212">
        <f>СЧЁТ!AP65</f>
        <v>0</v>
      </c>
      <c r="AP116" s="212">
        <f>СЧЁТ!AQ65</f>
        <v>0</v>
      </c>
      <c r="AQ116" s="212">
        <f>СЧЁТ!AR65</f>
        <v>0</v>
      </c>
      <c r="AR116" s="212">
        <f>СЧЁТ!AS65</f>
        <v>0</v>
      </c>
      <c r="AX116" s="44" t="s">
        <v>952</v>
      </c>
    </row>
    <row r="117" spans="4:50" ht="17.399999999999999">
      <c r="D117" s="105">
        <v>51</v>
      </c>
      <c r="E117" s="36"/>
      <c r="F117" s="205" t="s">
        <v>660</v>
      </c>
      <c r="G117" s="51" t="s">
        <v>396</v>
      </c>
      <c r="H117" s="85" t="s">
        <v>953</v>
      </c>
      <c r="I117" s="85"/>
      <c r="J117" s="85"/>
      <c r="K117" s="85"/>
      <c r="L117" s="222">
        <v>392.29556398346608</v>
      </c>
      <c r="M117" s="223">
        <v>296.96774193548384</v>
      </c>
      <c r="N117" s="224">
        <v>266.97399999999999</v>
      </c>
      <c r="O117" s="206" t="e">
        <f>СЧЁТ!#REF!</f>
        <v>#REF!</v>
      </c>
      <c r="P117" s="206" t="e">
        <f>СЧЁТ!#REF!</f>
        <v>#REF!</v>
      </c>
      <c r="Q117" s="206" t="e">
        <f>СЧЁТ!#REF!</f>
        <v>#REF!</v>
      </c>
      <c r="R117" s="206" t="e">
        <f>СЧЁТ!#REF!</f>
        <v>#REF!</v>
      </c>
      <c r="S117" s="206" t="e">
        <f>СЧЁТ!#REF!</f>
        <v>#REF!</v>
      </c>
      <c r="T117" s="206" t="e">
        <f>СЧЁТ!#REF!</f>
        <v>#REF!</v>
      </c>
      <c r="U117" s="206" t="e">
        <f>СЧЁТ!#REF!</f>
        <v>#REF!</v>
      </c>
      <c r="V117" s="212" t="e">
        <f>СЧЁТ!#REF!</f>
        <v>#REF!</v>
      </c>
      <c r="W117" s="212" t="e">
        <f>СЧЁТ!#REF!</f>
        <v>#REF!</v>
      </c>
      <c r="X117" s="212" t="e">
        <f>СЧЁТ!#REF!</f>
        <v>#REF!</v>
      </c>
      <c r="Y117" s="212" t="e">
        <f>СЧЁТ!#REF!</f>
        <v>#REF!</v>
      </c>
      <c r="Z117" s="212" t="e">
        <f>СЧЁТ!#REF!</f>
        <v>#REF!</v>
      </c>
      <c r="AA117" s="212" t="e">
        <f>СЧЁТ!#REF!</f>
        <v>#REF!</v>
      </c>
      <c r="AB117" s="212">
        <f>СЧЁТ!AC66</f>
        <v>0</v>
      </c>
      <c r="AC117" s="212">
        <f>СЧЁТ!AD66</f>
        <v>0</v>
      </c>
      <c r="AD117" s="212">
        <f>СЧЁТ!AE66</f>
        <v>0</v>
      </c>
      <c r="AE117" s="212">
        <f>СЧЁТ!AF66</f>
        <v>0</v>
      </c>
      <c r="AF117" s="212">
        <f>СЧЁТ!AG66</f>
        <v>0</v>
      </c>
      <c r="AG117" s="212">
        <f>СЧЁТ!AH66</f>
        <v>0</v>
      </c>
      <c r="AH117" s="212">
        <f>СЧЁТ!AI66</f>
        <v>0</v>
      </c>
      <c r="AI117" s="212">
        <f>СЧЁТ!AJ66</f>
        <v>0</v>
      </c>
      <c r="AJ117" s="212">
        <f>СЧЁТ!AK66</f>
        <v>0</v>
      </c>
      <c r="AK117" s="212">
        <f>СЧЁТ!AL66</f>
        <v>0</v>
      </c>
      <c r="AL117" s="212">
        <f>СЧЁТ!AM66</f>
        <v>0</v>
      </c>
      <c r="AM117" s="212">
        <f>СЧЁТ!AN66</f>
        <v>0</v>
      </c>
      <c r="AN117" s="212">
        <f>СЧЁТ!AO66</f>
        <v>0</v>
      </c>
      <c r="AO117" s="212">
        <f>СЧЁТ!AP66</f>
        <v>0</v>
      </c>
      <c r="AP117" s="212">
        <f>СЧЁТ!AQ66</f>
        <v>0</v>
      </c>
      <c r="AQ117" s="212">
        <f>СЧЁТ!AR66</f>
        <v>0</v>
      </c>
      <c r="AR117" s="212">
        <f>СЧЁТ!AS66</f>
        <v>0</v>
      </c>
      <c r="AX117" s="44" t="s">
        <v>660</v>
      </c>
    </row>
    <row r="118" spans="4:50" ht="17.399999999999999">
      <c r="D118" s="105">
        <v>52</v>
      </c>
      <c r="E118" s="36"/>
      <c r="F118" s="205" t="s">
        <v>425</v>
      </c>
      <c r="G118" s="51" t="s">
        <v>396</v>
      </c>
      <c r="H118" s="85" t="s">
        <v>954</v>
      </c>
      <c r="I118" s="85"/>
      <c r="J118" s="85"/>
      <c r="K118" s="85"/>
      <c r="L118" s="85"/>
      <c r="M118" s="225">
        <v>610.83799999999997</v>
      </c>
      <c r="N118" s="218">
        <v>1428.5209000000002</v>
      </c>
      <c r="O118" s="212" t="e">
        <f>СЧЁТ!#REF!</f>
        <v>#REF!</v>
      </c>
      <c r="P118" s="212" t="e">
        <f>СЧЁТ!#REF!</f>
        <v>#REF!</v>
      </c>
      <c r="Q118" s="212" t="e">
        <f>СЧЁТ!#REF!</f>
        <v>#REF!</v>
      </c>
      <c r="R118" s="212" t="e">
        <f>СЧЁТ!#REF!</f>
        <v>#REF!</v>
      </c>
      <c r="S118" s="212" t="e">
        <f>СЧЁТ!#REF!</f>
        <v>#REF!</v>
      </c>
      <c r="T118" s="212" t="e">
        <f>СЧЁТ!#REF!</f>
        <v>#REF!</v>
      </c>
      <c r="U118" s="212" t="e">
        <f>СЧЁТ!#REF!</f>
        <v>#REF!</v>
      </c>
      <c r="V118" s="212" t="e">
        <f>СЧЁТ!#REF!</f>
        <v>#REF!</v>
      </c>
      <c r="W118" s="212" t="e">
        <f>СЧЁТ!#REF!</f>
        <v>#REF!</v>
      </c>
      <c r="X118" s="212" t="e">
        <f>СЧЁТ!#REF!</f>
        <v>#REF!</v>
      </c>
      <c r="Y118" s="212" t="e">
        <f>СЧЁТ!#REF!</f>
        <v>#REF!</v>
      </c>
      <c r="Z118" s="212" t="e">
        <f>СЧЁТ!#REF!</f>
        <v>#REF!</v>
      </c>
      <c r="AA118" s="212" t="e">
        <f>СЧЁТ!#REF!</f>
        <v>#REF!</v>
      </c>
      <c r="AB118" s="212">
        <f>СЧЁТ!AC67</f>
        <v>0</v>
      </c>
      <c r="AC118" s="212">
        <f>СЧЁТ!AD67</f>
        <v>0</v>
      </c>
      <c r="AD118" s="212">
        <f>СЧЁТ!AE67</f>
        <v>0</v>
      </c>
      <c r="AE118" s="212">
        <f>СЧЁТ!AF67</f>
        <v>0</v>
      </c>
      <c r="AF118" s="212">
        <f>СЧЁТ!AG67</f>
        <v>0</v>
      </c>
      <c r="AG118" s="212">
        <f>СЧЁТ!AH67</f>
        <v>0</v>
      </c>
      <c r="AH118" s="212">
        <f>СЧЁТ!AI67</f>
        <v>0</v>
      </c>
      <c r="AI118" s="212">
        <f>СЧЁТ!AJ67</f>
        <v>0</v>
      </c>
      <c r="AJ118" s="212">
        <f>СЧЁТ!AK67</f>
        <v>0</v>
      </c>
      <c r="AK118" s="212">
        <f>СЧЁТ!AL67</f>
        <v>0</v>
      </c>
      <c r="AL118" s="212">
        <f>СЧЁТ!AM67</f>
        <v>0</v>
      </c>
      <c r="AM118" s="212">
        <f>СЧЁТ!AN67</f>
        <v>0</v>
      </c>
      <c r="AN118" s="212">
        <f>СЧЁТ!AO67</f>
        <v>0</v>
      </c>
      <c r="AO118" s="212">
        <f>СЧЁТ!AP67</f>
        <v>0</v>
      </c>
      <c r="AP118" s="212">
        <f>СЧЁТ!AQ67</f>
        <v>0</v>
      </c>
      <c r="AQ118" s="212">
        <f>СЧЁТ!AR67</f>
        <v>0</v>
      </c>
      <c r="AR118" s="212">
        <f>СЧЁТ!AS67</f>
        <v>0</v>
      </c>
      <c r="AX118" s="44" t="s">
        <v>425</v>
      </c>
    </row>
    <row r="119" spans="4:50" ht="17.399999999999999">
      <c r="D119" s="105">
        <v>53</v>
      </c>
      <c r="E119" s="36"/>
      <c r="F119" s="205" t="s">
        <v>423</v>
      </c>
      <c r="G119" s="51" t="s">
        <v>396</v>
      </c>
      <c r="H119" s="85" t="s">
        <v>955</v>
      </c>
      <c r="I119" s="85"/>
      <c r="J119" s="85"/>
      <c r="K119" s="85"/>
      <c r="L119" s="85"/>
      <c r="M119" s="85"/>
      <c r="N119" s="61">
        <v>0</v>
      </c>
      <c r="O119" s="212" t="e">
        <f>СЧЁТ!#REF!</f>
        <v>#REF!</v>
      </c>
      <c r="P119" s="212" t="e">
        <f>СЧЁТ!#REF!</f>
        <v>#REF!</v>
      </c>
      <c r="Q119" s="212" t="e">
        <f>СЧЁТ!#REF!</f>
        <v>#REF!</v>
      </c>
      <c r="R119" s="212" t="e">
        <f>СЧЁТ!#REF!</f>
        <v>#REF!</v>
      </c>
      <c r="S119" s="212" t="e">
        <f>СЧЁТ!#REF!</f>
        <v>#REF!</v>
      </c>
      <c r="T119" s="212">
        <f>СЧЁТ!U77</f>
        <v>0</v>
      </c>
      <c r="U119" s="212">
        <f>СЧЁТ!V77</f>
        <v>0</v>
      </c>
      <c r="V119" s="212">
        <f>СЧЁТ!W77</f>
        <v>0</v>
      </c>
      <c r="W119" s="212">
        <f>СЧЁТ!X77</f>
        <v>0</v>
      </c>
      <c r="X119" s="212">
        <f>СЧЁТ!Y77</f>
        <v>0</v>
      </c>
      <c r="Y119" s="212">
        <f>СЧЁТ!Z77</f>
        <v>0</v>
      </c>
      <c r="Z119" s="212">
        <f>СЧЁТ!AA77</f>
        <v>0</v>
      </c>
      <c r="AA119" s="212">
        <f>СЧЁТ!AB77</f>
        <v>0</v>
      </c>
      <c r="AB119" s="212">
        <f>СЧЁТ!AC77</f>
        <v>0</v>
      </c>
      <c r="AC119" s="212">
        <f>СЧЁТ!AD77</f>
        <v>0</v>
      </c>
      <c r="AD119" s="212">
        <f>СЧЁТ!AE77</f>
        <v>0</v>
      </c>
      <c r="AE119" s="212">
        <f>СЧЁТ!AF77</f>
        <v>0</v>
      </c>
      <c r="AF119" s="212">
        <f>СЧЁТ!AG77</f>
        <v>0</v>
      </c>
      <c r="AG119" s="212">
        <f>СЧЁТ!AH77</f>
        <v>0</v>
      </c>
      <c r="AH119" s="212">
        <f>СЧЁТ!AI77</f>
        <v>0</v>
      </c>
      <c r="AI119" s="212">
        <f>СЧЁТ!AJ77</f>
        <v>0</v>
      </c>
      <c r="AJ119" s="212">
        <f>СЧЁТ!AK77</f>
        <v>0</v>
      </c>
      <c r="AK119" s="212">
        <f>СЧЁТ!AL77</f>
        <v>0</v>
      </c>
      <c r="AL119" s="212">
        <f>СЧЁТ!AM77</f>
        <v>0</v>
      </c>
      <c r="AM119" s="212">
        <f>СЧЁТ!AN77</f>
        <v>0</v>
      </c>
      <c r="AN119" s="212">
        <f>СЧЁТ!AO77</f>
        <v>0</v>
      </c>
      <c r="AO119" s="212">
        <f>СЧЁТ!AP77</f>
        <v>0</v>
      </c>
      <c r="AP119" s="212">
        <f>СЧЁТ!AQ77</f>
        <v>0</v>
      </c>
      <c r="AQ119" s="212">
        <f>СЧЁТ!AR77</f>
        <v>0</v>
      </c>
      <c r="AR119" s="212">
        <f>СЧЁТ!AS77</f>
        <v>0</v>
      </c>
      <c r="AS119" s="206">
        <v>0</v>
      </c>
      <c r="AT119" s="206">
        <v>0</v>
      </c>
      <c r="AU119" s="206">
        <v>0</v>
      </c>
      <c r="AV119" s="206">
        <v>0</v>
      </c>
      <c r="AW119" s="206">
        <v>0</v>
      </c>
      <c r="AX119" s="44" t="s">
        <v>423</v>
      </c>
    </row>
    <row r="120" spans="4:50" ht="17.399999999999999">
      <c r="D120" s="106">
        <v>54</v>
      </c>
      <c r="E120" s="226">
        <v>40585</v>
      </c>
      <c r="F120" s="227" t="s">
        <v>21</v>
      </c>
      <c r="G120" s="3" t="s">
        <v>809</v>
      </c>
      <c r="H120" s="228" t="s">
        <v>956</v>
      </c>
      <c r="I120" s="228"/>
      <c r="J120" s="228"/>
      <c r="K120" s="228"/>
      <c r="L120" s="85"/>
      <c r="M120" s="85"/>
      <c r="N120" s="68">
        <v>0</v>
      </c>
      <c r="O120" s="212" t="e">
        <f>СЧЁТ!#REF!</f>
        <v>#REF!</v>
      </c>
      <c r="P120" s="212" t="e">
        <f>СЧЁТ!#REF!</f>
        <v>#REF!</v>
      </c>
      <c r="Q120" s="212" t="e">
        <f>СЧЁТ!#REF!</f>
        <v>#REF!</v>
      </c>
      <c r="R120" s="212" t="e">
        <f>СЧЁТ!#REF!</f>
        <v>#REF!</v>
      </c>
      <c r="S120" s="212" t="e">
        <f>СЧЁТ!#REF!</f>
        <v>#REF!</v>
      </c>
      <c r="T120" s="212">
        <f>СЧЁТ!U78</f>
        <v>0</v>
      </c>
      <c r="U120" s="212">
        <f>СЧЁТ!V78</f>
        <v>0</v>
      </c>
      <c r="V120" s="212">
        <f>СЧЁТ!W78</f>
        <v>0</v>
      </c>
      <c r="W120" s="212">
        <f>СЧЁТ!X78</f>
        <v>0</v>
      </c>
      <c r="X120" s="212">
        <f>СЧЁТ!Y78</f>
        <v>0</v>
      </c>
      <c r="Y120" s="212">
        <f>СЧЁТ!Z78</f>
        <v>0</v>
      </c>
      <c r="Z120" s="212">
        <f>СЧЁТ!AA78</f>
        <v>0</v>
      </c>
      <c r="AA120" s="212">
        <f>СЧЁТ!AB78</f>
        <v>0</v>
      </c>
      <c r="AB120" s="212">
        <f>СЧЁТ!AC78</f>
        <v>0</v>
      </c>
      <c r="AC120" s="212">
        <f>СЧЁТ!AD78</f>
        <v>0</v>
      </c>
      <c r="AD120" s="212">
        <f>СЧЁТ!AE78</f>
        <v>0</v>
      </c>
      <c r="AE120" s="212">
        <f>СЧЁТ!AF78</f>
        <v>0</v>
      </c>
      <c r="AF120" s="212">
        <f>СЧЁТ!AG78</f>
        <v>0</v>
      </c>
      <c r="AG120" s="212">
        <f>СЧЁТ!AH78</f>
        <v>0</v>
      </c>
      <c r="AH120" s="212">
        <f>СЧЁТ!AI78</f>
        <v>0</v>
      </c>
      <c r="AI120" s="212">
        <f>СЧЁТ!AJ78</f>
        <v>0</v>
      </c>
      <c r="AJ120" s="212">
        <f>СЧЁТ!AK78</f>
        <v>0</v>
      </c>
      <c r="AK120" s="212">
        <f>СЧЁТ!AL78</f>
        <v>0</v>
      </c>
      <c r="AL120" s="212">
        <f>СЧЁТ!AM78</f>
        <v>0</v>
      </c>
      <c r="AM120" s="212">
        <f>СЧЁТ!AN78</f>
        <v>0</v>
      </c>
      <c r="AN120" s="212">
        <f>СЧЁТ!AO78</f>
        <v>0</v>
      </c>
      <c r="AO120" s="212">
        <f>СЧЁТ!AP78</f>
        <v>0</v>
      </c>
      <c r="AP120" s="212">
        <f>СЧЁТ!AQ78</f>
        <v>0</v>
      </c>
      <c r="AQ120" s="212">
        <f>СЧЁТ!AR78</f>
        <v>0</v>
      </c>
      <c r="AR120" s="212">
        <f>СЧЁТ!AS78</f>
        <v>0</v>
      </c>
      <c r="AS120" s="209">
        <v>8.0899096576620491E-3</v>
      </c>
      <c r="AT120" s="209">
        <v>7.9838345361828919E-3</v>
      </c>
      <c r="AU120" s="209">
        <v>7.904278195073524E-3</v>
      </c>
      <c r="AV120" s="209">
        <v>7.8446109392414989E-3</v>
      </c>
      <c r="AW120" s="209">
        <v>7.7998604973674801E-3</v>
      </c>
      <c r="AX120" s="44" t="s">
        <v>21</v>
      </c>
    </row>
    <row r="121" spans="4:50" ht="15.6">
      <c r="L121" s="47">
        <v>1993</v>
      </c>
      <c r="M121" s="48">
        <v>1994</v>
      </c>
      <c r="N121" s="58">
        <v>1995</v>
      </c>
      <c r="O121" s="48">
        <v>1996</v>
      </c>
      <c r="P121" s="48">
        <v>1997</v>
      </c>
      <c r="Q121" s="48">
        <v>1998</v>
      </c>
      <c r="R121" s="48">
        <v>1999</v>
      </c>
      <c r="S121" s="48">
        <v>2000</v>
      </c>
      <c r="T121" s="48">
        <v>2001</v>
      </c>
      <c r="U121" s="48">
        <v>2002</v>
      </c>
      <c r="V121" s="48">
        <v>2003</v>
      </c>
      <c r="W121" s="48">
        <v>2004</v>
      </c>
      <c r="X121" s="48">
        <v>2005</v>
      </c>
      <c r="Y121" s="48">
        <v>2006</v>
      </c>
      <c r="Z121" s="48">
        <v>2007</v>
      </c>
      <c r="AA121" s="48">
        <v>2008</v>
      </c>
      <c r="AB121" s="48">
        <v>2009</v>
      </c>
      <c r="AC121" s="48">
        <v>2010</v>
      </c>
      <c r="AD121" s="48">
        <v>2011</v>
      </c>
      <c r="AE121" s="48">
        <v>2012</v>
      </c>
      <c r="AF121" s="48">
        <v>2013</v>
      </c>
      <c r="AG121" s="48">
        <v>2014</v>
      </c>
      <c r="AH121" s="48">
        <v>2015</v>
      </c>
      <c r="AI121" s="48">
        <v>2016</v>
      </c>
      <c r="AJ121" s="48">
        <v>2017</v>
      </c>
      <c r="AK121" s="48">
        <v>2018</v>
      </c>
      <c r="AL121" s="48">
        <v>2019</v>
      </c>
      <c r="AM121" s="48">
        <v>2020</v>
      </c>
      <c r="AN121" s="48">
        <v>2021</v>
      </c>
      <c r="AO121" s="48">
        <v>2022</v>
      </c>
      <c r="AP121" s="48">
        <v>2023</v>
      </c>
      <c r="AQ121" s="48">
        <v>2024</v>
      </c>
      <c r="AR121" s="229">
        <v>2025</v>
      </c>
      <c r="AS121" s="48">
        <v>2026</v>
      </c>
      <c r="AT121" s="229">
        <v>2027</v>
      </c>
      <c r="AU121" s="48">
        <v>2028</v>
      </c>
      <c r="AV121" s="229">
        <v>2029</v>
      </c>
      <c r="AW121" s="48">
        <v>2030</v>
      </c>
      <c r="AX121" s="44">
        <v>0</v>
      </c>
    </row>
    <row r="123" spans="4:50" ht="15" thickBot="1"/>
    <row r="124" spans="4:50" ht="18" thickBot="1">
      <c r="D124" s="188" t="s">
        <v>695</v>
      </c>
      <c r="E124" s="189">
        <v>40580</v>
      </c>
      <c r="F124" s="275"/>
      <c r="G124" s="276" t="s">
        <v>30</v>
      </c>
      <c r="H124" s="190"/>
      <c r="I124" s="190"/>
      <c r="J124" s="190"/>
      <c r="K124" s="190"/>
      <c r="L124" s="190"/>
      <c r="M124" s="191"/>
      <c r="N124" s="192" t="s">
        <v>889</v>
      </c>
      <c r="O124" s="193" t="s">
        <v>890</v>
      </c>
      <c r="P124" s="193" t="s">
        <v>891</v>
      </c>
      <c r="Q124" s="193" t="s">
        <v>892</v>
      </c>
      <c r="R124" s="193" t="s">
        <v>893</v>
      </c>
      <c r="S124" s="193" t="s">
        <v>891</v>
      </c>
      <c r="T124" s="193"/>
      <c r="U124" s="193"/>
      <c r="V124" s="193"/>
      <c r="W124" s="193"/>
      <c r="X124" s="193"/>
      <c r="Y124" s="193"/>
      <c r="Z124" s="193"/>
      <c r="AA124" s="193"/>
      <c r="AB124" s="193"/>
      <c r="AC124" s="194" t="s">
        <v>894</v>
      </c>
      <c r="AD124" s="195" t="s">
        <v>895</v>
      </c>
      <c r="AE124" s="195" t="s">
        <v>890</v>
      </c>
      <c r="AF124" s="195" t="s">
        <v>896</v>
      </c>
      <c r="AG124" s="195" t="s">
        <v>897</v>
      </c>
      <c r="AH124" s="195" t="s">
        <v>890</v>
      </c>
      <c r="AI124" s="195" t="s">
        <v>898</v>
      </c>
      <c r="AJ124" s="195"/>
      <c r="AK124" s="195"/>
      <c r="AL124" s="195"/>
      <c r="AM124" s="195"/>
      <c r="AN124" s="195"/>
      <c r="AO124" s="195"/>
      <c r="AP124" s="195"/>
      <c r="AQ124" s="195"/>
      <c r="AR124" s="195"/>
      <c r="AS124" s="196"/>
    </row>
    <row r="125" spans="4:50" ht="16.2" thickBot="1">
      <c r="D125" s="105"/>
      <c r="E125" s="198" t="s">
        <v>899</v>
      </c>
      <c r="F125" s="199"/>
      <c r="G125" s="200"/>
      <c r="H125" s="201" t="s">
        <v>900</v>
      </c>
      <c r="I125" s="202"/>
      <c r="J125" s="202"/>
      <c r="K125" s="202"/>
      <c r="L125" s="202"/>
      <c r="M125" s="203"/>
      <c r="N125" s="42">
        <v>1995</v>
      </c>
      <c r="O125" s="48">
        <v>1996</v>
      </c>
      <c r="P125" s="48">
        <v>1997</v>
      </c>
      <c r="Q125" s="48">
        <v>1998</v>
      </c>
      <c r="R125" s="48">
        <v>1999</v>
      </c>
      <c r="S125" s="48">
        <v>2000</v>
      </c>
      <c r="T125" s="48">
        <v>2001</v>
      </c>
      <c r="U125" s="48">
        <v>2002</v>
      </c>
      <c r="V125" s="48">
        <v>2003</v>
      </c>
      <c r="W125" s="48">
        <v>2004</v>
      </c>
      <c r="X125" s="48">
        <v>2005</v>
      </c>
      <c r="Y125" s="48">
        <v>2006</v>
      </c>
      <c r="Z125" s="48">
        <v>2007</v>
      </c>
      <c r="AA125" s="48">
        <v>2008</v>
      </c>
      <c r="AB125" s="48">
        <v>2009</v>
      </c>
      <c r="AC125" s="48">
        <v>2010</v>
      </c>
      <c r="AD125" s="48">
        <v>2011</v>
      </c>
      <c r="AE125" s="48">
        <v>2012</v>
      </c>
      <c r="AF125" s="48">
        <v>2013</v>
      </c>
      <c r="AG125" s="48">
        <v>2014</v>
      </c>
      <c r="AH125" s="48">
        <v>2015</v>
      </c>
      <c r="AI125" s="48">
        <v>2016</v>
      </c>
      <c r="AJ125" s="48">
        <v>2017</v>
      </c>
      <c r="AK125" s="48">
        <v>2018</v>
      </c>
      <c r="AL125" s="48">
        <v>2019</v>
      </c>
      <c r="AM125" s="48">
        <v>2020</v>
      </c>
      <c r="AN125" s="48">
        <v>2021</v>
      </c>
      <c r="AO125" s="48">
        <v>2022</v>
      </c>
      <c r="AP125" s="48">
        <v>2023</v>
      </c>
      <c r="AQ125" s="48">
        <v>2024</v>
      </c>
      <c r="AR125" s="48">
        <v>2025</v>
      </c>
      <c r="AS125" s="16"/>
    </row>
    <row r="126" spans="4:50" ht="17.399999999999999">
      <c r="D126" s="105">
        <v>1</v>
      </c>
      <c r="E126" s="204">
        <v>40560</v>
      </c>
      <c r="F126" s="205" t="s">
        <v>458</v>
      </c>
      <c r="G126" s="51" t="s">
        <v>901</v>
      </c>
      <c r="H126" s="85" t="s">
        <v>861</v>
      </c>
      <c r="I126" s="85"/>
      <c r="J126" s="85"/>
      <c r="K126" s="85"/>
      <c r="L126" s="85"/>
      <c r="M126" s="85"/>
      <c r="N126" s="60">
        <f t="shared" ref="N126:O145" si="0">N67-N8</f>
        <v>0</v>
      </c>
      <c r="O126" s="209">
        <f t="shared" si="0"/>
        <v>-8.3620000000053096E-3</v>
      </c>
      <c r="P126" s="209">
        <f t="shared" ref="P126:AR135" si="1">P67-P8</f>
        <v>2.8613000000007105E-2</v>
      </c>
      <c r="Q126" s="209">
        <f t="shared" si="1"/>
        <v>2.1329999999863958E-3</v>
      </c>
      <c r="R126" s="209">
        <f t="shared" si="1"/>
        <v>3.9425999999991745E-2</v>
      </c>
      <c r="S126" s="209">
        <f t="shared" si="1"/>
        <v>0.59012799999999288</v>
      </c>
      <c r="T126" s="209">
        <f t="shared" si="1"/>
        <v>-3.8900000001262924E-4</v>
      </c>
      <c r="U126" s="209">
        <f t="shared" si="1"/>
        <v>0.16673099999999863</v>
      </c>
      <c r="V126" s="209">
        <f t="shared" si="1"/>
        <v>0.7636500000000126</v>
      </c>
      <c r="W126" s="209">
        <f t="shared" si="1"/>
        <v>0.66820500000000038</v>
      </c>
      <c r="X126" s="209">
        <f t="shared" si="1"/>
        <v>0.67421899999999368</v>
      </c>
      <c r="Y126" s="209">
        <f t="shared" si="1"/>
        <v>0.55355099999999879</v>
      </c>
      <c r="Z126" s="209">
        <f t="shared" si="1"/>
        <v>0.22096799999999917</v>
      </c>
      <c r="AA126" s="209">
        <f t="shared" si="1"/>
        <v>0.10883799999999155</v>
      </c>
      <c r="AB126" s="209">
        <f t="shared" si="1"/>
        <v>3.9789999999868542E-3</v>
      </c>
      <c r="AC126" s="206">
        <f t="shared" si="1"/>
        <v>0.90241450459771499</v>
      </c>
      <c r="AD126" s="206">
        <f t="shared" si="1"/>
        <v>0.79557024598705084</v>
      </c>
      <c r="AE126" s="206">
        <f t="shared" si="1"/>
        <v>0.81019861163062501</v>
      </c>
      <c r="AF126" s="206">
        <f t="shared" si="1"/>
        <v>0.85818741785229236</v>
      </c>
      <c r="AG126" s="206">
        <f t="shared" si="1"/>
        <v>0.88409758720442255</v>
      </c>
      <c r="AH126" s="206">
        <f t="shared" si="1"/>
        <v>3.1461454849074073</v>
      </c>
      <c r="AI126" s="206">
        <f t="shared" si="1"/>
        <v>3.0473007666863907</v>
      </c>
      <c r="AJ126" s="206">
        <f t="shared" si="1"/>
        <v>2.8951074119013072</v>
      </c>
      <c r="AK126" s="206">
        <f t="shared" si="1"/>
        <v>2.5261972637756003</v>
      </c>
      <c r="AL126" s="206">
        <f t="shared" si="1"/>
        <v>1.9152869238195365</v>
      </c>
      <c r="AM126" s="206">
        <f t="shared" si="1"/>
        <v>1.367751354926213</v>
      </c>
      <c r="AN126" s="206">
        <f t="shared" si="1"/>
        <v>0.78100746934148901</v>
      </c>
      <c r="AO126" s="206">
        <f t="shared" si="1"/>
        <v>0.15195269133454303</v>
      </c>
      <c r="AP126" s="206">
        <f t="shared" si="1"/>
        <v>-0.53782369060411384</v>
      </c>
      <c r="AQ126" s="206">
        <f t="shared" si="1"/>
        <v>-1.2467920956573266</v>
      </c>
      <c r="AR126" s="206">
        <f t="shared" si="1"/>
        <v>-2.0135052368438551</v>
      </c>
      <c r="AS126" s="44" t="s">
        <v>458</v>
      </c>
    </row>
    <row r="127" spans="4:50" ht="17.399999999999999">
      <c r="D127" s="105">
        <v>2</v>
      </c>
      <c r="E127" s="204">
        <v>40558</v>
      </c>
      <c r="F127" s="205" t="s">
        <v>902</v>
      </c>
      <c r="G127" s="51" t="s">
        <v>809</v>
      </c>
      <c r="H127" s="85" t="s">
        <v>903</v>
      </c>
      <c r="I127" s="85"/>
      <c r="J127" s="85"/>
      <c r="K127" s="85"/>
      <c r="L127" s="85"/>
      <c r="M127" s="85"/>
      <c r="N127" s="207">
        <f t="shared" si="0"/>
        <v>-8.1591368846939405E-4</v>
      </c>
      <c r="O127" s="209">
        <f t="shared" si="0"/>
        <v>0</v>
      </c>
      <c r="P127" s="209">
        <f t="shared" ref="P127:AD127" si="2">P68-P9</f>
        <v>0</v>
      </c>
      <c r="Q127" s="209">
        <f t="shared" si="2"/>
        <v>0</v>
      </c>
      <c r="R127" s="209">
        <f t="shared" si="2"/>
        <v>0</v>
      </c>
      <c r="S127" s="209">
        <f t="shared" si="2"/>
        <v>8.9268626110731164E-3</v>
      </c>
      <c r="T127" s="209">
        <f t="shared" si="2"/>
        <v>9.1590113735784406E-4</v>
      </c>
      <c r="U127" s="209">
        <f t="shared" si="2"/>
        <v>-1.0257448461138408E-3</v>
      </c>
      <c r="V127" s="209">
        <f t="shared" si="2"/>
        <v>-3.8973647711512127E-3</v>
      </c>
      <c r="W127" s="209">
        <f t="shared" si="2"/>
        <v>5.2961672473861299E-4</v>
      </c>
      <c r="X127" s="209">
        <f t="shared" si="2"/>
        <v>-1.6106442577030755E-3</v>
      </c>
      <c r="Y127" s="209">
        <f t="shared" si="2"/>
        <v>1.8495077355835665E-3</v>
      </c>
      <c r="Z127" s="209">
        <f t="shared" si="2"/>
        <v>1.6126760563379694E-3</v>
      </c>
      <c r="AA127" s="209">
        <f t="shared" si="2"/>
        <v>-1.3530655391119639E-3</v>
      </c>
      <c r="AB127" s="209">
        <f t="shared" si="2"/>
        <v>2.4319943622268525E-3</v>
      </c>
      <c r="AC127" s="206">
        <f t="shared" si="2"/>
        <v>-2.651755576657755E-3</v>
      </c>
      <c r="AD127" s="206">
        <f t="shared" si="2"/>
        <v>-5.7778093179483569E-4</v>
      </c>
      <c r="AE127" s="206">
        <f t="shared" si="1"/>
        <v>-2.7048032732661653E-3</v>
      </c>
      <c r="AF127" s="206">
        <f t="shared" si="1"/>
        <v>-4.1039441834660462E-3</v>
      </c>
      <c r="AG127" s="206">
        <f t="shared" si="1"/>
        <v>-5.9800843173855034E-3</v>
      </c>
      <c r="AH127" s="206">
        <f t="shared" si="1"/>
        <v>-7.3832634949791975E-3</v>
      </c>
      <c r="AI127" s="206">
        <f t="shared" si="1"/>
        <v>-8.0469708527862727E-3</v>
      </c>
      <c r="AJ127" s="206">
        <f t="shared" si="1"/>
        <v>-1.2561761661975646E-2</v>
      </c>
      <c r="AK127" s="206">
        <f t="shared" si="1"/>
        <v>-1.1529850293468757E-2</v>
      </c>
      <c r="AL127" s="206">
        <f t="shared" si="1"/>
        <v>-1.3776589920570959E-2</v>
      </c>
      <c r="AM127" s="206">
        <f t="shared" si="1"/>
        <v>-1.4276589920570903E-2</v>
      </c>
      <c r="AN127" s="206">
        <f t="shared" si="1"/>
        <v>-1.4776589920570848E-2</v>
      </c>
      <c r="AO127" s="206">
        <f t="shared" si="1"/>
        <v>-1.5276589920570793E-2</v>
      </c>
      <c r="AP127" s="206">
        <f t="shared" si="1"/>
        <v>-1.5776589920570738E-2</v>
      </c>
      <c r="AQ127" s="206">
        <f t="shared" si="1"/>
        <v>-1.6276589920570683E-2</v>
      </c>
      <c r="AR127" s="206">
        <f t="shared" si="1"/>
        <v>-1.6776589920570628E-2</v>
      </c>
      <c r="AS127" s="44" t="s">
        <v>902</v>
      </c>
    </row>
    <row r="128" spans="4:50" ht="17.399999999999999">
      <c r="D128" s="105">
        <v>3</v>
      </c>
      <c r="E128" s="204"/>
      <c r="F128" s="205" t="s">
        <v>470</v>
      </c>
      <c r="G128" s="51" t="s">
        <v>901</v>
      </c>
      <c r="H128" s="85" t="s">
        <v>904</v>
      </c>
      <c r="I128" s="85"/>
      <c r="J128" s="85"/>
      <c r="K128" s="85"/>
      <c r="L128" s="85"/>
      <c r="M128" s="85"/>
      <c r="N128" s="207">
        <f t="shared" si="0"/>
        <v>0</v>
      </c>
      <c r="O128" s="209">
        <f t="shared" si="0"/>
        <v>62.927999999999997</v>
      </c>
      <c r="P128" s="209">
        <f t="shared" si="1"/>
        <v>60.020999999999994</v>
      </c>
      <c r="Q128" s="209">
        <f t="shared" si="1"/>
        <v>58.436999999999998</v>
      </c>
      <c r="R128" s="209">
        <f t="shared" si="1"/>
        <v>63.080999999999996</v>
      </c>
      <c r="S128" s="209">
        <f t="shared" si="1"/>
        <v>65.710999999999999</v>
      </c>
      <c r="T128" s="209">
        <f t="shared" si="1"/>
        <v>65.257000000000005</v>
      </c>
      <c r="U128" s="209">
        <f t="shared" si="1"/>
        <v>66.201999999999998</v>
      </c>
      <c r="V128" s="209">
        <f t="shared" si="1"/>
        <v>66.59</v>
      </c>
      <c r="W128" s="209">
        <f t="shared" si="1"/>
        <v>67.209999999999994</v>
      </c>
      <c r="X128" s="209">
        <f t="shared" si="1"/>
        <v>68.373000000000005</v>
      </c>
      <c r="Y128" s="209">
        <f t="shared" si="1"/>
        <v>69.42</v>
      </c>
      <c r="Z128" s="209">
        <f t="shared" si="1"/>
        <v>71.043000000000006</v>
      </c>
      <c r="AA128" s="209">
        <f t="shared" si="1"/>
        <v>70.411000000000001</v>
      </c>
      <c r="AB128" s="209">
        <f t="shared" si="1"/>
        <v>69.531599999999997</v>
      </c>
      <c r="AC128" s="206">
        <f t="shared" si="1"/>
        <v>71.149735138036647</v>
      </c>
      <c r="AD128" s="206">
        <f t="shared" si="1"/>
        <v>68.263115386016068</v>
      </c>
      <c r="AE128" s="206">
        <f t="shared" si="1"/>
        <v>66.817187562447529</v>
      </c>
      <c r="AF128" s="206">
        <f t="shared" si="1"/>
        <v>66.126805340252631</v>
      </c>
      <c r="AG128" s="206">
        <f t="shared" si="1"/>
        <v>66.313478199706424</v>
      </c>
      <c r="AH128" s="206">
        <f t="shared" si="1"/>
        <v>67.624951352538787</v>
      </c>
      <c r="AI128" s="206">
        <f t="shared" si="1"/>
        <v>68.219796089138924</v>
      </c>
      <c r="AJ128" s="206">
        <f t="shared" si="1"/>
        <v>67.939373443738077</v>
      </c>
      <c r="AK128" s="206">
        <f t="shared" si="1"/>
        <v>68.126271150828217</v>
      </c>
      <c r="AL128" s="206">
        <f t="shared" si="1"/>
        <v>67.230512902054571</v>
      </c>
      <c r="AM128" s="206">
        <f t="shared" si="1"/>
        <v>68.498559938808569</v>
      </c>
      <c r="AN128" s="206">
        <f t="shared" si="1"/>
        <v>67.842408181971123</v>
      </c>
      <c r="AO128" s="206">
        <f t="shared" si="1"/>
        <v>67.210466209496715</v>
      </c>
      <c r="AP128" s="206">
        <f t="shared" si="1"/>
        <v>66.616990716669306</v>
      </c>
      <c r="AQ128" s="206">
        <f t="shared" si="1"/>
        <v>66.146200615986984</v>
      </c>
      <c r="AR128" s="206">
        <f t="shared" si="1"/>
        <v>65.815785603795703</v>
      </c>
      <c r="AS128" s="44" t="s">
        <v>470</v>
      </c>
    </row>
    <row r="129" spans="4:45" ht="17.399999999999999">
      <c r="D129" s="105">
        <v>4</v>
      </c>
      <c r="E129" s="204">
        <v>40559</v>
      </c>
      <c r="F129" s="205" t="s">
        <v>499</v>
      </c>
      <c r="G129" s="51" t="s">
        <v>901</v>
      </c>
      <c r="H129" s="85" t="s">
        <v>905</v>
      </c>
      <c r="I129" s="85"/>
      <c r="J129" s="85"/>
      <c r="K129" s="85"/>
      <c r="L129" s="85"/>
      <c r="M129" s="85"/>
      <c r="N129" s="207">
        <f t="shared" si="0"/>
        <v>0</v>
      </c>
      <c r="O129" s="209">
        <f t="shared" si="0"/>
        <v>9.1798000000000002</v>
      </c>
      <c r="P129" s="209">
        <f t="shared" si="1"/>
        <v>-3.5</v>
      </c>
      <c r="Q129" s="209">
        <f t="shared" si="1"/>
        <v>52.691099999999999</v>
      </c>
      <c r="R129" s="209">
        <f t="shared" si="1"/>
        <v>-5</v>
      </c>
      <c r="S129" s="209">
        <f t="shared" si="1"/>
        <v>-5.75</v>
      </c>
      <c r="T129" s="209">
        <f t="shared" si="1"/>
        <v>-46.522599999999997</v>
      </c>
      <c r="U129" s="209">
        <f t="shared" si="1"/>
        <v>-8.9570000000000007</v>
      </c>
      <c r="V129" s="209">
        <f t="shared" si="1"/>
        <v>-115.4624</v>
      </c>
      <c r="W129" s="209">
        <f t="shared" si="1"/>
        <v>-104.8935</v>
      </c>
      <c r="X129" s="209">
        <f t="shared" si="1"/>
        <v>-135.59530000000001</v>
      </c>
      <c r="Y129" s="209">
        <f t="shared" si="1"/>
        <v>-27.429400000000001</v>
      </c>
      <c r="Z129" s="209">
        <f t="shared" si="1"/>
        <v>367.2842</v>
      </c>
      <c r="AA129" s="209">
        <f t="shared" si="1"/>
        <v>-617.09550000000002</v>
      </c>
      <c r="AB129" s="209">
        <f t="shared" si="1"/>
        <v>-704.86199999999997</v>
      </c>
      <c r="AC129" s="206">
        <f t="shared" si="1"/>
        <v>-429.12239999999997</v>
      </c>
      <c r="AD129" s="206">
        <f t="shared" si="1"/>
        <v>-11.057059999999993</v>
      </c>
      <c r="AE129" s="206">
        <f t="shared" si="1"/>
        <v>-11.411353999999992</v>
      </c>
      <c r="AF129" s="206">
        <f t="shared" si="1"/>
        <v>-11.730218599999992</v>
      </c>
      <c r="AG129" s="206">
        <f t="shared" si="1"/>
        <v>-329.81719673999999</v>
      </c>
      <c r="AH129" s="206">
        <f t="shared" si="1"/>
        <v>-462.475477066</v>
      </c>
      <c r="AI129" s="206">
        <f t="shared" si="1"/>
        <v>-79.527929359399991</v>
      </c>
      <c r="AJ129" s="206">
        <f t="shared" si="1"/>
        <v>-12.717136423459996</v>
      </c>
      <c r="AK129" s="206">
        <f t="shared" si="1"/>
        <v>-12.905422781113996</v>
      </c>
      <c r="AL129" s="206">
        <f t="shared" si="1"/>
        <v>-13.074880503002596</v>
      </c>
      <c r="AM129" s="206">
        <f t="shared" si="1"/>
        <v>-13.227392452702336</v>
      </c>
      <c r="AN129" s="206">
        <f t="shared" si="1"/>
        <v>-13.364653207432102</v>
      </c>
      <c r="AO129" s="206">
        <f t="shared" si="1"/>
        <v>-13.488187886688891</v>
      </c>
      <c r="AP129" s="206">
        <f t="shared" si="1"/>
        <v>-13.59936909802</v>
      </c>
      <c r="AQ129" s="206">
        <f t="shared" si="1"/>
        <v>-13.699432188217999</v>
      </c>
      <c r="AR129" s="206">
        <f t="shared" si="1"/>
        <v>-13.789488969396198</v>
      </c>
      <c r="AS129" s="44" t="s">
        <v>499</v>
      </c>
    </row>
    <row r="130" spans="4:45" ht="17.399999999999999">
      <c r="D130" s="105">
        <v>5</v>
      </c>
      <c r="E130" s="204">
        <v>40558</v>
      </c>
      <c r="F130" s="205" t="s">
        <v>906</v>
      </c>
      <c r="G130" s="51" t="s">
        <v>396</v>
      </c>
      <c r="H130" s="85" t="s">
        <v>907</v>
      </c>
      <c r="I130" s="85"/>
      <c r="J130" s="85"/>
      <c r="K130" s="85"/>
      <c r="L130" s="85"/>
      <c r="M130" s="85"/>
      <c r="N130" s="207">
        <f t="shared" si="0"/>
        <v>0</v>
      </c>
      <c r="O130" s="209" t="e">
        <f t="shared" si="0"/>
        <v>#REF!</v>
      </c>
      <c r="P130" s="209" t="e">
        <f t="shared" si="1"/>
        <v>#REF!</v>
      </c>
      <c r="Q130" s="209" t="e">
        <f t="shared" si="1"/>
        <v>#REF!</v>
      </c>
      <c r="R130" s="209" t="e">
        <f t="shared" si="1"/>
        <v>#REF!</v>
      </c>
      <c r="S130" s="209" t="e">
        <f t="shared" si="1"/>
        <v>#REF!</v>
      </c>
      <c r="T130" s="209" t="e">
        <f t="shared" si="1"/>
        <v>#REF!</v>
      </c>
      <c r="U130" s="209" t="e">
        <f t="shared" si="1"/>
        <v>#REF!</v>
      </c>
      <c r="V130" s="209" t="e">
        <f t="shared" si="1"/>
        <v>#REF!</v>
      </c>
      <c r="W130" s="209" t="e">
        <f t="shared" si="1"/>
        <v>#REF!</v>
      </c>
      <c r="X130" s="209" t="e">
        <f t="shared" si="1"/>
        <v>#REF!</v>
      </c>
      <c r="Y130" s="209" t="e">
        <f t="shared" si="1"/>
        <v>#REF!</v>
      </c>
      <c r="Z130" s="209" t="e">
        <f t="shared" si="1"/>
        <v>#REF!</v>
      </c>
      <c r="AA130" s="209" t="e">
        <f t="shared" si="1"/>
        <v>#REF!</v>
      </c>
      <c r="AB130" s="209" t="e">
        <f t="shared" si="1"/>
        <v>#REF!</v>
      </c>
      <c r="AC130" s="206" t="e">
        <f t="shared" si="1"/>
        <v>#REF!</v>
      </c>
      <c r="AD130" s="206" t="e">
        <f t="shared" si="1"/>
        <v>#REF!</v>
      </c>
      <c r="AE130" s="206" t="e">
        <f t="shared" si="1"/>
        <v>#REF!</v>
      </c>
      <c r="AF130" s="206" t="e">
        <f t="shared" si="1"/>
        <v>#REF!</v>
      </c>
      <c r="AG130" s="206" t="e">
        <f t="shared" si="1"/>
        <v>#REF!</v>
      </c>
      <c r="AH130" s="206" t="e">
        <f t="shared" si="1"/>
        <v>#REF!</v>
      </c>
      <c r="AI130" s="206" t="e">
        <f t="shared" si="1"/>
        <v>#REF!</v>
      </c>
      <c r="AJ130" s="206" t="e">
        <f t="shared" si="1"/>
        <v>#REF!</v>
      </c>
      <c r="AK130" s="206" t="e">
        <f t="shared" si="1"/>
        <v>#REF!</v>
      </c>
      <c r="AL130" s="206" t="e">
        <f t="shared" si="1"/>
        <v>#REF!</v>
      </c>
      <c r="AM130" s="206" t="e">
        <f t="shared" si="1"/>
        <v>#REF!</v>
      </c>
      <c r="AN130" s="206" t="e">
        <f t="shared" si="1"/>
        <v>#REF!</v>
      </c>
      <c r="AO130" s="206" t="e">
        <f t="shared" si="1"/>
        <v>#REF!</v>
      </c>
      <c r="AP130" s="206" t="e">
        <f t="shared" si="1"/>
        <v>#REF!</v>
      </c>
      <c r="AQ130" s="206" t="e">
        <f t="shared" si="1"/>
        <v>#REF!</v>
      </c>
      <c r="AR130" s="206" t="e">
        <f t="shared" si="1"/>
        <v>#REF!</v>
      </c>
      <c r="AS130" s="44" t="s">
        <v>906</v>
      </c>
    </row>
    <row r="131" spans="4:45" ht="17.399999999999999">
      <c r="D131" s="105">
        <v>6</v>
      </c>
      <c r="E131" s="215">
        <v>40569</v>
      </c>
      <c r="F131" s="205" t="s">
        <v>768</v>
      </c>
      <c r="G131" s="51" t="s">
        <v>809</v>
      </c>
      <c r="H131" s="85" t="s">
        <v>908</v>
      </c>
      <c r="I131" s="85"/>
      <c r="J131" s="85"/>
      <c r="K131" s="85"/>
      <c r="L131" s="85"/>
      <c r="M131" s="85"/>
      <c r="N131" s="207">
        <f t="shared" si="0"/>
        <v>0</v>
      </c>
      <c r="O131" s="209" t="e">
        <f t="shared" si="0"/>
        <v>#REF!</v>
      </c>
      <c r="P131" s="209" t="e">
        <f t="shared" si="1"/>
        <v>#REF!</v>
      </c>
      <c r="Q131" s="209" t="e">
        <f t="shared" si="1"/>
        <v>#REF!</v>
      </c>
      <c r="R131" s="209" t="e">
        <f t="shared" si="1"/>
        <v>#REF!</v>
      </c>
      <c r="S131" s="209" t="e">
        <f t="shared" si="1"/>
        <v>#REF!</v>
      </c>
      <c r="T131" s="209" t="e">
        <f t="shared" si="1"/>
        <v>#REF!</v>
      </c>
      <c r="U131" s="209" t="e">
        <f t="shared" si="1"/>
        <v>#REF!</v>
      </c>
      <c r="V131" s="209" t="e">
        <f t="shared" si="1"/>
        <v>#REF!</v>
      </c>
      <c r="W131" s="209" t="e">
        <f t="shared" si="1"/>
        <v>#REF!</v>
      </c>
      <c r="X131" s="209" t="e">
        <f t="shared" si="1"/>
        <v>#REF!</v>
      </c>
      <c r="Y131" s="209" t="e">
        <f t="shared" si="1"/>
        <v>#REF!</v>
      </c>
      <c r="Z131" s="209" t="e">
        <f t="shared" si="1"/>
        <v>#REF!</v>
      </c>
      <c r="AA131" s="209" t="e">
        <f t="shared" si="1"/>
        <v>#REF!</v>
      </c>
      <c r="AB131" s="209" t="e">
        <f t="shared" si="1"/>
        <v>#REF!</v>
      </c>
      <c r="AC131" s="206" t="e">
        <f t="shared" si="1"/>
        <v>#REF!</v>
      </c>
      <c r="AD131" s="206" t="e">
        <f t="shared" si="1"/>
        <v>#REF!</v>
      </c>
      <c r="AE131" s="206" t="e">
        <f t="shared" si="1"/>
        <v>#REF!</v>
      </c>
      <c r="AF131" s="206" t="e">
        <f t="shared" si="1"/>
        <v>#REF!</v>
      </c>
      <c r="AG131" s="206" t="e">
        <f t="shared" si="1"/>
        <v>#REF!</v>
      </c>
      <c r="AH131" s="206" t="e">
        <f t="shared" si="1"/>
        <v>#REF!</v>
      </c>
      <c r="AI131" s="206" t="e">
        <f t="shared" si="1"/>
        <v>#REF!</v>
      </c>
      <c r="AJ131" s="206" t="e">
        <f t="shared" si="1"/>
        <v>#REF!</v>
      </c>
      <c r="AK131" s="206" t="e">
        <f t="shared" si="1"/>
        <v>#REF!</v>
      </c>
      <c r="AL131" s="206" t="e">
        <f t="shared" si="1"/>
        <v>#REF!</v>
      </c>
      <c r="AM131" s="206" t="e">
        <f t="shared" si="1"/>
        <v>#REF!</v>
      </c>
      <c r="AN131" s="206" t="e">
        <f t="shared" si="1"/>
        <v>#REF!</v>
      </c>
      <c r="AO131" s="206" t="e">
        <f t="shared" si="1"/>
        <v>#REF!</v>
      </c>
      <c r="AP131" s="206" t="e">
        <f t="shared" si="1"/>
        <v>#REF!</v>
      </c>
      <c r="AQ131" s="206" t="e">
        <f t="shared" si="1"/>
        <v>#REF!</v>
      </c>
      <c r="AR131" s="206" t="e">
        <f t="shared" si="1"/>
        <v>#REF!</v>
      </c>
      <c r="AS131" s="44" t="s">
        <v>768</v>
      </c>
    </row>
    <row r="132" spans="4:45" ht="17.399999999999999">
      <c r="D132" s="105">
        <v>7</v>
      </c>
      <c r="E132" s="215">
        <v>40558</v>
      </c>
      <c r="F132" s="205" t="s">
        <v>453</v>
      </c>
      <c r="G132" s="51" t="s">
        <v>809</v>
      </c>
      <c r="H132" s="85" t="s">
        <v>909</v>
      </c>
      <c r="I132" s="85"/>
      <c r="J132" s="85"/>
      <c r="K132" s="85"/>
      <c r="L132" s="85"/>
      <c r="M132" s="85"/>
      <c r="N132" s="207">
        <f t="shared" si="0"/>
        <v>0</v>
      </c>
      <c r="O132" s="209">
        <f t="shared" si="0"/>
        <v>0</v>
      </c>
      <c r="P132" s="209">
        <f t="shared" si="1"/>
        <v>0</v>
      </c>
      <c r="Q132" s="209">
        <f t="shared" si="1"/>
        <v>0</v>
      </c>
      <c r="R132" s="209">
        <f t="shared" si="1"/>
        <v>0</v>
      </c>
      <c r="S132" s="209">
        <f t="shared" si="1"/>
        <v>0</v>
      </c>
      <c r="T132" s="209">
        <f t="shared" si="1"/>
        <v>0</v>
      </c>
      <c r="U132" s="209">
        <f t="shared" si="1"/>
        <v>0</v>
      </c>
      <c r="V132" s="209">
        <f t="shared" si="1"/>
        <v>0</v>
      </c>
      <c r="W132" s="209">
        <f t="shared" si="1"/>
        <v>0</v>
      </c>
      <c r="X132" s="209">
        <f t="shared" si="1"/>
        <v>0</v>
      </c>
      <c r="Y132" s="209">
        <f t="shared" si="1"/>
        <v>0</v>
      </c>
      <c r="Z132" s="209">
        <f t="shared" si="1"/>
        <v>0</v>
      </c>
      <c r="AA132" s="209">
        <f t="shared" si="1"/>
        <v>-4.6996782812747107E-4</v>
      </c>
      <c r="AB132" s="209">
        <f t="shared" si="1"/>
        <v>2.0480656546183473E-3</v>
      </c>
      <c r="AC132" s="206">
        <f t="shared" si="1"/>
        <v>4.2384339714190977E-3</v>
      </c>
      <c r="AD132" s="206">
        <f t="shared" si="1"/>
        <v>4.0894254057732837E-3</v>
      </c>
      <c r="AE132" s="206">
        <f t="shared" si="1"/>
        <v>5.0890885182444112E-3</v>
      </c>
      <c r="AF132" s="206">
        <f t="shared" si="1"/>
        <v>6.4432937296239334E-3</v>
      </c>
      <c r="AG132" s="206">
        <f t="shared" si="1"/>
        <v>6.5904864137357189E-3</v>
      </c>
      <c r="AH132" s="206">
        <f t="shared" si="1"/>
        <v>1.1365304410667409E-2</v>
      </c>
      <c r="AI132" s="206">
        <f t="shared" si="1"/>
        <v>1.5494478351419261E-2</v>
      </c>
      <c r="AJ132" s="206">
        <f t="shared" si="1"/>
        <v>1.9531827887155684E-2</v>
      </c>
      <c r="AK132" s="206">
        <f t="shared" si="1"/>
        <v>2.030495261820453E-2</v>
      </c>
      <c r="AL132" s="206">
        <f t="shared" si="1"/>
        <v>2.1155944052558717E-2</v>
      </c>
      <c r="AM132" s="206">
        <f t="shared" si="1"/>
        <v>2.2006935486912904E-2</v>
      </c>
      <c r="AN132" s="206">
        <f t="shared" si="1"/>
        <v>2.2857926921267091E-2</v>
      </c>
      <c r="AO132" s="206">
        <f t="shared" si="1"/>
        <v>2.3708918355621278E-2</v>
      </c>
      <c r="AP132" s="206">
        <f t="shared" si="1"/>
        <v>2.4559909789975465E-2</v>
      </c>
      <c r="AQ132" s="206">
        <f t="shared" si="1"/>
        <v>2.5410901224329652E-2</v>
      </c>
      <c r="AR132" s="206">
        <f t="shared" si="1"/>
        <v>2.6261892658683839E-2</v>
      </c>
      <c r="AS132" s="44" t="s">
        <v>453</v>
      </c>
    </row>
    <row r="133" spans="4:45" ht="17.399999999999999">
      <c r="D133" s="105">
        <v>8</v>
      </c>
      <c r="E133" s="215">
        <v>40568</v>
      </c>
      <c r="F133" s="205" t="s">
        <v>455</v>
      </c>
      <c r="G133" s="51" t="s">
        <v>809</v>
      </c>
      <c r="H133" s="85" t="s">
        <v>1</v>
      </c>
      <c r="I133" s="85"/>
      <c r="J133" s="85"/>
      <c r="K133" s="85"/>
      <c r="L133" s="85"/>
      <c r="M133" s="85"/>
      <c r="N133" s="207">
        <f t="shared" si="0"/>
        <v>0</v>
      </c>
      <c r="O133" s="209">
        <f t="shared" si="0"/>
        <v>-0.83684407302020125</v>
      </c>
      <c r="P133" s="209">
        <f t="shared" si="1"/>
        <v>-0.81635940903038262</v>
      </c>
      <c r="Q133" s="209">
        <f t="shared" si="1"/>
        <v>-0.77369295302649699</v>
      </c>
      <c r="R133" s="209">
        <f t="shared" si="1"/>
        <v>-0.79923247039975531</v>
      </c>
      <c r="S133" s="209">
        <f t="shared" si="1"/>
        <v>-0.78902498523654008</v>
      </c>
      <c r="T133" s="209">
        <f t="shared" si="1"/>
        <v>-0.81619924210827444</v>
      </c>
      <c r="U133" s="209">
        <f t="shared" si="1"/>
        <v>-0.78725932700023182</v>
      </c>
      <c r="V133" s="209">
        <f t="shared" si="1"/>
        <v>-0.77934670886019441</v>
      </c>
      <c r="W133" s="209">
        <f t="shared" si="1"/>
        <v>-0.73770474144437415</v>
      </c>
      <c r="X133" s="209">
        <f t="shared" si="1"/>
        <v>-0.72370557755977505</v>
      </c>
      <c r="Y133" s="209">
        <f t="shared" si="1"/>
        <v>-0.70003802398146497</v>
      </c>
      <c r="Z133" s="209">
        <f t="shared" si="1"/>
        <v>-0.67229247398096548</v>
      </c>
      <c r="AA133" s="209">
        <f t="shared" si="1"/>
        <v>-0.64656065783106453</v>
      </c>
      <c r="AB133" s="209">
        <f t="shared" si="1"/>
        <v>-0.71234790848266394</v>
      </c>
      <c r="AC133" s="206">
        <f t="shared" si="1"/>
        <v>-0.66975143887937627</v>
      </c>
      <c r="AD133" s="206">
        <f t="shared" si="1"/>
        <v>-0.63010650529673806</v>
      </c>
      <c r="AE133" s="206">
        <f t="shared" si="1"/>
        <v>-0.61246978455921419</v>
      </c>
      <c r="AF133" s="206">
        <f t="shared" si="1"/>
        <v>-0.60662320537837044</v>
      </c>
      <c r="AG133" s="206">
        <f t="shared" si="1"/>
        <v>-0.62943078254031326</v>
      </c>
      <c r="AH133" s="206">
        <f t="shared" si="1"/>
        <v>-0.69539513209202208</v>
      </c>
      <c r="AI133" s="206">
        <f t="shared" si="1"/>
        <v>-0.7037797889354056</v>
      </c>
      <c r="AJ133" s="206">
        <f t="shared" si="1"/>
        <v>-0.67256720057411556</v>
      </c>
      <c r="AK133" s="206">
        <f t="shared" si="1"/>
        <v>-0.67039560397292108</v>
      </c>
      <c r="AL133" s="206">
        <f t="shared" si="1"/>
        <v>-0.66767745602845407</v>
      </c>
      <c r="AM133" s="206">
        <f t="shared" si="1"/>
        <v>-0.66495930808398707</v>
      </c>
      <c r="AN133" s="206">
        <f t="shared" si="1"/>
        <v>-0.66224116013952006</v>
      </c>
      <c r="AO133" s="206">
        <f t="shared" si="1"/>
        <v>-0.65952301219505305</v>
      </c>
      <c r="AP133" s="206">
        <f t="shared" si="1"/>
        <v>-0.65680486425058604</v>
      </c>
      <c r="AQ133" s="206">
        <f t="shared" si="1"/>
        <v>-0.65408671630611903</v>
      </c>
      <c r="AR133" s="206">
        <f t="shared" si="1"/>
        <v>-0.65136856836165202</v>
      </c>
      <c r="AS133" s="44" t="s">
        <v>455</v>
      </c>
    </row>
    <row r="134" spans="4:45" ht="17.399999999999999">
      <c r="D134" s="105">
        <v>9</v>
      </c>
      <c r="E134" s="215"/>
      <c r="F134" s="205" t="s">
        <v>455</v>
      </c>
      <c r="G134" s="51" t="s">
        <v>809</v>
      </c>
      <c r="H134" s="85" t="s">
        <v>2</v>
      </c>
      <c r="I134" s="85"/>
      <c r="J134" s="85"/>
      <c r="K134" s="85"/>
      <c r="L134" s="85"/>
      <c r="M134" s="85"/>
      <c r="N134" s="207">
        <f t="shared" si="0"/>
        <v>0</v>
      </c>
      <c r="O134" s="209" t="e">
        <f t="shared" si="0"/>
        <v>#REF!</v>
      </c>
      <c r="P134" s="209" t="e">
        <f t="shared" si="1"/>
        <v>#REF!</v>
      </c>
      <c r="Q134" s="209" t="e">
        <f t="shared" si="1"/>
        <v>#REF!</v>
      </c>
      <c r="R134" s="209" t="e">
        <f t="shared" si="1"/>
        <v>#REF!</v>
      </c>
      <c r="S134" s="209" t="e">
        <f t="shared" si="1"/>
        <v>#REF!</v>
      </c>
      <c r="T134" s="209" t="e">
        <f t="shared" si="1"/>
        <v>#REF!</v>
      </c>
      <c r="U134" s="209" t="e">
        <f t="shared" si="1"/>
        <v>#REF!</v>
      </c>
      <c r="V134" s="209" t="e">
        <f t="shared" si="1"/>
        <v>#REF!</v>
      </c>
      <c r="W134" s="209" t="e">
        <f t="shared" si="1"/>
        <v>#REF!</v>
      </c>
      <c r="X134" s="209" t="e">
        <f t="shared" si="1"/>
        <v>#REF!</v>
      </c>
      <c r="Y134" s="209" t="e">
        <f t="shared" si="1"/>
        <v>#REF!</v>
      </c>
      <c r="Z134" s="209" t="e">
        <f t="shared" si="1"/>
        <v>#REF!</v>
      </c>
      <c r="AA134" s="209" t="e">
        <f t="shared" si="1"/>
        <v>#REF!</v>
      </c>
      <c r="AB134" s="209" t="e">
        <f t="shared" si="1"/>
        <v>#REF!</v>
      </c>
      <c r="AC134" s="206" t="e">
        <f t="shared" si="1"/>
        <v>#REF!</v>
      </c>
      <c r="AD134" s="206" t="e">
        <f t="shared" si="1"/>
        <v>#REF!</v>
      </c>
      <c r="AE134" s="206" t="e">
        <f t="shared" si="1"/>
        <v>#REF!</v>
      </c>
      <c r="AF134" s="206" t="e">
        <f t="shared" si="1"/>
        <v>#REF!</v>
      </c>
      <c r="AG134" s="206" t="e">
        <f t="shared" si="1"/>
        <v>#REF!</v>
      </c>
      <c r="AH134" s="206" t="e">
        <f t="shared" si="1"/>
        <v>#REF!</v>
      </c>
      <c r="AI134" s="206" t="e">
        <f t="shared" si="1"/>
        <v>#REF!</v>
      </c>
      <c r="AJ134" s="206" t="e">
        <f t="shared" si="1"/>
        <v>#REF!</v>
      </c>
      <c r="AK134" s="206" t="e">
        <f t="shared" si="1"/>
        <v>#REF!</v>
      </c>
      <c r="AL134" s="206" t="e">
        <f t="shared" si="1"/>
        <v>#REF!</v>
      </c>
      <c r="AM134" s="206" t="e">
        <f t="shared" si="1"/>
        <v>#REF!</v>
      </c>
      <c r="AN134" s="206" t="e">
        <f t="shared" si="1"/>
        <v>#REF!</v>
      </c>
      <c r="AO134" s="206" t="e">
        <f t="shared" si="1"/>
        <v>#REF!</v>
      </c>
      <c r="AP134" s="206" t="e">
        <f t="shared" si="1"/>
        <v>#REF!</v>
      </c>
      <c r="AQ134" s="206" t="e">
        <f t="shared" si="1"/>
        <v>#REF!</v>
      </c>
      <c r="AR134" s="206" t="e">
        <f t="shared" si="1"/>
        <v>#REF!</v>
      </c>
      <c r="AS134" s="44" t="s">
        <v>455</v>
      </c>
    </row>
    <row r="135" spans="4:45" ht="17.399999999999999">
      <c r="D135" s="105">
        <v>10</v>
      </c>
      <c r="E135" s="204">
        <v>40569</v>
      </c>
      <c r="F135" s="205" t="s">
        <v>625</v>
      </c>
      <c r="G135" s="51" t="s">
        <v>25</v>
      </c>
      <c r="H135" s="85" t="s">
        <v>910</v>
      </c>
      <c r="I135" s="85"/>
      <c r="J135" s="85"/>
      <c r="K135" s="85"/>
      <c r="L135" s="85"/>
      <c r="M135" s="85"/>
      <c r="N135" s="207">
        <f t="shared" si="0"/>
        <v>0</v>
      </c>
      <c r="O135" s="209" t="e">
        <f t="shared" si="0"/>
        <v>#REF!</v>
      </c>
      <c r="P135" s="209" t="e">
        <f t="shared" si="1"/>
        <v>#REF!</v>
      </c>
      <c r="Q135" s="209" t="e">
        <f t="shared" si="1"/>
        <v>#REF!</v>
      </c>
      <c r="R135" s="209" t="e">
        <f t="shared" si="1"/>
        <v>#REF!</v>
      </c>
      <c r="S135" s="209" t="e">
        <f t="shared" si="1"/>
        <v>#REF!</v>
      </c>
      <c r="T135" s="209" t="e">
        <f t="shared" si="1"/>
        <v>#REF!</v>
      </c>
      <c r="U135" s="209" t="e">
        <f t="shared" si="1"/>
        <v>#REF!</v>
      </c>
      <c r="V135" s="209" t="e">
        <f t="shared" si="1"/>
        <v>#REF!</v>
      </c>
      <c r="W135" s="209" t="e">
        <f t="shared" si="1"/>
        <v>#REF!</v>
      </c>
      <c r="X135" s="209" t="e">
        <f t="shared" si="1"/>
        <v>#REF!</v>
      </c>
      <c r="Y135" s="209" t="e">
        <f t="shared" ref="P135:AR144" si="3">Y76-Y17</f>
        <v>#REF!</v>
      </c>
      <c r="Z135" s="209" t="e">
        <f t="shared" si="3"/>
        <v>#REF!</v>
      </c>
      <c r="AA135" s="209" t="e">
        <f t="shared" si="3"/>
        <v>#REF!</v>
      </c>
      <c r="AB135" s="209" t="e">
        <f t="shared" si="3"/>
        <v>#REF!</v>
      </c>
      <c r="AC135" s="206" t="e">
        <f t="shared" si="3"/>
        <v>#REF!</v>
      </c>
      <c r="AD135" s="206" t="e">
        <f t="shared" si="3"/>
        <v>#REF!</v>
      </c>
      <c r="AE135" s="206" t="e">
        <f t="shared" si="3"/>
        <v>#REF!</v>
      </c>
      <c r="AF135" s="206" t="e">
        <f t="shared" si="3"/>
        <v>#REF!</v>
      </c>
      <c r="AG135" s="206" t="e">
        <f t="shared" si="3"/>
        <v>#REF!</v>
      </c>
      <c r="AH135" s="206" t="e">
        <f t="shared" si="3"/>
        <v>#REF!</v>
      </c>
      <c r="AI135" s="206" t="e">
        <f t="shared" si="3"/>
        <v>#REF!</v>
      </c>
      <c r="AJ135" s="206" t="e">
        <f t="shared" si="3"/>
        <v>#REF!</v>
      </c>
      <c r="AK135" s="206" t="e">
        <f t="shared" si="3"/>
        <v>#REF!</v>
      </c>
      <c r="AL135" s="206" t="e">
        <f t="shared" si="3"/>
        <v>#REF!</v>
      </c>
      <c r="AM135" s="206" t="e">
        <f t="shared" si="3"/>
        <v>#REF!</v>
      </c>
      <c r="AN135" s="206" t="e">
        <f t="shared" si="3"/>
        <v>#REF!</v>
      </c>
      <c r="AO135" s="206" t="e">
        <f t="shared" si="3"/>
        <v>#REF!</v>
      </c>
      <c r="AP135" s="206" t="e">
        <f t="shared" si="3"/>
        <v>#REF!</v>
      </c>
      <c r="AQ135" s="206" t="e">
        <f t="shared" si="3"/>
        <v>#REF!</v>
      </c>
      <c r="AR135" s="206" t="e">
        <f t="shared" si="3"/>
        <v>#REF!</v>
      </c>
      <c r="AS135" s="44" t="s">
        <v>625</v>
      </c>
    </row>
    <row r="136" spans="4:45" ht="17.399999999999999">
      <c r="D136" s="105">
        <v>11</v>
      </c>
      <c r="E136" s="204">
        <v>40571</v>
      </c>
      <c r="F136" s="205" t="s">
        <v>667</v>
      </c>
      <c r="G136" s="51" t="s">
        <v>784</v>
      </c>
      <c r="H136" s="85" t="s">
        <v>911</v>
      </c>
      <c r="I136" s="85"/>
      <c r="J136" s="85"/>
      <c r="K136" s="85"/>
      <c r="L136" s="85"/>
      <c r="M136" s="85"/>
      <c r="N136" s="207">
        <f t="shared" si="0"/>
        <v>0</v>
      </c>
      <c r="O136" s="209" t="e">
        <f t="shared" si="0"/>
        <v>#REF!</v>
      </c>
      <c r="P136" s="209" t="e">
        <f t="shared" si="3"/>
        <v>#REF!</v>
      </c>
      <c r="Q136" s="209" t="e">
        <f t="shared" si="3"/>
        <v>#REF!</v>
      </c>
      <c r="R136" s="209" t="e">
        <f t="shared" si="3"/>
        <v>#REF!</v>
      </c>
      <c r="S136" s="209" t="e">
        <f t="shared" si="3"/>
        <v>#REF!</v>
      </c>
      <c r="T136" s="209" t="e">
        <f t="shared" si="3"/>
        <v>#REF!</v>
      </c>
      <c r="U136" s="209" t="e">
        <f t="shared" si="3"/>
        <v>#REF!</v>
      </c>
      <c r="V136" s="209" t="e">
        <f t="shared" si="3"/>
        <v>#REF!</v>
      </c>
      <c r="W136" s="209" t="e">
        <f t="shared" si="3"/>
        <v>#REF!</v>
      </c>
      <c r="X136" s="209" t="e">
        <f t="shared" si="3"/>
        <v>#REF!</v>
      </c>
      <c r="Y136" s="209" t="e">
        <f t="shared" si="3"/>
        <v>#REF!</v>
      </c>
      <c r="Z136" s="209" t="e">
        <f t="shared" si="3"/>
        <v>#REF!</v>
      </c>
      <c r="AA136" s="209" t="e">
        <f t="shared" si="3"/>
        <v>#REF!</v>
      </c>
      <c r="AB136" s="209" t="e">
        <f t="shared" si="3"/>
        <v>#REF!</v>
      </c>
      <c r="AC136" s="206" t="e">
        <f t="shared" si="3"/>
        <v>#REF!</v>
      </c>
      <c r="AD136" s="206" t="e">
        <f t="shared" si="3"/>
        <v>#REF!</v>
      </c>
      <c r="AE136" s="206" t="e">
        <f t="shared" si="3"/>
        <v>#REF!</v>
      </c>
      <c r="AF136" s="206" t="e">
        <f t="shared" si="3"/>
        <v>#REF!</v>
      </c>
      <c r="AG136" s="206" t="e">
        <f t="shared" si="3"/>
        <v>#REF!</v>
      </c>
      <c r="AH136" s="206" t="e">
        <f t="shared" si="3"/>
        <v>#REF!</v>
      </c>
      <c r="AI136" s="206" t="e">
        <f t="shared" si="3"/>
        <v>#REF!</v>
      </c>
      <c r="AJ136" s="206" t="e">
        <f t="shared" si="3"/>
        <v>#REF!</v>
      </c>
      <c r="AK136" s="206" t="e">
        <f t="shared" si="3"/>
        <v>#REF!</v>
      </c>
      <c r="AL136" s="206" t="e">
        <f t="shared" si="3"/>
        <v>#REF!</v>
      </c>
      <c r="AM136" s="206" t="e">
        <f t="shared" si="3"/>
        <v>#REF!</v>
      </c>
      <c r="AN136" s="206" t="e">
        <f t="shared" si="3"/>
        <v>#REF!</v>
      </c>
      <c r="AO136" s="206" t="e">
        <f t="shared" si="3"/>
        <v>#REF!</v>
      </c>
      <c r="AP136" s="206" t="e">
        <f t="shared" si="3"/>
        <v>#REF!</v>
      </c>
      <c r="AQ136" s="206" t="e">
        <f t="shared" si="3"/>
        <v>#REF!</v>
      </c>
      <c r="AR136" s="206" t="e">
        <f t="shared" si="3"/>
        <v>#REF!</v>
      </c>
      <c r="AS136" s="44" t="s">
        <v>667</v>
      </c>
    </row>
    <row r="137" spans="4:45" ht="17.399999999999999">
      <c r="D137" s="105">
        <v>12</v>
      </c>
      <c r="E137" s="204">
        <v>40558</v>
      </c>
      <c r="F137" s="205" t="s">
        <v>590</v>
      </c>
      <c r="G137" s="51" t="s">
        <v>809</v>
      </c>
      <c r="H137" s="85" t="s">
        <v>912</v>
      </c>
      <c r="I137" s="85"/>
      <c r="J137" s="85"/>
      <c r="K137" s="85"/>
      <c r="L137" s="85"/>
      <c r="M137" s="85"/>
      <c r="N137" s="207">
        <f t="shared" si="0"/>
        <v>0</v>
      </c>
      <c r="O137" s="209">
        <f t="shared" si="0"/>
        <v>0</v>
      </c>
      <c r="P137" s="209">
        <f t="shared" si="3"/>
        <v>0</v>
      </c>
      <c r="Q137" s="209">
        <f t="shared" si="3"/>
        <v>0</v>
      </c>
      <c r="R137" s="209">
        <f t="shared" si="3"/>
        <v>0</v>
      </c>
      <c r="S137" s="209">
        <f t="shared" si="3"/>
        <v>0</v>
      </c>
      <c r="T137" s="209">
        <f t="shared" si="3"/>
        <v>0</v>
      </c>
      <c r="U137" s="209">
        <f t="shared" si="3"/>
        <v>0</v>
      </c>
      <c r="V137" s="209">
        <f t="shared" si="3"/>
        <v>0</v>
      </c>
      <c r="W137" s="209">
        <f t="shared" si="3"/>
        <v>0</v>
      </c>
      <c r="X137" s="209">
        <f t="shared" si="3"/>
        <v>0</v>
      </c>
      <c r="Y137" s="209">
        <f t="shared" si="3"/>
        <v>0</v>
      </c>
      <c r="Z137" s="209">
        <f t="shared" si="3"/>
        <v>-2.533254425953757E-3</v>
      </c>
      <c r="AA137" s="209">
        <f t="shared" si="3"/>
        <v>-4.7594784154814107E-3</v>
      </c>
      <c r="AB137" s="209">
        <f t="shared" si="3"/>
        <v>-5.1783125160440591E-3</v>
      </c>
      <c r="AC137" s="206">
        <f t="shared" si="3"/>
        <v>8.5220403467065609E-2</v>
      </c>
      <c r="AD137" s="206">
        <f t="shared" si="3"/>
        <v>-2.2798430653496737E-2</v>
      </c>
      <c r="AE137" s="206">
        <f t="shared" si="3"/>
        <v>-1.3530346213313393E-2</v>
      </c>
      <c r="AF137" s="206">
        <f t="shared" si="3"/>
        <v>5.0105321445482076E-2</v>
      </c>
      <c r="AG137" s="206">
        <f t="shared" si="3"/>
        <v>1.2877394399627882</v>
      </c>
      <c r="AH137" s="206">
        <f t="shared" si="3"/>
        <v>2.6882485194542411</v>
      </c>
      <c r="AI137" s="206">
        <f t="shared" si="3"/>
        <v>2.8989172981600397</v>
      </c>
      <c r="AJ137" s="206">
        <f t="shared" si="3"/>
        <v>2.6192930007071276</v>
      </c>
      <c r="AK137" s="206">
        <f t="shared" si="3"/>
        <v>2.7789872347727744</v>
      </c>
      <c r="AL137" s="206">
        <f t="shared" si="3"/>
        <v>2.8711664230675495</v>
      </c>
      <c r="AM137" s="206">
        <f t="shared" si="3"/>
        <v>3.3907464166519752</v>
      </c>
      <c r="AN137" s="206">
        <f t="shared" si="3"/>
        <v>3.9686228933779404</v>
      </c>
      <c r="AO137" s="206">
        <f t="shared" si="3"/>
        <v>4.5876433686170053</v>
      </c>
      <c r="AP137" s="206">
        <f t="shared" si="3"/>
        <v>5.2502325475351306</v>
      </c>
      <c r="AQ137" s="206">
        <f t="shared" si="3"/>
        <v>5.9589473957137784</v>
      </c>
      <c r="AR137" s="206">
        <f t="shared" si="3"/>
        <v>6.7164840829254153</v>
      </c>
      <c r="AS137" s="44" t="s">
        <v>590</v>
      </c>
    </row>
    <row r="138" spans="4:45" ht="17.399999999999999">
      <c r="D138" s="105">
        <v>13</v>
      </c>
      <c r="E138" s="215">
        <v>40554</v>
      </c>
      <c r="F138" s="205" t="s">
        <v>913</v>
      </c>
      <c r="G138" s="51" t="s">
        <v>809</v>
      </c>
      <c r="H138" s="85" t="s">
        <v>914</v>
      </c>
      <c r="I138" s="85"/>
      <c r="J138" s="85"/>
      <c r="K138" s="85"/>
      <c r="L138" s="85"/>
      <c r="M138" s="85"/>
      <c r="N138" s="207">
        <f t="shared" si="0"/>
        <v>0</v>
      </c>
      <c r="O138" s="209">
        <f t="shared" si="0"/>
        <v>0</v>
      </c>
      <c r="P138" s="209">
        <f t="shared" si="3"/>
        <v>0</v>
      </c>
      <c r="Q138" s="209">
        <f t="shared" si="3"/>
        <v>0</v>
      </c>
      <c r="R138" s="209">
        <f t="shared" si="3"/>
        <v>0</v>
      </c>
      <c r="S138" s="209">
        <f t="shared" si="3"/>
        <v>0</v>
      </c>
      <c r="T138" s="209">
        <f t="shared" si="3"/>
        <v>0</v>
      </c>
      <c r="U138" s="209">
        <f t="shared" si="3"/>
        <v>0</v>
      </c>
      <c r="V138" s="209">
        <f t="shared" si="3"/>
        <v>0</v>
      </c>
      <c r="W138" s="209">
        <f t="shared" si="3"/>
        <v>0</v>
      </c>
      <c r="X138" s="209">
        <f t="shared" si="3"/>
        <v>0</v>
      </c>
      <c r="Y138" s="209">
        <f t="shared" si="3"/>
        <v>0</v>
      </c>
      <c r="Z138" s="209">
        <f t="shared" si="3"/>
        <v>-2.9999999999996696E-4</v>
      </c>
      <c r="AA138" s="209">
        <f t="shared" si="3"/>
        <v>-1.9999999999997797E-4</v>
      </c>
      <c r="AB138" s="209">
        <f t="shared" si="3"/>
        <v>0</v>
      </c>
      <c r="AC138" s="206">
        <f t="shared" si="3"/>
        <v>7.8000000000000291E-3</v>
      </c>
      <c r="AD138" s="206">
        <f t="shared" si="3"/>
        <v>-9.000000000000119E-3</v>
      </c>
      <c r="AE138" s="206">
        <f t="shared" si="3"/>
        <v>8.0000000000013394E-4</v>
      </c>
      <c r="AF138" s="206">
        <f t="shared" si="3"/>
        <v>4.4999999999999485E-3</v>
      </c>
      <c r="AG138" s="206">
        <f t="shared" si="3"/>
        <v>8.0999999999999961E-2</v>
      </c>
      <c r="AH138" s="206">
        <f t="shared" si="3"/>
        <v>7.6999999999999957E-2</v>
      </c>
      <c r="AI138" s="206">
        <f t="shared" si="3"/>
        <v>3.9000000000000146E-3</v>
      </c>
      <c r="AJ138" s="206">
        <f t="shared" si="3"/>
        <v>-1.9900000000000029E-2</v>
      </c>
      <c r="AK138" s="206">
        <f t="shared" si="3"/>
        <v>2.5999999999999357E-3</v>
      </c>
      <c r="AL138" s="206">
        <f t="shared" si="3"/>
        <v>3.9999999999995595E-4</v>
      </c>
      <c r="AM138" s="206">
        <f t="shared" si="3"/>
        <v>1.9099999999999895E-2</v>
      </c>
      <c r="AN138" s="206">
        <f t="shared" si="3"/>
        <v>2.0000000000000018E-2</v>
      </c>
      <c r="AO138" s="206">
        <f t="shared" si="3"/>
        <v>2.0000000000000018E-2</v>
      </c>
      <c r="AP138" s="206">
        <f t="shared" si="3"/>
        <v>2.0000000000000018E-2</v>
      </c>
      <c r="AQ138" s="206">
        <f t="shared" si="3"/>
        <v>2.0000000000000018E-2</v>
      </c>
      <c r="AR138" s="206">
        <f t="shared" si="3"/>
        <v>2.0000000000000018E-2</v>
      </c>
      <c r="AS138" s="44" t="s">
        <v>913</v>
      </c>
    </row>
    <row r="139" spans="4:45" ht="17.399999999999999">
      <c r="D139" s="105">
        <v>14</v>
      </c>
      <c r="E139" s="204">
        <v>40560</v>
      </c>
      <c r="F139" s="205" t="s">
        <v>501</v>
      </c>
      <c r="G139" s="51" t="s">
        <v>815</v>
      </c>
      <c r="H139" s="85" t="s">
        <v>26</v>
      </c>
      <c r="I139" s="85"/>
      <c r="J139" s="85"/>
      <c r="K139" s="85"/>
      <c r="L139" s="85"/>
      <c r="M139" s="85"/>
      <c r="N139" s="207">
        <f t="shared" si="0"/>
        <v>0</v>
      </c>
      <c r="O139" s="206">
        <f t="shared" si="0"/>
        <v>-15.570510673284815</v>
      </c>
      <c r="P139" s="206">
        <f t="shared" si="3"/>
        <v>-18.93704444199556</v>
      </c>
      <c r="Q139" s="206">
        <f t="shared" si="3"/>
        <v>-20.148467784389108</v>
      </c>
      <c r="R139" s="206">
        <f t="shared" si="3"/>
        <v>-28.401133926735408</v>
      </c>
      <c r="S139" s="206">
        <f t="shared" si="3"/>
        <v>-41.356039592807974</v>
      </c>
      <c r="T139" s="206">
        <f t="shared" si="3"/>
        <v>-53.730593097285833</v>
      </c>
      <c r="U139" s="206">
        <f t="shared" si="3"/>
        <v>-68.897926981881497</v>
      </c>
      <c r="V139" s="206">
        <f t="shared" si="3"/>
        <v>-82.917114647647423</v>
      </c>
      <c r="W139" s="206">
        <f t="shared" si="3"/>
        <v>-103.38196457751305</v>
      </c>
      <c r="X139" s="206">
        <f t="shared" si="3"/>
        <v>-121.30476422160481</v>
      </c>
      <c r="Y139" s="206">
        <f t="shared" si="3"/>
        <v>-150.94261211228229</v>
      </c>
      <c r="Z139" s="206">
        <f t="shared" si="3"/>
        <v>-189.77332363654145</v>
      </c>
      <c r="AA139" s="206">
        <f t="shared" si="3"/>
        <v>-237.43092419219701</v>
      </c>
      <c r="AB139" s="206">
        <f t="shared" si="3"/>
        <v>-254.90527282716073</v>
      </c>
      <c r="AC139" s="206">
        <f t="shared" ref="AC139:AR139" si="4">AC80-AC21</f>
        <v>-299.97412704456832</v>
      </c>
      <c r="AD139" s="206">
        <f t="shared" si="4"/>
        <v>-339.45496379872282</v>
      </c>
      <c r="AE139" s="206">
        <f t="shared" si="4"/>
        <v>-375.29835042604122</v>
      </c>
      <c r="AF139" s="206">
        <f t="shared" si="4"/>
        <v>-408.04013142506159</v>
      </c>
      <c r="AG139" s="206">
        <f t="shared" si="4"/>
        <v>-438.03267401383857</v>
      </c>
      <c r="AH139" s="206">
        <f t="shared" si="4"/>
        <v>-466.3704400219558</v>
      </c>
      <c r="AI139" s="206">
        <f t="shared" si="4"/>
        <v>-493.77561123821073</v>
      </c>
      <c r="AJ139" s="206">
        <f t="shared" si="4"/>
        <v>-518.98489764481769</v>
      </c>
      <c r="AK139" s="206">
        <f t="shared" si="4"/>
        <v>-541.9205650304566</v>
      </c>
      <c r="AL139" s="206">
        <f t="shared" si="4"/>
        <v>-559.74727371833933</v>
      </c>
      <c r="AM139" s="206">
        <f t="shared" si="4"/>
        <v>-577.67100707224415</v>
      </c>
      <c r="AN139" s="206">
        <f t="shared" si="4"/>
        <v>-595.81681550204928</v>
      </c>
      <c r="AO139" s="206">
        <f t="shared" si="4"/>
        <v>-614.27942396202752</v>
      </c>
      <c r="AP139" s="206">
        <f t="shared" si="4"/>
        <v>-633.13182966122338</v>
      </c>
      <c r="AQ139" s="206">
        <f t="shared" si="4"/>
        <v>-652.43150511988142</v>
      </c>
      <c r="AR139" s="206">
        <f t="shared" si="4"/>
        <v>-672.22487480359825</v>
      </c>
      <c r="AS139" s="44" t="s">
        <v>501</v>
      </c>
    </row>
    <row r="140" spans="4:45" ht="17.399999999999999">
      <c r="D140" s="105">
        <v>15</v>
      </c>
      <c r="E140" s="204">
        <v>40571</v>
      </c>
      <c r="F140" s="205" t="s">
        <v>505</v>
      </c>
      <c r="G140" s="51" t="s">
        <v>809</v>
      </c>
      <c r="H140" s="85" t="s">
        <v>915</v>
      </c>
      <c r="I140" s="85"/>
      <c r="J140" s="85"/>
      <c r="K140" s="85"/>
      <c r="L140" s="85"/>
      <c r="M140" s="85"/>
      <c r="N140" s="207">
        <f t="shared" si="0"/>
        <v>0</v>
      </c>
      <c r="O140" s="209">
        <f t="shared" si="0"/>
        <v>19.196612970025043</v>
      </c>
      <c r="P140" s="209">
        <f t="shared" si="3"/>
        <v>17.67189625492901</v>
      </c>
      <c r="Q140" s="209">
        <f t="shared" si="3"/>
        <v>11.875997236514307</v>
      </c>
      <c r="R140" s="209">
        <f t="shared" si="3"/>
        <v>16.849078158393446</v>
      </c>
      <c r="S140" s="209">
        <f t="shared" si="3"/>
        <v>27.269166636396097</v>
      </c>
      <c r="T140" s="209">
        <f t="shared" si="3"/>
        <v>23.270759438323314</v>
      </c>
      <c r="U140" s="209">
        <f t="shared" si="3"/>
        <v>23.741956476825223</v>
      </c>
      <c r="V140" s="209">
        <f t="shared" si="3"/>
        <v>27.548189953753653</v>
      </c>
      <c r="W140" s="209">
        <f t="shared" si="3"/>
        <v>36.791090835380118</v>
      </c>
      <c r="X140" s="209">
        <f t="shared" si="3"/>
        <v>52.803515790626641</v>
      </c>
      <c r="Y140" s="209">
        <f t="shared" si="3"/>
        <v>63.57748071417933</v>
      </c>
      <c r="Z140" s="209">
        <f t="shared" si="3"/>
        <v>70.652304628597719</v>
      </c>
      <c r="AA140" s="209">
        <f t="shared" si="3"/>
        <v>95.438807387230753</v>
      </c>
      <c r="AB140" s="209">
        <f t="shared" si="3"/>
        <v>59.66873990300865</v>
      </c>
      <c r="AC140" s="206">
        <f t="shared" si="3"/>
        <v>77.168739903008643</v>
      </c>
      <c r="AD140" s="206">
        <f t="shared" si="3"/>
        <v>108.42873990300865</v>
      </c>
      <c r="AE140" s="206">
        <f t="shared" si="3"/>
        <v>108.73073990300865</v>
      </c>
      <c r="AF140" s="206">
        <f t="shared" si="3"/>
        <v>106.06213990300864</v>
      </c>
      <c r="AG140" s="206">
        <f t="shared" si="3"/>
        <v>96.114119903008657</v>
      </c>
      <c r="AH140" s="206">
        <f t="shared" si="3"/>
        <v>49.58050590300865</v>
      </c>
      <c r="AI140" s="206">
        <f t="shared" si="3"/>
        <v>41.156976103008653</v>
      </c>
      <c r="AJ140" s="206">
        <f t="shared" si="3"/>
        <v>52.140505243008654</v>
      </c>
      <c r="AK140" s="206">
        <f t="shared" si="3"/>
        <v>67.128975641008651</v>
      </c>
      <c r="AL140" s="206">
        <f t="shared" si="3"/>
        <v>69.120904919608648</v>
      </c>
      <c r="AM140" s="206">
        <f t="shared" si="3"/>
        <v>37.115255414628649</v>
      </c>
      <c r="AN140" s="206">
        <f t="shared" si="3"/>
        <v>47.111300761142651</v>
      </c>
      <c r="AO140" s="206">
        <f t="shared" si="3"/>
        <v>55.108532503702449</v>
      </c>
      <c r="AP140" s="206">
        <f t="shared" si="3"/>
        <v>61.506594723494317</v>
      </c>
      <c r="AQ140" s="206">
        <f t="shared" si="3"/>
        <v>66.625238277348629</v>
      </c>
      <c r="AR140" s="206">
        <f t="shared" si="3"/>
        <v>70.720288765046632</v>
      </c>
      <c r="AS140" s="44" t="s">
        <v>505</v>
      </c>
    </row>
    <row r="141" spans="4:45" ht="17.399999999999999">
      <c r="D141" s="105">
        <v>16</v>
      </c>
      <c r="E141" s="204">
        <v>40561</v>
      </c>
      <c r="F141" s="205" t="s">
        <v>636</v>
      </c>
      <c r="G141" s="51" t="s">
        <v>809</v>
      </c>
      <c r="H141" s="85" t="s">
        <v>916</v>
      </c>
      <c r="I141" s="85"/>
      <c r="J141" s="85"/>
      <c r="K141" s="85"/>
      <c r="L141" s="85"/>
      <c r="M141" s="85"/>
      <c r="N141" s="207">
        <f t="shared" si="0"/>
        <v>0</v>
      </c>
      <c r="O141" s="209">
        <f t="shared" si="0"/>
        <v>-1.3189257552818991</v>
      </c>
      <c r="P141" s="209">
        <f t="shared" si="3"/>
        <v>-1.5170711073645951</v>
      </c>
      <c r="Q141" s="209">
        <f t="shared" si="3"/>
        <v>-2.2203598618279692</v>
      </c>
      <c r="R141" s="209">
        <f t="shared" si="3"/>
        <v>-4.4861770662073877</v>
      </c>
      <c r="S141" s="209">
        <f t="shared" si="3"/>
        <v>-4.8717039168994054</v>
      </c>
      <c r="T141" s="209">
        <f t="shared" si="3"/>
        <v>-6.0389784983504651</v>
      </c>
      <c r="U141" s="209">
        <f t="shared" si="3"/>
        <v>-6.842708357675729</v>
      </c>
      <c r="V141" s="209">
        <f t="shared" si="3"/>
        <v>-7.616104211007146</v>
      </c>
      <c r="W141" s="209">
        <f t="shared" si="3"/>
        <v>-8.7964452074722157</v>
      </c>
      <c r="X141" s="209">
        <f t="shared" si="3"/>
        <v>-9.8123331968604379</v>
      </c>
      <c r="Y141" s="209">
        <f t="shared" si="3"/>
        <v>-10.970771455402737</v>
      </c>
      <c r="Z141" s="209">
        <f t="shared" si="3"/>
        <v>-12.708456854617253</v>
      </c>
      <c r="AA141" s="209">
        <f t="shared" si="3"/>
        <v>-15.095617781924338</v>
      </c>
      <c r="AB141" s="209">
        <f t="shared" si="3"/>
        <v>-16.889193178651254</v>
      </c>
      <c r="AC141" s="206">
        <f t="shared" si="3"/>
        <v>-18.308390828272863</v>
      </c>
      <c r="AD141" s="206">
        <f t="shared" si="3"/>
        <v>-19.523378776722407</v>
      </c>
      <c r="AE141" s="206">
        <f t="shared" si="3"/>
        <v>-20.578357196602621</v>
      </c>
      <c r="AF141" s="206">
        <f t="shared" si="3"/>
        <v>-21.48044507953696</v>
      </c>
      <c r="AG141" s="206">
        <f t="shared" si="3"/>
        <v>-22.266953504324761</v>
      </c>
      <c r="AH141" s="206">
        <f t="shared" si="3"/>
        <v>-22.945712771956135</v>
      </c>
      <c r="AI141" s="206">
        <f t="shared" si="3"/>
        <v>-23.499151787849737</v>
      </c>
      <c r="AJ141" s="206">
        <f t="shared" si="3"/>
        <v>-23.946637532389691</v>
      </c>
      <c r="AK141" s="206">
        <f t="shared" si="3"/>
        <v>-24.344726632108934</v>
      </c>
      <c r="AL141" s="206">
        <f t="shared" si="3"/>
        <v>-24.683004306880132</v>
      </c>
      <c r="AM141" s="206">
        <f t="shared" si="3"/>
        <v>-24.97048149444155</v>
      </c>
      <c r="AN141" s="206">
        <f t="shared" si="3"/>
        <v>-25.214801802272294</v>
      </c>
      <c r="AO141" s="206">
        <f t="shared" si="3"/>
        <v>-25.422452882970553</v>
      </c>
      <c r="AP141" s="206">
        <f t="shared" si="3"/>
        <v>-25.59894359298935</v>
      </c>
      <c r="AQ141" s="206">
        <f t="shared" si="3"/>
        <v>-25.748953071360489</v>
      </c>
      <c r="AR141" s="206">
        <f t="shared" si="3"/>
        <v>-25.87645655288906</v>
      </c>
      <c r="AS141" s="44" t="s">
        <v>636</v>
      </c>
    </row>
    <row r="142" spans="4:45" ht="17.399999999999999">
      <c r="D142" s="105">
        <v>17</v>
      </c>
      <c r="E142" s="204">
        <v>40561</v>
      </c>
      <c r="F142" s="205" t="s">
        <v>638</v>
      </c>
      <c r="G142" s="51" t="s">
        <v>809</v>
      </c>
      <c r="H142" s="85" t="s">
        <v>917</v>
      </c>
      <c r="I142" s="85"/>
      <c r="J142" s="85"/>
      <c r="K142" s="85"/>
      <c r="L142" s="85"/>
      <c r="M142" s="85"/>
      <c r="N142" s="207">
        <f t="shared" si="0"/>
        <v>0</v>
      </c>
      <c r="O142" s="209">
        <f t="shared" si="0"/>
        <v>0</v>
      </c>
      <c r="P142" s="209">
        <f t="shared" si="3"/>
        <v>0</v>
      </c>
      <c r="Q142" s="209">
        <f t="shared" si="3"/>
        <v>0</v>
      </c>
      <c r="R142" s="209">
        <f t="shared" si="3"/>
        <v>0</v>
      </c>
      <c r="S142" s="209">
        <f t="shared" si="3"/>
        <v>0</v>
      </c>
      <c r="T142" s="209">
        <f t="shared" si="3"/>
        <v>0</v>
      </c>
      <c r="U142" s="209">
        <f t="shared" si="3"/>
        <v>0</v>
      </c>
      <c r="V142" s="209">
        <f t="shared" si="3"/>
        <v>0</v>
      </c>
      <c r="W142" s="209">
        <f t="shared" si="3"/>
        <v>0</v>
      </c>
      <c r="X142" s="209">
        <f t="shared" si="3"/>
        <v>0</v>
      </c>
      <c r="Y142" s="209">
        <f t="shared" si="3"/>
        <v>0</v>
      </c>
      <c r="Z142" s="209">
        <f t="shared" si="3"/>
        <v>0</v>
      </c>
      <c r="AA142" s="209">
        <f t="shared" si="3"/>
        <v>-5.0575870453126726E-3</v>
      </c>
      <c r="AB142" s="209">
        <f t="shared" si="3"/>
        <v>-0.42801825048387876</v>
      </c>
      <c r="AC142" s="206">
        <f t="shared" si="3"/>
        <v>-1.0918504078076996</v>
      </c>
      <c r="AD142" s="206">
        <f t="shared" si="3"/>
        <v>0.22219554249127782</v>
      </c>
      <c r="AE142" s="206">
        <f t="shared" si="3"/>
        <v>0.11917144213197162</v>
      </c>
      <c r="AF142" s="206">
        <f t="shared" si="3"/>
        <v>8.1570638542938667E-2</v>
      </c>
      <c r="AG142" s="206">
        <f t="shared" si="3"/>
        <v>0.40834802136313897</v>
      </c>
      <c r="AH142" s="206">
        <f t="shared" si="3"/>
        <v>2.3683542919269875</v>
      </c>
      <c r="AI142" s="206">
        <f t="shared" si="3"/>
        <v>3.1616414554194634</v>
      </c>
      <c r="AJ142" s="206">
        <f t="shared" si="3"/>
        <v>3.1283567667248207</v>
      </c>
      <c r="AK142" s="206">
        <f t="shared" si="3"/>
        <v>3.3064271001654468</v>
      </c>
      <c r="AL142" s="206">
        <f t="shared" si="3"/>
        <v>3.6984377067582415</v>
      </c>
      <c r="AM142" s="206">
        <f t="shared" si="3"/>
        <v>4.0224094735843323</v>
      </c>
      <c r="AN142" s="206">
        <f t="shared" si="3"/>
        <v>5.5574052211236129</v>
      </c>
      <c r="AO142" s="206">
        <f t="shared" si="3"/>
        <v>6.6869734775967302</v>
      </c>
      <c r="AP142" s="206">
        <f t="shared" si="3"/>
        <v>7.9399105962946948</v>
      </c>
      <c r="AQ142" s="206">
        <f t="shared" si="3"/>
        <v>9.3156959753886319</v>
      </c>
      <c r="AR142" s="206">
        <f t="shared" si="3"/>
        <v>10.814451887452226</v>
      </c>
      <c r="AS142" s="44" t="s">
        <v>638</v>
      </c>
    </row>
    <row r="143" spans="4:45" ht="17.399999999999999">
      <c r="D143" s="105">
        <v>18</v>
      </c>
      <c r="E143" s="204">
        <v>40561</v>
      </c>
      <c r="F143" s="205" t="s">
        <v>640</v>
      </c>
      <c r="G143" s="51" t="s">
        <v>809</v>
      </c>
      <c r="H143" s="85" t="s">
        <v>918</v>
      </c>
      <c r="I143" s="85"/>
      <c r="J143" s="85"/>
      <c r="K143" s="85"/>
      <c r="L143" s="85"/>
      <c r="M143" s="85"/>
      <c r="N143" s="207">
        <f t="shared" si="0"/>
        <v>0</v>
      </c>
      <c r="O143" s="209">
        <f t="shared" si="0"/>
        <v>0</v>
      </c>
      <c r="P143" s="209">
        <f t="shared" si="3"/>
        <v>0</v>
      </c>
      <c r="Q143" s="209">
        <f t="shared" si="3"/>
        <v>0</v>
      </c>
      <c r="R143" s="209">
        <f t="shared" si="3"/>
        <v>0</v>
      </c>
      <c r="S143" s="209">
        <f t="shared" si="3"/>
        <v>0</v>
      </c>
      <c r="T143" s="209">
        <f t="shared" si="3"/>
        <v>0</v>
      </c>
      <c r="U143" s="209">
        <f t="shared" si="3"/>
        <v>0</v>
      </c>
      <c r="V143" s="209">
        <f t="shared" si="3"/>
        <v>0</v>
      </c>
      <c r="W143" s="209">
        <f t="shared" si="3"/>
        <v>0</v>
      </c>
      <c r="X143" s="209">
        <f t="shared" si="3"/>
        <v>0</v>
      </c>
      <c r="Y143" s="209">
        <f t="shared" si="3"/>
        <v>0</v>
      </c>
      <c r="Z143" s="209">
        <f t="shared" si="3"/>
        <v>0</v>
      </c>
      <c r="AA143" s="209">
        <f t="shared" si="3"/>
        <v>0.36067125101488884</v>
      </c>
      <c r="AB143" s="209">
        <f t="shared" si="3"/>
        <v>1.0352084040354335</v>
      </c>
      <c r="AC143" s="206">
        <f t="shared" si="3"/>
        <v>1.9752102250217902</v>
      </c>
      <c r="AD143" s="206">
        <f t="shared" si="3"/>
        <v>6.1086804772587868</v>
      </c>
      <c r="AE143" s="206">
        <f t="shared" si="3"/>
        <v>9.2170181121871835</v>
      </c>
      <c r="AF143" s="206">
        <f t="shared" si="3"/>
        <v>12.253596709370061</v>
      </c>
      <c r="AG143" s="206">
        <f t="shared" si="3"/>
        <v>14.38647847024437</v>
      </c>
      <c r="AH143" s="206">
        <f t="shared" si="3"/>
        <v>17.0669623839811</v>
      </c>
      <c r="AI143" s="206">
        <f t="shared" si="3"/>
        <v>19.196242070377945</v>
      </c>
      <c r="AJ143" s="206">
        <f t="shared" si="3"/>
        <v>20.469248433012513</v>
      </c>
      <c r="AK143" s="206">
        <f t="shared" si="3"/>
        <v>24.17015060360244</v>
      </c>
      <c r="AL143" s="206">
        <f t="shared" si="3"/>
        <v>24.944638918980598</v>
      </c>
      <c r="AM143" s="206">
        <f t="shared" si="3"/>
        <v>27.689238362473574</v>
      </c>
      <c r="AN143" s="206">
        <f t="shared" si="3"/>
        <v>30.656840686693627</v>
      </c>
      <c r="AO143" s="206">
        <f t="shared" si="3"/>
        <v>33.799256680229512</v>
      </c>
      <c r="AP143" s="206">
        <f t="shared" si="3"/>
        <v>37.119940315926044</v>
      </c>
      <c r="AQ143" s="206">
        <f t="shared" si="3"/>
        <v>40.623575607394493</v>
      </c>
      <c r="AR143" s="206">
        <f t="shared" si="3"/>
        <v>44.315926642626025</v>
      </c>
      <c r="AS143" s="44" t="s">
        <v>640</v>
      </c>
    </row>
    <row r="144" spans="4:45" ht="17.399999999999999">
      <c r="D144" s="105">
        <v>19</v>
      </c>
      <c r="E144" s="204">
        <v>40561</v>
      </c>
      <c r="F144" s="205" t="s">
        <v>642</v>
      </c>
      <c r="G144" s="51" t="s">
        <v>809</v>
      </c>
      <c r="H144" s="85" t="s">
        <v>919</v>
      </c>
      <c r="I144" s="85"/>
      <c r="J144" s="85"/>
      <c r="K144" s="85"/>
      <c r="L144" s="85"/>
      <c r="M144" s="85"/>
      <c r="N144" s="207">
        <f t="shared" si="0"/>
        <v>0</v>
      </c>
      <c r="O144" s="209">
        <f t="shared" si="0"/>
        <v>0</v>
      </c>
      <c r="P144" s="209">
        <f t="shared" si="3"/>
        <v>0</v>
      </c>
      <c r="Q144" s="209">
        <f t="shared" si="3"/>
        <v>0</v>
      </c>
      <c r="R144" s="209">
        <f t="shared" si="3"/>
        <v>0</v>
      </c>
      <c r="S144" s="209">
        <f t="shared" ref="P144:AR152" si="5">S85-S26</f>
        <v>0</v>
      </c>
      <c r="T144" s="209">
        <f t="shared" si="5"/>
        <v>0</v>
      </c>
      <c r="U144" s="209">
        <f t="shared" si="5"/>
        <v>0</v>
      </c>
      <c r="V144" s="209">
        <f t="shared" si="5"/>
        <v>0</v>
      </c>
      <c r="W144" s="209">
        <f t="shared" si="5"/>
        <v>0</v>
      </c>
      <c r="X144" s="209">
        <f t="shared" si="5"/>
        <v>0</v>
      </c>
      <c r="Y144" s="209">
        <f t="shared" si="5"/>
        <v>0</v>
      </c>
      <c r="Z144" s="209">
        <f t="shared" si="5"/>
        <v>0</v>
      </c>
      <c r="AA144" s="209">
        <f t="shared" si="5"/>
        <v>0</v>
      </c>
      <c r="AB144" s="209">
        <f t="shared" si="5"/>
        <v>-4.4426139339311277E-2</v>
      </c>
      <c r="AC144" s="206">
        <f t="shared" si="5"/>
        <v>-0.49845484160658593</v>
      </c>
      <c r="AD144" s="206">
        <f t="shared" si="5"/>
        <v>-0.81585028394296444</v>
      </c>
      <c r="AE144" s="206">
        <f t="shared" si="5"/>
        <v>-0.20084394398431904</v>
      </c>
      <c r="AF144" s="206">
        <f t="shared" si="5"/>
        <v>-0.2735470784684324</v>
      </c>
      <c r="AG144" s="206">
        <f t="shared" si="5"/>
        <v>1.0105654455278739</v>
      </c>
      <c r="AH144" s="206">
        <f t="shared" si="5"/>
        <v>2.3554936904727874</v>
      </c>
      <c r="AI144" s="206">
        <f t="shared" si="5"/>
        <v>3.3691191097315887</v>
      </c>
      <c r="AJ144" s="206">
        <f t="shared" si="5"/>
        <v>4.9195900735439295</v>
      </c>
      <c r="AK144" s="206">
        <f t="shared" si="5"/>
        <v>6.4139880478780533</v>
      </c>
      <c r="AL144" s="206">
        <f t="shared" si="5"/>
        <v>6.8787445903016966</v>
      </c>
      <c r="AM144" s="206">
        <f t="shared" si="5"/>
        <v>7.4465381043519763</v>
      </c>
      <c r="AN144" s="206">
        <f t="shared" si="5"/>
        <v>8.1271521967574927</v>
      </c>
      <c r="AO144" s="206">
        <f t="shared" si="5"/>
        <v>8.9012258405943534</v>
      </c>
      <c r="AP144" s="206">
        <f t="shared" si="5"/>
        <v>9.7704605710935724</v>
      </c>
      <c r="AQ144" s="206">
        <f t="shared" si="5"/>
        <v>10.736791572364737</v>
      </c>
      <c r="AR144" s="206">
        <f t="shared" si="5"/>
        <v>11.802391931234105</v>
      </c>
      <c r="AS144" s="44" t="s">
        <v>642</v>
      </c>
    </row>
    <row r="145" spans="4:45" ht="17.399999999999999">
      <c r="D145" s="105">
        <v>20</v>
      </c>
      <c r="E145" s="204">
        <v>40561</v>
      </c>
      <c r="F145" s="205" t="s">
        <v>644</v>
      </c>
      <c r="G145" s="51" t="s">
        <v>809</v>
      </c>
      <c r="H145" s="85" t="s">
        <v>920</v>
      </c>
      <c r="I145" s="85"/>
      <c r="J145" s="85"/>
      <c r="K145" s="85"/>
      <c r="L145" s="85"/>
      <c r="M145" s="85"/>
      <c r="N145" s="207">
        <f t="shared" si="0"/>
        <v>0</v>
      </c>
      <c r="O145" s="209">
        <f t="shared" si="0"/>
        <v>-0.20027004746537158</v>
      </c>
      <c r="P145" s="209">
        <f t="shared" si="5"/>
        <v>-0.34366575835789459</v>
      </c>
      <c r="Q145" s="209">
        <f t="shared" si="5"/>
        <v>-0.86312561883618999</v>
      </c>
      <c r="R145" s="209">
        <f t="shared" si="5"/>
        <v>-3.2717512782434754</v>
      </c>
      <c r="S145" s="209">
        <f t="shared" si="5"/>
        <v>-5.0034888750410706</v>
      </c>
      <c r="T145" s="209">
        <f t="shared" si="5"/>
        <v>-4.8867772837466514</v>
      </c>
      <c r="U145" s="209">
        <f t="shared" si="5"/>
        <v>-5.1616315975040372</v>
      </c>
      <c r="V145" s="209">
        <f t="shared" si="5"/>
        <v>-5.6822193978100888</v>
      </c>
      <c r="W145" s="209">
        <f t="shared" si="5"/>
        <v>-6.6420513765589257</v>
      </c>
      <c r="X145" s="209">
        <f t="shared" si="5"/>
        <v>-8.4647352535957818</v>
      </c>
      <c r="Y145" s="209">
        <f t="shared" si="5"/>
        <v>-9.5124021847527089</v>
      </c>
      <c r="Z145" s="209">
        <f t="shared" si="5"/>
        <v>-9.8933682517883774</v>
      </c>
      <c r="AA145" s="209">
        <f t="shared" si="5"/>
        <v>-12.895217886873839</v>
      </c>
      <c r="AB145" s="209">
        <f t="shared" si="5"/>
        <v>-11.325480239013421</v>
      </c>
      <c r="AC145" s="206">
        <f t="shared" si="5"/>
        <v>-12.896021009509747</v>
      </c>
      <c r="AD145" s="206">
        <f t="shared" si="5"/>
        <v>-13.81009999883425</v>
      </c>
      <c r="AE145" s="206">
        <f t="shared" si="5"/>
        <v>-14.691519734206716</v>
      </c>
      <c r="AF145" s="206">
        <f t="shared" si="5"/>
        <v>-15.559355497229127</v>
      </c>
      <c r="AG145" s="206">
        <f t="shared" si="5"/>
        <v>-16.395097333204923</v>
      </c>
      <c r="AH145" s="206">
        <f t="shared" si="5"/>
        <v>-17.247154394056743</v>
      </c>
      <c r="AI145" s="206">
        <f t="shared" si="5"/>
        <v>-18.084212435507201</v>
      </c>
      <c r="AJ145" s="206">
        <f t="shared" si="5"/>
        <v>-18.877949320070119</v>
      </c>
      <c r="AK145" s="206">
        <f t="shared" si="5"/>
        <v>-19.589933285174183</v>
      </c>
      <c r="AL145" s="206">
        <f t="shared" si="5"/>
        <v>-20.140485746176282</v>
      </c>
      <c r="AM145" s="206">
        <f t="shared" si="5"/>
        <v>-20.70969844227438</v>
      </c>
      <c r="AN145" s="206">
        <f t="shared" si="5"/>
        <v>-21.298023997458063</v>
      </c>
      <c r="AO145" s="206">
        <f t="shared" si="5"/>
        <v>-21.905933973589768</v>
      </c>
      <c r="AP145" s="206">
        <f t="shared" si="5"/>
        <v>-22.533919170583307</v>
      </c>
      <c r="AQ145" s="206">
        <f t="shared" si="5"/>
        <v>-23.182489948985641</v>
      </c>
      <c r="AR145" s="206">
        <f t="shared" si="5"/>
        <v>-23.852176574964087</v>
      </c>
      <c r="AS145" s="44" t="s">
        <v>644</v>
      </c>
    </row>
    <row r="146" spans="4:45" ht="17.399999999999999">
      <c r="D146" s="105">
        <v>21</v>
      </c>
      <c r="E146" s="204">
        <v>40561</v>
      </c>
      <c r="F146" s="205" t="s">
        <v>646</v>
      </c>
      <c r="G146" s="51" t="s">
        <v>809</v>
      </c>
      <c r="H146" s="85" t="s">
        <v>921</v>
      </c>
      <c r="I146" s="85"/>
      <c r="J146" s="85"/>
      <c r="K146" s="85"/>
      <c r="L146" s="85"/>
      <c r="M146" s="85"/>
      <c r="N146" s="207">
        <f t="shared" ref="N146:O165" si="6">N87-N28</f>
        <v>0</v>
      </c>
      <c r="O146" s="209">
        <f t="shared" si="6"/>
        <v>-2.4359452216353272E-2</v>
      </c>
      <c r="P146" s="209">
        <f t="shared" si="5"/>
        <v>-0.1513942585308905</v>
      </c>
      <c r="Q146" s="209">
        <f t="shared" si="5"/>
        <v>-0.30186750284296027</v>
      </c>
      <c r="R146" s="209">
        <f t="shared" si="5"/>
        <v>-0.51065380110304215</v>
      </c>
      <c r="S146" s="209">
        <f t="shared" si="5"/>
        <v>0.28105940528286855</v>
      </c>
      <c r="T146" s="209">
        <f t="shared" si="5"/>
        <v>7.275386803734385E-2</v>
      </c>
      <c r="U146" s="209">
        <f t="shared" si="5"/>
        <v>-0.10654907489376342</v>
      </c>
      <c r="V146" s="209">
        <f t="shared" si="5"/>
        <v>0.31282580296984452</v>
      </c>
      <c r="W146" s="209">
        <f t="shared" si="5"/>
        <v>1.2142949983021118</v>
      </c>
      <c r="X146" s="209">
        <f t="shared" si="5"/>
        <v>2.0866553073984502</v>
      </c>
      <c r="Y146" s="209">
        <f t="shared" si="5"/>
        <v>2.6282960658400745</v>
      </c>
      <c r="Z146" s="209">
        <f t="shared" si="5"/>
        <v>2.5887313402523864</v>
      </c>
      <c r="AA146" s="209">
        <f t="shared" si="5"/>
        <v>3.7428650052142611</v>
      </c>
      <c r="AB146" s="209">
        <f t="shared" si="5"/>
        <v>2.37345132328117</v>
      </c>
      <c r="AC146" s="206">
        <f t="shared" si="5"/>
        <v>2.5069101242087921</v>
      </c>
      <c r="AD146" s="206">
        <f t="shared" si="5"/>
        <v>3.5832584682942734</v>
      </c>
      <c r="AE146" s="206">
        <f t="shared" si="5"/>
        <v>3.0605146945431407</v>
      </c>
      <c r="AF146" s="206">
        <f t="shared" si="5"/>
        <v>1.8016166251838648</v>
      </c>
      <c r="AG146" s="206">
        <f t="shared" si="5"/>
        <v>4.7770246286682525</v>
      </c>
      <c r="AH146" s="206">
        <f t="shared" si="5"/>
        <v>9.9279572725657648</v>
      </c>
      <c r="AI146" s="206">
        <f t="shared" si="5"/>
        <v>8.3787987930586389</v>
      </c>
      <c r="AJ146" s="206">
        <f t="shared" si="5"/>
        <v>6.711210646707066</v>
      </c>
      <c r="AK146" s="206">
        <f t="shared" si="5"/>
        <v>11.139357611644254</v>
      </c>
      <c r="AL146" s="206">
        <f t="shared" si="5"/>
        <v>9.8656520849522238</v>
      </c>
      <c r="AM146" s="206">
        <f t="shared" si="5"/>
        <v>11.278334691708324</v>
      </c>
      <c r="AN146" s="206">
        <f t="shared" si="5"/>
        <v>12.878924480692618</v>
      </c>
      <c r="AO146" s="206">
        <f t="shared" si="5"/>
        <v>14.648047158399738</v>
      </c>
      <c r="AP146" s="206">
        <f t="shared" si="5"/>
        <v>16.602312830027309</v>
      </c>
      <c r="AQ146" s="206">
        <f t="shared" si="5"/>
        <v>18.759974266630955</v>
      </c>
      <c r="AR146" s="206">
        <f t="shared" si="5"/>
        <v>21.141091485554636</v>
      </c>
      <c r="AS146" s="44" t="s">
        <v>646</v>
      </c>
    </row>
    <row r="147" spans="4:45" ht="17.399999999999999">
      <c r="D147" s="105">
        <v>22</v>
      </c>
      <c r="E147" s="204">
        <v>40561</v>
      </c>
      <c r="F147" s="205" t="s">
        <v>648</v>
      </c>
      <c r="G147" s="51" t="s">
        <v>809</v>
      </c>
      <c r="H147" s="85" t="s">
        <v>922</v>
      </c>
      <c r="I147" s="85"/>
      <c r="J147" s="85"/>
      <c r="K147" s="85"/>
      <c r="L147" s="85"/>
      <c r="M147" s="85"/>
      <c r="N147" s="207">
        <f t="shared" si="6"/>
        <v>0</v>
      </c>
      <c r="O147" s="209">
        <f t="shared" si="6"/>
        <v>-1.7194377618988257</v>
      </c>
      <c r="P147" s="209">
        <f t="shared" si="5"/>
        <v>-1.9680277801214479</v>
      </c>
      <c r="Q147" s="209">
        <f t="shared" si="5"/>
        <v>-2.2270348811115843</v>
      </c>
      <c r="R147" s="209">
        <f t="shared" si="5"/>
        <v>-3.4930984248737649</v>
      </c>
      <c r="S147" s="209">
        <f t="shared" si="5"/>
        <v>-5.1712627496070169</v>
      </c>
      <c r="T147" s="209">
        <f t="shared" si="5"/>
        <v>-6.0707268468539208</v>
      </c>
      <c r="U147" s="209">
        <f t="shared" si="5"/>
        <v>-6.9167509862711292</v>
      </c>
      <c r="V147" s="209">
        <f t="shared" si="5"/>
        <v>-7.6273689193439242</v>
      </c>
      <c r="W147" s="209">
        <f t="shared" si="5"/>
        <v>-8.7904133177964709</v>
      </c>
      <c r="X147" s="209">
        <f t="shared" si="5"/>
        <v>-9.9906245526903739</v>
      </c>
      <c r="Y147" s="209">
        <f t="shared" si="5"/>
        <v>-11.213557335183449</v>
      </c>
      <c r="Z147" s="209">
        <f t="shared" si="5"/>
        <v>-12.976654669654488</v>
      </c>
      <c r="AA147" s="209">
        <f t="shared" si="5"/>
        <v>-15.438804338129833</v>
      </c>
      <c r="AB147" s="209">
        <f t="shared" si="5"/>
        <v>-16.637405826995906</v>
      </c>
      <c r="AC147" s="206">
        <f t="shared" si="5"/>
        <v>-17.716147166975372</v>
      </c>
      <c r="AD147" s="206">
        <f t="shared" si="5"/>
        <v>-18.687014372956892</v>
      </c>
      <c r="AE147" s="206">
        <f t="shared" si="5"/>
        <v>-19.560794858340259</v>
      </c>
      <c r="AF147" s="206">
        <f t="shared" si="5"/>
        <v>-20.347197295185289</v>
      </c>
      <c r="AG147" s="206">
        <f t="shared" si="5"/>
        <v>-21.054959488345816</v>
      </c>
      <c r="AH147" s="206">
        <f t="shared" si="5"/>
        <v>-21.69194546219029</v>
      </c>
      <c r="AI147" s="206">
        <f t="shared" si="5"/>
        <v>-22.265232838650316</v>
      </c>
      <c r="AJ147" s="206">
        <f t="shared" si="5"/>
        <v>-22.78119147746434</v>
      </c>
      <c r="AK147" s="206">
        <f t="shared" si="5"/>
        <v>-23.24555425239696</v>
      </c>
      <c r="AL147" s="206">
        <f t="shared" si="5"/>
        <v>-23.663480749836317</v>
      </c>
      <c r="AM147" s="206">
        <f t="shared" si="5"/>
        <v>-24.039614597531738</v>
      </c>
      <c r="AN147" s="206">
        <f t="shared" si="5"/>
        <v>-24.378135060457616</v>
      </c>
      <c r="AO147" s="206">
        <f t="shared" si="5"/>
        <v>-24.682803477090907</v>
      </c>
      <c r="AP147" s="206">
        <f t="shared" si="5"/>
        <v>-24.957005052060868</v>
      </c>
      <c r="AQ147" s="206">
        <f t="shared" si="5"/>
        <v>-25.203786469533831</v>
      </c>
      <c r="AR147" s="206">
        <f t="shared" si="5"/>
        <v>-25.425889745259497</v>
      </c>
      <c r="AS147" s="44" t="s">
        <v>648</v>
      </c>
    </row>
    <row r="148" spans="4:45" ht="17.399999999999999">
      <c r="D148" s="105">
        <v>23</v>
      </c>
      <c r="E148" s="204">
        <v>40561</v>
      </c>
      <c r="F148" s="205" t="s">
        <v>650</v>
      </c>
      <c r="G148" s="51" t="s">
        <v>809</v>
      </c>
      <c r="H148" s="85" t="s">
        <v>923</v>
      </c>
      <c r="I148" s="85"/>
      <c r="J148" s="85"/>
      <c r="K148" s="85"/>
      <c r="L148" s="85"/>
      <c r="M148" s="85"/>
      <c r="N148" s="141">
        <f t="shared" si="6"/>
        <v>0</v>
      </c>
      <c r="O148" s="278">
        <f t="shared" si="6"/>
        <v>-0.74179832579787308</v>
      </c>
      <c r="P148" s="278">
        <f t="shared" si="5"/>
        <v>-0.53848778180308532</v>
      </c>
      <c r="Q148" s="278">
        <f t="shared" si="5"/>
        <v>-0.44586364855173555</v>
      </c>
      <c r="R148" s="278">
        <f t="shared" si="5"/>
        <v>0.7973499201121621</v>
      </c>
      <c r="S148" s="278">
        <f t="shared" si="5"/>
        <v>1.896269453741827</v>
      </c>
      <c r="T148" s="278">
        <f t="shared" si="5"/>
        <v>2.2711066318976867</v>
      </c>
      <c r="U148" s="278">
        <f t="shared" si="5"/>
        <v>2.3579291033289707</v>
      </c>
      <c r="V148" s="278">
        <f t="shared" si="5"/>
        <v>1.9847225680472285</v>
      </c>
      <c r="W148" s="278">
        <f t="shared" si="5"/>
        <v>2.3213588229592466</v>
      </c>
      <c r="X148" s="278">
        <f t="shared" si="5"/>
        <v>2.3796957394998532</v>
      </c>
      <c r="Y148" s="278">
        <f t="shared" si="5"/>
        <v>2.5444972386226201</v>
      </c>
      <c r="Z148" s="278">
        <f t="shared" si="5"/>
        <v>2.0196621501997249</v>
      </c>
      <c r="AA148" s="278">
        <f t="shared" si="5"/>
        <v>2.0460920010806429</v>
      </c>
      <c r="AB148" s="278">
        <f t="shared" si="5"/>
        <v>0.81948624399599979</v>
      </c>
      <c r="AC148" s="206">
        <f t="shared" si="5"/>
        <v>0.414792073593933</v>
      </c>
      <c r="AD148" s="206">
        <f t="shared" si="5"/>
        <v>0.52524158875158022</v>
      </c>
      <c r="AE148" s="206">
        <f t="shared" si="5"/>
        <v>0.59859248062445758</v>
      </c>
      <c r="AF148" s="206">
        <f t="shared" si="5"/>
        <v>0.78723579327645865</v>
      </c>
      <c r="AG148" s="206">
        <f t="shared" si="5"/>
        <v>0.9721630718796348</v>
      </c>
      <c r="AH148" s="206">
        <f t="shared" si="5"/>
        <v>2.7727445244884343</v>
      </c>
      <c r="AI148" s="206">
        <f t="shared" si="5"/>
        <v>3.7405548852149835</v>
      </c>
      <c r="AJ148" s="206">
        <f t="shared" si="5"/>
        <v>4.1911870933778772</v>
      </c>
      <c r="AK148" s="206">
        <f t="shared" si="5"/>
        <v>5.1988761757506907</v>
      </c>
      <c r="AL148" s="206">
        <f t="shared" si="5"/>
        <v>5.8840095767765774</v>
      </c>
      <c r="AM148" s="206">
        <f t="shared" si="5"/>
        <v>6.9789998886166487</v>
      </c>
      <c r="AN148" s="206">
        <f t="shared" si="5"/>
        <v>9.0908195076226122</v>
      </c>
      <c r="AO148" s="206">
        <f t="shared" si="5"/>
        <v>10.924312150727712</v>
      </c>
      <c r="AP148" s="206">
        <f t="shared" si="5"/>
        <v>12.897999162664579</v>
      </c>
      <c r="AQ148" s="206">
        <f t="shared" si="5"/>
        <v>15.011612301373319</v>
      </c>
      <c r="AR148" s="206">
        <f t="shared" si="5"/>
        <v>17.265961606766282</v>
      </c>
      <c r="AS148" s="44" t="s">
        <v>650</v>
      </c>
    </row>
    <row r="149" spans="4:45" ht="17.399999999999999">
      <c r="D149" s="105">
        <v>24</v>
      </c>
      <c r="E149" s="204">
        <v>40561</v>
      </c>
      <c r="F149" s="205" t="s">
        <v>652</v>
      </c>
      <c r="G149" s="51" t="s">
        <v>809</v>
      </c>
      <c r="H149" s="85" t="s">
        <v>924</v>
      </c>
      <c r="I149" s="85"/>
      <c r="J149" s="85"/>
      <c r="K149" s="85"/>
      <c r="L149" s="85"/>
      <c r="M149" s="85"/>
      <c r="N149" s="207">
        <f t="shared" si="6"/>
        <v>0</v>
      </c>
      <c r="O149" s="209">
        <f t="shared" si="6"/>
        <v>0.75175107399920282</v>
      </c>
      <c r="P149" s="209">
        <f t="shared" si="5"/>
        <v>0.55274677485238088</v>
      </c>
      <c r="Q149" s="209">
        <f t="shared" si="5"/>
        <v>0.12112031402676671</v>
      </c>
      <c r="R149" s="209">
        <f t="shared" si="5"/>
        <v>-0.66813806522369212</v>
      </c>
      <c r="S149" s="209">
        <f t="shared" si="5"/>
        <v>-0.50808831571015789</v>
      </c>
      <c r="T149" s="209">
        <f t="shared" si="5"/>
        <v>-0.45381709366342271</v>
      </c>
      <c r="U149" s="209">
        <f t="shared" si="5"/>
        <v>-1.1535729342451884</v>
      </c>
      <c r="V149" s="209">
        <f t="shared" si="5"/>
        <v>-0.1499716969070013</v>
      </c>
      <c r="W149" s="209">
        <f t="shared" si="5"/>
        <v>0.7423570068842622</v>
      </c>
      <c r="X149" s="209">
        <f t="shared" si="5"/>
        <v>-0.1126445670804701</v>
      </c>
      <c r="Y149" s="209">
        <f t="shared" si="5"/>
        <v>1.1085668467487331</v>
      </c>
      <c r="Z149" s="209">
        <f t="shared" si="5"/>
        <v>2.4400593216680662</v>
      </c>
      <c r="AA149" s="209">
        <f t="shared" si="5"/>
        <v>3.0335665616347285</v>
      </c>
      <c r="AB149" s="209">
        <f t="shared" si="5"/>
        <v>2.8674506744770483</v>
      </c>
      <c r="AC149" s="206">
        <f t="shared" si="5"/>
        <v>3.1606393243005932</v>
      </c>
      <c r="AD149" s="206">
        <f t="shared" si="5"/>
        <v>3.8314320420880108</v>
      </c>
      <c r="AE149" s="206">
        <f t="shared" si="5"/>
        <v>4.1257315056812942</v>
      </c>
      <c r="AF149" s="206">
        <f t="shared" si="5"/>
        <v>4.2257955692955402</v>
      </c>
      <c r="AG149" s="206">
        <f t="shared" si="5"/>
        <v>4.541938316200266</v>
      </c>
      <c r="AH149" s="206">
        <f t="shared" si="5"/>
        <v>4.8043993373982765</v>
      </c>
      <c r="AI149" s="206">
        <f t="shared" si="5"/>
        <v>6.0038255834717091</v>
      </c>
      <c r="AJ149" s="206">
        <f t="shared" si="5"/>
        <v>5.7459513449998489</v>
      </c>
      <c r="AK149" s="206">
        <f t="shared" si="5"/>
        <v>5.4271121749552123</v>
      </c>
      <c r="AL149" s="206">
        <f t="shared" si="5"/>
        <v>6.3106059475150218</v>
      </c>
      <c r="AM149" s="206">
        <f t="shared" si="5"/>
        <v>6.8658322669425189</v>
      </c>
      <c r="AN149" s="206">
        <f t="shared" si="5"/>
        <v>7.5301082587173589</v>
      </c>
      <c r="AO149" s="206">
        <f t="shared" si="5"/>
        <v>8.2841608702036353</v>
      </c>
      <c r="AP149" s="206">
        <f t="shared" si="5"/>
        <v>9.1303861080423871</v>
      </c>
      <c r="AQ149" s="206">
        <f t="shared" si="5"/>
        <v>10.071377213707439</v>
      </c>
      <c r="AR149" s="206">
        <f t="shared" si="5"/>
        <v>11.109931660170545</v>
      </c>
      <c r="AS149" s="44" t="s">
        <v>652</v>
      </c>
    </row>
    <row r="150" spans="4:45" ht="17.399999999999999">
      <c r="D150" s="105">
        <v>25</v>
      </c>
      <c r="E150" s="215">
        <v>40577</v>
      </c>
      <c r="F150" s="205" t="s">
        <v>583</v>
      </c>
      <c r="G150" s="51" t="s">
        <v>809</v>
      </c>
      <c r="H150" s="85" t="s">
        <v>925</v>
      </c>
      <c r="I150" s="85"/>
      <c r="J150" s="85"/>
      <c r="K150" s="85"/>
      <c r="L150" s="85"/>
      <c r="M150" s="85"/>
      <c r="N150" s="207">
        <f t="shared" si="6"/>
        <v>0</v>
      </c>
      <c r="O150" s="209" t="e">
        <f t="shared" si="6"/>
        <v>#VALUE!</v>
      </c>
      <c r="P150" s="209">
        <f t="shared" si="5"/>
        <v>-0.30712930623625129</v>
      </c>
      <c r="Q150" s="209">
        <f t="shared" si="5"/>
        <v>-0.26369933638084325</v>
      </c>
      <c r="R150" s="209">
        <f t="shared" si="5"/>
        <v>0.77016383669415522</v>
      </c>
      <c r="S150" s="209">
        <f t="shared" si="5"/>
        <v>0.73340218075654073</v>
      </c>
      <c r="T150" s="209">
        <f t="shared" si="5"/>
        <v>0.72089178964006617</v>
      </c>
      <c r="U150" s="209">
        <f t="shared" si="5"/>
        <v>0.70314980370321478</v>
      </c>
      <c r="V150" s="209">
        <f t="shared" si="5"/>
        <v>0.67359645413459912</v>
      </c>
      <c r="W150" s="209">
        <f t="shared" si="5"/>
        <v>0.5163973038331271</v>
      </c>
      <c r="X150" s="209">
        <f t="shared" si="5"/>
        <v>0.32241546522651698</v>
      </c>
      <c r="Y150" s="209">
        <f t="shared" si="5"/>
        <v>0.27100861149904593</v>
      </c>
      <c r="Z150" s="209">
        <f t="shared" si="5"/>
        <v>0.24147679906901665</v>
      </c>
      <c r="AA150" s="209">
        <f t="shared" si="5"/>
        <v>0.2052369828312981</v>
      </c>
      <c r="AB150" s="209">
        <f t="shared" si="5"/>
        <v>0.2761919819241076</v>
      </c>
      <c r="AC150" s="206">
        <f t="shared" si="5"/>
        <v>0.23319985438861335</v>
      </c>
      <c r="AD150" s="206">
        <f t="shared" si="5"/>
        <v>0.1601764726431808</v>
      </c>
      <c r="AE150" s="206">
        <f t="shared" si="5"/>
        <v>0.13391309441496635</v>
      </c>
      <c r="AF150" s="206">
        <f t="shared" si="5"/>
        <v>0.11630819116907409</v>
      </c>
      <c r="AG150" s="206">
        <f t="shared" si="5"/>
        <v>0.11136778779362844</v>
      </c>
      <c r="AH150" s="206">
        <f t="shared" si="5"/>
        <v>9.0455018374674845E-2</v>
      </c>
      <c r="AI150" s="206">
        <f t="shared" si="5"/>
        <v>9.8683124127422417E-2</v>
      </c>
      <c r="AJ150" s="206">
        <f t="shared" si="5"/>
        <v>0.10426517012707037</v>
      </c>
      <c r="AK150" s="206">
        <f t="shared" si="5"/>
        <v>0.13542759587054609</v>
      </c>
      <c r="AL150" s="206">
        <f t="shared" si="5"/>
        <v>0.16577098944055124</v>
      </c>
      <c r="AM150" s="206">
        <f t="shared" si="5"/>
        <v>0.19548412026850004</v>
      </c>
      <c r="AN150" s="206">
        <f t="shared" si="5"/>
        <v>0.22477588287878414</v>
      </c>
      <c r="AO150" s="206">
        <f t="shared" si="5"/>
        <v>0.25388020334703332</v>
      </c>
      <c r="AP150" s="206">
        <f t="shared" si="5"/>
        <v>0.28306188297804513</v>
      </c>
      <c r="AQ150" s="206">
        <f t="shared" si="5"/>
        <v>0.31262356885091647</v>
      </c>
      <c r="AR150" s="206">
        <f t="shared" si="5"/>
        <v>0.34291407869823642</v>
      </c>
      <c r="AS150" s="44" t="s">
        <v>583</v>
      </c>
    </row>
    <row r="151" spans="4:45" ht="17.399999999999999">
      <c r="D151" s="105">
        <v>26</v>
      </c>
      <c r="E151" s="204">
        <v>40569</v>
      </c>
      <c r="F151" s="205" t="s">
        <v>791</v>
      </c>
      <c r="G151" s="51" t="s">
        <v>809</v>
      </c>
      <c r="H151" s="85" t="s">
        <v>926</v>
      </c>
      <c r="I151" s="85"/>
      <c r="J151" s="85"/>
      <c r="K151" s="85"/>
      <c r="L151" s="85"/>
      <c r="M151" s="85"/>
      <c r="N151" s="207">
        <f t="shared" si="6"/>
        <v>0</v>
      </c>
      <c r="O151" s="209">
        <f t="shared" si="6"/>
        <v>-0.2387898233810517</v>
      </c>
      <c r="P151" s="209">
        <f t="shared" si="5"/>
        <v>-0.19070082459767379</v>
      </c>
      <c r="Q151" s="209">
        <f t="shared" si="5"/>
        <v>-0.26151042766793864</v>
      </c>
      <c r="R151" s="209">
        <f t="shared" si="5"/>
        <v>-0.20545640441989821</v>
      </c>
      <c r="S151" s="209">
        <f t="shared" si="5"/>
        <v>0.1400667727077809</v>
      </c>
      <c r="T151" s="209">
        <f t="shared" si="5"/>
        <v>0.34233925025847256</v>
      </c>
      <c r="U151" s="209">
        <f t="shared" si="5"/>
        <v>0.50871075182720493</v>
      </c>
      <c r="V151" s="209">
        <f t="shared" si="5"/>
        <v>0.69009806572973287</v>
      </c>
      <c r="W151" s="209">
        <f t="shared" si="5"/>
        <v>0.88336835971196881</v>
      </c>
      <c r="X151" s="209">
        <f t="shared" si="5"/>
        <v>1.0421505801620434</v>
      </c>
      <c r="Y151" s="209">
        <f t="shared" si="5"/>
        <v>1.2829757836169293</v>
      </c>
      <c r="Z151" s="209">
        <f t="shared" si="5"/>
        <v>1.5900882565862084</v>
      </c>
      <c r="AA151" s="209">
        <f t="shared" si="5"/>
        <v>1.7966624532865305</v>
      </c>
      <c r="AB151" s="209">
        <f t="shared" si="5"/>
        <v>0.93205053625985623</v>
      </c>
      <c r="AC151" s="206">
        <f t="shared" si="5"/>
        <v>1.4238258613182302</v>
      </c>
      <c r="AD151" s="206">
        <f t="shared" si="5"/>
        <v>1.7871153875062822</v>
      </c>
      <c r="AE151" s="206">
        <f t="shared" si="5"/>
        <v>1.8929293351533811</v>
      </c>
      <c r="AF151" s="206">
        <f t="shared" si="5"/>
        <v>1.8945806674422994</v>
      </c>
      <c r="AG151" s="206">
        <f t="shared" si="5"/>
        <v>1.6587916894516739</v>
      </c>
      <c r="AH151" s="206">
        <f t="shared" si="5"/>
        <v>1.3021137028512495</v>
      </c>
      <c r="AI151" s="206">
        <f t="shared" si="5"/>
        <v>1.2923512055938413</v>
      </c>
      <c r="AJ151" s="206">
        <f t="shared" si="5"/>
        <v>1.5781835448269401</v>
      </c>
      <c r="AK151" s="206">
        <f t="shared" si="5"/>
        <v>1.6621832613985215</v>
      </c>
      <c r="AL151" s="206">
        <f t="shared" si="5"/>
        <v>1.7125830913414704</v>
      </c>
      <c r="AM151" s="206">
        <f t="shared" si="5"/>
        <v>1.74282298930724</v>
      </c>
      <c r="AN151" s="206">
        <f t="shared" si="5"/>
        <v>1.7609669280867017</v>
      </c>
      <c r="AO151" s="206">
        <f t="shared" si="5"/>
        <v>1.771853291354379</v>
      </c>
      <c r="AP151" s="206">
        <f t="shared" si="5"/>
        <v>1.7783851093149854</v>
      </c>
      <c r="AQ151" s="206">
        <f t="shared" si="5"/>
        <v>1.7823042000913494</v>
      </c>
      <c r="AR151" s="206">
        <f t="shared" si="5"/>
        <v>1.7846556545571679</v>
      </c>
      <c r="AS151" s="44" t="s">
        <v>791</v>
      </c>
    </row>
    <row r="152" spans="4:45" ht="17.399999999999999">
      <c r="D152" s="105">
        <v>27</v>
      </c>
      <c r="E152" s="204">
        <v>40559</v>
      </c>
      <c r="F152" s="205" t="s">
        <v>537</v>
      </c>
      <c r="G152" s="51" t="s">
        <v>809</v>
      </c>
      <c r="H152" s="85" t="s">
        <v>927</v>
      </c>
      <c r="I152" s="85"/>
      <c r="J152" s="85"/>
      <c r="K152" s="85"/>
      <c r="L152" s="85"/>
      <c r="M152" s="85"/>
      <c r="N152" s="207">
        <f t="shared" si="6"/>
        <v>0</v>
      </c>
      <c r="O152" s="209">
        <f t="shared" si="6"/>
        <v>5300.6467217575837</v>
      </c>
      <c r="P152" s="209">
        <f t="shared" si="5"/>
        <v>5279.4416357474838</v>
      </c>
      <c r="Q152" s="209">
        <f t="shared" si="5"/>
        <v>5263.5988883824766</v>
      </c>
      <c r="R152" s="209">
        <f t="shared" si="5"/>
        <v>5274.1203968922609</v>
      </c>
      <c r="S152" s="209">
        <f t="shared" si="5"/>
        <v>5300.4845576514954</v>
      </c>
      <c r="T152" s="209">
        <f t="shared" si="5"/>
        <v>5348.1869890133266</v>
      </c>
      <c r="U152" s="209">
        <f t="shared" si="5"/>
        <v>5401.6726299950606</v>
      </c>
      <c r="V152" s="209">
        <f t="shared" si="5"/>
        <v>5471.8928192230496</v>
      </c>
      <c r="W152" s="209">
        <f t="shared" si="5"/>
        <v>5559.4389227465745</v>
      </c>
      <c r="X152" s="209">
        <f t="shared" si="5"/>
        <v>5665.0596640139456</v>
      </c>
      <c r="Y152" s="209">
        <f t="shared" si="5"/>
        <v>5801.0214366893415</v>
      </c>
      <c r="Z152" s="209">
        <f t="shared" si="5"/>
        <v>5980.8584557644526</v>
      </c>
      <c r="AA152" s="209">
        <f t="shared" si="5"/>
        <v>6196.1702407904222</v>
      </c>
      <c r="AB152" s="209">
        <f t="shared" si="5"/>
        <v>6394.4640408814412</v>
      </c>
      <c r="AC152" s="206">
        <f t="shared" si="5"/>
        <v>6586.2920464488107</v>
      </c>
      <c r="AD152" s="206">
        <f t="shared" si="5"/>
        <v>6849.7413952545585</v>
      </c>
      <c r="AE152" s="206">
        <f t="shared" si="5"/>
        <v>7144.2816972610362</v>
      </c>
      <c r="AF152" s="206">
        <f t="shared" si="5"/>
        <v>7437.1986389096146</v>
      </c>
      <c r="AG152" s="206">
        <f t="shared" si="5"/>
        <v>7712.3767622252071</v>
      </c>
      <c r="AH152" s="206">
        <f t="shared" si="5"/>
        <v>7959.1746504028297</v>
      </c>
      <c r="AI152" s="206">
        <f t="shared" si="5"/>
        <v>8269.5852848520153</v>
      </c>
      <c r="AJ152" s="206">
        <f t="shared" si="5"/>
        <v>8583.8325078999369</v>
      </c>
      <c r="AK152" s="206">
        <f t="shared" si="5"/>
        <v>8944.3570014379366</v>
      </c>
      <c r="AL152" s="206">
        <f t="shared" si="5"/>
        <v>9315.3861665495988</v>
      </c>
      <c r="AM152" s="206">
        <f t="shared" si="5"/>
        <v>9701.470018003658</v>
      </c>
      <c r="AN152" s="206">
        <f t="shared" si="5"/>
        <v>10100.35545229347</v>
      </c>
      <c r="AO152" s="206">
        <f t="shared" si="5"/>
        <v>10526.138876674888</v>
      </c>
      <c r="AP152" s="206">
        <f t="shared" ref="P152:AR161" si="7">AP93-AP34</f>
        <v>10976.033617476618</v>
      </c>
      <c r="AQ152" s="206">
        <f t="shared" si="7"/>
        <v>11450.28267467819</v>
      </c>
      <c r="AR152" s="206">
        <f t="shared" si="7"/>
        <v>11948.280658034986</v>
      </c>
      <c r="AS152" s="44" t="s">
        <v>537</v>
      </c>
    </row>
    <row r="153" spans="4:45" ht="17.399999999999999">
      <c r="D153" s="105">
        <v>28</v>
      </c>
      <c r="E153" s="204">
        <v>40559</v>
      </c>
      <c r="F153" s="205" t="s">
        <v>540</v>
      </c>
      <c r="G153" s="51" t="s">
        <v>809</v>
      </c>
      <c r="H153" s="85" t="s">
        <v>928</v>
      </c>
      <c r="I153" s="85"/>
      <c r="J153" s="85"/>
      <c r="K153" s="85"/>
      <c r="L153" s="85"/>
      <c r="M153" s="85"/>
      <c r="N153" s="207">
        <f t="shared" si="6"/>
        <v>0</v>
      </c>
      <c r="O153" s="209">
        <f t="shared" si="6"/>
        <v>-6.7443827250803473E-2</v>
      </c>
      <c r="P153" s="209">
        <f t="shared" si="7"/>
        <v>-7.3378422743912652E-2</v>
      </c>
      <c r="Q153" s="209">
        <f t="shared" si="7"/>
        <v>-8.0444251496902736E-2</v>
      </c>
      <c r="R153" s="209">
        <f t="shared" si="7"/>
        <v>-7.9254765355388307E-2</v>
      </c>
      <c r="S153" s="209">
        <f t="shared" si="7"/>
        <v>-8.725766032131918E-2</v>
      </c>
      <c r="T153" s="209">
        <f t="shared" si="7"/>
        <v>-7.7539085692981194E-2</v>
      </c>
      <c r="U153" s="209">
        <f t="shared" si="7"/>
        <v>-8.5441880577529258E-2</v>
      </c>
      <c r="V153" s="209">
        <f t="shared" si="7"/>
        <v>-7.9938087537364033E-2</v>
      </c>
      <c r="W153" s="209">
        <f t="shared" si="7"/>
        <v>-8.6441962043970547E-2</v>
      </c>
      <c r="X153" s="209">
        <f t="shared" si="7"/>
        <v>-0.10195514871018198</v>
      </c>
      <c r="Y153" s="209">
        <f t="shared" si="7"/>
        <v>-0.10383564125667144</v>
      </c>
      <c r="Z153" s="209">
        <f t="shared" si="7"/>
        <v>-9.757961920258694E-2</v>
      </c>
      <c r="AA153" s="209">
        <f t="shared" si="7"/>
        <v>-0.10133409582628937</v>
      </c>
      <c r="AB153" s="209">
        <f t="shared" si="7"/>
        <v>-8.3415363834001929E-2</v>
      </c>
      <c r="AC153" s="206">
        <f t="shared" si="7"/>
        <v>-9.2595292126061948E-2</v>
      </c>
      <c r="AD153" s="206">
        <f t="shared" si="7"/>
        <v>-9.9342075169598448E-2</v>
      </c>
      <c r="AE153" s="206">
        <f t="shared" si="7"/>
        <v>-0.10175458984726128</v>
      </c>
      <c r="AF153" s="206">
        <f t="shared" si="7"/>
        <v>-0.10461442517360398</v>
      </c>
      <c r="AG153" s="206">
        <f t="shared" si="7"/>
        <v>-0.10661630990204386</v>
      </c>
      <c r="AH153" s="206">
        <f t="shared" si="7"/>
        <v>-0.10801762921195178</v>
      </c>
      <c r="AI153" s="206">
        <f t="shared" si="7"/>
        <v>-0.10899855272888732</v>
      </c>
      <c r="AJ153" s="206">
        <f t="shared" si="7"/>
        <v>-0.10968519919074221</v>
      </c>
      <c r="AK153" s="206">
        <f t="shared" si="7"/>
        <v>-0.11016585171404063</v>
      </c>
      <c r="AL153" s="206">
        <f t="shared" si="7"/>
        <v>-0.11050230848034952</v>
      </c>
      <c r="AM153" s="206">
        <f t="shared" si="7"/>
        <v>-0.11073782821676574</v>
      </c>
      <c r="AN153" s="206">
        <f t="shared" si="7"/>
        <v>-0.1109026920322571</v>
      </c>
      <c r="AO153" s="206">
        <f t="shared" si="7"/>
        <v>-0.11101809670310105</v>
      </c>
      <c r="AP153" s="206">
        <f t="shared" si="7"/>
        <v>-0.11109887997269181</v>
      </c>
      <c r="AQ153" s="206">
        <f t="shared" si="7"/>
        <v>-0.11115542826140536</v>
      </c>
      <c r="AR153" s="206">
        <f t="shared" si="7"/>
        <v>-0.11119501206350484</v>
      </c>
      <c r="AS153" s="44" t="s">
        <v>540</v>
      </c>
    </row>
    <row r="154" spans="4:45" ht="17.399999999999999">
      <c r="D154" s="105">
        <v>29</v>
      </c>
      <c r="E154" s="204">
        <v>40559</v>
      </c>
      <c r="F154" s="205" t="s">
        <v>27</v>
      </c>
      <c r="G154" s="51" t="s">
        <v>809</v>
      </c>
      <c r="H154" s="85" t="s">
        <v>929</v>
      </c>
      <c r="I154" s="85"/>
      <c r="J154" s="85"/>
      <c r="K154" s="85"/>
      <c r="L154" s="85"/>
      <c r="M154" s="85"/>
      <c r="N154" s="207">
        <f t="shared" si="6"/>
        <v>0</v>
      </c>
      <c r="O154" s="209">
        <f t="shared" si="6"/>
        <v>-0.37225193107546045</v>
      </c>
      <c r="P154" s="209">
        <f t="shared" si="7"/>
        <v>-0.24807644576818072</v>
      </c>
      <c r="Q154" s="209">
        <f t="shared" si="7"/>
        <v>-0.21669287800494275</v>
      </c>
      <c r="R154" s="209">
        <f t="shared" si="7"/>
        <v>-0.13888277985484934</v>
      </c>
      <c r="S154" s="209">
        <f t="shared" si="7"/>
        <v>-0.14690466071681541</v>
      </c>
      <c r="T154" s="209">
        <f t="shared" si="7"/>
        <v>-0.1785941475826972</v>
      </c>
      <c r="U154" s="209">
        <f t="shared" si="7"/>
        <v>-0.24370430544272947</v>
      </c>
      <c r="V154" s="209">
        <f t="shared" si="7"/>
        <v>-0.28840401196551119</v>
      </c>
      <c r="W154" s="209">
        <f t="shared" si="7"/>
        <v>-0.33246753246753241</v>
      </c>
      <c r="X154" s="209">
        <f t="shared" si="7"/>
        <v>-0.35138248847926268</v>
      </c>
      <c r="Y154" s="209">
        <f t="shared" si="7"/>
        <v>-0.34846969393878779</v>
      </c>
      <c r="Z154" s="209">
        <f t="shared" si="7"/>
        <v>-0.36575600565237865</v>
      </c>
      <c r="AA154" s="209">
        <f t="shared" si="7"/>
        <v>-0.28776706371714883</v>
      </c>
      <c r="AB154" s="209">
        <f t="shared" si="7"/>
        <v>-0.34840321952486042</v>
      </c>
      <c r="AC154" s="206">
        <f t="shared" si="7"/>
        <v>-0.378</v>
      </c>
      <c r="AD154" s="206">
        <f t="shared" si="7"/>
        <v>-0.38</v>
      </c>
      <c r="AE154" s="206">
        <f t="shared" si="7"/>
        <v>-0.36799999999999999</v>
      </c>
      <c r="AF154" s="206">
        <f t="shared" si="7"/>
        <v>-0.3584</v>
      </c>
      <c r="AG154" s="206">
        <f t="shared" si="7"/>
        <v>-0.35071999999999998</v>
      </c>
      <c r="AH154" s="206">
        <f t="shared" si="7"/>
        <v>-0.34457599999999994</v>
      </c>
      <c r="AI154" s="206">
        <f t="shared" si="7"/>
        <v>-0.33966079999999993</v>
      </c>
      <c r="AJ154" s="206">
        <f t="shared" si="7"/>
        <v>-0.33572863999999991</v>
      </c>
      <c r="AK154" s="206">
        <f t="shared" si="7"/>
        <v>-0.3325829119999999</v>
      </c>
      <c r="AL154" s="206">
        <f t="shared" si="7"/>
        <v>-0.33006632959999987</v>
      </c>
      <c r="AM154" s="206">
        <f t="shared" si="7"/>
        <v>-0.32805306367999987</v>
      </c>
      <c r="AN154" s="206">
        <f t="shared" si="7"/>
        <v>-0.32644245094399987</v>
      </c>
      <c r="AO154" s="206">
        <f t="shared" si="7"/>
        <v>-0.32515396075519987</v>
      </c>
      <c r="AP154" s="206">
        <f t="shared" si="7"/>
        <v>-0.32412316860415985</v>
      </c>
      <c r="AQ154" s="206">
        <f t="shared" si="7"/>
        <v>-0.32329853488332783</v>
      </c>
      <c r="AR154" s="206">
        <f t="shared" si="7"/>
        <v>-0.32263882790666221</v>
      </c>
      <c r="AS154" s="44" t="s">
        <v>27</v>
      </c>
    </row>
    <row r="155" spans="4:45" ht="17.399999999999999">
      <c r="D155" s="105">
        <v>30</v>
      </c>
      <c r="E155" s="204">
        <v>40558</v>
      </c>
      <c r="F155" s="205" t="s">
        <v>491</v>
      </c>
      <c r="G155" s="51" t="s">
        <v>396</v>
      </c>
      <c r="H155" s="85" t="s">
        <v>930</v>
      </c>
      <c r="I155" s="85"/>
      <c r="J155" s="85"/>
      <c r="K155" s="85"/>
      <c r="L155" s="85"/>
      <c r="M155" s="85"/>
      <c r="N155" s="207">
        <f t="shared" si="6"/>
        <v>0</v>
      </c>
      <c r="O155" s="209" t="e">
        <f t="shared" si="6"/>
        <v>#REF!</v>
      </c>
      <c r="P155" s="209" t="e">
        <f t="shared" si="7"/>
        <v>#REF!</v>
      </c>
      <c r="Q155" s="209" t="e">
        <f t="shared" si="7"/>
        <v>#REF!</v>
      </c>
      <c r="R155" s="209" t="e">
        <f t="shared" si="7"/>
        <v>#REF!</v>
      </c>
      <c r="S155" s="209" t="e">
        <f t="shared" si="7"/>
        <v>#REF!</v>
      </c>
      <c r="T155" s="209" t="e">
        <f t="shared" si="7"/>
        <v>#REF!</v>
      </c>
      <c r="U155" s="209" t="e">
        <f t="shared" si="7"/>
        <v>#REF!</v>
      </c>
      <c r="V155" s="209" t="e">
        <f t="shared" si="7"/>
        <v>#REF!</v>
      </c>
      <c r="W155" s="209" t="e">
        <f t="shared" si="7"/>
        <v>#REF!</v>
      </c>
      <c r="X155" s="209" t="e">
        <f t="shared" si="7"/>
        <v>#REF!</v>
      </c>
      <c r="Y155" s="209" t="e">
        <f t="shared" si="7"/>
        <v>#REF!</v>
      </c>
      <c r="Z155" s="209" t="e">
        <f t="shared" si="7"/>
        <v>#REF!</v>
      </c>
      <c r="AA155" s="209" t="e">
        <f t="shared" si="7"/>
        <v>#REF!</v>
      </c>
      <c r="AB155" s="209" t="e">
        <f t="shared" si="7"/>
        <v>#REF!</v>
      </c>
      <c r="AC155" s="206" t="e">
        <f t="shared" si="7"/>
        <v>#REF!</v>
      </c>
      <c r="AD155" s="206" t="e">
        <f t="shared" si="7"/>
        <v>#REF!</v>
      </c>
      <c r="AE155" s="206" t="e">
        <f t="shared" si="7"/>
        <v>#REF!</v>
      </c>
      <c r="AF155" s="206" t="e">
        <f t="shared" si="7"/>
        <v>#REF!</v>
      </c>
      <c r="AG155" s="206" t="e">
        <f t="shared" si="7"/>
        <v>#REF!</v>
      </c>
      <c r="AH155" s="206" t="e">
        <f t="shared" si="7"/>
        <v>#REF!</v>
      </c>
      <c r="AI155" s="206" t="e">
        <f t="shared" si="7"/>
        <v>#REF!</v>
      </c>
      <c r="AJ155" s="206" t="e">
        <f t="shared" si="7"/>
        <v>#REF!</v>
      </c>
      <c r="AK155" s="206" t="e">
        <f t="shared" si="7"/>
        <v>#REF!</v>
      </c>
      <c r="AL155" s="206" t="e">
        <f t="shared" si="7"/>
        <v>#REF!</v>
      </c>
      <c r="AM155" s="206" t="e">
        <f t="shared" si="7"/>
        <v>#REF!</v>
      </c>
      <c r="AN155" s="206" t="e">
        <f t="shared" si="7"/>
        <v>#REF!</v>
      </c>
      <c r="AO155" s="206" t="e">
        <f t="shared" si="7"/>
        <v>#REF!</v>
      </c>
      <c r="AP155" s="206" t="e">
        <f t="shared" si="7"/>
        <v>#REF!</v>
      </c>
      <c r="AQ155" s="206" t="e">
        <f t="shared" si="7"/>
        <v>#REF!</v>
      </c>
      <c r="AR155" s="206" t="e">
        <f t="shared" si="7"/>
        <v>#REF!</v>
      </c>
      <c r="AS155" s="44" t="s">
        <v>491</v>
      </c>
    </row>
    <row r="156" spans="4:45" ht="17.399999999999999">
      <c r="D156" s="105">
        <v>31</v>
      </c>
      <c r="E156" s="204">
        <v>40558</v>
      </c>
      <c r="F156" s="205" t="s">
        <v>489</v>
      </c>
      <c r="G156" s="51" t="s">
        <v>396</v>
      </c>
      <c r="H156" s="85" t="s">
        <v>931</v>
      </c>
      <c r="I156" s="85"/>
      <c r="J156" s="85"/>
      <c r="K156" s="85"/>
      <c r="L156" s="85"/>
      <c r="M156" s="85"/>
      <c r="N156" s="207">
        <f t="shared" si="6"/>
        <v>0</v>
      </c>
      <c r="O156" s="209" t="e">
        <f t="shared" si="6"/>
        <v>#REF!</v>
      </c>
      <c r="P156" s="209" t="e">
        <f t="shared" si="7"/>
        <v>#REF!</v>
      </c>
      <c r="Q156" s="209" t="e">
        <f t="shared" si="7"/>
        <v>#REF!</v>
      </c>
      <c r="R156" s="209" t="e">
        <f t="shared" si="7"/>
        <v>#REF!</v>
      </c>
      <c r="S156" s="209" t="e">
        <f t="shared" si="7"/>
        <v>#REF!</v>
      </c>
      <c r="T156" s="209" t="e">
        <f t="shared" si="7"/>
        <v>#REF!</v>
      </c>
      <c r="U156" s="209" t="e">
        <f t="shared" si="7"/>
        <v>#REF!</v>
      </c>
      <c r="V156" s="209" t="e">
        <f t="shared" si="7"/>
        <v>#REF!</v>
      </c>
      <c r="W156" s="209" t="e">
        <f t="shared" si="7"/>
        <v>#REF!</v>
      </c>
      <c r="X156" s="209" t="e">
        <f t="shared" si="7"/>
        <v>#REF!</v>
      </c>
      <c r="Y156" s="209" t="e">
        <f t="shared" si="7"/>
        <v>#REF!</v>
      </c>
      <c r="Z156" s="209" t="e">
        <f t="shared" si="7"/>
        <v>#REF!</v>
      </c>
      <c r="AA156" s="209" t="e">
        <f t="shared" si="7"/>
        <v>#REF!</v>
      </c>
      <c r="AB156" s="209" t="e">
        <f t="shared" si="7"/>
        <v>#REF!</v>
      </c>
      <c r="AC156" s="206" t="e">
        <f t="shared" si="7"/>
        <v>#REF!</v>
      </c>
      <c r="AD156" s="206" t="e">
        <f t="shared" si="7"/>
        <v>#REF!</v>
      </c>
      <c r="AE156" s="206" t="e">
        <f t="shared" si="7"/>
        <v>#REF!</v>
      </c>
      <c r="AF156" s="206" t="e">
        <f t="shared" si="7"/>
        <v>#REF!</v>
      </c>
      <c r="AG156" s="206" t="e">
        <f t="shared" si="7"/>
        <v>#REF!</v>
      </c>
      <c r="AH156" s="206" t="e">
        <f t="shared" si="7"/>
        <v>#REF!</v>
      </c>
      <c r="AI156" s="206" t="e">
        <f t="shared" si="7"/>
        <v>#REF!</v>
      </c>
      <c r="AJ156" s="206" t="e">
        <f t="shared" si="7"/>
        <v>#REF!</v>
      </c>
      <c r="AK156" s="206" t="e">
        <f t="shared" si="7"/>
        <v>#REF!</v>
      </c>
      <c r="AL156" s="206" t="e">
        <f t="shared" si="7"/>
        <v>#REF!</v>
      </c>
      <c r="AM156" s="206" t="e">
        <f t="shared" si="7"/>
        <v>#REF!</v>
      </c>
      <c r="AN156" s="206" t="e">
        <f t="shared" si="7"/>
        <v>#REF!</v>
      </c>
      <c r="AO156" s="206" t="e">
        <f t="shared" si="7"/>
        <v>#REF!</v>
      </c>
      <c r="AP156" s="206" t="e">
        <f t="shared" si="7"/>
        <v>#REF!</v>
      </c>
      <c r="AQ156" s="206" t="e">
        <f t="shared" si="7"/>
        <v>#REF!</v>
      </c>
      <c r="AR156" s="206" t="e">
        <f t="shared" si="7"/>
        <v>#REF!</v>
      </c>
      <c r="AS156" s="44" t="s">
        <v>489</v>
      </c>
    </row>
    <row r="157" spans="4:45" ht="17.399999999999999">
      <c r="D157" s="105">
        <v>32</v>
      </c>
      <c r="E157" s="204">
        <v>40558</v>
      </c>
      <c r="F157" s="205" t="s">
        <v>932</v>
      </c>
      <c r="G157" s="51" t="s">
        <v>396</v>
      </c>
      <c r="H157" s="85" t="s">
        <v>933</v>
      </c>
      <c r="I157" s="85"/>
      <c r="J157" s="85"/>
      <c r="K157" s="85"/>
      <c r="L157" s="85"/>
      <c r="M157" s="85"/>
      <c r="N157" s="207">
        <f t="shared" si="6"/>
        <v>0</v>
      </c>
      <c r="O157" s="209" t="e">
        <f t="shared" si="6"/>
        <v>#REF!</v>
      </c>
      <c r="P157" s="209" t="e">
        <f t="shared" si="7"/>
        <v>#REF!</v>
      </c>
      <c r="Q157" s="209" t="e">
        <f t="shared" si="7"/>
        <v>#REF!</v>
      </c>
      <c r="R157" s="209" t="e">
        <f t="shared" si="7"/>
        <v>#REF!</v>
      </c>
      <c r="S157" s="209" t="e">
        <f t="shared" si="7"/>
        <v>#REF!</v>
      </c>
      <c r="T157" s="209" t="e">
        <f t="shared" si="7"/>
        <v>#REF!</v>
      </c>
      <c r="U157" s="209" t="e">
        <f t="shared" si="7"/>
        <v>#REF!</v>
      </c>
      <c r="V157" s="209" t="e">
        <f t="shared" si="7"/>
        <v>#REF!</v>
      </c>
      <c r="W157" s="209" t="e">
        <f t="shared" si="7"/>
        <v>#REF!</v>
      </c>
      <c r="X157" s="209" t="e">
        <f t="shared" si="7"/>
        <v>#REF!</v>
      </c>
      <c r="Y157" s="209" t="e">
        <f t="shared" si="7"/>
        <v>#REF!</v>
      </c>
      <c r="Z157" s="209" t="e">
        <f t="shared" si="7"/>
        <v>#REF!</v>
      </c>
      <c r="AA157" s="209" t="e">
        <f t="shared" si="7"/>
        <v>#REF!</v>
      </c>
      <c r="AB157" s="209" t="e">
        <f t="shared" si="7"/>
        <v>#REF!</v>
      </c>
      <c r="AC157" s="206" t="e">
        <f t="shared" si="7"/>
        <v>#REF!</v>
      </c>
      <c r="AD157" s="206" t="e">
        <f t="shared" si="7"/>
        <v>#REF!</v>
      </c>
      <c r="AE157" s="206" t="e">
        <f t="shared" si="7"/>
        <v>#REF!</v>
      </c>
      <c r="AF157" s="206" t="e">
        <f t="shared" si="7"/>
        <v>#REF!</v>
      </c>
      <c r="AG157" s="206" t="e">
        <f t="shared" si="7"/>
        <v>#REF!</v>
      </c>
      <c r="AH157" s="206" t="e">
        <f t="shared" si="7"/>
        <v>#REF!</v>
      </c>
      <c r="AI157" s="206" t="e">
        <f t="shared" si="7"/>
        <v>#REF!</v>
      </c>
      <c r="AJ157" s="206" t="e">
        <f t="shared" si="7"/>
        <v>#REF!</v>
      </c>
      <c r="AK157" s="206" t="e">
        <f t="shared" si="7"/>
        <v>#REF!</v>
      </c>
      <c r="AL157" s="206" t="e">
        <f t="shared" si="7"/>
        <v>#REF!</v>
      </c>
      <c r="AM157" s="206" t="e">
        <f t="shared" si="7"/>
        <v>#REF!</v>
      </c>
      <c r="AN157" s="206" t="e">
        <f t="shared" si="7"/>
        <v>#REF!</v>
      </c>
      <c r="AO157" s="206" t="e">
        <f t="shared" si="7"/>
        <v>#REF!</v>
      </c>
      <c r="AP157" s="206" t="e">
        <f t="shared" si="7"/>
        <v>#REF!</v>
      </c>
      <c r="AQ157" s="206" t="e">
        <f t="shared" si="7"/>
        <v>#REF!</v>
      </c>
      <c r="AR157" s="206" t="e">
        <f t="shared" si="7"/>
        <v>#REF!</v>
      </c>
      <c r="AS157" s="44" t="s">
        <v>932</v>
      </c>
    </row>
    <row r="158" spans="4:45" ht="17.399999999999999">
      <c r="D158" s="105">
        <v>33</v>
      </c>
      <c r="E158" s="204">
        <v>40558</v>
      </c>
      <c r="F158" s="205" t="s">
        <v>398</v>
      </c>
      <c r="G158" s="51" t="s">
        <v>396</v>
      </c>
      <c r="H158" s="85" t="s">
        <v>934</v>
      </c>
      <c r="I158" s="85"/>
      <c r="J158" s="85"/>
      <c r="K158" s="85"/>
      <c r="L158" s="85"/>
      <c r="M158" s="85"/>
      <c r="N158" s="207">
        <f t="shared" si="6"/>
        <v>0</v>
      </c>
      <c r="O158" s="209">
        <f t="shared" si="6"/>
        <v>0</v>
      </c>
      <c r="P158" s="209">
        <f t="shared" si="7"/>
        <v>0</v>
      </c>
      <c r="Q158" s="209">
        <f t="shared" si="7"/>
        <v>0</v>
      </c>
      <c r="R158" s="209">
        <f t="shared" si="7"/>
        <v>0</v>
      </c>
      <c r="S158" s="209">
        <f t="shared" si="7"/>
        <v>0</v>
      </c>
      <c r="T158" s="209">
        <f t="shared" si="7"/>
        <v>0</v>
      </c>
      <c r="U158" s="209">
        <f t="shared" si="7"/>
        <v>0</v>
      </c>
      <c r="V158" s="209">
        <f t="shared" si="7"/>
        <v>0</v>
      </c>
      <c r="W158" s="209">
        <f t="shared" si="7"/>
        <v>0</v>
      </c>
      <c r="X158" s="209">
        <f t="shared" si="7"/>
        <v>0</v>
      </c>
      <c r="Y158" s="209">
        <f t="shared" si="7"/>
        <v>0</v>
      </c>
      <c r="Z158" s="209">
        <f t="shared" si="7"/>
        <v>0</v>
      </c>
      <c r="AA158" s="209">
        <f t="shared" si="7"/>
        <v>0</v>
      </c>
      <c r="AB158" s="209">
        <f t="shared" si="7"/>
        <v>0</v>
      </c>
      <c r="AC158" s="206">
        <f t="shared" si="7"/>
        <v>0</v>
      </c>
      <c r="AD158" s="206">
        <f t="shared" si="7"/>
        <v>0</v>
      </c>
      <c r="AE158" s="206">
        <f t="shared" si="7"/>
        <v>0</v>
      </c>
      <c r="AF158" s="206">
        <f t="shared" si="7"/>
        <v>0</v>
      </c>
      <c r="AG158" s="206">
        <f t="shared" si="7"/>
        <v>0</v>
      </c>
      <c r="AH158" s="206">
        <f t="shared" si="7"/>
        <v>0</v>
      </c>
      <c r="AI158" s="206">
        <f t="shared" si="7"/>
        <v>0</v>
      </c>
      <c r="AJ158" s="206">
        <f t="shared" si="7"/>
        <v>0</v>
      </c>
      <c r="AK158" s="206">
        <f t="shared" si="7"/>
        <v>0</v>
      </c>
      <c r="AL158" s="206">
        <f t="shared" si="7"/>
        <v>0</v>
      </c>
      <c r="AM158" s="206">
        <f t="shared" si="7"/>
        <v>0</v>
      </c>
      <c r="AN158" s="206">
        <f t="shared" si="7"/>
        <v>0</v>
      </c>
      <c r="AO158" s="206">
        <f t="shared" si="7"/>
        <v>0</v>
      </c>
      <c r="AP158" s="206">
        <f t="shared" si="7"/>
        <v>0</v>
      </c>
      <c r="AQ158" s="206">
        <f t="shared" si="7"/>
        <v>0</v>
      </c>
      <c r="AR158" s="206">
        <f t="shared" si="7"/>
        <v>0</v>
      </c>
      <c r="AS158" s="44" t="s">
        <v>398</v>
      </c>
    </row>
    <row r="159" spans="4:45" ht="17.399999999999999">
      <c r="D159" s="105">
        <v>34</v>
      </c>
      <c r="E159" s="204">
        <v>40558</v>
      </c>
      <c r="F159" s="205" t="s">
        <v>427</v>
      </c>
      <c r="G159" s="51" t="s">
        <v>396</v>
      </c>
      <c r="H159" s="85" t="s">
        <v>935</v>
      </c>
      <c r="I159" s="85"/>
      <c r="J159" s="85"/>
      <c r="K159" s="85"/>
      <c r="L159" s="85"/>
      <c r="M159" s="85"/>
      <c r="N159" s="207">
        <f t="shared" si="6"/>
        <v>0</v>
      </c>
      <c r="O159" s="209">
        <f t="shared" si="6"/>
        <v>0</v>
      </c>
      <c r="P159" s="209">
        <f t="shared" si="7"/>
        <v>0</v>
      </c>
      <c r="Q159" s="209">
        <f t="shared" si="7"/>
        <v>0</v>
      </c>
      <c r="R159" s="209">
        <f t="shared" si="7"/>
        <v>0</v>
      </c>
      <c r="S159" s="209">
        <f t="shared" si="7"/>
        <v>0</v>
      </c>
      <c r="T159" s="209">
        <f t="shared" si="7"/>
        <v>0</v>
      </c>
      <c r="U159" s="209">
        <f t="shared" si="7"/>
        <v>0</v>
      </c>
      <c r="V159" s="209">
        <f t="shared" si="7"/>
        <v>0</v>
      </c>
      <c r="W159" s="209">
        <f t="shared" si="7"/>
        <v>0</v>
      </c>
      <c r="X159" s="209">
        <f t="shared" si="7"/>
        <v>0</v>
      </c>
      <c r="Y159" s="209">
        <f t="shared" si="7"/>
        <v>0</v>
      </c>
      <c r="Z159" s="209">
        <f t="shared" si="7"/>
        <v>0</v>
      </c>
      <c r="AA159" s="209">
        <f t="shared" si="7"/>
        <v>0</v>
      </c>
      <c r="AB159" s="209">
        <f t="shared" si="7"/>
        <v>0</v>
      </c>
      <c r="AC159" s="206">
        <f t="shared" si="7"/>
        <v>0</v>
      </c>
      <c r="AD159" s="206">
        <f t="shared" si="7"/>
        <v>0</v>
      </c>
      <c r="AE159" s="206">
        <f t="shared" si="7"/>
        <v>0</v>
      </c>
      <c r="AF159" s="206">
        <f t="shared" si="7"/>
        <v>0</v>
      </c>
      <c r="AG159" s="206">
        <f t="shared" si="7"/>
        <v>0</v>
      </c>
      <c r="AH159" s="206">
        <f t="shared" si="7"/>
        <v>0</v>
      </c>
      <c r="AI159" s="206">
        <f t="shared" si="7"/>
        <v>0</v>
      </c>
      <c r="AJ159" s="206">
        <f t="shared" si="7"/>
        <v>0</v>
      </c>
      <c r="AK159" s="206">
        <f t="shared" si="7"/>
        <v>0</v>
      </c>
      <c r="AL159" s="206">
        <f t="shared" si="7"/>
        <v>0</v>
      </c>
      <c r="AM159" s="206">
        <f t="shared" si="7"/>
        <v>0</v>
      </c>
      <c r="AN159" s="206">
        <f t="shared" si="7"/>
        <v>0</v>
      </c>
      <c r="AO159" s="206">
        <f t="shared" si="7"/>
        <v>0</v>
      </c>
      <c r="AP159" s="206">
        <f t="shared" si="7"/>
        <v>0</v>
      </c>
      <c r="AQ159" s="206">
        <f t="shared" si="7"/>
        <v>0</v>
      </c>
      <c r="AR159" s="206">
        <f t="shared" si="7"/>
        <v>0</v>
      </c>
      <c r="AS159" s="44" t="s">
        <v>427</v>
      </c>
    </row>
    <row r="160" spans="4:45" ht="17.399999999999999">
      <c r="D160" s="105">
        <v>35</v>
      </c>
      <c r="E160" s="204">
        <v>40558</v>
      </c>
      <c r="F160" s="205" t="s">
        <v>936</v>
      </c>
      <c r="G160" s="51" t="s">
        <v>396</v>
      </c>
      <c r="H160" s="85" t="s">
        <v>937</v>
      </c>
      <c r="I160" s="85"/>
      <c r="J160" s="85"/>
      <c r="K160" s="85"/>
      <c r="L160" s="85"/>
      <c r="M160" s="85"/>
      <c r="N160" s="207">
        <f t="shared" si="6"/>
        <v>0</v>
      </c>
      <c r="O160" s="209">
        <f t="shared" si="6"/>
        <v>0.5075047014598465</v>
      </c>
      <c r="P160" s="209">
        <f t="shared" si="7"/>
        <v>0.51667647317297627</v>
      </c>
      <c r="Q160" s="209">
        <f t="shared" si="7"/>
        <v>0.49180137717267253</v>
      </c>
      <c r="R160" s="209">
        <f t="shared" si="7"/>
        <v>0.51928728248372014</v>
      </c>
      <c r="S160" s="209">
        <f t="shared" si="7"/>
        <v>0.56527391744994016</v>
      </c>
      <c r="T160" s="209">
        <f t="shared" si="7"/>
        <v>0.58768319068878805</v>
      </c>
      <c r="U160" s="209">
        <f t="shared" si="7"/>
        <v>0.60746658522682651</v>
      </c>
      <c r="V160" s="209">
        <f t="shared" si="7"/>
        <v>0.64524584965850473</v>
      </c>
      <c r="W160" s="209">
        <f t="shared" si="7"/>
        <v>0.68589125751100888</v>
      </c>
      <c r="X160" s="209">
        <f t="shared" si="7"/>
        <v>0.71146914542604145</v>
      </c>
      <c r="Y160" s="209">
        <f t="shared" si="7"/>
        <v>0.75663076110249916</v>
      </c>
      <c r="Z160" s="209">
        <f t="shared" si="7"/>
        <v>0.79846194770079459</v>
      </c>
      <c r="AA160" s="209">
        <f t="shared" si="7"/>
        <v>0.80925197402107563</v>
      </c>
      <c r="AB160" s="209">
        <f t="shared" si="7"/>
        <v>0.7261311317282132</v>
      </c>
      <c r="AC160" s="206">
        <f t="shared" si="7"/>
        <v>0.74023076535400356</v>
      </c>
      <c r="AD160" s="206">
        <f t="shared" si="7"/>
        <v>0.74236604640790949</v>
      </c>
      <c r="AE160" s="206">
        <f t="shared" si="7"/>
        <v>0.73951900500270173</v>
      </c>
      <c r="AF160" s="206">
        <f t="shared" si="7"/>
        <v>0.72531114707757793</v>
      </c>
      <c r="AG160" s="206">
        <f t="shared" si="7"/>
        <v>0.70502761451706719</v>
      </c>
      <c r="AH160" s="206">
        <f t="shared" si="7"/>
        <v>0.67428513132591583</v>
      </c>
      <c r="AI160" s="206">
        <f t="shared" si="7"/>
        <v>0.65676280356287475</v>
      </c>
      <c r="AJ160" s="206">
        <f t="shared" si="7"/>
        <v>0.64853745053174061</v>
      </c>
      <c r="AK160" s="206">
        <f t="shared" si="7"/>
        <v>0.63795670517757586</v>
      </c>
      <c r="AL160" s="206">
        <f t="shared" si="7"/>
        <v>0</v>
      </c>
      <c r="AM160" s="206">
        <f t="shared" si="7"/>
        <v>0</v>
      </c>
      <c r="AN160" s="206">
        <f t="shared" si="7"/>
        <v>0</v>
      </c>
      <c r="AO160" s="206">
        <f t="shared" si="7"/>
        <v>0</v>
      </c>
      <c r="AP160" s="206">
        <f t="shared" si="7"/>
        <v>0</v>
      </c>
      <c r="AQ160" s="206">
        <f t="shared" si="7"/>
        <v>0</v>
      </c>
      <c r="AR160" s="206">
        <f t="shared" si="7"/>
        <v>0</v>
      </c>
      <c r="AS160" s="44" t="s">
        <v>936</v>
      </c>
    </row>
    <row r="161" spans="4:45" ht="17.399999999999999">
      <c r="D161" s="105">
        <v>36</v>
      </c>
      <c r="E161" s="204">
        <v>40569</v>
      </c>
      <c r="F161" s="205" t="s">
        <v>794</v>
      </c>
      <c r="G161" s="51" t="s">
        <v>809</v>
      </c>
      <c r="H161" s="85" t="s">
        <v>938</v>
      </c>
      <c r="I161" s="85"/>
      <c r="J161" s="85"/>
      <c r="K161" s="85"/>
      <c r="L161" s="85"/>
      <c r="M161" s="85"/>
      <c r="N161" s="207">
        <f t="shared" si="6"/>
        <v>0</v>
      </c>
      <c r="O161" s="209">
        <f t="shared" si="6"/>
        <v>-0.77655521052558896</v>
      </c>
      <c r="P161" s="209">
        <f t="shared" si="7"/>
        <v>-0.80717130322631547</v>
      </c>
      <c r="Q161" s="209">
        <f t="shared" si="7"/>
        <v>-0.87395856523262594</v>
      </c>
      <c r="R161" s="209">
        <f t="shared" si="7"/>
        <v>-0.92485324808830094</v>
      </c>
      <c r="S161" s="209">
        <f t="shared" si="7"/>
        <v>-1.0344220416771539</v>
      </c>
      <c r="T161" s="209">
        <f t="shared" si="7"/>
        <v>-1.1090558577234368</v>
      </c>
      <c r="U161" s="209">
        <f t="shared" si="7"/>
        <v>-1.1359730880008065</v>
      </c>
      <c r="V161" s="209">
        <f t="shared" si="7"/>
        <v>-1.1539329950945498</v>
      </c>
      <c r="W161" s="209">
        <f t="shared" si="7"/>
        <v>-1.1467396221612893</v>
      </c>
      <c r="X161" s="209">
        <f t="shared" si="7"/>
        <v>-1.1411128525118628</v>
      </c>
      <c r="Y161" s="209">
        <f t="shared" si="7"/>
        <v>-1.1484117630115258</v>
      </c>
      <c r="Z161" s="209">
        <f t="shared" si="7"/>
        <v>-1.1621660110973329</v>
      </c>
      <c r="AA161" s="209">
        <f t="shared" si="7"/>
        <v>-1.1761384153208247</v>
      </c>
      <c r="AB161" s="209">
        <f t="shared" si="7"/>
        <v>-1.1000000000000001</v>
      </c>
      <c r="AC161" s="206">
        <f t="shared" si="7"/>
        <v>-1.1200000000000001</v>
      </c>
      <c r="AD161" s="206">
        <f t="shared" si="7"/>
        <v>-1.1340000000000001</v>
      </c>
      <c r="AE161" s="206">
        <f t="shared" si="7"/>
        <v>-1.1438000000000001</v>
      </c>
      <c r="AF161" s="206">
        <f t="shared" si="7"/>
        <v>-1.1506600000000002</v>
      </c>
      <c r="AG161" s="206">
        <f t="shared" si="7"/>
        <v>-1.1554620000000002</v>
      </c>
      <c r="AH161" s="206">
        <f t="shared" si="7"/>
        <v>-1.1514620000000002</v>
      </c>
      <c r="AI161" s="206">
        <f t="shared" si="7"/>
        <v>-1.1434620000000002</v>
      </c>
      <c r="AJ161" s="206">
        <f t="shared" ref="P161:AR170" si="8">AJ102-AJ43</f>
        <v>-1.1314620000000002</v>
      </c>
      <c r="AK161" s="206">
        <f t="shared" si="8"/>
        <v>-1.1154620000000002</v>
      </c>
      <c r="AL161" s="206">
        <f t="shared" si="8"/>
        <v>-1.0954620000000002</v>
      </c>
      <c r="AM161" s="206">
        <f t="shared" si="8"/>
        <v>-1.0714620000000001</v>
      </c>
      <c r="AN161" s="206">
        <f t="shared" si="8"/>
        <v>-1.0434620000000001</v>
      </c>
      <c r="AO161" s="206">
        <f t="shared" si="8"/>
        <v>-1.0114620000000001</v>
      </c>
      <c r="AP161" s="206">
        <f t="shared" si="8"/>
        <v>-0.97546200000000005</v>
      </c>
      <c r="AQ161" s="206">
        <f t="shared" si="8"/>
        <v>-0.93546200000000002</v>
      </c>
      <c r="AR161" s="206">
        <f t="shared" si="8"/>
        <v>-0.89146199999999998</v>
      </c>
      <c r="AS161" s="44" t="s">
        <v>794</v>
      </c>
    </row>
    <row r="162" spans="4:45" ht="17.399999999999999">
      <c r="D162" s="105">
        <v>37</v>
      </c>
      <c r="E162" s="204">
        <v>40570</v>
      </c>
      <c r="F162" s="205" t="s">
        <v>579</v>
      </c>
      <c r="G162" s="51" t="s">
        <v>809</v>
      </c>
      <c r="H162" s="85" t="s">
        <v>939</v>
      </c>
      <c r="I162" s="85"/>
      <c r="J162" s="85"/>
      <c r="K162" s="85"/>
      <c r="L162" s="85"/>
      <c r="M162" s="85"/>
      <c r="N162" s="207">
        <f t="shared" si="6"/>
        <v>-6.9999999999999993E-3</v>
      </c>
      <c r="O162" s="209">
        <f t="shared" si="6"/>
        <v>1995.9664387900491</v>
      </c>
      <c r="P162" s="209">
        <f t="shared" si="8"/>
        <v>1996.9661996508958</v>
      </c>
      <c r="Q162" s="209">
        <f t="shared" si="8"/>
        <v>1997.9644801450049</v>
      </c>
      <c r="R162" s="209">
        <f t="shared" si="8"/>
        <v>1998.9624547727963</v>
      </c>
      <c r="S162" s="209">
        <f t="shared" si="8"/>
        <v>1999.9628663863134</v>
      </c>
      <c r="T162" s="209">
        <f t="shared" si="8"/>
        <v>2000.9541523714693</v>
      </c>
      <c r="U162" s="209">
        <f t="shared" si="8"/>
        <v>2001.9564286940392</v>
      </c>
      <c r="V162" s="209">
        <f t="shared" si="8"/>
        <v>2002.9535411544732</v>
      </c>
      <c r="W162" s="209">
        <f t="shared" si="8"/>
        <v>2003.9503780954601</v>
      </c>
      <c r="X162" s="209">
        <f t="shared" si="8"/>
        <v>2004.9473067775205</v>
      </c>
      <c r="Y162" s="209">
        <f t="shared" si="8"/>
        <v>2005.9423161616303</v>
      </c>
      <c r="Z162" s="209">
        <f t="shared" si="8"/>
        <v>2006.9336015950689</v>
      </c>
      <c r="AA162" s="209">
        <f t="shared" si="8"/>
        <v>2007.9283043825203</v>
      </c>
      <c r="AB162" s="209">
        <f t="shared" si="8"/>
        <v>2008.9238017518542</v>
      </c>
      <c r="AC162" s="206">
        <f t="shared" si="8"/>
        <v>2009.9199745157878</v>
      </c>
      <c r="AD162" s="206">
        <f t="shared" si="8"/>
        <v>2010.9167213651315</v>
      </c>
      <c r="AE162" s="206">
        <f t="shared" si="8"/>
        <v>2011.9139561870736</v>
      </c>
      <c r="AF162" s="206">
        <f t="shared" si="8"/>
        <v>2012.9116057857245</v>
      </c>
      <c r="AG162" s="206">
        <f t="shared" si="8"/>
        <v>2013.9096079445776</v>
      </c>
      <c r="AH162" s="206">
        <f t="shared" si="8"/>
        <v>2014.9079097796027</v>
      </c>
      <c r="AI162" s="206">
        <f t="shared" si="8"/>
        <v>2015.9064663393742</v>
      </c>
      <c r="AJ162" s="206">
        <f t="shared" si="8"/>
        <v>2016.9052394151799</v>
      </c>
      <c r="AK162" s="206">
        <f t="shared" si="8"/>
        <v>2017.9041965296149</v>
      </c>
      <c r="AL162" s="206">
        <f t="shared" si="8"/>
        <v>2018.9033100768843</v>
      </c>
      <c r="AM162" s="206">
        <f t="shared" si="8"/>
        <v>2019.9025565920635</v>
      </c>
      <c r="AN162" s="206">
        <f t="shared" si="8"/>
        <v>2020.9019161299659</v>
      </c>
      <c r="AO162" s="206">
        <f t="shared" si="8"/>
        <v>2021.9013717371829</v>
      </c>
      <c r="AP162" s="206">
        <f t="shared" si="8"/>
        <v>2022.9009090033173</v>
      </c>
      <c r="AQ162" s="206">
        <f t="shared" si="8"/>
        <v>2023.9005156795315</v>
      </c>
      <c r="AR162" s="206">
        <f t="shared" si="8"/>
        <v>2024.9001813543136</v>
      </c>
      <c r="AS162" s="44" t="s">
        <v>579</v>
      </c>
    </row>
    <row r="163" spans="4:45" ht="17.399999999999999">
      <c r="D163" s="105">
        <v>38</v>
      </c>
      <c r="E163" s="204">
        <v>40559</v>
      </c>
      <c r="F163" s="205" t="s">
        <v>516</v>
      </c>
      <c r="G163" s="51" t="s">
        <v>809</v>
      </c>
      <c r="H163" s="85" t="s">
        <v>940</v>
      </c>
      <c r="I163" s="85"/>
      <c r="J163" s="85"/>
      <c r="K163" s="85"/>
      <c r="L163" s="85"/>
      <c r="M163" s="85"/>
      <c r="N163" s="207">
        <f t="shared" si="6"/>
        <v>0</v>
      </c>
      <c r="O163" s="209" t="e">
        <f t="shared" si="6"/>
        <v>#REF!</v>
      </c>
      <c r="P163" s="209" t="e">
        <f t="shared" si="8"/>
        <v>#REF!</v>
      </c>
      <c r="Q163" s="209" t="e">
        <f t="shared" si="8"/>
        <v>#REF!</v>
      </c>
      <c r="R163" s="209" t="e">
        <f t="shared" si="8"/>
        <v>#REF!</v>
      </c>
      <c r="S163" s="209">
        <f t="shared" si="8"/>
        <v>-0.5624698229682159</v>
      </c>
      <c r="T163" s="209">
        <f t="shared" si="8"/>
        <v>-0.60757113333884427</v>
      </c>
      <c r="U163" s="209">
        <f t="shared" si="8"/>
        <v>-0.56758373023989717</v>
      </c>
      <c r="V163" s="209">
        <f t="shared" si="8"/>
        <v>-0.5968293525687911</v>
      </c>
      <c r="W163" s="209">
        <f t="shared" si="8"/>
        <v>-0.61884371587039855</v>
      </c>
      <c r="X163" s="209">
        <f t="shared" si="8"/>
        <v>-0.53454512799460463</v>
      </c>
      <c r="Y163" s="209" t="e">
        <f t="shared" si="8"/>
        <v>#REF!</v>
      </c>
      <c r="Z163" s="209">
        <f t="shared" si="8"/>
        <v>-0.5054202818665039</v>
      </c>
      <c r="AA163" s="209">
        <f t="shared" si="8"/>
        <v>-0.51421042114131521</v>
      </c>
      <c r="AB163" s="209">
        <f t="shared" si="8"/>
        <v>-0.49047463594274782</v>
      </c>
      <c r="AC163" s="206">
        <f t="shared" si="8"/>
        <v>-0.48542028186650388</v>
      </c>
      <c r="AD163" s="206">
        <f t="shared" si="8"/>
        <v>-0.48042028186650387</v>
      </c>
      <c r="AE163" s="206">
        <f t="shared" si="8"/>
        <v>-0.47542028186650387</v>
      </c>
      <c r="AF163" s="206">
        <f t="shared" si="8"/>
        <v>-0.47342028186650387</v>
      </c>
      <c r="AG163" s="206">
        <f t="shared" si="8"/>
        <v>-0.46842028186650386</v>
      </c>
      <c r="AH163" s="206">
        <f t="shared" si="8"/>
        <v>-0.46592028186650386</v>
      </c>
      <c r="AI163" s="206">
        <f t="shared" si="8"/>
        <v>-0.46467028186650383</v>
      </c>
      <c r="AJ163" s="206">
        <f t="shared" si="8"/>
        <v>-0.46404528186650384</v>
      </c>
      <c r="AK163" s="206">
        <f t="shared" si="8"/>
        <v>-0.46373278186650385</v>
      </c>
      <c r="AL163" s="206">
        <f t="shared" si="8"/>
        <v>-0.46357653186650383</v>
      </c>
      <c r="AM163" s="206">
        <f t="shared" si="8"/>
        <v>-0.46349840686650379</v>
      </c>
      <c r="AN163" s="206">
        <f t="shared" si="8"/>
        <v>-0.46345934436650377</v>
      </c>
      <c r="AO163" s="206">
        <f t="shared" si="8"/>
        <v>-0.46343981311650373</v>
      </c>
      <c r="AP163" s="206">
        <f t="shared" si="8"/>
        <v>-0.46343004749150374</v>
      </c>
      <c r="AQ163" s="206">
        <f t="shared" si="8"/>
        <v>-0.46342516467900374</v>
      </c>
      <c r="AR163" s="206">
        <f t="shared" si="8"/>
        <v>-0.46342272327275374</v>
      </c>
      <c r="AS163" s="44" t="s">
        <v>516</v>
      </c>
    </row>
    <row r="164" spans="4:45" ht="17.399999999999999">
      <c r="D164" s="105">
        <v>39</v>
      </c>
      <c r="E164" s="204">
        <v>40559</v>
      </c>
      <c r="F164" s="205" t="s">
        <v>519</v>
      </c>
      <c r="G164" s="51" t="s">
        <v>809</v>
      </c>
      <c r="H164" s="85" t="s">
        <v>941</v>
      </c>
      <c r="I164" s="85"/>
      <c r="J164" s="85"/>
      <c r="K164" s="85"/>
      <c r="L164" s="85"/>
      <c r="M164" s="85"/>
      <c r="N164" s="207">
        <f t="shared" si="6"/>
        <v>0</v>
      </c>
      <c r="O164" s="209" t="e">
        <f t="shared" si="6"/>
        <v>#REF!</v>
      </c>
      <c r="P164" s="209" t="e">
        <f t="shared" si="8"/>
        <v>#REF!</v>
      </c>
      <c r="Q164" s="209" t="e">
        <f t="shared" si="8"/>
        <v>#REF!</v>
      </c>
      <c r="R164" s="209" t="e">
        <f t="shared" si="8"/>
        <v>#REF!</v>
      </c>
      <c r="S164" s="209" t="e">
        <f t="shared" si="8"/>
        <v>#REF!</v>
      </c>
      <c r="T164" s="209" t="e">
        <f t="shared" si="8"/>
        <v>#REF!</v>
      </c>
      <c r="U164" s="209">
        <f t="shared" si="8"/>
        <v>-0.12822885194167666</v>
      </c>
      <c r="V164" s="209">
        <f t="shared" si="8"/>
        <v>-0.13951403566294232</v>
      </c>
      <c r="W164" s="209">
        <f t="shared" si="8"/>
        <v>-0.13006831273957645</v>
      </c>
      <c r="X164" s="209">
        <f t="shared" si="8"/>
        <v>-0.11965349089522916</v>
      </c>
      <c r="Y164" s="209" t="e">
        <f t="shared" si="8"/>
        <v>#REF!</v>
      </c>
      <c r="Z164" s="209">
        <f t="shared" si="8"/>
        <v>-0.12513330435490269</v>
      </c>
      <c r="AA164" s="209">
        <f t="shared" si="8"/>
        <v>-0.12991843501345215</v>
      </c>
      <c r="AB164" s="209">
        <f t="shared" si="8"/>
        <v>-0.10130116585557349</v>
      </c>
      <c r="AC164" s="206">
        <f t="shared" si="8"/>
        <v>-0.13100000000000001</v>
      </c>
      <c r="AD164" s="206">
        <f t="shared" si="8"/>
        <v>-0.13</v>
      </c>
      <c r="AE164" s="206">
        <f t="shared" si="8"/>
        <v>-0.13</v>
      </c>
      <c r="AF164" s="206">
        <f t="shared" si="8"/>
        <v>-0.13</v>
      </c>
      <c r="AG164" s="206">
        <f t="shared" si="8"/>
        <v>-0.13</v>
      </c>
      <c r="AH164" s="206">
        <f t="shared" si="8"/>
        <v>-0.13</v>
      </c>
      <c r="AI164" s="206">
        <f t="shared" si="8"/>
        <v>-0.13</v>
      </c>
      <c r="AJ164" s="206">
        <f t="shared" si="8"/>
        <v>-0.13</v>
      </c>
      <c r="AK164" s="206">
        <f t="shared" si="8"/>
        <v>-0.13</v>
      </c>
      <c r="AL164" s="206">
        <f t="shared" si="8"/>
        <v>-0.13</v>
      </c>
      <c r="AM164" s="206">
        <f t="shared" si="8"/>
        <v>-0.13</v>
      </c>
      <c r="AN164" s="206">
        <f t="shared" si="8"/>
        <v>-0.13</v>
      </c>
      <c r="AO164" s="206">
        <f t="shared" si="8"/>
        <v>-0.13</v>
      </c>
      <c r="AP164" s="206">
        <f t="shared" si="8"/>
        <v>-0.13</v>
      </c>
      <c r="AQ164" s="206">
        <f t="shared" si="8"/>
        <v>-0.13</v>
      </c>
      <c r="AR164" s="206">
        <f t="shared" si="8"/>
        <v>-0.13</v>
      </c>
      <c r="AS164" s="44" t="s">
        <v>519</v>
      </c>
    </row>
    <row r="165" spans="4:45" ht="17.399999999999999">
      <c r="D165" s="105">
        <v>40</v>
      </c>
      <c r="E165" s="204">
        <v>40559</v>
      </c>
      <c r="F165" s="205" t="s">
        <v>522</v>
      </c>
      <c r="G165" s="51" t="s">
        <v>809</v>
      </c>
      <c r="H165" s="85" t="s">
        <v>942</v>
      </c>
      <c r="I165" s="85"/>
      <c r="J165" s="85"/>
      <c r="K165" s="85"/>
      <c r="L165" s="85"/>
      <c r="M165" s="85"/>
      <c r="N165" s="207">
        <f t="shared" si="6"/>
        <v>0</v>
      </c>
      <c r="O165" s="209" t="e">
        <f t="shared" si="6"/>
        <v>#REF!</v>
      </c>
      <c r="P165" s="209" t="e">
        <f t="shared" si="8"/>
        <v>#REF!</v>
      </c>
      <c r="Q165" s="209" t="e">
        <f t="shared" si="8"/>
        <v>#REF!</v>
      </c>
      <c r="R165" s="209" t="e">
        <f t="shared" si="8"/>
        <v>#REF!</v>
      </c>
      <c r="S165" s="209" t="e">
        <f t="shared" si="8"/>
        <v>#REF!</v>
      </c>
      <c r="T165" s="209" t="e">
        <f t="shared" si="8"/>
        <v>#REF!</v>
      </c>
      <c r="U165" s="209" t="e">
        <f t="shared" si="8"/>
        <v>#REF!</v>
      </c>
      <c r="V165" s="209" t="e">
        <f t="shared" si="8"/>
        <v>#REF!</v>
      </c>
      <c r="W165" s="209" t="e">
        <f t="shared" si="8"/>
        <v>#REF!</v>
      </c>
      <c r="X165" s="209" t="e">
        <f t="shared" si="8"/>
        <v>#REF!</v>
      </c>
      <c r="Y165" s="209" t="e">
        <f t="shared" si="8"/>
        <v>#REF!</v>
      </c>
      <c r="Z165" s="209" t="e">
        <f t="shared" si="8"/>
        <v>#REF!</v>
      </c>
      <c r="AA165" s="209" t="e">
        <f t="shared" si="8"/>
        <v>#REF!</v>
      </c>
      <c r="AB165" s="209">
        <f t="shared" si="8"/>
        <v>-0.2115644908107519</v>
      </c>
      <c r="AC165" s="206">
        <f t="shared" si="8"/>
        <v>-0.16500000000000001</v>
      </c>
      <c r="AD165" s="206">
        <f t="shared" si="8"/>
        <v>-0.16500000000000001</v>
      </c>
      <c r="AE165" s="206">
        <f t="shared" si="8"/>
        <v>-0.16500000000000001</v>
      </c>
      <c r="AF165" s="206">
        <f t="shared" si="8"/>
        <v>-0.16500000000000001</v>
      </c>
      <c r="AG165" s="206">
        <f t="shared" si="8"/>
        <v>-0.16500000000000001</v>
      </c>
      <c r="AH165" s="206">
        <f t="shared" si="8"/>
        <v>-0.16500000000000001</v>
      </c>
      <c r="AI165" s="206">
        <f t="shared" si="8"/>
        <v>-0.16500000000000001</v>
      </c>
      <c r="AJ165" s="206">
        <f t="shared" si="8"/>
        <v>-0.16500000000000001</v>
      </c>
      <c r="AK165" s="206">
        <f t="shared" si="8"/>
        <v>-0.16500000000000001</v>
      </c>
      <c r="AL165" s="206">
        <f t="shared" si="8"/>
        <v>-0.16500000000000001</v>
      </c>
      <c r="AM165" s="206">
        <f t="shared" si="8"/>
        <v>-0.16500000000000001</v>
      </c>
      <c r="AN165" s="206">
        <f t="shared" si="8"/>
        <v>-0.16500000000000001</v>
      </c>
      <c r="AO165" s="206">
        <f t="shared" si="8"/>
        <v>-0.16500000000000001</v>
      </c>
      <c r="AP165" s="206">
        <f t="shared" si="8"/>
        <v>-0.16500000000000001</v>
      </c>
      <c r="AQ165" s="206">
        <f t="shared" si="8"/>
        <v>-0.16500000000000001</v>
      </c>
      <c r="AR165" s="206">
        <f t="shared" si="8"/>
        <v>-0.16500000000000001</v>
      </c>
      <c r="AS165" s="44" t="s">
        <v>522</v>
      </c>
    </row>
    <row r="166" spans="4:45" ht="17.399999999999999">
      <c r="D166" s="105">
        <v>41</v>
      </c>
      <c r="E166" s="204">
        <v>40559</v>
      </c>
      <c r="F166" s="205" t="s">
        <v>525</v>
      </c>
      <c r="G166" s="51" t="s">
        <v>809</v>
      </c>
      <c r="H166" s="85" t="s">
        <v>943</v>
      </c>
      <c r="I166" s="85"/>
      <c r="J166" s="85"/>
      <c r="K166" s="85"/>
      <c r="L166" s="85"/>
      <c r="M166" s="85"/>
      <c r="N166" s="207">
        <f t="shared" ref="N166:O179" si="9">N107-N48</f>
        <v>0</v>
      </c>
      <c r="O166" s="209" t="e">
        <f t="shared" si="9"/>
        <v>#REF!</v>
      </c>
      <c r="P166" s="209" t="e">
        <f t="shared" si="8"/>
        <v>#REF!</v>
      </c>
      <c r="Q166" s="209" t="e">
        <f t="shared" si="8"/>
        <v>#REF!</v>
      </c>
      <c r="R166" s="209" t="e">
        <f t="shared" si="8"/>
        <v>#REF!</v>
      </c>
      <c r="S166" s="209" t="e">
        <f t="shared" si="8"/>
        <v>#REF!</v>
      </c>
      <c r="T166" s="209">
        <f t="shared" si="8"/>
        <v>-0.81079295129370244</v>
      </c>
      <c r="U166" s="209">
        <f t="shared" si="8"/>
        <v>-0.79185444298052987</v>
      </c>
      <c r="V166" s="209">
        <f t="shared" si="8"/>
        <v>-0.73449823043649232</v>
      </c>
      <c r="W166" s="209">
        <f t="shared" si="8"/>
        <v>-0.76879131401291878</v>
      </c>
      <c r="X166" s="209">
        <f t="shared" si="8"/>
        <v>-0.77088485418626529</v>
      </c>
      <c r="Y166" s="209">
        <f t="shared" si="8"/>
        <v>-0.75041893580104102</v>
      </c>
      <c r="Z166" s="209">
        <f t="shared" si="8"/>
        <v>-0.75224004316816817</v>
      </c>
      <c r="AA166" s="209">
        <f t="shared" si="8"/>
        <v>-0.79299510204081636</v>
      </c>
      <c r="AB166" s="209">
        <f t="shared" si="8"/>
        <v>-0.73981377447196695</v>
      </c>
      <c r="AC166" s="206">
        <f t="shared" si="8"/>
        <v>-0.76</v>
      </c>
      <c r="AD166" s="206">
        <f t="shared" si="8"/>
        <v>-0.75900000000000001</v>
      </c>
      <c r="AE166" s="206">
        <f t="shared" si="8"/>
        <v>-0.75800000000000001</v>
      </c>
      <c r="AF166" s="206">
        <f t="shared" si="8"/>
        <v>-0.75700000000000001</v>
      </c>
      <c r="AG166" s="206">
        <f t="shared" si="8"/>
        <v>-0.75600000000000001</v>
      </c>
      <c r="AH166" s="206">
        <f t="shared" si="8"/>
        <v>-0.755</v>
      </c>
      <c r="AI166" s="206">
        <f t="shared" si="8"/>
        <v>-0.754</v>
      </c>
      <c r="AJ166" s="206">
        <f t="shared" si="8"/>
        <v>-0.753</v>
      </c>
      <c r="AK166" s="206">
        <f t="shared" si="8"/>
        <v>-0.752</v>
      </c>
      <c r="AL166" s="206">
        <f t="shared" si="8"/>
        <v>-0.751</v>
      </c>
      <c r="AM166" s="206">
        <f t="shared" si="8"/>
        <v>-0.75</v>
      </c>
      <c r="AN166" s="206">
        <f t="shared" si="8"/>
        <v>-0.749</v>
      </c>
      <c r="AO166" s="206">
        <f t="shared" si="8"/>
        <v>-0.748</v>
      </c>
      <c r="AP166" s="206">
        <f t="shared" si="8"/>
        <v>-0.747</v>
      </c>
      <c r="AQ166" s="206">
        <f t="shared" si="8"/>
        <v>-0.746</v>
      </c>
      <c r="AR166" s="206">
        <f t="shared" si="8"/>
        <v>-0.745</v>
      </c>
      <c r="AS166" s="44" t="s">
        <v>525</v>
      </c>
    </row>
    <row r="167" spans="4:45" ht="17.399999999999999">
      <c r="D167" s="105">
        <v>42</v>
      </c>
      <c r="E167" s="204">
        <v>40559</v>
      </c>
      <c r="F167" s="205" t="s">
        <v>528</v>
      </c>
      <c r="G167" s="51" t="s">
        <v>809</v>
      </c>
      <c r="H167" s="85" t="s">
        <v>944</v>
      </c>
      <c r="I167" s="85"/>
      <c r="J167" s="85"/>
      <c r="K167" s="85"/>
      <c r="L167" s="85"/>
      <c r="M167" s="85"/>
      <c r="N167" s="207">
        <f t="shared" si="9"/>
        <v>0</v>
      </c>
      <c r="O167" s="209" t="e">
        <f t="shared" si="9"/>
        <v>#REF!</v>
      </c>
      <c r="P167" s="209" t="e">
        <f t="shared" si="8"/>
        <v>#REF!</v>
      </c>
      <c r="Q167" s="209" t="e">
        <f t="shared" si="8"/>
        <v>#VALUE!</v>
      </c>
      <c r="R167" s="209">
        <f t="shared" si="8"/>
        <v>-8.460888999690519E-2</v>
      </c>
      <c r="S167" s="209" t="e">
        <f t="shared" si="8"/>
        <v>#REF!</v>
      </c>
      <c r="T167" s="209" t="e">
        <f t="shared" si="8"/>
        <v>#REF!</v>
      </c>
      <c r="U167" s="209" t="e">
        <f t="shared" si="8"/>
        <v>#REF!</v>
      </c>
      <c r="V167" s="209">
        <f t="shared" si="8"/>
        <v>-4.2988596146283919E-2</v>
      </c>
      <c r="W167" s="209">
        <f t="shared" si="8"/>
        <v>-4.0718639250020477E-2</v>
      </c>
      <c r="X167" s="209">
        <f t="shared" si="8"/>
        <v>-3.3970837253057384E-2</v>
      </c>
      <c r="Y167" s="209">
        <f t="shared" si="8"/>
        <v>-3.3648930017351059E-2</v>
      </c>
      <c r="Z167" s="209">
        <f t="shared" si="8"/>
        <v>-3.2774356606606589E-2</v>
      </c>
      <c r="AA167" s="209">
        <f t="shared" si="8"/>
        <v>-3.4799286704973252E-2</v>
      </c>
      <c r="AB167" s="209">
        <f t="shared" si="8"/>
        <v>-2.7823661497438781E-2</v>
      </c>
      <c r="AC167" s="206">
        <f t="shared" si="8"/>
        <v>-3.2000000000000001E-2</v>
      </c>
      <c r="AD167" s="206">
        <f t="shared" si="8"/>
        <v>-3.2000000000000001E-2</v>
      </c>
      <c r="AE167" s="206">
        <f t="shared" si="8"/>
        <v>-3.2000000000000001E-2</v>
      </c>
      <c r="AF167" s="206">
        <f t="shared" si="8"/>
        <v>-3.2000000000000001E-2</v>
      </c>
      <c r="AG167" s="206">
        <f t="shared" si="8"/>
        <v>-3.2000000000000001E-2</v>
      </c>
      <c r="AH167" s="206">
        <f t="shared" si="8"/>
        <v>-3.2000000000000001E-2</v>
      </c>
      <c r="AI167" s="206">
        <f t="shared" si="8"/>
        <v>-3.2000000000000001E-2</v>
      </c>
      <c r="AJ167" s="206">
        <f t="shared" si="8"/>
        <v>-3.2000000000000001E-2</v>
      </c>
      <c r="AK167" s="206">
        <f t="shared" si="8"/>
        <v>-3.2000000000000001E-2</v>
      </c>
      <c r="AL167" s="206">
        <f t="shared" si="8"/>
        <v>-3.2000000000000001E-2</v>
      </c>
      <c r="AM167" s="206">
        <f t="shared" si="8"/>
        <v>-3.2000000000000001E-2</v>
      </c>
      <c r="AN167" s="206">
        <f t="shared" si="8"/>
        <v>-3.2000000000000001E-2</v>
      </c>
      <c r="AO167" s="206">
        <f t="shared" si="8"/>
        <v>-3.2000000000000001E-2</v>
      </c>
      <c r="AP167" s="206">
        <f t="shared" si="8"/>
        <v>-3.2000000000000001E-2</v>
      </c>
      <c r="AQ167" s="206">
        <f t="shared" si="8"/>
        <v>-3.2000000000000001E-2</v>
      </c>
      <c r="AR167" s="206">
        <f t="shared" si="8"/>
        <v>-3.2000000000000001E-2</v>
      </c>
      <c r="AS167" s="44" t="s">
        <v>528</v>
      </c>
    </row>
    <row r="168" spans="4:45" ht="17.399999999999999">
      <c r="D168" s="105">
        <v>43</v>
      </c>
      <c r="E168" s="204">
        <v>40559</v>
      </c>
      <c r="F168" s="205" t="s">
        <v>531</v>
      </c>
      <c r="G168" s="51" t="s">
        <v>809</v>
      </c>
      <c r="H168" s="85" t="s">
        <v>945</v>
      </c>
      <c r="I168" s="85"/>
      <c r="J168" s="85"/>
      <c r="K168" s="85"/>
      <c r="L168" s="85"/>
      <c r="M168" s="85"/>
      <c r="N168" s="207">
        <f t="shared" si="9"/>
        <v>0</v>
      </c>
      <c r="O168" s="209">
        <f t="shared" si="9"/>
        <v>-8.6548604666791554E-2</v>
      </c>
      <c r="P168" s="209">
        <f t="shared" si="8"/>
        <v>-0.11898444578031329</v>
      </c>
      <c r="Q168" s="209" t="e">
        <f t="shared" si="8"/>
        <v>#VALUE!</v>
      </c>
      <c r="R168" s="209">
        <f t="shared" si="8"/>
        <v>-7.7061523794448444E-2</v>
      </c>
      <c r="S168" s="209">
        <f t="shared" si="8"/>
        <v>-0.11204415839266259</v>
      </c>
      <c r="T168" s="209" t="e">
        <f t="shared" si="8"/>
        <v>#REF!</v>
      </c>
      <c r="U168" s="209" t="e">
        <f t="shared" si="8"/>
        <v>#REF!</v>
      </c>
      <c r="V168" s="209">
        <f t="shared" si="8"/>
        <v>-0.18563368759464693</v>
      </c>
      <c r="W168" s="209">
        <f t="shared" si="8"/>
        <v>-0.21169378862685434</v>
      </c>
      <c r="X168" s="209">
        <f t="shared" si="8"/>
        <v>-0.20603097239539089</v>
      </c>
      <c r="Y168" s="209">
        <f t="shared" si="8"/>
        <v>-0.23589083916415302</v>
      </c>
      <c r="Z168" s="209">
        <f t="shared" si="8"/>
        <v>-0.30906078059544245</v>
      </c>
      <c r="AA168" s="209">
        <f t="shared" si="8"/>
        <v>-0.34816895368916795</v>
      </c>
      <c r="AB168" s="209">
        <f t="shared" si="8"/>
        <v>-0.35380105448926585</v>
      </c>
      <c r="AC168" s="206">
        <f t="shared" si="8"/>
        <v>-0.36499999999999999</v>
      </c>
      <c r="AD168" s="206">
        <f t="shared" si="8"/>
        <v>-0.37395915640858729</v>
      </c>
      <c r="AE168" s="206">
        <f t="shared" si="8"/>
        <v>-0.38112648153545714</v>
      </c>
      <c r="AF168" s="206">
        <f t="shared" si="8"/>
        <v>-0.38686034163695304</v>
      </c>
      <c r="AG168" s="206">
        <f t="shared" si="8"/>
        <v>-0.39144742971814978</v>
      </c>
      <c r="AH168" s="206">
        <f t="shared" si="8"/>
        <v>-0.39511710018310714</v>
      </c>
      <c r="AI168" s="206">
        <f t="shared" si="8"/>
        <v>-0.39805283655507301</v>
      </c>
      <c r="AJ168" s="206">
        <f t="shared" si="8"/>
        <v>-0.40040142565264569</v>
      </c>
      <c r="AK168" s="206">
        <f t="shared" si="8"/>
        <v>-0.40228029693070383</v>
      </c>
      <c r="AL168" s="206">
        <f t="shared" si="8"/>
        <v>-0.40378339395315033</v>
      </c>
      <c r="AM168" s="206">
        <f t="shared" si="8"/>
        <v>-0.40498587157110755</v>
      </c>
      <c r="AN168" s="206">
        <f t="shared" si="8"/>
        <v>-0.40594785366547331</v>
      </c>
      <c r="AO168" s="206">
        <f t="shared" si="8"/>
        <v>-0.40671743934096594</v>
      </c>
      <c r="AP168" s="206">
        <f t="shared" si="8"/>
        <v>-0.40733310788136001</v>
      </c>
      <c r="AQ168" s="206">
        <f t="shared" si="8"/>
        <v>-0.40782564271367527</v>
      </c>
      <c r="AR168" s="206">
        <f t="shared" si="8"/>
        <v>-0.40821967057952746</v>
      </c>
      <c r="AS168" s="44" t="s">
        <v>531</v>
      </c>
    </row>
    <row r="169" spans="4:45" ht="17.399999999999999">
      <c r="D169" s="105">
        <v>44</v>
      </c>
      <c r="E169" s="204">
        <v>40559</v>
      </c>
      <c r="F169" s="205" t="s">
        <v>534</v>
      </c>
      <c r="G169" s="51" t="s">
        <v>809</v>
      </c>
      <c r="H169" s="85" t="s">
        <v>946</v>
      </c>
      <c r="I169" s="85"/>
      <c r="J169" s="85"/>
      <c r="K169" s="85"/>
      <c r="L169" s="85"/>
      <c r="M169" s="85"/>
      <c r="N169" s="207">
        <f t="shared" si="9"/>
        <v>0</v>
      </c>
      <c r="O169" s="209" t="e">
        <f t="shared" si="9"/>
        <v>#REF!</v>
      </c>
      <c r="P169" s="209" t="e">
        <f t="shared" si="8"/>
        <v>#REF!</v>
      </c>
      <c r="Q169" s="209">
        <f t="shared" si="8"/>
        <v>-6.899999999999995E-2</v>
      </c>
      <c r="R169" s="209">
        <f t="shared" si="8"/>
        <v>-0.11299999999999999</v>
      </c>
      <c r="S169" s="209" t="e">
        <f t="shared" si="8"/>
        <v>#REF!</v>
      </c>
      <c r="T169" s="209">
        <f t="shared" si="8"/>
        <v>-0.14499999999999999</v>
      </c>
      <c r="U169" s="209">
        <f t="shared" si="8"/>
        <v>-0.14300000000000002</v>
      </c>
      <c r="V169" s="209">
        <f t="shared" si="8"/>
        <v>-0.15900000000000003</v>
      </c>
      <c r="W169" s="209">
        <f t="shared" si="8"/>
        <v>-0.16600000000000004</v>
      </c>
      <c r="X169" s="209">
        <f t="shared" si="8"/>
        <v>-0.19399999999999995</v>
      </c>
      <c r="Y169" s="209">
        <f t="shared" si="8"/>
        <v>-0.18400000000000005</v>
      </c>
      <c r="Z169" s="209">
        <f t="shared" si="8"/>
        <v>-0.16</v>
      </c>
      <c r="AA169" s="209">
        <f t="shared" si="8"/>
        <v>-0.15</v>
      </c>
      <c r="AB169" s="209">
        <f t="shared" si="8"/>
        <v>-0.14000000000000001</v>
      </c>
      <c r="AC169" s="206">
        <f t="shared" si="8"/>
        <v>-0.14000000000000001</v>
      </c>
      <c r="AD169" s="206">
        <f t="shared" si="8"/>
        <v>-0.14499999999999999</v>
      </c>
      <c r="AE169" s="206">
        <f t="shared" si="8"/>
        <v>-0.155</v>
      </c>
      <c r="AF169" s="206">
        <f t="shared" si="8"/>
        <v>-0.17</v>
      </c>
      <c r="AG169" s="206">
        <f t="shared" si="8"/>
        <v>-0.18</v>
      </c>
      <c r="AH169" s="206">
        <f t="shared" si="8"/>
        <v>-0.18699999999999997</v>
      </c>
      <c r="AI169" s="206">
        <f t="shared" si="8"/>
        <v>-0.19189999999999996</v>
      </c>
      <c r="AJ169" s="206">
        <f t="shared" si="8"/>
        <v>-0.19532999999999995</v>
      </c>
      <c r="AK169" s="206">
        <f t="shared" si="8"/>
        <v>-0.19773099999999993</v>
      </c>
      <c r="AL169" s="206">
        <f t="shared" si="8"/>
        <v>-0.19941169999999991</v>
      </c>
      <c r="AM169" s="206">
        <f t="shared" si="8"/>
        <v>-0.20058818999999989</v>
      </c>
      <c r="AN169" s="206">
        <f t="shared" si="8"/>
        <v>-0.20141173299999987</v>
      </c>
      <c r="AO169" s="206">
        <f t="shared" si="8"/>
        <v>-0.20198821309999987</v>
      </c>
      <c r="AP169" s="206">
        <f t="shared" si="8"/>
        <v>-0.20239174916999986</v>
      </c>
      <c r="AQ169" s="206">
        <f t="shared" si="8"/>
        <v>-0.20267422441899985</v>
      </c>
      <c r="AR169" s="206">
        <f t="shared" si="8"/>
        <v>-0.20287195709329983</v>
      </c>
      <c r="AS169" s="44" t="s">
        <v>534</v>
      </c>
    </row>
    <row r="170" spans="4:45" ht="17.399999999999999">
      <c r="D170" s="105">
        <v>45</v>
      </c>
      <c r="E170" s="204">
        <v>40559</v>
      </c>
      <c r="F170" s="205" t="s">
        <v>947</v>
      </c>
      <c r="G170" s="51" t="s">
        <v>809</v>
      </c>
      <c r="H170" s="85" t="s">
        <v>28</v>
      </c>
      <c r="I170" s="85"/>
      <c r="J170" s="85"/>
      <c r="K170" s="85"/>
      <c r="L170" s="85"/>
      <c r="M170" s="85"/>
      <c r="N170" s="207">
        <f t="shared" si="9"/>
        <v>0</v>
      </c>
      <c r="O170" s="209" t="e">
        <f t="shared" si="9"/>
        <v>#VALUE!</v>
      </c>
      <c r="P170" s="209">
        <f t="shared" si="8"/>
        <v>-5.6403097081596187E-2</v>
      </c>
      <c r="Q170" s="209">
        <f t="shared" si="8"/>
        <v>-5.8051894074337966E-2</v>
      </c>
      <c r="R170" s="209" t="e">
        <f t="shared" si="8"/>
        <v>#VALUE!</v>
      </c>
      <c r="S170" s="209">
        <f t="shared" si="8"/>
        <v>-4.0363501862149896E-2</v>
      </c>
      <c r="T170" s="209">
        <f t="shared" si="8"/>
        <v>-4.0829089856989333E-2</v>
      </c>
      <c r="U170" s="209" t="e">
        <f t="shared" si="8"/>
        <v>#REF!</v>
      </c>
      <c r="V170" s="209">
        <f t="shared" si="8"/>
        <v>-3.9072208630734691E-2</v>
      </c>
      <c r="W170" s="209">
        <f t="shared" si="8"/>
        <v>-3.202582607019723E-2</v>
      </c>
      <c r="X170" s="209">
        <f t="shared" si="8"/>
        <v>-2.04341113685013E-2</v>
      </c>
      <c r="Y170" s="209">
        <f t="shared" si="8"/>
        <v>-1.8457780112713727E-2</v>
      </c>
      <c r="Z170" s="209">
        <f t="shared" si="8"/>
        <v>-1.633557374216708E-2</v>
      </c>
      <c r="AA170" s="209">
        <f t="shared" si="8"/>
        <v>-1.5488549426277757E-2</v>
      </c>
      <c r="AB170" s="209">
        <f t="shared" si="8"/>
        <v>-1.4541010574328746E-2</v>
      </c>
      <c r="AC170" s="206">
        <f t="shared" si="8"/>
        <v>-1.4488549426277756E-2</v>
      </c>
      <c r="AD170" s="206">
        <f t="shared" ref="P170:AR179" si="10">AD111-AD52</f>
        <v>-1.3988549426277756E-2</v>
      </c>
      <c r="AE170" s="206">
        <f t="shared" si="10"/>
        <v>-1.3488549426277755E-2</v>
      </c>
      <c r="AF170" s="206">
        <f t="shared" si="10"/>
        <v>-1.2988549426277755E-2</v>
      </c>
      <c r="AG170" s="206">
        <f t="shared" si="10"/>
        <v>-1.2488549426277754E-2</v>
      </c>
      <c r="AH170" s="206">
        <f t="shared" si="10"/>
        <v>-1.1988549426277754E-2</v>
      </c>
      <c r="AI170" s="206">
        <f t="shared" si="10"/>
        <v>-1.1488549426277753E-2</v>
      </c>
      <c r="AJ170" s="206">
        <f t="shared" si="10"/>
        <v>-1.0988549426277753E-2</v>
      </c>
      <c r="AK170" s="206">
        <f t="shared" si="10"/>
        <v>-1.0488549426277752E-2</v>
      </c>
      <c r="AL170" s="206">
        <f t="shared" si="10"/>
        <v>-9.988549426277752E-3</v>
      </c>
      <c r="AM170" s="206">
        <f t="shared" si="10"/>
        <v>-9.4885494262777516E-3</v>
      </c>
      <c r="AN170" s="206">
        <f t="shared" si="10"/>
        <v>-8.9885494262777511E-3</v>
      </c>
      <c r="AO170" s="206">
        <f t="shared" si="10"/>
        <v>-8.4885494262777507E-3</v>
      </c>
      <c r="AP170" s="206">
        <f t="shared" si="10"/>
        <v>-7.9885494262777502E-3</v>
      </c>
      <c r="AQ170" s="206">
        <f t="shared" si="10"/>
        <v>-7.4885494262777498E-3</v>
      </c>
      <c r="AR170" s="206">
        <f t="shared" si="10"/>
        <v>-6.9885494262777494E-3</v>
      </c>
      <c r="AS170" s="44" t="s">
        <v>947</v>
      </c>
    </row>
    <row r="171" spans="4:45" ht="17.399999999999999">
      <c r="D171" s="105">
        <v>46</v>
      </c>
      <c r="E171" s="204">
        <v>40560</v>
      </c>
      <c r="F171" s="205" t="s">
        <v>948</v>
      </c>
      <c r="G171" s="51" t="s">
        <v>809</v>
      </c>
      <c r="H171" s="85" t="s">
        <v>949</v>
      </c>
      <c r="I171" s="85"/>
      <c r="J171" s="85"/>
      <c r="K171" s="85"/>
      <c r="L171" s="85"/>
      <c r="M171" s="85"/>
      <c r="N171" s="141">
        <f t="shared" si="9"/>
        <v>-3.437121570989965E-2</v>
      </c>
      <c r="O171" s="278">
        <f t="shared" si="9"/>
        <v>-0.32507809942817723</v>
      </c>
      <c r="P171" s="278">
        <f t="shared" si="10"/>
        <v>-0.35837570555083637</v>
      </c>
      <c r="Q171" s="278">
        <f t="shared" si="10"/>
        <v>-0.32023603080122254</v>
      </c>
      <c r="R171" s="278">
        <f t="shared" si="10"/>
        <v>-0.26082091121911194</v>
      </c>
      <c r="S171" s="278" t="e">
        <f t="shared" si="10"/>
        <v>#REF!</v>
      </c>
      <c r="T171" s="278">
        <f t="shared" si="10"/>
        <v>-0.27051799130250104</v>
      </c>
      <c r="U171" s="278">
        <f t="shared" si="10"/>
        <v>-0.31631692817415186</v>
      </c>
      <c r="V171" s="278">
        <f t="shared" si="10"/>
        <v>-0.30018396555033727</v>
      </c>
      <c r="W171" s="278">
        <f t="shared" si="10"/>
        <v>-0.27424958276588063</v>
      </c>
      <c r="X171" s="278">
        <f t="shared" si="10"/>
        <v>-0.31562582203865192</v>
      </c>
      <c r="Y171" s="278">
        <f t="shared" si="10"/>
        <v>-0.31114675985594847</v>
      </c>
      <c r="Z171" s="278">
        <f t="shared" si="10"/>
        <v>-0.34223846853003126</v>
      </c>
      <c r="AA171" s="278">
        <f t="shared" si="10"/>
        <v>-0.33773289880862623</v>
      </c>
      <c r="AB171" s="278">
        <f t="shared" si="10"/>
        <v>-0.41043560275290336</v>
      </c>
      <c r="AC171" s="279">
        <f t="shared" si="10"/>
        <v>-0.39</v>
      </c>
      <c r="AD171" s="279">
        <f t="shared" si="10"/>
        <v>-0.41000000000000003</v>
      </c>
      <c r="AE171" s="279">
        <f t="shared" si="10"/>
        <v>-0.42200000000000004</v>
      </c>
      <c r="AF171" s="279">
        <f t="shared" si="10"/>
        <v>-0.42920000000000003</v>
      </c>
      <c r="AG171" s="279">
        <f t="shared" si="10"/>
        <v>-0.43352000000000002</v>
      </c>
      <c r="AH171" s="279">
        <f t="shared" si="10"/>
        <v>-0.436112</v>
      </c>
      <c r="AI171" s="279">
        <f t="shared" si="10"/>
        <v>-0.43766719999999998</v>
      </c>
      <c r="AJ171" s="279">
        <f t="shared" si="10"/>
        <v>-0.43860031999999999</v>
      </c>
      <c r="AK171" s="279">
        <f t="shared" si="10"/>
        <v>-0.439160192</v>
      </c>
      <c r="AL171" s="279">
        <f t="shared" si="10"/>
        <v>-0.43949611520000004</v>
      </c>
      <c r="AM171" s="279">
        <f t="shared" si="10"/>
        <v>-0.43969766912000008</v>
      </c>
      <c r="AN171" s="279">
        <f t="shared" si="10"/>
        <v>-0.43981860147200008</v>
      </c>
      <c r="AO171" s="279">
        <f t="shared" si="10"/>
        <v>-0.43989116088320007</v>
      </c>
      <c r="AP171" s="279">
        <f t="shared" si="10"/>
        <v>-0.43993469652992007</v>
      </c>
      <c r="AQ171" s="279">
        <f t="shared" si="10"/>
        <v>-0.43996081791795205</v>
      </c>
      <c r="AR171" s="279">
        <f t="shared" si="10"/>
        <v>-0.43997649075077122</v>
      </c>
      <c r="AS171" s="44" t="s">
        <v>948</v>
      </c>
    </row>
    <row r="172" spans="4:45" ht="17.399999999999999">
      <c r="D172" s="105">
        <v>47</v>
      </c>
      <c r="E172" s="204">
        <v>40560</v>
      </c>
      <c r="F172" s="205" t="s">
        <v>586</v>
      </c>
      <c r="G172" s="51" t="s">
        <v>809</v>
      </c>
      <c r="H172" s="85" t="s">
        <v>950</v>
      </c>
      <c r="I172" s="85"/>
      <c r="J172" s="85"/>
      <c r="K172" s="85"/>
      <c r="L172" s="85"/>
      <c r="M172" s="85"/>
      <c r="N172" s="141">
        <f t="shared" si="9"/>
        <v>3.437121570989965E-2</v>
      </c>
      <c r="O172" s="278" t="e">
        <f t="shared" si="9"/>
        <v>#REF!</v>
      </c>
      <c r="P172" s="278" t="e">
        <f t="shared" si="10"/>
        <v>#REF!</v>
      </c>
      <c r="Q172" s="278" t="e">
        <f t="shared" si="10"/>
        <v>#REF!</v>
      </c>
      <c r="R172" s="278">
        <f t="shared" si="10"/>
        <v>-0.25161546729373147</v>
      </c>
      <c r="S172" s="278" t="e">
        <f t="shared" si="10"/>
        <v>#REF!</v>
      </c>
      <c r="T172" s="278">
        <f t="shared" si="10"/>
        <v>-0.30006990710858972</v>
      </c>
      <c r="U172" s="278">
        <f t="shared" si="10"/>
        <v>-0.32527321790330338</v>
      </c>
      <c r="V172" s="278" t="e">
        <f t="shared" si="10"/>
        <v>#REF!</v>
      </c>
      <c r="W172" s="278">
        <f t="shared" si="10"/>
        <v>-0.31889581974440651</v>
      </c>
      <c r="X172" s="278">
        <f t="shared" si="10"/>
        <v>-0.39702420648664605</v>
      </c>
      <c r="Y172" s="278">
        <f t="shared" si="10"/>
        <v>-0.39475872109052162</v>
      </c>
      <c r="Z172" s="278">
        <f t="shared" si="10"/>
        <v>-0.40208306466662297</v>
      </c>
      <c r="AA172" s="278">
        <f t="shared" si="10"/>
        <v>-0.38630016620659358</v>
      </c>
      <c r="AB172" s="278">
        <f t="shared" si="10"/>
        <v>-0.34781260736393638</v>
      </c>
      <c r="AC172" s="279">
        <f t="shared" si="10"/>
        <v>-0.3778126073639364</v>
      </c>
      <c r="AD172" s="279">
        <f t="shared" si="10"/>
        <v>-0.39881260736393642</v>
      </c>
      <c r="AE172" s="279">
        <f t="shared" si="10"/>
        <v>-0.41351260736393641</v>
      </c>
      <c r="AF172" s="279">
        <f t="shared" si="10"/>
        <v>-0.42380260736393638</v>
      </c>
      <c r="AG172" s="279">
        <f t="shared" si="10"/>
        <v>-0.43100560736393634</v>
      </c>
      <c r="AH172" s="279">
        <f t="shared" si="10"/>
        <v>-0.43604770736393633</v>
      </c>
      <c r="AI172" s="279">
        <f t="shared" si="10"/>
        <v>-0.43957717736393631</v>
      </c>
      <c r="AJ172" s="279">
        <f t="shared" si="10"/>
        <v>-0.44204780636393631</v>
      </c>
      <c r="AK172" s="279">
        <f t="shared" si="10"/>
        <v>-0.44377724666393631</v>
      </c>
      <c r="AL172" s="279">
        <f t="shared" si="10"/>
        <v>-0.44498785487393633</v>
      </c>
      <c r="AM172" s="279">
        <f t="shared" si="10"/>
        <v>-0.44583528062093636</v>
      </c>
      <c r="AN172" s="279">
        <f t="shared" si="10"/>
        <v>-0.44642847864383639</v>
      </c>
      <c r="AO172" s="279">
        <f t="shared" si="10"/>
        <v>-0.44684371725986644</v>
      </c>
      <c r="AP172" s="279">
        <f t="shared" si="10"/>
        <v>-0.44713438429108748</v>
      </c>
      <c r="AQ172" s="279">
        <f t="shared" si="10"/>
        <v>-0.44733785121294223</v>
      </c>
      <c r="AR172" s="279">
        <f t="shared" si="10"/>
        <v>-0.44748027805824053</v>
      </c>
      <c r="AS172" s="44" t="s">
        <v>586</v>
      </c>
    </row>
    <row r="173" spans="4:45" ht="17.399999999999999">
      <c r="D173" s="105">
        <v>48</v>
      </c>
      <c r="E173" s="204">
        <v>40558</v>
      </c>
      <c r="F173" s="205" t="s">
        <v>628</v>
      </c>
      <c r="G173" s="51" t="s">
        <v>809</v>
      </c>
      <c r="H173" s="85" t="s">
        <v>29</v>
      </c>
      <c r="I173" s="85"/>
      <c r="J173" s="85"/>
      <c r="K173" s="85"/>
      <c r="L173" s="85"/>
      <c r="M173" s="85"/>
      <c r="N173" s="207">
        <f t="shared" si="9"/>
        <v>0</v>
      </c>
      <c r="O173" s="209">
        <f t="shared" si="9"/>
        <v>-2.7958204381156079E-2</v>
      </c>
      <c r="P173" s="209">
        <f t="shared" si="10"/>
        <v>-2.9747212180728878E-2</v>
      </c>
      <c r="Q173" s="209">
        <f t="shared" si="10"/>
        <v>1.0512157616833476E-2</v>
      </c>
      <c r="R173" s="209">
        <f t="shared" si="10"/>
        <v>1.8366803715713895E-2</v>
      </c>
      <c r="S173" s="209">
        <f t="shared" si="10"/>
        <v>-9.4033448320917194E-3</v>
      </c>
      <c r="T173" s="209">
        <f t="shared" si="10"/>
        <v>-1.543589803541465E-2</v>
      </c>
      <c r="U173" s="209">
        <f t="shared" si="10"/>
        <v>-1.042070684290726E-2</v>
      </c>
      <c r="V173" s="209">
        <f t="shared" si="10"/>
        <v>-1.1378312982583544E-2</v>
      </c>
      <c r="W173" s="209">
        <f t="shared" si="10"/>
        <v>-1.1495203825421829E-2</v>
      </c>
      <c r="X173" s="209">
        <f t="shared" si="10"/>
        <v>-1.1017693783579013E-2</v>
      </c>
      <c r="Y173" s="209">
        <f t="shared" si="10"/>
        <v>-1.165095823940036E-2</v>
      </c>
      <c r="Z173" s="209">
        <f t="shared" si="10"/>
        <v>-1.3921150402853136E-2</v>
      </c>
      <c r="AA173" s="209">
        <f t="shared" si="10"/>
        <v>-1.4869696175550911E-2</v>
      </c>
      <c r="AB173" s="209">
        <f t="shared" si="10"/>
        <v>1.8530890526070161E-2</v>
      </c>
      <c r="AC173" s="206">
        <f t="shared" si="10"/>
        <v>-1.042070684290726E-2</v>
      </c>
      <c r="AD173" s="206">
        <f t="shared" si="10"/>
        <v>-1.1378312982583544E-2</v>
      </c>
      <c r="AE173" s="206">
        <f t="shared" si="10"/>
        <v>-1.1495203825421829E-2</v>
      </c>
      <c r="AF173" s="206">
        <f t="shared" si="10"/>
        <v>-1.1017693783579013E-2</v>
      </c>
      <c r="AG173" s="206">
        <f t="shared" si="10"/>
        <v>-1.165095823940036E-2</v>
      </c>
      <c r="AH173" s="206">
        <f t="shared" si="10"/>
        <v>-1.1597070197194794E-2</v>
      </c>
      <c r="AI173" s="206">
        <f t="shared" si="10"/>
        <v>-1.1687951949467068E-2</v>
      </c>
      <c r="AJ173" s="206">
        <f t="shared" si="10"/>
        <v>-1.1721907406724724E-2</v>
      </c>
      <c r="AK173" s="206">
        <f t="shared" si="10"/>
        <v>-1.1945326795354073E-2</v>
      </c>
      <c r="AL173" s="206">
        <f t="shared" si="10"/>
        <v>-1.1968976517795528E-2</v>
      </c>
      <c r="AM173" s="206">
        <f t="shared" si="10"/>
        <v>-1.2085062050515287E-2</v>
      </c>
      <c r="AN173" s="206">
        <f t="shared" si="10"/>
        <v>-1.2178736906624776E-2</v>
      </c>
      <c r="AO173" s="206">
        <f t="shared" si="10"/>
        <v>-1.2299788454554962E-2</v>
      </c>
      <c r="AP173" s="206">
        <f t="shared" si="10"/>
        <v>-1.237759182497853E-2</v>
      </c>
      <c r="AQ173" s="206">
        <f t="shared" si="10"/>
        <v>-1.2487862470565009E-2</v>
      </c>
      <c r="AR173" s="206">
        <f t="shared" si="10"/>
        <v>-1.2585372395386089E-2</v>
      </c>
      <c r="AS173" s="44" t="s">
        <v>628</v>
      </c>
    </row>
    <row r="174" spans="4:45" ht="17.399999999999999">
      <c r="D174" s="105">
        <v>49</v>
      </c>
      <c r="E174" s="215">
        <v>40554</v>
      </c>
      <c r="F174" s="205" t="s">
        <v>738</v>
      </c>
      <c r="G174" s="51" t="s">
        <v>809</v>
      </c>
      <c r="H174" s="85" t="s">
        <v>951</v>
      </c>
      <c r="I174" s="85"/>
      <c r="J174" s="85"/>
      <c r="K174" s="85"/>
      <c r="L174" s="85"/>
      <c r="M174" s="85"/>
      <c r="N174" s="207">
        <f t="shared" si="9"/>
        <v>0</v>
      </c>
      <c r="O174" s="209">
        <f t="shared" si="9"/>
        <v>-1.0369999999999999</v>
      </c>
      <c r="P174" s="209">
        <f t="shared" ref="P174:U178" si="11">P115-P56</f>
        <v>-1.0318149999999999</v>
      </c>
      <c r="Q174" s="209">
        <f t="shared" si="11"/>
        <v>-1.0514194849999998</v>
      </c>
      <c r="R174" s="209">
        <f t="shared" si="11"/>
        <v>-1.1691784673199999</v>
      </c>
      <c r="S174" s="209">
        <f t="shared" si="11"/>
        <v>-1.2802504217153998</v>
      </c>
      <c r="T174" s="209">
        <f t="shared" si="11"/>
        <v>-1.3340209394274467</v>
      </c>
      <c r="U174" s="209">
        <f t="shared" si="11"/>
        <v>-1.4714250961884736</v>
      </c>
      <c r="V174" s="209">
        <f t="shared" si="10"/>
        <v>-1.6568246583082211</v>
      </c>
      <c r="W174" s="209">
        <f t="shared" si="10"/>
        <v>-1.8523299679885914</v>
      </c>
      <c r="X174" s="209">
        <f t="shared" si="10"/>
        <v>-1.9727314159078497</v>
      </c>
      <c r="Y174" s="209">
        <f t="shared" si="10"/>
        <v>-2.1167408092691224</v>
      </c>
      <c r="Z174" s="209">
        <f t="shared" si="10"/>
        <v>-2.2500954802530773</v>
      </c>
      <c r="AA174" s="209">
        <f t="shared" si="10"/>
        <v>-2.2635960531345956</v>
      </c>
      <c r="AB174" s="209">
        <f t="shared" si="10"/>
        <v>-2.1572070386372695</v>
      </c>
      <c r="AC174" s="206">
        <f t="shared" si="10"/>
        <v>-2.301216431998542</v>
      </c>
      <c r="AD174" s="206">
        <f t="shared" si="10"/>
        <v>-2.4452258253598149</v>
      </c>
      <c r="AE174" s="206">
        <f t="shared" si="10"/>
        <v>-2.5748342793849606</v>
      </c>
      <c r="AF174" s="206">
        <f t="shared" si="10"/>
        <v>-2.6914818880075915</v>
      </c>
      <c r="AG174" s="206">
        <f t="shared" si="10"/>
        <v>-2.7964647357679593</v>
      </c>
      <c r="AH174" s="206">
        <f t="shared" si="10"/>
        <v>-2.8909492987522905</v>
      </c>
      <c r="AI174" s="206">
        <f t="shared" si="10"/>
        <v>-2.9759854054381885</v>
      </c>
      <c r="AJ174" s="206">
        <f t="shared" si="10"/>
        <v>-3.0525179014554968</v>
      </c>
      <c r="AK174" s="206">
        <f t="shared" si="10"/>
        <v>-3.1213971478710745</v>
      </c>
      <c r="AL174" s="206">
        <f t="shared" si="10"/>
        <v>-3.1833884696450943</v>
      </c>
      <c r="AM174" s="206">
        <f t="shared" si="10"/>
        <v>-3.2391806592417121</v>
      </c>
      <c r="AN174" s="206">
        <f t="shared" si="10"/>
        <v>-3.2893936298786679</v>
      </c>
      <c r="AO174" s="206">
        <f t="shared" si="10"/>
        <v>-3.3345853034519282</v>
      </c>
      <c r="AP174" s="206">
        <f t="shared" si="10"/>
        <v>-3.3752578096678625</v>
      </c>
      <c r="AQ174" s="206">
        <f t="shared" si="10"/>
        <v>-3.4118630652622035</v>
      </c>
      <c r="AR174" s="206">
        <f t="shared" si="10"/>
        <v>-3.4448077952971103</v>
      </c>
      <c r="AS174" s="44" t="s">
        <v>738</v>
      </c>
    </row>
    <row r="175" spans="4:45" ht="17.399999999999999">
      <c r="D175" s="105">
        <v>50</v>
      </c>
      <c r="E175" s="36"/>
      <c r="F175" s="205" t="s">
        <v>952</v>
      </c>
      <c r="G175" s="51" t="s">
        <v>396</v>
      </c>
      <c r="H175" s="85" t="s">
        <v>737</v>
      </c>
      <c r="I175" s="85"/>
      <c r="J175" s="85"/>
      <c r="K175" s="85"/>
      <c r="L175" s="85"/>
      <c r="M175" s="85"/>
      <c r="N175" s="207">
        <f t="shared" si="9"/>
        <v>0</v>
      </c>
      <c r="O175" s="209" t="e">
        <f t="shared" si="9"/>
        <v>#REF!</v>
      </c>
      <c r="P175" s="209" t="e">
        <f t="shared" si="11"/>
        <v>#REF!</v>
      </c>
      <c r="Q175" s="209" t="e">
        <f t="shared" si="11"/>
        <v>#REF!</v>
      </c>
      <c r="R175" s="209" t="e">
        <f t="shared" si="11"/>
        <v>#REF!</v>
      </c>
      <c r="S175" s="209" t="e">
        <f t="shared" si="11"/>
        <v>#REF!</v>
      </c>
      <c r="T175" s="209" t="e">
        <f t="shared" si="11"/>
        <v>#REF!</v>
      </c>
      <c r="U175" s="209" t="e">
        <f t="shared" si="11"/>
        <v>#REF!</v>
      </c>
      <c r="V175" s="209" t="e">
        <f t="shared" si="10"/>
        <v>#REF!</v>
      </c>
      <c r="W175" s="209" t="e">
        <f t="shared" si="10"/>
        <v>#REF!</v>
      </c>
      <c r="X175" s="209" t="e">
        <f t="shared" si="10"/>
        <v>#REF!</v>
      </c>
      <c r="Y175" s="209" t="e">
        <f t="shared" si="10"/>
        <v>#REF!</v>
      </c>
      <c r="Z175" s="209" t="e">
        <f t="shared" si="10"/>
        <v>#REF!</v>
      </c>
      <c r="AA175" s="209" t="e">
        <f t="shared" si="10"/>
        <v>#REF!</v>
      </c>
      <c r="AB175" s="209">
        <f t="shared" si="10"/>
        <v>0</v>
      </c>
      <c r="AC175" s="206">
        <f t="shared" si="10"/>
        <v>0</v>
      </c>
      <c r="AD175" s="206">
        <f t="shared" si="10"/>
        <v>0</v>
      </c>
      <c r="AE175" s="206">
        <f t="shared" si="10"/>
        <v>0</v>
      </c>
      <c r="AF175" s="206">
        <f t="shared" si="10"/>
        <v>0</v>
      </c>
      <c r="AG175" s="206">
        <f t="shared" si="10"/>
        <v>0</v>
      </c>
      <c r="AH175" s="206">
        <f t="shared" si="10"/>
        <v>0</v>
      </c>
      <c r="AI175" s="206">
        <f t="shared" si="10"/>
        <v>0</v>
      </c>
      <c r="AJ175" s="206">
        <f t="shared" si="10"/>
        <v>0</v>
      </c>
      <c r="AK175" s="206">
        <f t="shared" si="10"/>
        <v>0</v>
      </c>
      <c r="AL175" s="206">
        <f t="shared" si="10"/>
        <v>0</v>
      </c>
      <c r="AM175" s="206">
        <f t="shared" si="10"/>
        <v>0</v>
      </c>
      <c r="AN175" s="206">
        <f t="shared" si="10"/>
        <v>0</v>
      </c>
      <c r="AO175" s="206">
        <f t="shared" si="10"/>
        <v>0</v>
      </c>
      <c r="AP175" s="206">
        <f t="shared" si="10"/>
        <v>0</v>
      </c>
      <c r="AQ175" s="206">
        <f t="shared" si="10"/>
        <v>0</v>
      </c>
      <c r="AR175" s="206">
        <f t="shared" si="10"/>
        <v>0</v>
      </c>
      <c r="AS175" s="44" t="s">
        <v>952</v>
      </c>
    </row>
    <row r="176" spans="4:45" ht="17.399999999999999">
      <c r="D176" s="105">
        <v>51</v>
      </c>
      <c r="E176" s="36"/>
      <c r="F176" s="205" t="s">
        <v>660</v>
      </c>
      <c r="G176" s="51" t="s">
        <v>396</v>
      </c>
      <c r="H176" s="85" t="s">
        <v>953</v>
      </c>
      <c r="I176" s="85"/>
      <c r="J176" s="85"/>
      <c r="K176" s="85"/>
      <c r="L176" s="222">
        <v>392.29556398346608</v>
      </c>
      <c r="M176" s="223">
        <v>296.96774193548384</v>
      </c>
      <c r="N176" s="207">
        <f t="shared" si="9"/>
        <v>0</v>
      </c>
      <c r="O176" s="209" t="e">
        <f t="shared" si="9"/>
        <v>#REF!</v>
      </c>
      <c r="P176" s="209" t="e">
        <f t="shared" si="11"/>
        <v>#REF!</v>
      </c>
      <c r="Q176" s="209" t="e">
        <f t="shared" si="11"/>
        <v>#REF!</v>
      </c>
      <c r="R176" s="209" t="e">
        <f t="shared" si="11"/>
        <v>#REF!</v>
      </c>
      <c r="S176" s="209" t="e">
        <f t="shared" si="11"/>
        <v>#REF!</v>
      </c>
      <c r="T176" s="209" t="e">
        <f t="shared" si="11"/>
        <v>#REF!</v>
      </c>
      <c r="U176" s="209" t="e">
        <f t="shared" si="11"/>
        <v>#REF!</v>
      </c>
      <c r="V176" s="209" t="e">
        <f t="shared" si="10"/>
        <v>#REF!</v>
      </c>
      <c r="W176" s="209" t="e">
        <f t="shared" si="10"/>
        <v>#REF!</v>
      </c>
      <c r="X176" s="209" t="e">
        <f t="shared" si="10"/>
        <v>#REF!</v>
      </c>
      <c r="Y176" s="209" t="e">
        <f t="shared" si="10"/>
        <v>#REF!</v>
      </c>
      <c r="Z176" s="209" t="e">
        <f t="shared" si="10"/>
        <v>#REF!</v>
      </c>
      <c r="AA176" s="209" t="e">
        <f t="shared" si="10"/>
        <v>#REF!</v>
      </c>
      <c r="AB176" s="209">
        <f t="shared" si="10"/>
        <v>0</v>
      </c>
      <c r="AC176" s="206">
        <f t="shared" si="10"/>
        <v>0</v>
      </c>
      <c r="AD176" s="206">
        <f t="shared" si="10"/>
        <v>0</v>
      </c>
      <c r="AE176" s="206">
        <f t="shared" si="10"/>
        <v>0</v>
      </c>
      <c r="AF176" s="206">
        <f t="shared" si="10"/>
        <v>0</v>
      </c>
      <c r="AG176" s="206">
        <f t="shared" si="10"/>
        <v>0</v>
      </c>
      <c r="AH176" s="206">
        <f t="shared" si="10"/>
        <v>0</v>
      </c>
      <c r="AI176" s="206">
        <f t="shared" si="10"/>
        <v>0</v>
      </c>
      <c r="AJ176" s="206">
        <f t="shared" si="10"/>
        <v>0</v>
      </c>
      <c r="AK176" s="206">
        <f t="shared" si="10"/>
        <v>0</v>
      </c>
      <c r="AL176" s="206">
        <f t="shared" si="10"/>
        <v>0</v>
      </c>
      <c r="AM176" s="206">
        <f t="shared" si="10"/>
        <v>0</v>
      </c>
      <c r="AN176" s="206">
        <f t="shared" si="10"/>
        <v>0</v>
      </c>
      <c r="AO176" s="206">
        <f t="shared" si="10"/>
        <v>0</v>
      </c>
      <c r="AP176" s="206">
        <f t="shared" si="10"/>
        <v>0</v>
      </c>
      <c r="AQ176" s="206">
        <f t="shared" si="10"/>
        <v>0</v>
      </c>
      <c r="AR176" s="206">
        <f t="shared" si="10"/>
        <v>0</v>
      </c>
      <c r="AS176" s="44" t="s">
        <v>660</v>
      </c>
    </row>
    <row r="177" spans="4:45" ht="17.399999999999999">
      <c r="D177" s="105">
        <v>52</v>
      </c>
      <c r="E177" s="36"/>
      <c r="F177" s="205" t="s">
        <v>425</v>
      </c>
      <c r="G177" s="51" t="s">
        <v>396</v>
      </c>
      <c r="H177" s="85" t="s">
        <v>954</v>
      </c>
      <c r="I177" s="85"/>
      <c r="J177" s="85"/>
      <c r="K177" s="85"/>
      <c r="L177" s="85"/>
      <c r="M177" s="225">
        <v>610.83799999999997</v>
      </c>
      <c r="N177" s="207">
        <f t="shared" si="9"/>
        <v>0</v>
      </c>
      <c r="O177" s="209" t="e">
        <f t="shared" si="9"/>
        <v>#REF!</v>
      </c>
      <c r="P177" s="209" t="e">
        <f t="shared" si="11"/>
        <v>#REF!</v>
      </c>
      <c r="Q177" s="209" t="e">
        <f t="shared" si="11"/>
        <v>#REF!</v>
      </c>
      <c r="R177" s="209" t="e">
        <f t="shared" si="11"/>
        <v>#REF!</v>
      </c>
      <c r="S177" s="209" t="e">
        <f t="shared" si="11"/>
        <v>#REF!</v>
      </c>
      <c r="T177" s="209" t="e">
        <f t="shared" si="11"/>
        <v>#REF!</v>
      </c>
      <c r="U177" s="209" t="e">
        <f t="shared" si="11"/>
        <v>#REF!</v>
      </c>
      <c r="V177" s="209" t="e">
        <f t="shared" si="10"/>
        <v>#REF!</v>
      </c>
      <c r="W177" s="209" t="e">
        <f t="shared" si="10"/>
        <v>#REF!</v>
      </c>
      <c r="X177" s="209" t="e">
        <f t="shared" si="10"/>
        <v>#REF!</v>
      </c>
      <c r="Y177" s="209" t="e">
        <f t="shared" si="10"/>
        <v>#REF!</v>
      </c>
      <c r="Z177" s="209" t="e">
        <f t="shared" si="10"/>
        <v>#REF!</v>
      </c>
      <c r="AA177" s="209" t="e">
        <f t="shared" si="10"/>
        <v>#REF!</v>
      </c>
      <c r="AB177" s="209">
        <f t="shared" si="10"/>
        <v>0</v>
      </c>
      <c r="AC177" s="206">
        <f t="shared" si="10"/>
        <v>0</v>
      </c>
      <c r="AD177" s="206">
        <f t="shared" si="10"/>
        <v>0</v>
      </c>
      <c r="AE177" s="206">
        <f t="shared" si="10"/>
        <v>0</v>
      </c>
      <c r="AF177" s="206">
        <f t="shared" si="10"/>
        <v>0</v>
      </c>
      <c r="AG177" s="206">
        <f t="shared" si="10"/>
        <v>0</v>
      </c>
      <c r="AH177" s="206">
        <f t="shared" si="10"/>
        <v>0</v>
      </c>
      <c r="AI177" s="206">
        <f t="shared" si="10"/>
        <v>0</v>
      </c>
      <c r="AJ177" s="206">
        <f t="shared" si="10"/>
        <v>0</v>
      </c>
      <c r="AK177" s="206">
        <f t="shared" si="10"/>
        <v>0</v>
      </c>
      <c r="AL177" s="206">
        <f t="shared" si="10"/>
        <v>0</v>
      </c>
      <c r="AM177" s="206">
        <f t="shared" si="10"/>
        <v>0</v>
      </c>
      <c r="AN177" s="206">
        <f t="shared" si="10"/>
        <v>0</v>
      </c>
      <c r="AO177" s="206">
        <f t="shared" si="10"/>
        <v>0</v>
      </c>
      <c r="AP177" s="206">
        <f t="shared" si="10"/>
        <v>0</v>
      </c>
      <c r="AQ177" s="206">
        <f t="shared" si="10"/>
        <v>0</v>
      </c>
      <c r="AR177" s="206">
        <f t="shared" si="10"/>
        <v>0</v>
      </c>
      <c r="AS177" s="44" t="s">
        <v>425</v>
      </c>
    </row>
    <row r="178" spans="4:45" ht="17.399999999999999">
      <c r="D178" s="105">
        <v>53</v>
      </c>
      <c r="E178" s="36"/>
      <c r="F178" s="205" t="s">
        <v>423</v>
      </c>
      <c r="G178" s="51" t="s">
        <v>396</v>
      </c>
      <c r="H178" s="85" t="s">
        <v>955</v>
      </c>
      <c r="I178" s="85"/>
      <c r="J178" s="85"/>
      <c r="K178" s="85"/>
      <c r="L178" s="85"/>
      <c r="M178" s="85"/>
      <c r="N178" s="207">
        <f t="shared" si="9"/>
        <v>0</v>
      </c>
      <c r="O178" s="209" t="e">
        <f t="shared" si="9"/>
        <v>#REF!</v>
      </c>
      <c r="P178" s="209" t="e">
        <f t="shared" si="11"/>
        <v>#REF!</v>
      </c>
      <c r="Q178" s="209" t="e">
        <f t="shared" si="11"/>
        <v>#REF!</v>
      </c>
      <c r="R178" s="209" t="e">
        <f t="shared" si="11"/>
        <v>#REF!</v>
      </c>
      <c r="S178" s="209" t="e">
        <f t="shared" si="11"/>
        <v>#REF!</v>
      </c>
      <c r="T178" s="209">
        <f t="shared" si="11"/>
        <v>40.022599999999997</v>
      </c>
      <c r="U178" s="209">
        <f t="shared" si="11"/>
        <v>1.7070000000000001</v>
      </c>
      <c r="V178" s="209">
        <f t="shared" si="10"/>
        <v>107.4624</v>
      </c>
      <c r="W178" s="209">
        <f t="shared" si="10"/>
        <v>96.143500000000003</v>
      </c>
      <c r="X178" s="209">
        <f t="shared" si="10"/>
        <v>126.09529999999999</v>
      </c>
      <c r="Y178" s="209">
        <f t="shared" si="10"/>
        <v>17.179400000000001</v>
      </c>
      <c r="Z178" s="209">
        <f t="shared" si="10"/>
        <v>-378.2842</v>
      </c>
      <c r="AA178" s="209">
        <f t="shared" si="10"/>
        <v>327.93029999999999</v>
      </c>
      <c r="AB178" s="209">
        <f t="shared" si="10"/>
        <v>292.68819999999999</v>
      </c>
      <c r="AC178" s="206">
        <f t="shared" si="10"/>
        <v>0</v>
      </c>
      <c r="AD178" s="206">
        <f t="shared" si="10"/>
        <v>0</v>
      </c>
      <c r="AE178" s="206">
        <f t="shared" si="10"/>
        <v>0</v>
      </c>
      <c r="AF178" s="206">
        <f t="shared" si="10"/>
        <v>0</v>
      </c>
      <c r="AG178" s="206">
        <f t="shared" si="10"/>
        <v>0</v>
      </c>
      <c r="AH178" s="206">
        <f t="shared" si="10"/>
        <v>0</v>
      </c>
      <c r="AI178" s="206">
        <f t="shared" si="10"/>
        <v>0</v>
      </c>
      <c r="AJ178" s="206">
        <f t="shared" si="10"/>
        <v>0</v>
      </c>
      <c r="AK178" s="206">
        <f t="shared" si="10"/>
        <v>0</v>
      </c>
      <c r="AL178" s="206">
        <f t="shared" si="10"/>
        <v>0</v>
      </c>
      <c r="AM178" s="206">
        <f t="shared" si="10"/>
        <v>0</v>
      </c>
      <c r="AN178" s="206">
        <f t="shared" si="10"/>
        <v>0</v>
      </c>
      <c r="AO178" s="206">
        <f t="shared" si="10"/>
        <v>0</v>
      </c>
      <c r="AP178" s="206">
        <f t="shared" si="10"/>
        <v>0</v>
      </c>
      <c r="AQ178" s="206">
        <f t="shared" si="10"/>
        <v>0</v>
      </c>
      <c r="AR178" s="206">
        <f t="shared" si="10"/>
        <v>0</v>
      </c>
      <c r="AS178" s="44" t="s">
        <v>423</v>
      </c>
    </row>
    <row r="179" spans="4:45" ht="17.399999999999999">
      <c r="D179" s="106">
        <v>54</v>
      </c>
      <c r="E179" s="226">
        <v>40552</v>
      </c>
      <c r="F179" s="227" t="s">
        <v>749</v>
      </c>
      <c r="G179" s="3" t="s">
        <v>809</v>
      </c>
      <c r="H179" s="228" t="s">
        <v>956</v>
      </c>
      <c r="I179" s="228"/>
      <c r="J179" s="228"/>
      <c r="K179" s="228"/>
      <c r="L179" s="85"/>
      <c r="M179" s="85"/>
      <c r="N179" s="207">
        <f t="shared" si="9"/>
        <v>0</v>
      </c>
      <c r="O179" s="209" t="e">
        <f t="shared" si="9"/>
        <v>#REF!</v>
      </c>
      <c r="P179" s="209" t="e">
        <f t="shared" si="10"/>
        <v>#REF!</v>
      </c>
      <c r="Q179" s="209" t="e">
        <f t="shared" si="10"/>
        <v>#REF!</v>
      </c>
      <c r="R179" s="209" t="e">
        <f t="shared" si="10"/>
        <v>#REF!</v>
      </c>
      <c r="S179" s="209" t="e">
        <f t="shared" si="10"/>
        <v>#REF!</v>
      </c>
      <c r="T179" s="209">
        <f t="shared" si="10"/>
        <v>-4.4871582370444703E-2</v>
      </c>
      <c r="U179" s="209">
        <f t="shared" si="10"/>
        <v>-5.4086981552360254E-2</v>
      </c>
      <c r="V179" s="209">
        <f t="shared" si="10"/>
        <v>-5.7340173506267515E-2</v>
      </c>
      <c r="W179" s="209">
        <f t="shared" si="10"/>
        <v>-6.3450478588481712E-2</v>
      </c>
      <c r="X179" s="209">
        <f t="shared" ref="X179:AR179" si="12">X120-X61</f>
        <v>-7.3117509621860699E-2</v>
      </c>
      <c r="Y179" s="209">
        <f t="shared" si="12"/>
        <v>-9.6061580553901432E-2</v>
      </c>
      <c r="Z179" s="209">
        <f t="shared" si="12"/>
        <v>-0.12889058349208682</v>
      </c>
      <c r="AA179" s="209">
        <f t="shared" si="12"/>
        <v>-0.15550492231931867</v>
      </c>
      <c r="AB179" s="209">
        <f t="shared" si="12"/>
        <v>-6.411146360941819E-2</v>
      </c>
      <c r="AC179" s="206">
        <f t="shared" si="12"/>
        <v>-0.05</v>
      </c>
      <c r="AD179" s="206">
        <f t="shared" si="12"/>
        <v>-4.5766560917174549E-2</v>
      </c>
      <c r="AE179" s="206">
        <f t="shared" si="12"/>
        <v>-4.3649841375761819E-2</v>
      </c>
      <c r="AF179" s="206">
        <f t="shared" si="12"/>
        <v>-4.2591481605055451E-2</v>
      </c>
      <c r="AG179" s="206">
        <f t="shared" si="12"/>
        <v>-4.2062301719702266E-2</v>
      </c>
      <c r="AH179" s="206">
        <f t="shared" si="12"/>
        <v>-4.1797711777025674E-2</v>
      </c>
      <c r="AI179" s="206">
        <f t="shared" si="12"/>
        <v>-4.1665416805687375E-2</v>
      </c>
      <c r="AJ179" s="206">
        <f t="shared" si="12"/>
        <v>-4.1599269320018228E-2</v>
      </c>
      <c r="AK179" s="206">
        <f t="shared" si="12"/>
        <v>-4.1566195577183655E-2</v>
      </c>
      <c r="AL179" s="206">
        <f t="shared" si="12"/>
        <v>-4.1549658705766365E-2</v>
      </c>
      <c r="AM179" s="206">
        <f t="shared" si="12"/>
        <v>-4.1541390270057724E-2</v>
      </c>
      <c r="AN179" s="206">
        <f t="shared" si="12"/>
        <v>-4.1537256052203403E-2</v>
      </c>
      <c r="AO179" s="206">
        <f t="shared" si="12"/>
        <v>-4.1535188943276243E-2</v>
      </c>
      <c r="AP179" s="206">
        <f t="shared" si="12"/>
        <v>-4.1534155388812666E-2</v>
      </c>
      <c r="AQ179" s="206">
        <f t="shared" si="12"/>
        <v>-4.1533638611580881E-2</v>
      </c>
      <c r="AR179" s="206">
        <f t="shared" si="12"/>
        <v>-4.1533380222964988E-2</v>
      </c>
      <c r="AS179" s="44" t="s">
        <v>749</v>
      </c>
    </row>
    <row r="180" spans="4:45" ht="15.6">
      <c r="L180" s="47">
        <v>1993</v>
      </c>
      <c r="M180" s="48">
        <v>1994</v>
      </c>
      <c r="N180" s="58">
        <v>1995</v>
      </c>
      <c r="O180" s="48">
        <v>1996</v>
      </c>
      <c r="P180" s="48">
        <v>1997</v>
      </c>
      <c r="Q180" s="48">
        <v>1998</v>
      </c>
      <c r="R180" s="48">
        <v>1999</v>
      </c>
      <c r="S180" s="48">
        <v>2000</v>
      </c>
      <c r="T180" s="48">
        <v>2001</v>
      </c>
      <c r="U180" s="48">
        <v>2002</v>
      </c>
      <c r="V180" s="48">
        <v>2003</v>
      </c>
      <c r="W180" s="48">
        <v>2004</v>
      </c>
      <c r="X180" s="48">
        <v>2005</v>
      </c>
      <c r="Y180" s="48">
        <v>2006</v>
      </c>
      <c r="Z180" s="48">
        <v>2007</v>
      </c>
      <c r="AA180" s="48">
        <v>2008</v>
      </c>
      <c r="AB180" s="48">
        <v>2009</v>
      </c>
      <c r="AC180" s="48">
        <v>2010</v>
      </c>
      <c r="AD180" s="48">
        <v>2011</v>
      </c>
      <c r="AE180" s="48">
        <v>2012</v>
      </c>
      <c r="AF180" s="48">
        <v>2013</v>
      </c>
      <c r="AG180" s="48">
        <v>2014</v>
      </c>
      <c r="AH180" s="48">
        <v>2015</v>
      </c>
      <c r="AI180" s="48">
        <v>2016</v>
      </c>
      <c r="AJ180" s="48">
        <v>2017</v>
      </c>
      <c r="AK180" s="48">
        <v>2018</v>
      </c>
      <c r="AL180" s="48">
        <v>2019</v>
      </c>
      <c r="AM180" s="48">
        <v>2020</v>
      </c>
      <c r="AN180" s="48">
        <v>2021</v>
      </c>
      <c r="AO180" s="48">
        <v>2022</v>
      </c>
      <c r="AP180" s="48">
        <v>2023</v>
      </c>
      <c r="AQ180" s="48">
        <v>2024</v>
      </c>
      <c r="AR180" s="229">
        <v>2025</v>
      </c>
      <c r="AS180" s="44"/>
    </row>
  </sheetData>
  <phoneticPr fontId="46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D4:FP213"/>
  <sheetViews>
    <sheetView topLeftCell="CP17" zoomScale="70" zoomScaleNormal="70" workbookViewId="0">
      <selection activeCell="CV50" sqref="CV50"/>
    </sheetView>
  </sheetViews>
  <sheetFormatPr defaultRowHeight="14.4"/>
  <cols>
    <col min="2" max="2" width="10.109375" customWidth="1"/>
    <col min="3" max="3" width="11" bestFit="1" customWidth="1"/>
    <col min="4" max="4" width="9.33203125" bestFit="1" customWidth="1"/>
    <col min="5" max="5" width="11.5546875" bestFit="1" customWidth="1"/>
    <col min="6" max="6" width="9.88671875" bestFit="1" customWidth="1"/>
    <col min="7" max="7" width="11.109375" bestFit="1" customWidth="1"/>
    <col min="8" max="9" width="10.6640625" customWidth="1"/>
    <col min="10" max="10" width="10.33203125" customWidth="1"/>
    <col min="11" max="11" width="10.109375" customWidth="1"/>
    <col min="14" max="14" width="9.6640625" customWidth="1"/>
    <col min="15" max="15" width="9.88671875" customWidth="1"/>
    <col min="25" max="25" width="11.6640625" customWidth="1"/>
    <col min="27" max="27" width="9.88671875" bestFit="1" customWidth="1"/>
    <col min="28" max="28" width="9.109375" customWidth="1"/>
    <col min="29" max="29" width="8.88671875" customWidth="1"/>
    <col min="35" max="35" width="12.44140625" customWidth="1"/>
    <col min="37" max="37" width="10.6640625" customWidth="1"/>
    <col min="43" max="43" width="10" bestFit="1" customWidth="1"/>
    <col min="44" max="44" width="16.5546875" bestFit="1" customWidth="1"/>
    <col min="45" max="46" width="9.33203125" bestFit="1" customWidth="1"/>
    <col min="48" max="48" width="8.5546875" customWidth="1"/>
    <col min="50" max="50" width="10.88671875" bestFit="1" customWidth="1"/>
    <col min="51" max="51" width="9.5546875" customWidth="1"/>
    <col min="52" max="52" width="10.5546875" customWidth="1"/>
    <col min="53" max="53" width="10.109375" customWidth="1"/>
    <col min="54" max="54" width="9.5546875" customWidth="1"/>
    <col min="56" max="56" width="10" customWidth="1"/>
    <col min="58" max="58" width="9.44140625" customWidth="1"/>
    <col min="64" max="64" width="14.33203125" customWidth="1"/>
    <col min="71" max="71" width="9.44140625" customWidth="1"/>
    <col min="72" max="74" width="10.33203125" bestFit="1" customWidth="1"/>
    <col min="75" max="75" width="11" bestFit="1" customWidth="1"/>
    <col min="76" max="77" width="10.33203125" bestFit="1" customWidth="1"/>
    <col min="78" max="80" width="12.109375" bestFit="1" customWidth="1"/>
    <col min="84" max="84" width="12.5546875" bestFit="1" customWidth="1"/>
    <col min="88" max="88" width="9.5546875" bestFit="1" customWidth="1"/>
    <col min="89" max="89" width="11" customWidth="1"/>
    <col min="90" max="90" width="11" bestFit="1" customWidth="1"/>
    <col min="91" max="91" width="13.6640625" bestFit="1" customWidth="1"/>
    <col min="94" max="95" width="9.6640625" bestFit="1" customWidth="1"/>
    <col min="100" max="100" width="11" bestFit="1" customWidth="1"/>
    <col min="101" max="101" width="12.44140625" bestFit="1" customWidth="1"/>
    <col min="104" max="105" width="11" bestFit="1" customWidth="1"/>
    <col min="106" max="106" width="10.109375" bestFit="1" customWidth="1"/>
    <col min="107" max="107" width="10.33203125" bestFit="1" customWidth="1"/>
    <col min="108" max="108" width="11.6640625" customWidth="1"/>
    <col min="110" max="110" width="9.88671875" bestFit="1" customWidth="1"/>
    <col min="112" max="112" width="10.109375" bestFit="1" customWidth="1"/>
    <col min="114" max="114" width="12.33203125" bestFit="1" customWidth="1"/>
    <col min="115" max="115" width="10.109375" customWidth="1"/>
    <col min="125" max="125" width="11.109375" bestFit="1" customWidth="1"/>
    <col min="126" max="126" width="10.33203125" customWidth="1"/>
    <col min="127" max="127" width="10.5546875" customWidth="1"/>
    <col min="128" max="128" width="11.5546875" customWidth="1"/>
    <col min="129" max="129" width="9.5546875" customWidth="1"/>
    <col min="130" max="131" width="10.44140625" customWidth="1"/>
    <col min="132" max="132" width="10.33203125" bestFit="1" customWidth="1"/>
    <col min="133" max="133" width="10.44140625" customWidth="1"/>
    <col min="134" max="134" width="9.44140625" bestFit="1" customWidth="1"/>
    <col min="151" max="151" width="10.88671875" bestFit="1" customWidth="1"/>
    <col min="152" max="152" width="11" customWidth="1"/>
    <col min="160" max="160" width="10.88671875" bestFit="1" customWidth="1"/>
    <col min="162" max="162" width="10.6640625" bestFit="1" customWidth="1"/>
    <col min="169" max="169" width="11.33203125" bestFit="1" customWidth="1"/>
    <col min="173" max="173" width="11.44140625" customWidth="1"/>
  </cols>
  <sheetData>
    <row r="4" spans="4:150" ht="17.399999999999999">
      <c r="F4" s="56" t="s">
        <v>368</v>
      </c>
      <c r="G4" s="772" t="s">
        <v>1536</v>
      </c>
      <c r="H4" s="772" t="s">
        <v>1538</v>
      </c>
      <c r="I4" s="772" t="s">
        <v>1552</v>
      </c>
      <c r="Y4" s="772" t="s">
        <v>1552</v>
      </c>
      <c r="AC4" s="56" t="s">
        <v>368</v>
      </c>
      <c r="AD4" s="772" t="s">
        <v>1191</v>
      </c>
      <c r="AE4" s="772" t="s">
        <v>1538</v>
      </c>
      <c r="AF4" s="772" t="s">
        <v>1539</v>
      </c>
      <c r="AG4" s="772" t="s">
        <v>1540</v>
      </c>
      <c r="AY4" s="56" t="s">
        <v>368</v>
      </c>
      <c r="AZ4" s="772" t="s">
        <v>1191</v>
      </c>
      <c r="BA4" s="772" t="s">
        <v>1398</v>
      </c>
      <c r="BB4" s="772" t="s">
        <v>1541</v>
      </c>
    </row>
    <row r="5" spans="4:150" ht="17.399999999999999">
      <c r="F5" s="63">
        <v>43131</v>
      </c>
      <c r="G5" s="62" t="s">
        <v>1537</v>
      </c>
      <c r="H5" s="62" t="s">
        <v>1537</v>
      </c>
      <c r="I5" s="62" t="s">
        <v>688</v>
      </c>
      <c r="Y5" s="1451">
        <f>F5</f>
        <v>43131</v>
      </c>
      <c r="AC5" s="63">
        <v>43129</v>
      </c>
      <c r="AD5" s="62" t="s">
        <v>1537</v>
      </c>
      <c r="AE5" s="62" t="s">
        <v>1537</v>
      </c>
      <c r="AF5" s="62" t="s">
        <v>688</v>
      </c>
      <c r="AG5" s="62" t="s">
        <v>688</v>
      </c>
      <c r="AY5" s="63">
        <v>43129</v>
      </c>
      <c r="AZ5" s="62" t="s">
        <v>1537</v>
      </c>
      <c r="BA5" s="62" t="s">
        <v>1537</v>
      </c>
      <c r="BB5" s="62" t="s">
        <v>688</v>
      </c>
      <c r="CI5" s="56" t="s">
        <v>368</v>
      </c>
      <c r="CJ5" s="823" t="s">
        <v>813</v>
      </c>
      <c r="CK5" s="861" t="s">
        <v>687</v>
      </c>
      <c r="CL5" s="772" t="s">
        <v>80</v>
      </c>
      <c r="CM5" s="861" t="s">
        <v>687</v>
      </c>
      <c r="CN5" s="772" t="s">
        <v>1458</v>
      </c>
      <c r="CO5" s="861" t="s">
        <v>687</v>
      </c>
      <c r="CP5" s="772" t="s">
        <v>1459</v>
      </c>
      <c r="CQ5" s="861" t="s">
        <v>687</v>
      </c>
      <c r="CR5" s="772" t="s">
        <v>822</v>
      </c>
      <c r="CS5" s="861" t="s">
        <v>687</v>
      </c>
      <c r="CT5" s="772" t="s">
        <v>821</v>
      </c>
      <c r="CU5" s="861" t="s">
        <v>687</v>
      </c>
      <c r="CV5" s="772" t="s">
        <v>1281</v>
      </c>
      <c r="CW5" s="861" t="s">
        <v>687</v>
      </c>
      <c r="CX5" s="823" t="s">
        <v>1201</v>
      </c>
      <c r="CY5" s="861" t="s">
        <v>687</v>
      </c>
    </row>
    <row r="6" spans="4:150" ht="20.399999999999999">
      <c r="F6" s="813">
        <v>1995</v>
      </c>
      <c r="G6" s="1376">
        <f t="array" ref="G6:G27">TRANSPOSE(ОТЧЁТ!U83:AP83)</f>
        <v>230.40700000000001</v>
      </c>
      <c r="H6" s="946">
        <f t="array" ref="H6:H27">TRANSPOSE(ОТЧЁТ!U79:AP79)</f>
        <v>266.97399999999999</v>
      </c>
      <c r="I6" s="1308"/>
      <c r="Y6" s="1308"/>
      <c r="AC6" s="813">
        <v>1995</v>
      </c>
      <c r="AD6" s="1376">
        <f t="array" ref="AD6:AD27">TRANSPOSE(ОТЧЁТ!U67:AP67)</f>
        <v>1428.5209</v>
      </c>
      <c r="AE6" s="946">
        <f t="array" ref="AE6:AE27">TRANSPOSE(ОТЧЁТ!U79:AP79)</f>
        <v>266.97399999999999</v>
      </c>
      <c r="AF6" s="1308"/>
      <c r="AG6" s="1308"/>
      <c r="AY6" s="813">
        <v>1995</v>
      </c>
      <c r="AZ6" s="1376">
        <v>1428.5209</v>
      </c>
      <c r="BA6" s="946" t="e">
        <f t="array" ref="BA6:BA27">TRANSPOSE(ОТЧЁТ!#REF!)</f>
        <v>#REF!</v>
      </c>
      <c r="BB6" s="1308"/>
      <c r="CI6" s="59">
        <v>43125</v>
      </c>
      <c r="CJ6" s="62" t="s">
        <v>688</v>
      </c>
      <c r="CK6" s="62" t="s">
        <v>688</v>
      </c>
      <c r="CL6" s="62" t="s">
        <v>688</v>
      </c>
      <c r="CM6" s="62" t="s">
        <v>688</v>
      </c>
      <c r="CN6" s="1360" t="s">
        <v>1277</v>
      </c>
      <c r="CO6" s="1423" t="s">
        <v>1277</v>
      </c>
      <c r="CP6" s="863" t="s">
        <v>1282</v>
      </c>
      <c r="CQ6" s="863" t="s">
        <v>1282</v>
      </c>
      <c r="CR6" s="62" t="s">
        <v>688</v>
      </c>
      <c r="CS6" s="62" t="s">
        <v>688</v>
      </c>
      <c r="CT6" s="62" t="s">
        <v>688</v>
      </c>
      <c r="CU6" s="62" t="s">
        <v>688</v>
      </c>
      <c r="CV6" s="62" t="s">
        <v>688</v>
      </c>
      <c r="CW6" s="62" t="s">
        <v>688</v>
      </c>
      <c r="CX6" s="62" t="s">
        <v>688</v>
      </c>
      <c r="CY6" s="62" t="s">
        <v>688</v>
      </c>
    </row>
    <row r="7" spans="4:150" ht="20.399999999999999">
      <c r="F7" s="820">
        <v>1996</v>
      </c>
      <c r="G7" s="1377">
        <v>334.30200000000002</v>
      </c>
      <c r="H7" s="946">
        <v>375.95800000000003</v>
      </c>
      <c r="I7" s="1308"/>
      <c r="Y7" s="1308"/>
      <c r="AC7" s="820">
        <v>1996</v>
      </c>
      <c r="AD7" s="1377">
        <v>2007.8252000000002</v>
      </c>
      <c r="AE7" s="946">
        <v>375.95800000000003</v>
      </c>
      <c r="AF7" s="477"/>
      <c r="AG7" s="1308"/>
      <c r="AY7" s="820">
        <v>1996</v>
      </c>
      <c r="AZ7" s="1377">
        <v>2007.8252000000002</v>
      </c>
      <c r="BA7" s="946" t="e">
        <v>#REF!</v>
      </c>
      <c r="BB7" s="477"/>
      <c r="CI7" s="1284">
        <v>1995</v>
      </c>
      <c r="CJ7" s="1305">
        <f>НАСТРОЙКА!CD136</f>
        <v>2.3130000000000002</v>
      </c>
      <c r="CK7" s="1207"/>
      <c r="CL7" s="1305">
        <f>1</f>
        <v>1</v>
      </c>
      <c r="CM7" s="1207"/>
      <c r="CN7" s="1306">
        <f t="shared" ref="CN7:CN29" si="0">DB18</f>
        <v>17.100000000000001</v>
      </c>
      <c r="CO7" s="1207"/>
      <c r="CP7" s="1306">
        <v>4.2</v>
      </c>
      <c r="CQ7" s="1207"/>
      <c r="CR7" s="1238">
        <f t="array" ref="CR7:CR25">TRANSPOSE(ОТЧЁТ!U187:AM187)</f>
        <v>1</v>
      </c>
      <c r="CS7" s="1207"/>
      <c r="CT7" s="1305">
        <f t="array" ref="CT7:CT25">TRANSPOSE(ОТЧЁТ!U188:AM188)</f>
        <v>1</v>
      </c>
      <c r="CU7" s="1207"/>
      <c r="CV7" s="1305">
        <f t="array" ref="CV7:CV25">TRANSPOSE(ОТЧЁТ!U162:AM162)</f>
        <v>1</v>
      </c>
      <c r="CW7" s="1207"/>
      <c r="CX7" s="1305">
        <f t="array" ref="CX7:CX25">TRANSPOSE(ОТЧЁТ!U163:AM163)</f>
        <v>1</v>
      </c>
      <c r="CY7" s="1207"/>
    </row>
    <row r="8" spans="4:150" ht="20.399999999999999">
      <c r="D8" s="1075">
        <f>I8</f>
        <v>1.0474816317305975</v>
      </c>
      <c r="F8" s="820">
        <v>1997</v>
      </c>
      <c r="G8" s="1377">
        <v>406.47199999999998</v>
      </c>
      <c r="H8" s="946">
        <v>408.79700000000003</v>
      </c>
      <c r="I8" s="477">
        <v>1.0474816317305975</v>
      </c>
      <c r="Y8" s="477">
        <f>I8</f>
        <v>1.0474816317305975</v>
      </c>
      <c r="AC8" s="820">
        <v>1997</v>
      </c>
      <c r="AD8" s="1377">
        <v>2342.5137</v>
      </c>
      <c r="AE8" s="946">
        <v>408.79700000000003</v>
      </c>
      <c r="AF8" s="477">
        <f>AE8/(0.5*AD8+0.3*AD7+0.2*AD6)</f>
        <v>0.19851177331319733</v>
      </c>
      <c r="AG8" s="1308"/>
      <c r="AY8" s="820">
        <v>1997</v>
      </c>
      <c r="AZ8" s="1377">
        <v>2342.5137</v>
      </c>
      <c r="BA8" s="946" t="e">
        <v>#REF!</v>
      </c>
      <c r="BB8" s="477" t="e">
        <f>BA8/(0.5*AZ8+0.3*AZ7+0.2*AZ6)</f>
        <v>#REF!</v>
      </c>
      <c r="CI8" s="1254">
        <v>1996</v>
      </c>
      <c r="CJ8" s="1120">
        <f>НАСТРОЙКА!CD137</f>
        <v>1.218</v>
      </c>
      <c r="CK8" s="1210"/>
      <c r="CL8" s="1305">
        <f>CL7*CJ8</f>
        <v>1.218</v>
      </c>
      <c r="CM8" s="1210"/>
      <c r="CN8" s="1306">
        <f t="shared" si="0"/>
        <v>20.5</v>
      </c>
      <c r="CO8" s="1210"/>
      <c r="CP8" s="1306">
        <v>5.56</v>
      </c>
      <c r="CQ8" s="1210"/>
      <c r="CR8" s="1307">
        <v>1.2062700474653716</v>
      </c>
      <c r="CS8" s="1210"/>
      <c r="CT8" s="1305">
        <v>1.170751567490661</v>
      </c>
      <c r="CU8" s="1210"/>
      <c r="CV8" s="1305">
        <v>1.0369999999999999</v>
      </c>
      <c r="CW8" s="1210"/>
      <c r="CX8" s="1305">
        <v>1.0129999999999999</v>
      </c>
      <c r="CY8" s="1210"/>
    </row>
    <row r="9" spans="4:150" ht="15.75" customHeight="1">
      <c r="D9" s="1075">
        <f t="shared" ref="D9:D27" si="1">I9</f>
        <v>1.0599744654791778</v>
      </c>
      <c r="F9" s="820">
        <v>1998</v>
      </c>
      <c r="G9" s="1377">
        <v>428.56400000000002</v>
      </c>
      <c r="H9" s="946">
        <v>407.08600000000001</v>
      </c>
      <c r="I9" s="477">
        <v>1.0599744654791778</v>
      </c>
      <c r="Y9" s="477">
        <f t="shared" ref="Y9:Y41" si="2">I9</f>
        <v>1.0599744654791778</v>
      </c>
      <c r="AC9" s="820">
        <v>1998</v>
      </c>
      <c r="AD9" s="1377">
        <v>2629.6228999999998</v>
      </c>
      <c r="AE9" s="946">
        <v>407.08600000000001</v>
      </c>
      <c r="AF9" s="477">
        <f t="shared" ref="AF9:AF27" si="3">AE9/(0.5*AD9+0.3*AD8+0.2*AD7)</f>
        <v>0.16827781021826602</v>
      </c>
      <c r="AG9" s="1308"/>
      <c r="AY9" s="820">
        <v>1998</v>
      </c>
      <c r="AZ9" s="1377">
        <v>2629.6228999999998</v>
      </c>
      <c r="BA9" s="946" t="e">
        <v>#REF!</v>
      </c>
      <c r="BB9" s="477" t="e">
        <f t="shared" ref="BB9:BB27" si="4">BA9/(0.5*AZ9+0.3*AZ8+0.2*AZ7)</f>
        <v>#REF!</v>
      </c>
      <c r="CI9" s="1254">
        <v>1997</v>
      </c>
      <c r="CJ9" s="1120">
        <f>НАСТРОЙКА!CD138</f>
        <v>1.1100000000000001</v>
      </c>
      <c r="CK9" s="1210"/>
      <c r="CL9" s="1305">
        <f t="shared" ref="CL9:CL29" si="5">CL8*CJ9</f>
        <v>1.3519800000000002</v>
      </c>
      <c r="CM9" s="1210"/>
      <c r="CN9" s="1306">
        <f t="shared" si="0"/>
        <v>19.100000000000001</v>
      </c>
      <c r="CO9" s="1210"/>
      <c r="CP9" s="1306">
        <v>5.8</v>
      </c>
      <c r="CQ9" s="1210"/>
      <c r="CR9" s="1307">
        <v>1.3416177583578945</v>
      </c>
      <c r="CS9" s="1210"/>
      <c r="CT9" s="1305">
        <v>1.4027022303089887</v>
      </c>
      <c r="CU9" s="1210"/>
      <c r="CV9" s="1305">
        <v>1.0318149999999999</v>
      </c>
      <c r="CW9" s="1210"/>
      <c r="CX9" s="1305">
        <v>1.0170519999999998</v>
      </c>
      <c r="CY9" s="1210"/>
    </row>
    <row r="10" spans="4:150" ht="16.5" customHeight="1">
      <c r="D10" s="1075">
        <f t="shared" si="1"/>
        <v>1.0096378626115232</v>
      </c>
      <c r="F10" s="820">
        <v>1999</v>
      </c>
      <c r="G10" s="1377">
        <v>597.30600000000004</v>
      </c>
      <c r="H10" s="946">
        <v>670.43899999999996</v>
      </c>
      <c r="I10" s="477">
        <v>1.0096378626115232</v>
      </c>
      <c r="Y10" s="477">
        <f t="shared" si="2"/>
        <v>1.0096378626115232</v>
      </c>
      <c r="AC10" s="820">
        <v>1999</v>
      </c>
      <c r="AD10" s="1377">
        <v>4823.2329</v>
      </c>
      <c r="AE10" s="946">
        <v>670.43899999999996</v>
      </c>
      <c r="AF10" s="477">
        <f t="shared" si="3"/>
        <v>0.18273041500509268</v>
      </c>
      <c r="AG10" s="1308"/>
      <c r="AY10" s="820">
        <v>1999</v>
      </c>
      <c r="AZ10" s="1377">
        <v>4823.2329</v>
      </c>
      <c r="BA10" s="946" t="e">
        <v>#REF!</v>
      </c>
      <c r="BB10" s="477" t="e">
        <f t="shared" si="4"/>
        <v>#REF!</v>
      </c>
      <c r="CI10" s="1254">
        <v>1998</v>
      </c>
      <c r="CJ10" s="1120">
        <f>НАСТРОЙКА!CD139</f>
        <v>1.8440000000000001</v>
      </c>
      <c r="CK10" s="1210"/>
      <c r="CL10" s="1305">
        <f t="shared" si="5"/>
        <v>2.4930511200000005</v>
      </c>
      <c r="CM10" s="1210"/>
      <c r="CN10" s="1306">
        <f t="shared" si="0"/>
        <v>12.7</v>
      </c>
      <c r="CO10" s="1210"/>
      <c r="CP10" s="1306">
        <v>6</v>
      </c>
      <c r="CQ10" s="1210"/>
      <c r="CR10" s="1307">
        <v>1.8660673788361899</v>
      </c>
      <c r="CS10" s="1210"/>
      <c r="CT10" s="1305">
        <v>2.0776657762662092</v>
      </c>
      <c r="CU10" s="1210"/>
      <c r="CV10" s="1305">
        <v>1.0514194849999998</v>
      </c>
      <c r="CW10" s="1210"/>
      <c r="CX10" s="1305">
        <v>0.84008495199999977</v>
      </c>
      <c r="CY10" s="1210"/>
    </row>
    <row r="11" spans="4:150" ht="15.75" customHeight="1">
      <c r="D11" s="1075">
        <f t="shared" si="1"/>
        <v>0.85150115067723064</v>
      </c>
      <c r="F11" s="820">
        <v>2000</v>
      </c>
      <c r="G11" s="1377">
        <v>843.37800000000004</v>
      </c>
      <c r="H11" s="946">
        <v>1165.2339999999999</v>
      </c>
      <c r="I11" s="477">
        <v>0.85150115067723064</v>
      </c>
      <c r="Y11" s="477">
        <f t="shared" si="2"/>
        <v>0.85150115067723064</v>
      </c>
      <c r="AC11" s="820">
        <v>2000</v>
      </c>
      <c r="AD11" s="1377">
        <v>7305.6466</v>
      </c>
      <c r="AE11" s="946">
        <v>1165.2339999999999</v>
      </c>
      <c r="AF11" s="477">
        <f t="shared" si="3"/>
        <v>0.20712628179755374</v>
      </c>
      <c r="AG11" s="1308"/>
      <c r="AY11" s="820">
        <v>2000</v>
      </c>
      <c r="AZ11" s="1377">
        <v>7305.6466</v>
      </c>
      <c r="BA11" s="946" t="e">
        <v>#REF!</v>
      </c>
      <c r="BB11" s="477" t="e">
        <f t="shared" si="4"/>
        <v>#REF!</v>
      </c>
      <c r="CI11" s="1254">
        <v>1999</v>
      </c>
      <c r="CJ11" s="1120">
        <f>НАСТРОЙКА!CD140</f>
        <v>1.365</v>
      </c>
      <c r="CK11" s="1210"/>
      <c r="CL11" s="1305">
        <f t="shared" si="5"/>
        <v>3.4030147788000007</v>
      </c>
      <c r="CM11" s="1210"/>
      <c r="CN11" s="1306">
        <f t="shared" si="0"/>
        <v>17.7</v>
      </c>
      <c r="CO11" s="1210"/>
      <c r="CP11" s="1306">
        <v>24.62</v>
      </c>
      <c r="CQ11" s="1210"/>
      <c r="CR11" s="1307">
        <v>4.2606518536034752</v>
      </c>
      <c r="CS11" s="1210"/>
      <c r="CT11" s="1305">
        <v>4.8943006185343938</v>
      </c>
      <c r="CU11" s="1210"/>
      <c r="CV11" s="1305">
        <v>1.1691784673199999</v>
      </c>
      <c r="CW11" s="1210"/>
      <c r="CX11" s="1305">
        <v>0.69727051015999975</v>
      </c>
      <c r="CY11" s="1210"/>
    </row>
    <row r="12" spans="4:150" ht="14.25" customHeight="1">
      <c r="D12" s="1075">
        <f t="shared" si="1"/>
        <v>0.82582454441680753</v>
      </c>
      <c r="F12" s="820">
        <v>2001</v>
      </c>
      <c r="G12" s="1377">
        <v>1117.655</v>
      </c>
      <c r="H12" s="946">
        <v>1504.7</v>
      </c>
      <c r="I12" s="477">
        <v>0.82582454441680753</v>
      </c>
      <c r="Y12" s="477">
        <f t="shared" si="2"/>
        <v>0.82582454441680753</v>
      </c>
      <c r="AC12" s="820">
        <v>2001</v>
      </c>
      <c r="AD12" s="1377">
        <v>8943.5825999999997</v>
      </c>
      <c r="AE12" s="946">
        <v>1504.7</v>
      </c>
      <c r="AF12" s="477">
        <f t="shared" si="3"/>
        <v>0.19725668454818768</v>
      </c>
      <c r="AG12" s="1308"/>
      <c r="AY12" s="820">
        <v>2001</v>
      </c>
      <c r="AZ12" s="1377">
        <v>8943.5825999999997</v>
      </c>
      <c r="BA12" s="946" t="e">
        <v>#REF!</v>
      </c>
      <c r="BB12" s="477" t="e">
        <f t="shared" si="4"/>
        <v>#REF!</v>
      </c>
      <c r="CI12" s="1254">
        <v>2000</v>
      </c>
      <c r="CJ12" s="1120">
        <f>НАСТРОЙКА!CD141</f>
        <v>1.202</v>
      </c>
      <c r="CK12" s="1210"/>
      <c r="CL12" s="1305">
        <f t="shared" si="5"/>
        <v>4.0904237641176007</v>
      </c>
      <c r="CM12" s="1210"/>
      <c r="CN12" s="1306">
        <f t="shared" si="0"/>
        <v>28.3</v>
      </c>
      <c r="CO12" s="1210"/>
      <c r="CP12" s="1306">
        <v>28.16</v>
      </c>
      <c r="CQ12" s="1210"/>
      <c r="CR12" s="1307">
        <v>6.0082118596068304</v>
      </c>
      <c r="CS12" s="1210"/>
      <c r="CT12" s="1305">
        <v>5.1416113994451775</v>
      </c>
      <c r="CU12" s="1210"/>
      <c r="CV12" s="1305">
        <v>1.2802504217153998</v>
      </c>
      <c r="CW12" s="1210"/>
      <c r="CX12" s="1305">
        <v>0.92318615545183969</v>
      </c>
      <c r="CY12" s="1210"/>
    </row>
    <row r="13" spans="4:150" ht="16.5" customHeight="1">
      <c r="D13" s="1075">
        <f t="shared" si="1"/>
        <v>0.97814823352108604</v>
      </c>
      <c r="F13" s="820">
        <v>2002</v>
      </c>
      <c r="G13" s="1377">
        <v>1615.0630000000001</v>
      </c>
      <c r="H13" s="946">
        <v>1762.4</v>
      </c>
      <c r="I13" s="477">
        <v>0.97814823352108604</v>
      </c>
      <c r="Y13" s="477">
        <f t="shared" si="2"/>
        <v>0.97814823352108604</v>
      </c>
      <c r="AC13" s="820">
        <v>2002</v>
      </c>
      <c r="AD13" s="1377">
        <v>10819.270899999998</v>
      </c>
      <c r="AE13" s="946">
        <v>1762.4</v>
      </c>
      <c r="AF13" s="477">
        <f t="shared" si="3"/>
        <v>0.18447033685006781</v>
      </c>
      <c r="AG13" s="1308"/>
      <c r="AY13" s="820">
        <v>2002</v>
      </c>
      <c r="AZ13" s="1377">
        <v>10819.270899999998</v>
      </c>
      <c r="BA13" s="946" t="e">
        <v>#REF!</v>
      </c>
      <c r="BB13" s="477" t="e">
        <f t="shared" si="4"/>
        <v>#REF!</v>
      </c>
      <c r="CI13" s="1254">
        <v>2001</v>
      </c>
      <c r="CJ13" s="1120">
        <f>НАСТРОЙКА!CD142</f>
        <v>1.1859999999999999</v>
      </c>
      <c r="CK13" s="1210"/>
      <c r="CL13" s="1305">
        <f t="shared" si="5"/>
        <v>4.8512425842434741</v>
      </c>
      <c r="CM13" s="1210"/>
      <c r="CN13" s="1306">
        <f t="shared" si="0"/>
        <v>24.4</v>
      </c>
      <c r="CO13" s="1210"/>
      <c r="CP13" s="1306">
        <v>30.14</v>
      </c>
      <c r="CQ13" s="1210"/>
      <c r="CR13" s="1307">
        <v>5.9105900050191611</v>
      </c>
      <c r="CS13" s="1210"/>
      <c r="CT13" s="1305">
        <v>5.3433855590626722</v>
      </c>
      <c r="CU13" s="1210"/>
      <c r="CV13" s="1305">
        <v>1.3340209394274467</v>
      </c>
      <c r="CW13" s="1210"/>
      <c r="CX13" s="1305">
        <v>1.0958219665213338</v>
      </c>
      <c r="CY13" s="1210"/>
    </row>
    <row r="14" spans="4:150" ht="14.25" customHeight="1">
      <c r="D14" s="1075">
        <f t="shared" si="1"/>
        <v>0.89290410783749619</v>
      </c>
      <c r="F14" s="820">
        <v>2003</v>
      </c>
      <c r="G14" s="1377">
        <v>1815.6579999999999</v>
      </c>
      <c r="H14" s="946">
        <v>2186.4</v>
      </c>
      <c r="I14" s="477">
        <v>0.89290410783749619</v>
      </c>
      <c r="Y14" s="477">
        <f t="shared" si="2"/>
        <v>0.89290410783749619</v>
      </c>
      <c r="AC14" s="820">
        <v>2003</v>
      </c>
      <c r="AD14" s="1377">
        <v>13208.250299999998</v>
      </c>
      <c r="AE14" s="946">
        <v>2186.4</v>
      </c>
      <c r="AF14" s="477">
        <f t="shared" si="3"/>
        <v>0.18785727583679246</v>
      </c>
      <c r="AG14" s="1308"/>
      <c r="AY14" s="820">
        <v>2003</v>
      </c>
      <c r="AZ14" s="1377">
        <v>13208.250299999998</v>
      </c>
      <c r="BA14" s="946" t="e">
        <v>#REF!</v>
      </c>
      <c r="BB14" s="477" t="e">
        <f t="shared" si="4"/>
        <v>#REF!</v>
      </c>
      <c r="CI14" s="1254">
        <v>2002</v>
      </c>
      <c r="CJ14" s="1120">
        <f>НАСТРОЙКА!CD143</f>
        <v>1.151</v>
      </c>
      <c r="CK14" s="1210"/>
      <c r="CL14" s="1305">
        <f t="shared" si="5"/>
        <v>5.5837802144642392</v>
      </c>
      <c r="CM14" s="1210"/>
      <c r="CN14" s="1306">
        <f t="shared" si="0"/>
        <v>25</v>
      </c>
      <c r="CO14" s="1210"/>
      <c r="CP14" s="1306">
        <v>31.4</v>
      </c>
      <c r="CQ14" s="1210"/>
      <c r="CR14" s="1307">
        <v>6.1936348205467269</v>
      </c>
      <c r="CS14" s="1210"/>
      <c r="CT14" s="1305">
        <v>5.6965406483895409</v>
      </c>
      <c r="CU14" s="1210"/>
      <c r="CV14" s="1305">
        <v>1.4714250961884736</v>
      </c>
      <c r="CW14" s="1210"/>
      <c r="CX14" s="1305">
        <v>1.2558119736334483</v>
      </c>
      <c r="CY14" s="1210"/>
      <c r="CZ14" s="30"/>
    </row>
    <row r="15" spans="4:150" ht="18" customHeight="1" thickBot="1">
      <c r="D15" s="1075">
        <f t="shared" si="1"/>
        <v>0.75299615886858462</v>
      </c>
      <c r="F15" s="820">
        <v>2004</v>
      </c>
      <c r="G15" s="1377">
        <v>1972.1120000000001</v>
      </c>
      <c r="H15" s="946">
        <v>2865</v>
      </c>
      <c r="I15" s="477">
        <v>0.75299615886858462</v>
      </c>
      <c r="Y15" s="477">
        <f t="shared" si="2"/>
        <v>0.75299615886858462</v>
      </c>
      <c r="AC15" s="820">
        <v>2004</v>
      </c>
      <c r="AD15" s="1377">
        <v>17027.166999999998</v>
      </c>
      <c r="AE15" s="946">
        <v>2865</v>
      </c>
      <c r="AF15" s="477">
        <f t="shared" si="3"/>
        <v>0.19569788734472088</v>
      </c>
      <c r="AG15" s="1308"/>
      <c r="AY15" s="820">
        <v>2004</v>
      </c>
      <c r="AZ15" s="1377">
        <v>17027.166999999998</v>
      </c>
      <c r="BA15" s="946" t="e">
        <v>#REF!</v>
      </c>
      <c r="BB15" s="477" t="e">
        <f t="shared" si="4"/>
        <v>#REF!</v>
      </c>
      <c r="CI15" s="1254">
        <v>2003</v>
      </c>
      <c r="CJ15" s="1120">
        <f>НАСТРОЙКА!CD144</f>
        <v>1.1200000000000001</v>
      </c>
      <c r="CK15" s="1210"/>
      <c r="CL15" s="1305">
        <f t="shared" si="5"/>
        <v>6.2538338401999489</v>
      </c>
      <c r="CM15" s="1210"/>
      <c r="CN15" s="1306">
        <f t="shared" si="0"/>
        <v>28.9</v>
      </c>
      <c r="CO15" s="1210"/>
      <c r="CP15" s="1306">
        <v>29.45</v>
      </c>
      <c r="CQ15" s="1210"/>
      <c r="CR15" s="1307">
        <v>6.7152546240758211</v>
      </c>
      <c r="CS15" s="1210"/>
      <c r="CT15" s="1305">
        <v>5.788123461724906</v>
      </c>
      <c r="CU15" s="1210"/>
      <c r="CV15" s="1305">
        <v>1.6568246583082211</v>
      </c>
      <c r="CW15" s="1210"/>
      <c r="CX15" s="1305">
        <v>1.4730674450720349</v>
      </c>
      <c r="CY15" s="1210"/>
      <c r="CZ15" s="30"/>
    </row>
    <row r="16" spans="4:150" ht="17.25" customHeight="1">
      <c r="D16" s="1075">
        <f t="shared" si="1"/>
        <v>0.88681000539252464</v>
      </c>
      <c r="F16" s="820">
        <v>2005</v>
      </c>
      <c r="G16" s="1377">
        <v>2943.6860000000001</v>
      </c>
      <c r="H16" s="946">
        <v>3611.1</v>
      </c>
      <c r="I16" s="477">
        <v>0.88681000539252464</v>
      </c>
      <c r="Y16" s="477">
        <f t="shared" si="2"/>
        <v>0.88681000539252464</v>
      </c>
      <c r="AC16" s="820">
        <v>2005</v>
      </c>
      <c r="AD16" s="1377">
        <v>21609.765799999997</v>
      </c>
      <c r="AE16" s="946">
        <v>3611.1</v>
      </c>
      <c r="AF16" s="477">
        <f t="shared" si="3"/>
        <v>0.19461933078149818</v>
      </c>
      <c r="AG16" s="1308"/>
      <c r="AY16" s="820">
        <v>2005</v>
      </c>
      <c r="AZ16" s="1377">
        <v>21609.765799999997</v>
      </c>
      <c r="BA16" s="946" t="e">
        <v>#REF!</v>
      </c>
      <c r="BB16" s="477" t="e">
        <f t="shared" si="4"/>
        <v>#REF!</v>
      </c>
      <c r="BZ16" s="1327" t="s">
        <v>1526</v>
      </c>
      <c r="CA16" s="1327"/>
      <c r="CB16" s="1327"/>
      <c r="CC16" s="1327"/>
      <c r="CD16" s="1327"/>
      <c r="CE16" s="1327"/>
      <c r="CF16" s="1327"/>
      <c r="CG16" s="1327"/>
      <c r="CI16" s="1254">
        <v>2004</v>
      </c>
      <c r="CJ16" s="1120">
        <f>НАСТРОЙКА!CD145</f>
        <v>1.117</v>
      </c>
      <c r="CK16" s="1210"/>
      <c r="CL16" s="1305">
        <f t="shared" si="5"/>
        <v>6.9855323995033425</v>
      </c>
      <c r="CM16" s="1210"/>
      <c r="CN16" s="1306">
        <f t="shared" si="0"/>
        <v>38.299999999999997</v>
      </c>
      <c r="CO16" s="1210"/>
      <c r="CP16" s="1306">
        <v>27.75</v>
      </c>
      <c r="CQ16" s="1210"/>
      <c r="CR16" s="1307">
        <v>7.5604196927091616</v>
      </c>
      <c r="CS16" s="1210"/>
      <c r="CT16" s="1305">
        <v>5.6171649663435321</v>
      </c>
      <c r="CU16" s="1210"/>
      <c r="CV16" s="1305">
        <v>1.8523299679885914</v>
      </c>
      <c r="CW16" s="1210"/>
      <c r="CX16" s="1305">
        <v>1.8162921597738191</v>
      </c>
      <c r="CY16" s="1210"/>
      <c r="CZ16" s="30"/>
      <c r="DA16" s="56" t="s">
        <v>368</v>
      </c>
      <c r="DB16" s="823" t="s">
        <v>1498</v>
      </c>
      <c r="DC16" s="823" t="s">
        <v>1278</v>
      </c>
      <c r="DD16" s="861" t="s">
        <v>687</v>
      </c>
      <c r="DT16" s="1362" t="s">
        <v>1498</v>
      </c>
      <c r="DX16" s="551" t="s">
        <v>368</v>
      </c>
      <c r="DY16" s="2687" t="s">
        <v>1528</v>
      </c>
      <c r="DZ16" s="2688" t="s">
        <v>687</v>
      </c>
      <c r="EA16" s="2687" t="s">
        <v>1375</v>
      </c>
      <c r="EB16" s="2688" t="s">
        <v>1548</v>
      </c>
      <c r="ES16" s="1365" t="s">
        <v>1497</v>
      </c>
      <c r="ET16" s="1366" t="s">
        <v>1375</v>
      </c>
    </row>
    <row r="17" spans="4:172" ht="18" customHeight="1" thickBot="1">
      <c r="D17" s="1075">
        <f t="shared" si="1"/>
        <v>0.75292750456048074</v>
      </c>
      <c r="F17" s="820">
        <v>2006</v>
      </c>
      <c r="G17" s="1377">
        <v>3252.4360000000001</v>
      </c>
      <c r="H17" s="946">
        <v>4730</v>
      </c>
      <c r="I17" s="477">
        <v>0.75292750456048074</v>
      </c>
      <c r="Y17" s="477">
        <f t="shared" si="2"/>
        <v>0.75292750456048074</v>
      </c>
      <c r="AC17" s="820">
        <v>2006</v>
      </c>
      <c r="AD17" s="1377">
        <v>26917.203699999998</v>
      </c>
      <c r="AE17" s="946">
        <v>4730</v>
      </c>
      <c r="AF17" s="477">
        <f t="shared" si="3"/>
        <v>0.2025959263667016</v>
      </c>
      <c r="AG17" s="1308"/>
      <c r="AY17" s="820">
        <v>2006</v>
      </c>
      <c r="AZ17" s="1377">
        <v>26917.203699999998</v>
      </c>
      <c r="BA17" s="946" t="e">
        <v>#REF!</v>
      </c>
      <c r="BB17" s="477" t="e">
        <f t="shared" si="4"/>
        <v>#REF!</v>
      </c>
      <c r="CI17" s="1254">
        <v>2005</v>
      </c>
      <c r="CJ17" s="1120">
        <f>НАСТРОЙКА!CD146</f>
        <v>1.109</v>
      </c>
      <c r="CK17" s="1210"/>
      <c r="CL17" s="1305">
        <f t="shared" si="5"/>
        <v>7.7469554310492068</v>
      </c>
      <c r="CM17" s="1210"/>
      <c r="CN17" s="1306">
        <f t="shared" si="0"/>
        <v>54.4</v>
      </c>
      <c r="CO17" s="1210"/>
      <c r="CP17" s="1306">
        <v>28.78</v>
      </c>
      <c r="CQ17" s="1210"/>
      <c r="CR17" s="1307">
        <v>9.215042167890525</v>
      </c>
      <c r="CS17" s="1210"/>
      <c r="CT17" s="1305">
        <v>5.9336563381172764</v>
      </c>
      <c r="CU17" s="1210"/>
      <c r="CV17" s="1305">
        <v>1.9727314159078497</v>
      </c>
      <c r="CW17" s="1210"/>
      <c r="CX17" s="1305">
        <v>2.1177966582962728</v>
      </c>
      <c r="CY17" s="1210"/>
      <c r="DA17" s="59">
        <v>44337</v>
      </c>
      <c r="DB17" s="1031" t="s">
        <v>1277</v>
      </c>
      <c r="DC17" s="1032" t="s">
        <v>1277</v>
      </c>
      <c r="DD17" s="1033" t="s">
        <v>1277</v>
      </c>
      <c r="DT17" s="1363" t="s">
        <v>1277</v>
      </c>
      <c r="DX17" s="59">
        <v>43128</v>
      </c>
      <c r="DY17" s="1330" t="s">
        <v>1376</v>
      </c>
      <c r="DZ17" s="1330" t="s">
        <v>1376</v>
      </c>
      <c r="EA17" s="1329" t="s">
        <v>1376</v>
      </c>
      <c r="EB17" s="1329" t="s">
        <v>1376</v>
      </c>
      <c r="ES17" s="1367" t="s">
        <v>1376</v>
      </c>
      <c r="ET17" s="1368" t="s">
        <v>1376</v>
      </c>
    </row>
    <row r="18" spans="4:172" ht="17.25" customHeight="1">
      <c r="D18" s="1075">
        <f t="shared" si="1"/>
        <v>0.71505962237878584</v>
      </c>
      <c r="F18" s="820">
        <v>2007</v>
      </c>
      <c r="G18" s="1377">
        <v>4296.4110000000001</v>
      </c>
      <c r="H18" s="946">
        <v>6716.2219999999998</v>
      </c>
      <c r="I18" s="477">
        <v>0.71505962237878584</v>
      </c>
      <c r="Y18" s="477">
        <f t="shared" si="2"/>
        <v>0.71505962237878584</v>
      </c>
      <c r="AC18" s="820">
        <v>2007</v>
      </c>
      <c r="AD18" s="1377">
        <v>33247.513200000001</v>
      </c>
      <c r="AE18" s="946">
        <v>6716.2219999999998</v>
      </c>
      <c r="AF18" s="477">
        <f t="shared" si="3"/>
        <v>0.23142730726743346</v>
      </c>
      <c r="AG18" s="1308"/>
      <c r="AY18" s="820">
        <v>2007</v>
      </c>
      <c r="AZ18" s="1377">
        <v>33247.513200000001</v>
      </c>
      <c r="BA18" s="946" t="e">
        <v>#REF!</v>
      </c>
      <c r="BB18" s="477" t="e">
        <f t="shared" si="4"/>
        <v>#REF!</v>
      </c>
      <c r="BZ18" s="943" t="s">
        <v>1525</v>
      </c>
      <c r="CA18" s="943"/>
      <c r="CB18" s="943"/>
      <c r="CC18" s="943"/>
      <c r="CD18" s="943"/>
      <c r="CE18" s="943"/>
      <c r="CF18" s="943"/>
      <c r="CI18" s="1254">
        <v>2006</v>
      </c>
      <c r="CJ18" s="1120">
        <f>НАСТРОЙКА!CD147</f>
        <v>1.0900000000000001</v>
      </c>
      <c r="CK18" s="1123"/>
      <c r="CL18" s="1305">
        <f t="shared" si="5"/>
        <v>8.4441814198436358</v>
      </c>
      <c r="CM18" s="1123"/>
      <c r="CN18" s="1306">
        <f t="shared" si="0"/>
        <v>65.400000000000006</v>
      </c>
      <c r="CO18" s="1123"/>
      <c r="CP18" s="1306">
        <v>26.33</v>
      </c>
      <c r="CQ18" s="1123"/>
      <c r="CR18" s="1307">
        <v>10.249953881504441</v>
      </c>
      <c r="CS18" s="1123"/>
      <c r="CT18" s="1305">
        <v>5.9494755268032087</v>
      </c>
      <c r="CU18" s="1123"/>
      <c r="CV18" s="1305">
        <v>2.1167408092691224</v>
      </c>
      <c r="CW18" s="1123"/>
      <c r="CX18" s="1305">
        <v>2.568887346513379</v>
      </c>
      <c r="CY18" s="1123"/>
      <c r="DA18" s="810">
        <v>1995</v>
      </c>
      <c r="DB18" s="1055">
        <v>17.100000000000001</v>
      </c>
      <c r="DC18" s="837"/>
      <c r="DD18" s="1056"/>
      <c r="DT18" s="2695">
        <f t="shared" ref="DT18:DT43" si="6">DB18</f>
        <v>17.100000000000001</v>
      </c>
      <c r="DX18" s="2689">
        <v>1995</v>
      </c>
      <c r="DY18" s="1345">
        <v>4.6399999999999997</v>
      </c>
      <c r="DZ18" s="1239"/>
      <c r="EA18" s="1346">
        <v>1.65</v>
      </c>
      <c r="EB18" s="1241"/>
      <c r="ES18" s="1328">
        <f>DY18</f>
        <v>4.6399999999999997</v>
      </c>
      <c r="ET18" s="1369">
        <f>EA18</f>
        <v>1.65</v>
      </c>
      <c r="EV18" s="943"/>
      <c r="EW18" s="810">
        <v>1995</v>
      </c>
    </row>
    <row r="19" spans="4:172" ht="15.75" customHeight="1">
      <c r="D19" s="1075">
        <f t="shared" si="1"/>
        <v>0.72140851927165162</v>
      </c>
      <c r="F19" s="820">
        <v>2008</v>
      </c>
      <c r="G19" s="1377">
        <v>5744.8469999999998</v>
      </c>
      <c r="H19" s="946">
        <v>8781.616</v>
      </c>
      <c r="I19" s="477">
        <v>0.72140851927165162</v>
      </c>
      <c r="Y19" s="477">
        <f t="shared" si="2"/>
        <v>0.72140851927165162</v>
      </c>
      <c r="AC19" s="820">
        <v>2008</v>
      </c>
      <c r="AD19" s="1377">
        <v>41276.849199999997</v>
      </c>
      <c r="AE19" s="946">
        <v>8781.616</v>
      </c>
      <c r="AF19" s="477">
        <f t="shared" si="3"/>
        <v>0.24396007599630332</v>
      </c>
      <c r="AG19" s="477">
        <f t="shared" ref="AG19:AG27" si="7">AF19</f>
        <v>0.24396007599630332</v>
      </c>
      <c r="AY19" s="820">
        <v>2008</v>
      </c>
      <c r="AZ19" s="1377">
        <v>41276.849199999997</v>
      </c>
      <c r="BA19" s="946" t="e">
        <v>#REF!</v>
      </c>
      <c r="BB19" s="477" t="e">
        <f t="shared" si="4"/>
        <v>#REF!</v>
      </c>
      <c r="BZ19" s="943" t="s">
        <v>1524</v>
      </c>
      <c r="CA19" s="943"/>
      <c r="CB19" s="943"/>
      <c r="CC19" s="943"/>
      <c r="CD19" s="943"/>
      <c r="CE19" s="943"/>
      <c r="CF19" s="943"/>
      <c r="CI19" s="1254">
        <v>2007</v>
      </c>
      <c r="CJ19" s="1120">
        <f>НАСТРОЙКА!CD148</f>
        <v>1.1187</v>
      </c>
      <c r="CK19" s="1308"/>
      <c r="CL19" s="1305">
        <f t="shared" si="5"/>
        <v>9.4465057543790749</v>
      </c>
      <c r="CM19" s="1308"/>
      <c r="CN19" s="1306">
        <f t="shared" si="0"/>
        <v>72.7</v>
      </c>
      <c r="CO19" s="1308"/>
      <c r="CP19" s="1305">
        <v>25.58</v>
      </c>
      <c r="CQ19" s="1308"/>
      <c r="CR19" s="1307">
        <v>10.650833844352405</v>
      </c>
      <c r="CS19" s="1308"/>
      <c r="CT19" s="1305">
        <v>5.9724865903412292</v>
      </c>
      <c r="CU19" s="1308"/>
      <c r="CV19" s="1305">
        <v>2.2500954802530773</v>
      </c>
      <c r="CW19" s="1308"/>
      <c r="CX19" s="1305">
        <v>3.2419358312998843</v>
      </c>
      <c r="CY19" s="1308"/>
      <c r="DA19" s="811">
        <v>1996</v>
      </c>
      <c r="DB19" s="1321">
        <f t="shared" ref="DB19:DB43" si="8">FD33</f>
        <v>20.5</v>
      </c>
      <c r="DC19" s="838"/>
      <c r="DD19" s="1058"/>
      <c r="DT19" s="2696">
        <f t="shared" si="6"/>
        <v>20.5</v>
      </c>
      <c r="DX19" s="2690">
        <v>1996</v>
      </c>
      <c r="DY19" s="1346">
        <f t="shared" ref="DY19:DY43" si="9">CP8</f>
        <v>5.56</v>
      </c>
      <c r="DZ19" s="1243"/>
      <c r="EA19" s="1346">
        <v>2.35</v>
      </c>
      <c r="EB19" s="1245"/>
      <c r="ES19" s="1328">
        <f>DY19</f>
        <v>5.56</v>
      </c>
      <c r="ET19" s="1328">
        <f>EA19</f>
        <v>2.35</v>
      </c>
      <c r="EV19" s="943"/>
      <c r="EW19" s="811">
        <v>1996</v>
      </c>
      <c r="EY19" s="943" t="s">
        <v>1463</v>
      </c>
      <c r="EZ19" s="943"/>
    </row>
    <row r="20" spans="4:172" ht="19.5" customHeight="1">
      <c r="D20" s="1075">
        <f t="shared" si="1"/>
        <v>0.79342159734904627</v>
      </c>
      <c r="F20" s="820">
        <v>2009</v>
      </c>
      <c r="G20" s="1377">
        <v>6356.223</v>
      </c>
      <c r="H20" s="946">
        <v>7976.0129999999999</v>
      </c>
      <c r="I20" s="477">
        <v>0.79342159734904627</v>
      </c>
      <c r="Y20" s="477">
        <f t="shared" si="2"/>
        <v>0.79342159734904627</v>
      </c>
      <c r="AC20" s="820">
        <v>2009</v>
      </c>
      <c r="AD20" s="1377">
        <v>38807.270899999996</v>
      </c>
      <c r="AE20" s="946">
        <v>7976.0129999999999</v>
      </c>
      <c r="AF20" s="477">
        <f t="shared" si="3"/>
        <v>0.20751308619786987</v>
      </c>
      <c r="AG20" s="477">
        <f t="shared" si="7"/>
        <v>0.20751308619786987</v>
      </c>
      <c r="AY20" s="820">
        <v>2009</v>
      </c>
      <c r="AZ20" s="1377">
        <v>38807.270899999996</v>
      </c>
      <c r="BA20" s="946" t="e">
        <v>#REF!</v>
      </c>
      <c r="BB20" s="477" t="e">
        <f t="shared" si="4"/>
        <v>#REF!</v>
      </c>
      <c r="BZ20" s="943" t="s">
        <v>1523</v>
      </c>
      <c r="CA20" s="943"/>
      <c r="CB20" s="943"/>
      <c r="CC20" s="943"/>
      <c r="CD20" s="943"/>
      <c r="CE20" s="943"/>
      <c r="CF20" s="943"/>
      <c r="CI20" s="1254">
        <v>2008</v>
      </c>
      <c r="CJ20" s="1120">
        <f>НАСТРОЙКА!CD149</f>
        <v>1.1328</v>
      </c>
      <c r="CK20" s="1308"/>
      <c r="CL20" s="1305">
        <f t="shared" si="5"/>
        <v>10.701001718560617</v>
      </c>
      <c r="CM20" s="1308"/>
      <c r="CN20" s="1306">
        <f t="shared" si="0"/>
        <v>97.7</v>
      </c>
      <c r="CO20" s="1308"/>
      <c r="CP20" s="1305">
        <v>24.85</v>
      </c>
      <c r="CQ20" s="1308"/>
      <c r="CR20" s="1307">
        <v>13.643325842032947</v>
      </c>
      <c r="CS20" s="1308"/>
      <c r="CT20" s="1305">
        <v>6.6180737006266304</v>
      </c>
      <c r="CU20" s="1308"/>
      <c r="CV20" s="1305">
        <v>2.2635960531345956</v>
      </c>
      <c r="CW20" s="1308"/>
      <c r="CX20" s="1305">
        <v>3.7217423343322666</v>
      </c>
      <c r="CY20" s="1308"/>
      <c r="DA20" s="811">
        <v>1997</v>
      </c>
      <c r="DB20" s="1321">
        <f t="shared" si="8"/>
        <v>19.100000000000001</v>
      </c>
      <c r="DC20" s="838"/>
      <c r="DD20" s="1058"/>
      <c r="DT20" s="2696">
        <f t="shared" si="6"/>
        <v>19.100000000000001</v>
      </c>
      <c r="DX20" s="2690">
        <v>1997</v>
      </c>
      <c r="DY20" s="1346">
        <f t="shared" si="9"/>
        <v>5.8</v>
      </c>
      <c r="DZ20" s="1243"/>
      <c r="EA20" s="1346">
        <v>2.63</v>
      </c>
      <c r="EB20" s="1245"/>
      <c r="ES20" s="1328">
        <f t="shared" ref="ES20:ES40" si="10">DY20</f>
        <v>5.8</v>
      </c>
      <c r="ET20" s="1328">
        <f t="shared" ref="ET20:ET38" si="11">EA20</f>
        <v>2.63</v>
      </c>
      <c r="EV20" s="943"/>
      <c r="EW20" s="811">
        <v>1997</v>
      </c>
      <c r="EY20" s="943" t="s">
        <v>1464</v>
      </c>
      <c r="EZ20" s="943"/>
    </row>
    <row r="21" spans="4:172" ht="16.5" customHeight="1">
      <c r="D21" s="1075">
        <f t="shared" si="1"/>
        <v>0.70676218256417445</v>
      </c>
      <c r="F21" s="820">
        <v>2010</v>
      </c>
      <c r="G21" s="1377">
        <v>6275.9309999999996</v>
      </c>
      <c r="H21" s="946">
        <v>9152.1</v>
      </c>
      <c r="I21" s="477">
        <v>0.70676218256417445</v>
      </c>
      <c r="Y21" s="477">
        <f t="shared" si="2"/>
        <v>0.70676218256417445</v>
      </c>
      <c r="AC21" s="820">
        <v>2010</v>
      </c>
      <c r="AD21" s="1377">
        <v>46308.53100000001</v>
      </c>
      <c r="AE21" s="946">
        <v>9152.1</v>
      </c>
      <c r="AF21" s="477">
        <f t="shared" si="3"/>
        <v>0.21258336397061969</v>
      </c>
      <c r="AG21" s="477">
        <f t="shared" si="7"/>
        <v>0.21258336397061969</v>
      </c>
      <c r="AY21" s="820">
        <v>2010</v>
      </c>
      <c r="AZ21" s="1377">
        <v>46308.53100000001</v>
      </c>
      <c r="BA21" s="946" t="e">
        <v>#REF!</v>
      </c>
      <c r="BB21" s="477" t="e">
        <f t="shared" si="4"/>
        <v>#REF!</v>
      </c>
      <c r="BZ21" s="943" t="s">
        <v>1522</v>
      </c>
      <c r="CA21" s="943"/>
      <c r="CB21" s="943"/>
      <c r="CC21" s="943"/>
      <c r="CD21" s="943"/>
      <c r="CE21" s="943"/>
      <c r="CF21" s="943"/>
      <c r="CI21" s="1254">
        <v>2009</v>
      </c>
      <c r="CJ21" s="1120">
        <f>НАСТРОЙКА!CD150</f>
        <v>1.0880000000000001</v>
      </c>
      <c r="CK21" s="1308"/>
      <c r="CL21" s="1305">
        <f t="shared" si="5"/>
        <v>11.642689869793951</v>
      </c>
      <c r="CM21" s="1308"/>
      <c r="CN21" s="1306">
        <f t="shared" si="0"/>
        <v>61.9</v>
      </c>
      <c r="CO21" s="1308"/>
      <c r="CP21" s="1305">
        <v>31.72</v>
      </c>
      <c r="CQ21" s="1308"/>
      <c r="CR21" s="1307">
        <v>12.010355196687106</v>
      </c>
      <c r="CS21" s="1308"/>
      <c r="CT21" s="1305">
        <v>8.3015732196072296</v>
      </c>
      <c r="CU21" s="1308"/>
      <c r="CV21" s="1305">
        <v>2.1572070386372695</v>
      </c>
      <c r="CW21" s="1308"/>
      <c r="CX21" s="1305">
        <v>2.5903326646952576</v>
      </c>
      <c r="CY21" s="1308"/>
      <c r="DA21" s="811">
        <v>1998</v>
      </c>
      <c r="DB21" s="1321">
        <f t="shared" si="8"/>
        <v>12.7</v>
      </c>
      <c r="DC21" s="838"/>
      <c r="DD21" s="1058"/>
      <c r="DT21" s="2696">
        <f t="shared" si="6"/>
        <v>12.7</v>
      </c>
      <c r="DX21" s="2690">
        <v>1998</v>
      </c>
      <c r="DY21" s="1346">
        <f t="shared" si="9"/>
        <v>6</v>
      </c>
      <c r="DZ21" s="1243"/>
      <c r="EA21" s="1346">
        <v>3.02</v>
      </c>
      <c r="EB21" s="1245"/>
      <c r="ES21" s="1328">
        <f t="shared" si="10"/>
        <v>6</v>
      </c>
      <c r="ET21" s="1328">
        <f t="shared" si="11"/>
        <v>3.02</v>
      </c>
      <c r="EV21" s="943"/>
      <c r="EW21" s="811">
        <v>1998</v>
      </c>
      <c r="EY21" s="943" t="s">
        <v>1465</v>
      </c>
      <c r="EZ21" s="943"/>
    </row>
    <row r="22" spans="4:172" ht="16.5" customHeight="1">
      <c r="D22" s="1075">
        <f t="shared" si="1"/>
        <v>0.85128300817261504</v>
      </c>
      <c r="F22" s="820">
        <v>2011</v>
      </c>
      <c r="G22" s="1377">
        <v>8813.3140000000003</v>
      </c>
      <c r="H22" s="946">
        <v>11035.652</v>
      </c>
      <c r="I22" s="477">
        <v>0.85128300817261504</v>
      </c>
      <c r="Y22" s="477">
        <f t="shared" si="2"/>
        <v>0.85128300817261504</v>
      </c>
      <c r="AC22" s="820">
        <v>2011</v>
      </c>
      <c r="AD22" s="1377">
        <v>60282.540400000005</v>
      </c>
      <c r="AE22" s="946">
        <v>11035.652</v>
      </c>
      <c r="AF22" s="477">
        <f t="shared" si="3"/>
        <v>0.21306287399022888</v>
      </c>
      <c r="AG22" s="477">
        <f t="shared" si="7"/>
        <v>0.21306287399022888</v>
      </c>
      <c r="AY22" s="820">
        <v>2011</v>
      </c>
      <c r="AZ22" s="1377">
        <v>60282.540400000005</v>
      </c>
      <c r="BA22" s="946" t="e">
        <v>#REF!</v>
      </c>
      <c r="BB22" s="477" t="e">
        <f t="shared" si="4"/>
        <v>#REF!</v>
      </c>
      <c r="BZ22" s="943" t="s">
        <v>1521</v>
      </c>
      <c r="CA22" s="943"/>
      <c r="CB22" s="943"/>
      <c r="CC22" s="943"/>
      <c r="CD22" s="943"/>
      <c r="CE22" s="943"/>
      <c r="CF22" s="943"/>
      <c r="CI22" s="1254">
        <v>2010</v>
      </c>
      <c r="CJ22" s="1120">
        <f>НАСТРОЙКА!CD151</f>
        <v>1.0878000000000001</v>
      </c>
      <c r="CK22" s="1308"/>
      <c r="CL22" s="1305">
        <f t="shared" si="5"/>
        <v>12.664918040361862</v>
      </c>
      <c r="CM22" s="1308"/>
      <c r="CN22" s="1306">
        <f t="shared" si="0"/>
        <v>79.599999999999994</v>
      </c>
      <c r="CO22" s="1308"/>
      <c r="CP22" s="1305">
        <v>30.37</v>
      </c>
      <c r="CQ22" s="1308"/>
      <c r="CR22" s="1307">
        <v>14.006747557636276</v>
      </c>
      <c r="CS22" s="1308"/>
      <c r="CT22" s="1305">
        <v>8.121605375451491</v>
      </c>
      <c r="CU22" s="1308"/>
      <c r="CV22" s="1305">
        <v>2.3082115313418785</v>
      </c>
      <c r="CW22" s="1308"/>
      <c r="CX22" s="1305">
        <v>3.258638492186634</v>
      </c>
      <c r="CY22" s="1308"/>
      <c r="DA22" s="811">
        <v>1999</v>
      </c>
      <c r="DB22" s="1321">
        <f t="shared" si="8"/>
        <v>17.7</v>
      </c>
      <c r="DC22" s="838"/>
      <c r="DD22" s="1058"/>
      <c r="DT22" s="2696">
        <f t="shared" si="6"/>
        <v>17.7</v>
      </c>
      <c r="DX22" s="2690">
        <v>1999</v>
      </c>
      <c r="DY22" s="1346">
        <f t="shared" si="9"/>
        <v>24.62</v>
      </c>
      <c r="DZ22" s="1243"/>
      <c r="EA22" s="1346">
        <v>4.55</v>
      </c>
      <c r="EB22" s="1245"/>
      <c r="ES22" s="1328">
        <f t="shared" si="10"/>
        <v>24.62</v>
      </c>
      <c r="ET22" s="1328">
        <f t="shared" si="11"/>
        <v>4.55</v>
      </c>
      <c r="EV22" s="943">
        <v>4.55</v>
      </c>
      <c r="EW22" s="811">
        <v>1999</v>
      </c>
      <c r="EY22" s="943" t="s">
        <v>1466</v>
      </c>
      <c r="EZ22" s="943"/>
    </row>
    <row r="23" spans="4:172" ht="18" customHeight="1">
      <c r="D23" s="1075">
        <f t="shared" si="1"/>
        <v>0.86639934395273566</v>
      </c>
      <c r="F23" s="820">
        <v>2012</v>
      </c>
      <c r="G23" s="1377">
        <v>10338.4</v>
      </c>
      <c r="H23" s="946">
        <v>12586.090400000001</v>
      </c>
      <c r="I23" s="477">
        <v>0.86639934395273566</v>
      </c>
      <c r="Y23" s="477">
        <f t="shared" si="2"/>
        <v>0.86639934395273566</v>
      </c>
      <c r="AC23" s="820">
        <v>2012</v>
      </c>
      <c r="AD23" s="1377">
        <v>68163.883100000006</v>
      </c>
      <c r="AE23" s="946">
        <v>12586.090400000001</v>
      </c>
      <c r="AF23" s="477">
        <f t="shared" si="3"/>
        <v>0.20489038258740133</v>
      </c>
      <c r="AG23" s="477">
        <f t="shared" si="7"/>
        <v>0.20489038258740133</v>
      </c>
      <c r="AY23" s="820">
        <v>2012</v>
      </c>
      <c r="AZ23" s="1377">
        <v>68163.883100000006</v>
      </c>
      <c r="BA23" s="946" t="e">
        <v>#REF!</v>
      </c>
      <c r="BB23" s="477" t="e">
        <f t="shared" si="4"/>
        <v>#REF!</v>
      </c>
      <c r="BZ23" s="943" t="s">
        <v>1520</v>
      </c>
      <c r="CA23" s="943"/>
      <c r="CB23" s="943"/>
      <c r="CC23" s="943"/>
      <c r="CD23" s="943"/>
      <c r="CE23" s="943"/>
      <c r="CF23" s="943"/>
      <c r="CI23" s="1254">
        <v>2011</v>
      </c>
      <c r="CJ23" s="1120">
        <f>НАСТРОЙКА!CD152</f>
        <v>1.0609999999999999</v>
      </c>
      <c r="CK23" s="1308"/>
      <c r="CL23" s="1305">
        <f t="shared" si="5"/>
        <v>13.437478040823935</v>
      </c>
      <c r="CM23" s="1308"/>
      <c r="CN23" s="1306">
        <f t="shared" si="0"/>
        <v>111</v>
      </c>
      <c r="CO23" s="1308"/>
      <c r="CP23" s="1305">
        <v>29.39</v>
      </c>
      <c r="CQ23" s="1308"/>
      <c r="CR23" s="1307">
        <v>17.408124468926459</v>
      </c>
      <c r="CS23" s="1308"/>
      <c r="CT23" s="1305">
        <v>8.2828741918760365</v>
      </c>
      <c r="CU23" s="1308"/>
      <c r="CV23" s="1305">
        <v>2.315136165935904</v>
      </c>
      <c r="CW23" s="1308"/>
      <c r="CX23" s="1305">
        <v>3.9201421061005211</v>
      </c>
      <c r="CY23" s="1308"/>
      <c r="DA23" s="811">
        <v>2000</v>
      </c>
      <c r="DB23" s="1321">
        <f t="shared" si="8"/>
        <v>28.3</v>
      </c>
      <c r="DC23" s="838"/>
      <c r="DD23" s="1058"/>
      <c r="DT23" s="2696">
        <f t="shared" si="6"/>
        <v>28.3</v>
      </c>
      <c r="DX23" s="2690">
        <v>2000</v>
      </c>
      <c r="DY23" s="1346">
        <f t="shared" si="9"/>
        <v>28.16</v>
      </c>
      <c r="DZ23" s="1243"/>
      <c r="EA23" s="1346">
        <v>7.04</v>
      </c>
      <c r="EB23" s="1245"/>
      <c r="ES23" s="1328">
        <f t="shared" si="10"/>
        <v>28.16</v>
      </c>
      <c r="ET23" s="1328">
        <f t="shared" si="11"/>
        <v>7.04</v>
      </c>
      <c r="EV23" s="943"/>
      <c r="EW23" s="811">
        <v>2000</v>
      </c>
      <c r="EY23" s="943" t="s">
        <v>1467</v>
      </c>
      <c r="EZ23" s="943"/>
    </row>
    <row r="24" spans="4:172" ht="15.75" customHeight="1">
      <c r="D24" s="1075">
        <f t="shared" si="1"/>
        <v>0.85613131247644969</v>
      </c>
      <c r="F24" s="820">
        <v>2013</v>
      </c>
      <c r="G24" s="1377">
        <v>11160.485000000001</v>
      </c>
      <c r="H24" s="946">
        <v>13450.2382</v>
      </c>
      <c r="I24" s="477">
        <v>0.85613131247644969</v>
      </c>
      <c r="Y24" s="477">
        <f t="shared" si="2"/>
        <v>0.85613131247644969</v>
      </c>
      <c r="AC24" s="820">
        <v>2013</v>
      </c>
      <c r="AD24" s="1377">
        <v>73133.89509999998</v>
      </c>
      <c r="AE24" s="946">
        <v>13450.2382</v>
      </c>
      <c r="AF24" s="477">
        <f t="shared" si="3"/>
        <v>0.19472604471863694</v>
      </c>
      <c r="AG24" s="477">
        <f t="shared" si="7"/>
        <v>0.19472604471863694</v>
      </c>
      <c r="AY24" s="820">
        <v>2013</v>
      </c>
      <c r="AZ24" s="1377">
        <v>73133.89509999998</v>
      </c>
      <c r="BA24" s="946" t="e">
        <v>#REF!</v>
      </c>
      <c r="BB24" s="477" t="e">
        <f t="shared" si="4"/>
        <v>#REF!</v>
      </c>
      <c r="BZ24" s="943" t="s">
        <v>1519</v>
      </c>
      <c r="CA24" s="943"/>
      <c r="CB24" s="943"/>
      <c r="CC24" s="943"/>
      <c r="CD24" s="943"/>
      <c r="CE24" s="943"/>
      <c r="CF24" s="943"/>
      <c r="CI24" s="1254">
        <v>2012</v>
      </c>
      <c r="CJ24" s="1120">
        <f>НАСТРОЙКА!CD153</f>
        <v>1.0658000000000001</v>
      </c>
      <c r="CK24" s="1308"/>
      <c r="CL24" s="1305">
        <f t="shared" si="5"/>
        <v>14.321664095910151</v>
      </c>
      <c r="CM24" s="1308"/>
      <c r="CN24" s="1306">
        <f t="shared" si="0"/>
        <v>111.4</v>
      </c>
      <c r="CO24" s="1308"/>
      <c r="CP24" s="1305">
        <v>31.08</v>
      </c>
      <c r="CQ24" s="1308"/>
      <c r="CR24" s="1307">
        <v>18.653542469425737</v>
      </c>
      <c r="CS24" s="1308"/>
      <c r="CT24" s="1305">
        <v>8.6670199170643638</v>
      </c>
      <c r="CU24" s="1308"/>
      <c r="CV24" s="1305">
        <v>2.3475480722590065</v>
      </c>
      <c r="CW24" s="1308"/>
      <c r="CX24" s="1305">
        <v>4.3003958903922719</v>
      </c>
      <c r="CY24" s="1308"/>
      <c r="DA24" s="811">
        <v>2001</v>
      </c>
      <c r="DB24" s="1321">
        <f t="shared" si="8"/>
        <v>24.4</v>
      </c>
      <c r="DC24" s="838"/>
      <c r="DD24" s="1058"/>
      <c r="DT24" s="2696">
        <f t="shared" si="6"/>
        <v>24.4</v>
      </c>
      <c r="DX24" s="2690">
        <v>2001</v>
      </c>
      <c r="DY24" s="1346">
        <f t="shared" si="9"/>
        <v>30.14</v>
      </c>
      <c r="DZ24" s="1243"/>
      <c r="EA24" s="1346">
        <v>8.1</v>
      </c>
      <c r="EB24" s="1245"/>
      <c r="ES24" s="1328">
        <f t="shared" si="10"/>
        <v>30.14</v>
      </c>
      <c r="ET24" s="1328">
        <f t="shared" si="11"/>
        <v>8.1</v>
      </c>
      <c r="EV24" s="943"/>
      <c r="EW24" s="811">
        <v>2001</v>
      </c>
      <c r="EY24" s="943" t="s">
        <v>1468</v>
      </c>
      <c r="EZ24" s="943"/>
    </row>
    <row r="25" spans="4:172" ht="18" customHeight="1">
      <c r="D25" s="1075">
        <f t="shared" si="1"/>
        <v>0.79587685556764609</v>
      </c>
      <c r="F25" s="820">
        <v>2014</v>
      </c>
      <c r="G25" s="1377">
        <v>10888</v>
      </c>
      <c r="H25" s="946">
        <v>13902.6453</v>
      </c>
      <c r="I25" s="477">
        <v>0.79587685556764609</v>
      </c>
      <c r="Y25" s="477">
        <f t="shared" si="2"/>
        <v>0.79587685556764609</v>
      </c>
      <c r="AC25" s="820">
        <v>2014</v>
      </c>
      <c r="AD25" s="1377">
        <v>79058</v>
      </c>
      <c r="AE25" s="946">
        <v>13902.6453</v>
      </c>
      <c r="AF25" s="477">
        <f t="shared" si="3"/>
        <v>0.18511698028902518</v>
      </c>
      <c r="AG25" s="477">
        <f t="shared" si="7"/>
        <v>0.18511698028902518</v>
      </c>
      <c r="AY25" s="820">
        <v>2014</v>
      </c>
      <c r="AZ25" s="1377">
        <v>79199.658500000005</v>
      </c>
      <c r="BA25" s="946" t="e">
        <v>#REF!</v>
      </c>
      <c r="BB25" s="477" t="e">
        <f t="shared" si="4"/>
        <v>#REF!</v>
      </c>
      <c r="BZ25" s="943" t="s">
        <v>1518</v>
      </c>
      <c r="CA25" s="943"/>
      <c r="CB25" s="943"/>
      <c r="CC25" s="943"/>
      <c r="CD25" s="943"/>
      <c r="CE25" s="943"/>
      <c r="CF25" s="943"/>
      <c r="CI25" s="1254">
        <v>2013</v>
      </c>
      <c r="CJ25" s="1120">
        <f>НАСТРОЙКА!CD154</f>
        <v>1.0645</v>
      </c>
      <c r="CK25" s="1308"/>
      <c r="CL25" s="1305">
        <f t="shared" si="5"/>
        <v>15.245411430096356</v>
      </c>
      <c r="CM25" s="1308"/>
      <c r="CN25" s="1306">
        <f t="shared" si="0"/>
        <v>108.8</v>
      </c>
      <c r="CO25" s="1308"/>
      <c r="CP25" s="1305">
        <v>31.85</v>
      </c>
      <c r="CQ25" s="1308"/>
      <c r="CR25" s="1307">
        <v>18.357364736075578</v>
      </c>
      <c r="CS25" s="1308"/>
      <c r="CT25" s="1305">
        <v>9.0619465420277994</v>
      </c>
      <c r="CU25" s="1308"/>
      <c r="CV25" s="1305">
        <v>2.4555352835829209</v>
      </c>
      <c r="CW25" s="1308"/>
      <c r="CX25" s="1305">
        <v>4.4509097465560012</v>
      </c>
      <c r="CY25" s="1308"/>
      <c r="DA25" s="811">
        <v>2002</v>
      </c>
      <c r="DB25" s="1321">
        <f t="shared" si="8"/>
        <v>25</v>
      </c>
      <c r="DC25" s="838"/>
      <c r="DD25" s="1058"/>
      <c r="DT25" s="2696">
        <f t="shared" si="6"/>
        <v>25</v>
      </c>
      <c r="DX25" s="2690">
        <v>2002</v>
      </c>
      <c r="DY25" s="1346">
        <f t="shared" si="9"/>
        <v>31.4</v>
      </c>
      <c r="DZ25" s="1243"/>
      <c r="EA25" s="1346">
        <v>9.17</v>
      </c>
      <c r="EB25" s="1245"/>
      <c r="ES25" s="1328">
        <f t="shared" si="10"/>
        <v>31.4</v>
      </c>
      <c r="ET25" s="1328">
        <f t="shared" si="11"/>
        <v>9.17</v>
      </c>
      <c r="EV25" s="943">
        <v>9.27</v>
      </c>
      <c r="EW25" s="811">
        <v>2002</v>
      </c>
      <c r="EY25" s="943" t="s">
        <v>1469</v>
      </c>
      <c r="EZ25" s="943"/>
    </row>
    <row r="26" spans="4:172" ht="18" customHeight="1">
      <c r="D26" s="1075">
        <f t="shared" si="1"/>
        <v>0.77387866763989965</v>
      </c>
      <c r="F26" s="820">
        <v>2015</v>
      </c>
      <c r="G26" s="1377">
        <v>10721</v>
      </c>
      <c r="H26" s="946">
        <v>13897.2</v>
      </c>
      <c r="I26" s="477">
        <v>0.77387866763989965</v>
      </c>
      <c r="Y26" s="477">
        <f t="shared" si="2"/>
        <v>0.77387866763989965</v>
      </c>
      <c r="AC26" s="820">
        <v>2015</v>
      </c>
      <c r="AD26" s="1377">
        <v>83094</v>
      </c>
      <c r="AE26" s="946">
        <v>13897.2</v>
      </c>
      <c r="AF26" s="477">
        <f t="shared" si="3"/>
        <v>0.17395161982176993</v>
      </c>
      <c r="AG26" s="477">
        <f t="shared" si="7"/>
        <v>0.17395161982176993</v>
      </c>
      <c r="AY26" s="820">
        <v>2015</v>
      </c>
      <c r="AZ26" s="1377">
        <v>83232.618400000007</v>
      </c>
      <c r="BA26" s="946" t="e">
        <v>#REF!</v>
      </c>
      <c r="BB26" s="477" t="e">
        <f t="shared" si="4"/>
        <v>#REF!</v>
      </c>
      <c r="BZ26" s="943" t="s">
        <v>1517</v>
      </c>
      <c r="CA26" s="943"/>
      <c r="CB26" s="943"/>
      <c r="CC26" s="943"/>
      <c r="CD26" s="943"/>
      <c r="CE26" s="943"/>
      <c r="CF26" s="943"/>
      <c r="CI26" s="1254">
        <v>2014</v>
      </c>
      <c r="CJ26" s="1120">
        <f>НАСТРОЙКА!CD155</f>
        <v>1.1359999999999999</v>
      </c>
      <c r="CK26" s="1308"/>
      <c r="CL26" s="1305">
        <f t="shared" si="5"/>
        <v>17.318787384589459</v>
      </c>
      <c r="CM26" s="1308"/>
      <c r="CN26" s="1306">
        <f t="shared" si="0"/>
        <v>98.9</v>
      </c>
      <c r="CO26" s="1308"/>
      <c r="CP26" s="1305">
        <v>38.61</v>
      </c>
      <c r="CQ26" s="1310"/>
      <c r="CR26" s="1213"/>
      <c r="CS26" s="1308"/>
      <c r="CT26" s="1309"/>
      <c r="CU26" s="1308"/>
      <c r="CV26" s="1305"/>
      <c r="CW26" s="1308"/>
      <c r="CX26" s="1305"/>
      <c r="CY26" s="1308"/>
      <c r="DA26" s="811">
        <v>2003</v>
      </c>
      <c r="DB26" s="1321">
        <f t="shared" si="8"/>
        <v>28.9</v>
      </c>
      <c r="DC26" s="838"/>
      <c r="DD26" s="1058"/>
      <c r="DT26" s="2696">
        <f t="shared" si="6"/>
        <v>28.9</v>
      </c>
      <c r="DX26" s="2690">
        <v>2003</v>
      </c>
      <c r="DY26" s="1346">
        <f t="shared" si="9"/>
        <v>29.45</v>
      </c>
      <c r="DZ26" s="1243"/>
      <c r="EA26" s="1346">
        <v>10.14</v>
      </c>
      <c r="EB26" s="1245"/>
      <c r="ES26" s="1328">
        <f t="shared" si="10"/>
        <v>29.45</v>
      </c>
      <c r="ET26" s="1328">
        <f t="shared" si="11"/>
        <v>10.14</v>
      </c>
      <c r="EV26" s="943"/>
      <c r="EW26" s="811">
        <v>2003</v>
      </c>
      <c r="EY26" s="943" t="s">
        <v>1470</v>
      </c>
      <c r="EZ26" s="943"/>
    </row>
    <row r="27" spans="4:172" ht="18" customHeight="1">
      <c r="D27" s="1075">
        <f t="shared" si="1"/>
        <v>0.91459389402751656</v>
      </c>
      <c r="F27" s="820">
        <v>2016</v>
      </c>
      <c r="G27" s="1377">
        <v>13256</v>
      </c>
      <c r="H27" s="946">
        <v>14748.8</v>
      </c>
      <c r="I27" s="477">
        <v>0.91459389402751656</v>
      </c>
      <c r="Y27" s="477">
        <f t="shared" si="2"/>
        <v>0.91459389402751656</v>
      </c>
      <c r="AC27" s="820">
        <v>2016</v>
      </c>
      <c r="AD27" s="1377">
        <v>86014</v>
      </c>
      <c r="AE27" s="946">
        <v>14748.8</v>
      </c>
      <c r="AF27" s="477">
        <f t="shared" si="3"/>
        <v>0.17611180367488666</v>
      </c>
      <c r="AG27" s="477">
        <f t="shared" si="7"/>
        <v>0.17611180367488666</v>
      </c>
      <c r="AY27" s="820">
        <v>2016</v>
      </c>
      <c r="AZ27" s="1377">
        <v>86043.648900000015</v>
      </c>
      <c r="BA27" s="946" t="e">
        <v>#REF!</v>
      </c>
      <c r="BB27" s="477" t="e">
        <f t="shared" si="4"/>
        <v>#REF!</v>
      </c>
      <c r="BZ27" s="943" t="s">
        <v>1516</v>
      </c>
      <c r="CA27" s="943"/>
      <c r="CB27" s="943"/>
      <c r="CC27" s="943"/>
      <c r="CD27" s="943"/>
      <c r="CE27" s="943"/>
      <c r="CF27" s="943"/>
      <c r="CI27" s="1254">
        <v>2015</v>
      </c>
      <c r="CJ27" s="1120">
        <f>НАСТРОЙКА!CD156</f>
        <v>1.129</v>
      </c>
      <c r="CK27" s="1308"/>
      <c r="CL27" s="1305">
        <f t="shared" si="5"/>
        <v>19.552910957201501</v>
      </c>
      <c r="CM27" s="1308"/>
      <c r="CN27" s="1306">
        <f t="shared" si="0"/>
        <v>52.4</v>
      </c>
      <c r="CO27" s="1308"/>
      <c r="CP27" s="1305">
        <v>61.07</v>
      </c>
      <c r="CQ27" s="1310"/>
      <c r="CR27" s="1213"/>
      <c r="CS27" s="1308"/>
      <c r="CT27" s="1309"/>
      <c r="CU27" s="1308"/>
      <c r="CV27" s="1305"/>
      <c r="CW27" s="1308"/>
      <c r="CX27" s="1305"/>
      <c r="CY27" s="1308"/>
      <c r="DA27" s="811">
        <v>2004</v>
      </c>
      <c r="DB27" s="1321">
        <f t="shared" si="8"/>
        <v>38.299999999999997</v>
      </c>
      <c r="DC27" s="838"/>
      <c r="DD27" s="1058"/>
      <c r="DT27" s="2696">
        <f t="shared" si="6"/>
        <v>38.299999999999997</v>
      </c>
      <c r="DX27" s="2690">
        <v>2004</v>
      </c>
      <c r="DY27" s="1346">
        <f t="shared" si="9"/>
        <v>27.75</v>
      </c>
      <c r="DZ27" s="1243"/>
      <c r="EA27" s="1346">
        <v>11.55</v>
      </c>
      <c r="EB27" s="1245"/>
      <c r="ES27" s="1328">
        <f t="shared" si="10"/>
        <v>27.75</v>
      </c>
      <c r="ET27" s="1328">
        <f t="shared" si="11"/>
        <v>11.55</v>
      </c>
      <c r="EV27" s="943"/>
      <c r="EW27" s="811">
        <v>2004</v>
      </c>
      <c r="EY27" s="943" t="s">
        <v>1471</v>
      </c>
      <c r="EZ27" s="943"/>
    </row>
    <row r="28" spans="4:172" ht="18" customHeight="1">
      <c r="F28" s="820">
        <v>2017</v>
      </c>
      <c r="G28" s="501"/>
      <c r="H28" s="503"/>
      <c r="I28" s="492">
        <v>0.83699999999999997</v>
      </c>
      <c r="Y28" s="477">
        <f t="shared" si="2"/>
        <v>0.83699999999999997</v>
      </c>
      <c r="AC28" s="820">
        <v>2017</v>
      </c>
      <c r="AD28" s="501"/>
      <c r="AE28" s="503"/>
      <c r="AF28" s="492"/>
      <c r="AG28" s="492"/>
      <c r="AY28" s="820">
        <v>2017</v>
      </c>
      <c r="AZ28" s="501"/>
      <c r="BA28" s="503"/>
      <c r="BB28" s="492"/>
      <c r="BZ28" s="943" t="s">
        <v>1515</v>
      </c>
      <c r="CA28" s="943"/>
      <c r="CB28" s="943"/>
      <c r="CC28" s="943"/>
      <c r="CD28" s="943"/>
      <c r="CE28" s="943"/>
      <c r="CF28" s="943"/>
      <c r="CI28" s="1254">
        <v>2016</v>
      </c>
      <c r="CJ28" s="1120">
        <f>НАСТРОЙКА!CD157</f>
        <v>1.0539000000000001</v>
      </c>
      <c r="CK28" s="1308"/>
      <c r="CL28" s="1305">
        <f t="shared" si="5"/>
        <v>20.606812857794662</v>
      </c>
      <c r="CM28" s="1308"/>
      <c r="CN28" s="1306">
        <f t="shared" si="0"/>
        <v>44</v>
      </c>
      <c r="CO28" s="1308"/>
      <c r="CP28" s="1305">
        <v>66.08</v>
      </c>
      <c r="CQ28" s="1310"/>
      <c r="CR28" s="1213"/>
      <c r="CS28" s="1308"/>
      <c r="CT28" s="1309"/>
      <c r="CU28" s="1308"/>
      <c r="CV28" s="1305"/>
      <c r="CW28" s="1308"/>
      <c r="CX28" s="1305"/>
      <c r="CY28" s="1308"/>
      <c r="DA28" s="811">
        <v>2005</v>
      </c>
      <c r="DB28" s="1321">
        <f t="shared" si="8"/>
        <v>54.4</v>
      </c>
      <c r="DC28" s="1034">
        <v>54.4</v>
      </c>
      <c r="DD28" s="1058"/>
      <c r="DT28" s="2696">
        <f t="shared" si="6"/>
        <v>54.4</v>
      </c>
      <c r="DX28" s="2690">
        <v>2005</v>
      </c>
      <c r="DY28" s="1346">
        <f t="shared" si="9"/>
        <v>28.78</v>
      </c>
      <c r="DZ28" s="1243"/>
      <c r="EA28" s="1346">
        <v>12.74</v>
      </c>
      <c r="EB28" s="1245"/>
      <c r="ES28" s="1328">
        <f t="shared" si="10"/>
        <v>28.78</v>
      </c>
      <c r="ET28" s="1328">
        <f t="shared" si="11"/>
        <v>12.74</v>
      </c>
      <c r="EV28" s="943">
        <v>12.74</v>
      </c>
      <c r="EW28" s="811">
        <v>2005</v>
      </c>
      <c r="EY28" s="943" t="s">
        <v>1472</v>
      </c>
      <c r="EZ28" s="943"/>
      <c r="FK28" s="1325" t="s">
        <v>1499</v>
      </c>
      <c r="FL28" s="1325" t="s">
        <v>1500</v>
      </c>
      <c r="FM28" s="1326"/>
      <c r="FN28" s="1326"/>
      <c r="FO28" s="1326"/>
      <c r="FP28" s="1326"/>
    </row>
    <row r="29" spans="4:172" ht="17.25" customHeight="1">
      <c r="F29" s="820">
        <v>2018</v>
      </c>
      <c r="G29" s="501"/>
      <c r="H29" s="503"/>
      <c r="I29" s="492">
        <v>0.83699999999999997</v>
      </c>
      <c r="Y29" s="477">
        <f t="shared" si="2"/>
        <v>0.83699999999999997</v>
      </c>
      <c r="AC29" s="820">
        <v>2018</v>
      </c>
      <c r="AD29" s="501"/>
      <c r="AE29" s="503"/>
      <c r="AF29" s="492"/>
      <c r="AG29" s="492"/>
      <c r="AY29" s="820">
        <v>2018</v>
      </c>
      <c r="AZ29" s="501"/>
      <c r="BA29" s="503"/>
      <c r="BB29" s="492"/>
      <c r="CI29" s="1254">
        <v>2017</v>
      </c>
      <c r="CJ29" s="1120">
        <v>1.0249999999999999</v>
      </c>
      <c r="CK29" s="1123"/>
      <c r="CL29" s="1305">
        <f t="shared" si="5"/>
        <v>21.121983179239525</v>
      </c>
      <c r="CM29" s="1308">
        <f>CL29</f>
        <v>21.121983179239525</v>
      </c>
      <c r="CN29" s="1306">
        <f t="shared" si="0"/>
        <v>54.53</v>
      </c>
      <c r="CO29" s="1308"/>
      <c r="CP29" s="1305">
        <v>58.29</v>
      </c>
      <c r="CQ29" s="1310"/>
      <c r="CR29" s="1213"/>
      <c r="CS29" s="1308"/>
      <c r="CT29" s="1309"/>
      <c r="CU29" s="1308"/>
      <c r="CV29" s="1305"/>
      <c r="CW29" s="1308"/>
      <c r="CX29" s="1305"/>
      <c r="CY29" s="1308"/>
      <c r="DA29" s="811">
        <v>2006</v>
      </c>
      <c r="DB29" s="1321">
        <f t="shared" si="8"/>
        <v>65.400000000000006</v>
      </c>
      <c r="DC29" s="1034">
        <v>65.400000000000006</v>
      </c>
      <c r="DD29" s="1058"/>
      <c r="DT29" s="2696">
        <f t="shared" si="6"/>
        <v>65.400000000000006</v>
      </c>
      <c r="DX29" s="2690">
        <v>2006</v>
      </c>
      <c r="DY29" s="1346">
        <f t="shared" si="9"/>
        <v>26.33</v>
      </c>
      <c r="DZ29" s="1243"/>
      <c r="EA29" s="1346">
        <v>12.64</v>
      </c>
      <c r="EB29" s="1245"/>
      <c r="ES29" s="1328">
        <f t="shared" si="10"/>
        <v>26.33</v>
      </c>
      <c r="ET29" s="1328">
        <f t="shared" si="11"/>
        <v>12.64</v>
      </c>
      <c r="EV29" s="943">
        <v>12.64</v>
      </c>
      <c r="EW29" s="811">
        <v>2006</v>
      </c>
      <c r="EY29" s="943" t="s">
        <v>1473</v>
      </c>
      <c r="EZ29" s="943"/>
      <c r="FK29" s="1322">
        <v>43070</v>
      </c>
      <c r="FL29" s="943" t="s">
        <v>1501</v>
      </c>
      <c r="FP29" s="1323">
        <v>66.87</v>
      </c>
    </row>
    <row r="30" spans="4:172" ht="18" customHeight="1">
      <c r="F30" s="820">
        <v>2019</v>
      </c>
      <c r="G30" s="501"/>
      <c r="H30" s="503"/>
      <c r="I30" s="492">
        <v>0.83699999999999997</v>
      </c>
      <c r="Y30" s="477">
        <f t="shared" si="2"/>
        <v>0.83699999999999997</v>
      </c>
      <c r="AC30" s="820">
        <v>2019</v>
      </c>
      <c r="AD30" s="501"/>
      <c r="AE30" s="503"/>
      <c r="AF30" s="492"/>
      <c r="AG30" s="492"/>
      <c r="AY30" s="820">
        <v>2019</v>
      </c>
      <c r="AZ30" s="501"/>
      <c r="BA30" s="503"/>
      <c r="BB30" s="492"/>
      <c r="CI30" s="1254">
        <v>2018</v>
      </c>
      <c r="CJ30" s="1120">
        <v>1.0426</v>
      </c>
      <c r="CK30" s="1123"/>
      <c r="CL30" s="1309"/>
      <c r="CM30" s="1308">
        <f t="shared" ref="CM30:CM42" si="12">CM29*CK30</f>
        <v>0</v>
      </c>
      <c r="CN30" s="1309"/>
      <c r="CO30" s="1308"/>
      <c r="CP30" s="1309">
        <v>62.69</v>
      </c>
      <c r="CQ30" s="1310"/>
      <c r="CR30" s="1213"/>
      <c r="CS30" s="1308"/>
      <c r="CT30" s="1309"/>
      <c r="CU30" s="1308"/>
      <c r="CV30" s="1305"/>
      <c r="CW30" s="1308"/>
      <c r="CX30" s="1305"/>
      <c r="CY30" s="1308"/>
      <c r="DA30" s="811">
        <v>2007</v>
      </c>
      <c r="DB30" s="1321">
        <f t="shared" si="8"/>
        <v>72.7</v>
      </c>
      <c r="DC30" s="1034">
        <f>DC29+0.9*(DC29-DC28)</f>
        <v>75.300000000000011</v>
      </c>
      <c r="DD30" s="1058"/>
      <c r="DT30" s="2696">
        <f t="shared" si="6"/>
        <v>72.7</v>
      </c>
      <c r="DX30" s="2690">
        <v>2007</v>
      </c>
      <c r="DY30" s="1346">
        <f t="shared" si="9"/>
        <v>25.58</v>
      </c>
      <c r="DZ30" s="1243"/>
      <c r="EA30" s="1346">
        <v>13.98</v>
      </c>
      <c r="EB30" s="1245"/>
      <c r="ES30" s="1328">
        <f t="shared" si="10"/>
        <v>25.58</v>
      </c>
      <c r="ET30" s="1328">
        <f t="shared" si="11"/>
        <v>13.98</v>
      </c>
      <c r="EV30" s="943">
        <v>13.98</v>
      </c>
      <c r="EW30" s="811">
        <v>2007</v>
      </c>
      <c r="EY30" s="943" t="s">
        <v>1474</v>
      </c>
      <c r="EZ30" s="943"/>
      <c r="FC30" s="1318" t="s">
        <v>1496</v>
      </c>
      <c r="FD30" s="1319"/>
      <c r="FE30" s="1319"/>
      <c r="FF30" s="1319"/>
      <c r="FG30" s="1319"/>
      <c r="FH30" s="1319"/>
      <c r="FI30" s="1320"/>
      <c r="FK30" s="1322">
        <v>43040</v>
      </c>
      <c r="FL30" s="943" t="s">
        <v>1502</v>
      </c>
      <c r="FP30" s="1323">
        <v>62.61</v>
      </c>
    </row>
    <row r="31" spans="4:172" ht="21">
      <c r="F31" s="820">
        <v>2020</v>
      </c>
      <c r="G31" s="501"/>
      <c r="H31" s="503"/>
      <c r="I31" s="492">
        <v>0.83699999999999997</v>
      </c>
      <c r="Y31" s="477">
        <f t="shared" si="2"/>
        <v>0.83699999999999997</v>
      </c>
      <c r="AC31" s="820">
        <v>2020</v>
      </c>
      <c r="AD31" s="501"/>
      <c r="AE31" s="503"/>
      <c r="AF31" s="492"/>
      <c r="AG31" s="492"/>
      <c r="AY31" s="820">
        <v>2020</v>
      </c>
      <c r="AZ31" s="501"/>
      <c r="BA31" s="503"/>
      <c r="BB31" s="492"/>
      <c r="CI31" s="1254">
        <v>2019</v>
      </c>
      <c r="CJ31" s="1120">
        <v>1.0304</v>
      </c>
      <c r="CK31" s="1123"/>
      <c r="CL31" s="1309"/>
      <c r="CM31" s="1308">
        <f t="shared" si="12"/>
        <v>0</v>
      </c>
      <c r="CN31" s="1309"/>
      <c r="CO31" s="1308"/>
      <c r="CP31" s="1309">
        <v>64.73</v>
      </c>
      <c r="CQ31" s="1310"/>
      <c r="CR31" s="1213"/>
      <c r="CS31" s="1308"/>
      <c r="CT31" s="1309"/>
      <c r="CU31" s="1308"/>
      <c r="CV31" s="1305"/>
      <c r="CW31" s="1308"/>
      <c r="CX31" s="1305"/>
      <c r="CY31" s="1308"/>
      <c r="DA31" s="811">
        <v>2008</v>
      </c>
      <c r="DB31" s="1321">
        <f t="shared" si="8"/>
        <v>97.7</v>
      </c>
      <c r="DC31" s="1034">
        <f t="shared" ref="DC31:DC53" si="13">DC30+0.9*(DC30-DC29)</f>
        <v>84.210000000000022</v>
      </c>
      <c r="DD31" s="1058"/>
      <c r="DT31" s="2696">
        <f t="shared" si="6"/>
        <v>97.7</v>
      </c>
      <c r="DX31" s="2690">
        <v>2008</v>
      </c>
      <c r="DY31" s="1346">
        <f t="shared" si="9"/>
        <v>24.85</v>
      </c>
      <c r="DZ31" s="1243"/>
      <c r="EA31" s="1346">
        <v>14.34</v>
      </c>
      <c r="EB31" s="1245"/>
      <c r="ES31" s="1328">
        <f t="shared" si="10"/>
        <v>24.85</v>
      </c>
      <c r="ET31" s="1328">
        <f t="shared" si="11"/>
        <v>14.34</v>
      </c>
      <c r="EV31" s="943">
        <v>14.34</v>
      </c>
      <c r="EW31" s="811">
        <v>2008</v>
      </c>
      <c r="EY31" s="943" t="s">
        <v>1475</v>
      </c>
      <c r="EZ31" s="943"/>
      <c r="FC31" s="1316" t="s">
        <v>1495</v>
      </c>
      <c r="FD31" s="1076"/>
      <c r="FE31" s="1076"/>
      <c r="FF31" s="1076"/>
      <c r="FG31" s="1317"/>
      <c r="FK31" s="1322">
        <v>43009</v>
      </c>
      <c r="FL31" s="943" t="s">
        <v>1503</v>
      </c>
      <c r="FP31" s="1323">
        <v>61.37</v>
      </c>
    </row>
    <row r="32" spans="4:172" ht="16.5" customHeight="1">
      <c r="F32" s="820">
        <v>2021</v>
      </c>
      <c r="G32" s="501"/>
      <c r="H32" s="503"/>
      <c r="I32" s="492">
        <v>0.83699999999999997</v>
      </c>
      <c r="Y32" s="477">
        <f t="shared" si="2"/>
        <v>0.83699999999999997</v>
      </c>
      <c r="AC32" s="820">
        <v>2021</v>
      </c>
      <c r="AD32" s="501"/>
      <c r="AE32" s="503"/>
      <c r="AF32" s="492"/>
      <c r="AG32" s="492"/>
      <c r="AY32" s="820">
        <v>2021</v>
      </c>
      <c r="AZ32" s="501"/>
      <c r="BA32" s="503"/>
      <c r="BB32" s="492"/>
      <c r="CI32" s="1254">
        <v>2020</v>
      </c>
      <c r="CJ32" s="1120">
        <v>1.0490999999999999</v>
      </c>
      <c r="CK32" s="1123"/>
      <c r="CL32" s="1309"/>
      <c r="CM32" s="1308">
        <f t="shared" si="12"/>
        <v>0</v>
      </c>
      <c r="CN32" s="1309"/>
      <c r="CO32" s="1308"/>
      <c r="CP32" s="1309">
        <v>72.13</v>
      </c>
      <c r="CQ32" s="1310"/>
      <c r="CR32" s="1213"/>
      <c r="CS32" s="1308"/>
      <c r="CT32" s="1309"/>
      <c r="CU32" s="1308"/>
      <c r="CV32" s="1305"/>
      <c r="CW32" s="1308"/>
      <c r="CX32" s="1305"/>
      <c r="CY32" s="1308"/>
      <c r="DA32" s="811">
        <v>2009</v>
      </c>
      <c r="DB32" s="1321">
        <f t="shared" si="8"/>
        <v>61.9</v>
      </c>
      <c r="DC32" s="1034">
        <f t="shared" si="13"/>
        <v>92.229000000000028</v>
      </c>
      <c r="DD32" s="1058"/>
      <c r="DT32" s="2696">
        <f t="shared" si="6"/>
        <v>61.9</v>
      </c>
      <c r="DX32" s="2690">
        <v>2009</v>
      </c>
      <c r="DY32" s="1346">
        <f t="shared" si="9"/>
        <v>31.72</v>
      </c>
      <c r="DZ32" s="1243"/>
      <c r="EA32" s="1346">
        <v>14.22</v>
      </c>
      <c r="EB32" s="1245"/>
      <c r="ES32" s="1328">
        <f t="shared" si="10"/>
        <v>31.72</v>
      </c>
      <c r="ET32" s="1328">
        <f t="shared" si="11"/>
        <v>14.22</v>
      </c>
      <c r="EV32" s="943">
        <v>14.22</v>
      </c>
      <c r="EW32" s="811">
        <v>2009</v>
      </c>
      <c r="EY32" s="943" t="s">
        <v>1476</v>
      </c>
      <c r="EZ32" s="943"/>
      <c r="FD32" s="2694">
        <v>17.100000000000001</v>
      </c>
      <c r="FK32" s="1322">
        <v>42979</v>
      </c>
      <c r="FL32" s="943" t="s">
        <v>1504</v>
      </c>
      <c r="FP32" s="1323">
        <v>56.79</v>
      </c>
    </row>
    <row r="33" spans="5:172" ht="15.75" customHeight="1">
      <c r="F33" s="820">
        <v>2022</v>
      </c>
      <c r="G33" s="501"/>
      <c r="H33" s="503"/>
      <c r="I33" s="492">
        <v>0.83699999999999997</v>
      </c>
      <c r="Y33" s="477">
        <f t="shared" si="2"/>
        <v>0.83699999999999997</v>
      </c>
      <c r="AC33" s="820">
        <v>2022</v>
      </c>
      <c r="AD33" s="501"/>
      <c r="AE33" s="503"/>
      <c r="AF33" s="492"/>
      <c r="AG33" s="492"/>
      <c r="AY33" s="820">
        <v>2022</v>
      </c>
      <c r="AZ33" s="501"/>
      <c r="BA33" s="503"/>
      <c r="BB33" s="492"/>
      <c r="CI33" s="1254">
        <v>2021</v>
      </c>
      <c r="CJ33" s="1120">
        <v>1.04</v>
      </c>
      <c r="CK33" s="1123"/>
      <c r="CL33" s="1309"/>
      <c r="CM33" s="1308">
        <f t="shared" si="12"/>
        <v>0</v>
      </c>
      <c r="CN33" s="1309"/>
      <c r="CO33" s="1308"/>
      <c r="CP33" s="1309"/>
      <c r="CQ33" s="1310"/>
      <c r="CR33" s="1213"/>
      <c r="CS33" s="1308"/>
      <c r="CT33" s="1309"/>
      <c r="CU33" s="1308"/>
      <c r="CV33" s="1305"/>
      <c r="CW33" s="1308"/>
      <c r="CX33" s="1305"/>
      <c r="CY33" s="1308"/>
      <c r="DA33" s="811">
        <v>2010</v>
      </c>
      <c r="DB33" s="1321">
        <f t="shared" si="8"/>
        <v>79.599999999999994</v>
      </c>
      <c r="DC33" s="1034">
        <f t="shared" si="13"/>
        <v>99.44610000000003</v>
      </c>
      <c r="DD33" s="1058"/>
      <c r="DT33" s="2696">
        <f t="shared" si="6"/>
        <v>79.599999999999994</v>
      </c>
      <c r="DX33" s="2690">
        <v>2010</v>
      </c>
      <c r="DY33" s="1346">
        <f t="shared" si="9"/>
        <v>30.37</v>
      </c>
      <c r="DZ33" s="1243"/>
      <c r="EA33" s="1346">
        <v>15.82</v>
      </c>
      <c r="EB33" s="1245"/>
      <c r="ES33" s="1328">
        <f t="shared" si="10"/>
        <v>30.37</v>
      </c>
      <c r="ET33" s="1328">
        <f t="shared" si="11"/>
        <v>15.82</v>
      </c>
      <c r="EV33" s="943">
        <v>15.82</v>
      </c>
      <c r="EW33" s="811">
        <v>2010</v>
      </c>
      <c r="EY33" s="943" t="s">
        <v>1477</v>
      </c>
      <c r="EZ33" s="943"/>
      <c r="FD33" s="2694">
        <v>20.5</v>
      </c>
      <c r="FK33" s="1322">
        <v>42948</v>
      </c>
      <c r="FL33" s="943" t="s">
        <v>1505</v>
      </c>
      <c r="FP33" s="1323">
        <v>52.38</v>
      </c>
    </row>
    <row r="34" spans="5:172" ht="18.75" customHeight="1">
      <c r="F34" s="820">
        <v>2023</v>
      </c>
      <c r="G34" s="501"/>
      <c r="H34" s="503"/>
      <c r="I34" s="492">
        <v>0.83699999999999997</v>
      </c>
      <c r="Y34" s="477">
        <f t="shared" si="2"/>
        <v>0.83699999999999997</v>
      </c>
      <c r="AC34" s="820">
        <v>2023</v>
      </c>
      <c r="AD34" s="501"/>
      <c r="AE34" s="503"/>
      <c r="AF34" s="492"/>
      <c r="AG34" s="492"/>
      <c r="AY34" s="820">
        <v>2023</v>
      </c>
      <c r="AZ34" s="501"/>
      <c r="BA34" s="503"/>
      <c r="BB34" s="492"/>
      <c r="CI34" s="1254">
        <v>2022</v>
      </c>
      <c r="CJ34" s="20"/>
      <c r="CK34" s="1123"/>
      <c r="CL34" s="20"/>
      <c r="CM34" s="1308">
        <f t="shared" si="12"/>
        <v>0</v>
      </c>
      <c r="CN34" s="20"/>
      <c r="CO34" s="1308"/>
      <c r="CP34" s="1309"/>
      <c r="CQ34" s="1310"/>
      <c r="CR34" s="1213"/>
      <c r="CS34" s="1308"/>
      <c r="CT34" s="1309"/>
      <c r="CU34" s="1308"/>
      <c r="CV34" s="1305"/>
      <c r="CW34" s="1308"/>
      <c r="CX34" s="1305"/>
      <c r="CY34" s="1308"/>
      <c r="DA34" s="811">
        <v>2011</v>
      </c>
      <c r="DB34" s="1321">
        <f t="shared" si="8"/>
        <v>111</v>
      </c>
      <c r="DC34" s="1034">
        <f t="shared" si="13"/>
        <v>105.94149000000003</v>
      </c>
      <c r="DD34" s="1058"/>
      <c r="DT34" s="2696">
        <f t="shared" si="6"/>
        <v>111</v>
      </c>
      <c r="DX34" s="2690">
        <v>2011</v>
      </c>
      <c r="DY34" s="1346">
        <f t="shared" si="9"/>
        <v>29.39</v>
      </c>
      <c r="DZ34" s="1243"/>
      <c r="EA34" s="1346">
        <v>17.350000000000001</v>
      </c>
      <c r="EB34" s="1245"/>
      <c r="ES34" s="1328">
        <f t="shared" si="10"/>
        <v>29.39</v>
      </c>
      <c r="ET34" s="1328">
        <f t="shared" si="11"/>
        <v>17.350000000000001</v>
      </c>
      <c r="EV34" s="943">
        <v>17.350000000000001</v>
      </c>
      <c r="EW34" s="811">
        <v>2011</v>
      </c>
      <c r="EY34" s="943" t="s">
        <v>1478</v>
      </c>
      <c r="EZ34" s="943"/>
      <c r="FD34" s="2694">
        <v>19.100000000000001</v>
      </c>
      <c r="FK34" s="1322">
        <v>42917</v>
      </c>
      <c r="FL34" s="943" t="s">
        <v>1506</v>
      </c>
      <c r="FP34" s="1323">
        <v>52.65</v>
      </c>
    </row>
    <row r="35" spans="5:172" ht="21">
      <c r="F35" s="820">
        <v>2024</v>
      </c>
      <c r="G35" s="501"/>
      <c r="H35" s="503"/>
      <c r="I35" s="492">
        <v>0.83699999999999997</v>
      </c>
      <c r="Y35" s="477">
        <f t="shared" si="2"/>
        <v>0.83699999999999997</v>
      </c>
      <c r="AC35" s="820">
        <v>2024</v>
      </c>
      <c r="AD35" s="501"/>
      <c r="AE35" s="503"/>
      <c r="AF35" s="492"/>
      <c r="AG35" s="492"/>
      <c r="AY35" s="820">
        <v>2024</v>
      </c>
      <c r="AZ35" s="501"/>
      <c r="BA35" s="503"/>
      <c r="BB35" s="492"/>
      <c r="CI35" s="1254">
        <v>2023</v>
      </c>
      <c r="CJ35" s="20"/>
      <c r="CK35" s="1123"/>
      <c r="CL35" s="20"/>
      <c r="CM35" s="1308">
        <f t="shared" si="12"/>
        <v>0</v>
      </c>
      <c r="CN35" s="20"/>
      <c r="CO35" s="1308"/>
      <c r="CP35" s="1309"/>
      <c r="CQ35" s="1310"/>
      <c r="CR35" s="1213"/>
      <c r="CS35" s="1308"/>
      <c r="CT35" s="1309"/>
      <c r="CU35" s="1308"/>
      <c r="CV35" s="1305"/>
      <c r="CW35" s="1308"/>
      <c r="CX35" s="1305"/>
      <c r="CY35" s="1308"/>
      <c r="DA35" s="811">
        <v>2012</v>
      </c>
      <c r="DB35" s="1321">
        <f t="shared" si="8"/>
        <v>111.4</v>
      </c>
      <c r="DC35" s="1034">
        <f t="shared" si="13"/>
        <v>111.78734100000003</v>
      </c>
      <c r="DD35" s="1058"/>
      <c r="DT35" s="2696">
        <f t="shared" si="6"/>
        <v>111.4</v>
      </c>
      <c r="DX35" s="2690">
        <v>2012</v>
      </c>
      <c r="DY35" s="1346">
        <f t="shared" si="9"/>
        <v>31.08</v>
      </c>
      <c r="DZ35" s="1243"/>
      <c r="EA35" s="1346">
        <v>18.46</v>
      </c>
      <c r="EB35" s="1245"/>
      <c r="ES35" s="1328">
        <f t="shared" si="10"/>
        <v>31.08</v>
      </c>
      <c r="ET35" s="1328">
        <f t="shared" si="11"/>
        <v>18.46</v>
      </c>
      <c r="EV35" s="943">
        <v>18.46</v>
      </c>
      <c r="EW35" s="811">
        <v>2012</v>
      </c>
      <c r="EY35" s="943" t="s">
        <v>1479</v>
      </c>
      <c r="EZ35" s="943"/>
      <c r="FD35" s="2694">
        <v>12.7</v>
      </c>
      <c r="FK35" s="1322">
        <v>42887</v>
      </c>
      <c r="FL35" s="943" t="s">
        <v>1507</v>
      </c>
      <c r="FP35" s="1323">
        <v>47.91</v>
      </c>
    </row>
    <row r="36" spans="5:172" ht="18.75" customHeight="1">
      <c r="F36" s="820">
        <v>2025</v>
      </c>
      <c r="G36" s="501"/>
      <c r="H36" s="503"/>
      <c r="I36" s="492">
        <v>0.83699999999999997</v>
      </c>
      <c r="Y36" s="477">
        <f t="shared" si="2"/>
        <v>0.83699999999999997</v>
      </c>
      <c r="AC36" s="820">
        <v>2025</v>
      </c>
      <c r="AD36" s="501"/>
      <c r="AE36" s="503"/>
      <c r="AF36" s="492"/>
      <c r="AG36" s="492"/>
      <c r="AY36" s="820">
        <v>2025</v>
      </c>
      <c r="AZ36" s="501"/>
      <c r="BA36" s="503"/>
      <c r="BB36" s="492"/>
      <c r="CI36" s="1254">
        <v>2024</v>
      </c>
      <c r="CJ36" s="20"/>
      <c r="CK36" s="1123"/>
      <c r="CL36" s="20"/>
      <c r="CM36" s="1308">
        <f t="shared" si="12"/>
        <v>0</v>
      </c>
      <c r="CN36" s="20"/>
      <c r="CO36" s="1308"/>
      <c r="CP36" s="1309"/>
      <c r="CQ36" s="1310"/>
      <c r="CR36" s="1213"/>
      <c r="CS36" s="1308"/>
      <c r="CT36" s="1309"/>
      <c r="CU36" s="1308"/>
      <c r="CV36" s="1305"/>
      <c r="CW36" s="1308"/>
      <c r="CX36" s="1305"/>
      <c r="CY36" s="1308"/>
      <c r="DA36" s="811">
        <v>2013</v>
      </c>
      <c r="DB36" s="1321">
        <f t="shared" si="8"/>
        <v>108.8</v>
      </c>
      <c r="DC36" s="1034">
        <f t="shared" si="13"/>
        <v>117.04860690000002</v>
      </c>
      <c r="DD36" s="1058"/>
      <c r="DT36" s="2696">
        <f t="shared" si="6"/>
        <v>108.8</v>
      </c>
      <c r="DX36" s="2690">
        <v>2013</v>
      </c>
      <c r="DY36" s="1346">
        <f t="shared" si="9"/>
        <v>31.85</v>
      </c>
      <c r="DZ36" s="1243"/>
      <c r="EA36" s="1346">
        <v>20.48</v>
      </c>
      <c r="EB36" s="1255"/>
      <c r="ES36" s="1328">
        <f t="shared" si="10"/>
        <v>31.85</v>
      </c>
      <c r="ET36" s="1328">
        <f t="shared" si="11"/>
        <v>20.48</v>
      </c>
      <c r="EV36" s="943">
        <v>20.48</v>
      </c>
      <c r="EW36" s="811">
        <v>2013</v>
      </c>
      <c r="EY36" s="943" t="s">
        <v>1480</v>
      </c>
      <c r="EZ36" s="943"/>
      <c r="FD36" s="2694">
        <v>17.7</v>
      </c>
      <c r="FK36" s="1322">
        <v>42856</v>
      </c>
      <c r="FL36" s="943" t="s">
        <v>1508</v>
      </c>
      <c r="FP36" s="1323">
        <v>50.29</v>
      </c>
    </row>
    <row r="37" spans="5:172" ht="16.5" customHeight="1">
      <c r="F37" s="820">
        <v>2026</v>
      </c>
      <c r="G37" s="501"/>
      <c r="H37" s="503"/>
      <c r="I37" s="492">
        <v>0.83699999999999997</v>
      </c>
      <c r="Y37" s="477">
        <f t="shared" si="2"/>
        <v>0.83699999999999997</v>
      </c>
      <c r="AC37" s="820">
        <v>2026</v>
      </c>
      <c r="AD37" s="501"/>
      <c r="AE37" s="503"/>
      <c r="AF37" s="492"/>
      <c r="AG37" s="492"/>
      <c r="AY37" s="820">
        <v>2026</v>
      </c>
      <c r="AZ37" s="501"/>
      <c r="BA37" s="503"/>
      <c r="BB37" s="492"/>
      <c r="CI37" s="1254">
        <v>2025</v>
      </c>
      <c r="CJ37" s="20"/>
      <c r="CK37" s="1123"/>
      <c r="CL37" s="20"/>
      <c r="CM37" s="1308">
        <f t="shared" si="12"/>
        <v>0</v>
      </c>
      <c r="CN37" s="20"/>
      <c r="CO37" s="1308"/>
      <c r="CP37" s="1309"/>
      <c r="CQ37" s="1310"/>
      <c r="CR37" s="1213"/>
      <c r="CS37" s="1308"/>
      <c r="CT37" s="1309"/>
      <c r="CU37" s="1308"/>
      <c r="CV37" s="1305"/>
      <c r="CW37" s="1308"/>
      <c r="CX37" s="1305"/>
      <c r="CY37" s="1308"/>
      <c r="DA37" s="811">
        <v>2014</v>
      </c>
      <c r="DB37" s="1321">
        <f t="shared" si="8"/>
        <v>98.9</v>
      </c>
      <c r="DC37" s="1034">
        <f t="shared" si="13"/>
        <v>121.78374621000002</v>
      </c>
      <c r="DD37" s="1036"/>
      <c r="DT37" s="2696">
        <f t="shared" si="6"/>
        <v>98.9</v>
      </c>
      <c r="DX37" s="2690">
        <v>2014</v>
      </c>
      <c r="DY37" s="1346">
        <f t="shared" si="9"/>
        <v>38.61</v>
      </c>
      <c r="DZ37" s="1347"/>
      <c r="EA37" s="1346">
        <v>21.26</v>
      </c>
      <c r="EB37" s="1348">
        <v>19</v>
      </c>
      <c r="ES37" s="1328">
        <f t="shared" si="10"/>
        <v>38.61</v>
      </c>
      <c r="ET37" s="1328">
        <f t="shared" si="11"/>
        <v>21.26</v>
      </c>
      <c r="EV37" s="943">
        <v>21.26</v>
      </c>
      <c r="EW37" s="811">
        <v>2014</v>
      </c>
      <c r="EY37" s="943" t="s">
        <v>1481</v>
      </c>
      <c r="EZ37" s="943"/>
      <c r="FD37" s="2694">
        <v>28.3</v>
      </c>
      <c r="FK37" s="1322">
        <v>42826</v>
      </c>
      <c r="FL37" s="943" t="s">
        <v>1509</v>
      </c>
      <c r="FP37" s="1323">
        <v>51.71</v>
      </c>
    </row>
    <row r="38" spans="5:172" ht="21">
      <c r="F38" s="820">
        <v>2027</v>
      </c>
      <c r="G38" s="501"/>
      <c r="H38" s="503"/>
      <c r="I38" s="492">
        <v>0.83699999999999997</v>
      </c>
      <c r="Y38" s="477">
        <f t="shared" si="2"/>
        <v>0.83699999999999997</v>
      </c>
      <c r="AC38" s="820">
        <v>2027</v>
      </c>
      <c r="AD38" s="501"/>
      <c r="AE38" s="503"/>
      <c r="AF38" s="492"/>
      <c r="AG38" s="492"/>
      <c r="AY38" s="820">
        <v>2027</v>
      </c>
      <c r="AZ38" s="501"/>
      <c r="BA38" s="503"/>
      <c r="BB38" s="492"/>
      <c r="CI38" s="1254">
        <v>2026</v>
      </c>
      <c r="CJ38" s="20"/>
      <c r="CK38" s="1123"/>
      <c r="CL38" s="20"/>
      <c r="CM38" s="1308">
        <f t="shared" si="12"/>
        <v>0</v>
      </c>
      <c r="CN38" s="20"/>
      <c r="CO38" s="1308"/>
      <c r="CP38" s="1309"/>
      <c r="CQ38" s="1310"/>
      <c r="CR38" s="1213"/>
      <c r="CS38" s="1308"/>
      <c r="CT38" s="1309"/>
      <c r="CU38" s="1308"/>
      <c r="CV38" s="1305"/>
      <c r="CW38" s="1308"/>
      <c r="CX38" s="1305"/>
      <c r="CY38" s="1308"/>
      <c r="DA38" s="811">
        <v>2015</v>
      </c>
      <c r="DB38" s="1321">
        <f t="shared" si="8"/>
        <v>52.4</v>
      </c>
      <c r="DC38" s="1034">
        <f t="shared" si="13"/>
        <v>126.04537158900001</v>
      </c>
      <c r="DD38" s="1036"/>
      <c r="DT38" s="2696">
        <f t="shared" si="6"/>
        <v>52.4</v>
      </c>
      <c r="DX38" s="2690">
        <v>2015</v>
      </c>
      <c r="DY38" s="1346">
        <f t="shared" si="9"/>
        <v>61.07</v>
      </c>
      <c r="DZ38" s="1347"/>
      <c r="EA38" s="1346">
        <v>22.57</v>
      </c>
      <c r="EB38" s="1348">
        <v>20</v>
      </c>
      <c r="ES38" s="1328">
        <f t="shared" si="10"/>
        <v>61.07</v>
      </c>
      <c r="ET38" s="1328">
        <f t="shared" si="11"/>
        <v>22.57</v>
      </c>
      <c r="EV38" s="943">
        <v>22.57</v>
      </c>
      <c r="EW38" s="811">
        <v>2015</v>
      </c>
      <c r="EY38" s="943" t="s">
        <v>1482</v>
      </c>
      <c r="EZ38" s="943"/>
      <c r="FD38" s="2694">
        <v>24.4</v>
      </c>
      <c r="FK38" s="1322">
        <v>42795</v>
      </c>
      <c r="FL38" s="943" t="s">
        <v>1510</v>
      </c>
      <c r="FP38" s="1323">
        <v>52.74</v>
      </c>
    </row>
    <row r="39" spans="5:172" ht="21">
      <c r="F39" s="820">
        <v>2028</v>
      </c>
      <c r="G39" s="501"/>
      <c r="H39" s="503"/>
      <c r="I39" s="492">
        <v>0.83699999999999997</v>
      </c>
      <c r="Y39" s="477">
        <f t="shared" si="2"/>
        <v>0.83699999999999997</v>
      </c>
      <c r="AC39" s="820">
        <v>2028</v>
      </c>
      <c r="AD39" s="501"/>
      <c r="AE39" s="503"/>
      <c r="AF39" s="492"/>
      <c r="AG39" s="492"/>
      <c r="AY39" s="820">
        <v>2028</v>
      </c>
      <c r="AZ39" s="501"/>
      <c r="BA39" s="503"/>
      <c r="BB39" s="492"/>
      <c r="CI39" s="1254">
        <v>2027</v>
      </c>
      <c r="CJ39" s="20"/>
      <c r="CK39" s="1123"/>
      <c r="CL39" s="20"/>
      <c r="CM39" s="1308">
        <f t="shared" si="12"/>
        <v>0</v>
      </c>
      <c r="CN39" s="20"/>
      <c r="CO39" s="1308"/>
      <c r="CP39" s="1309"/>
      <c r="CQ39" s="1310"/>
      <c r="CR39" s="1213"/>
      <c r="CS39" s="1308"/>
      <c r="CT39" s="1309"/>
      <c r="CU39" s="1308"/>
      <c r="CV39" s="1305"/>
      <c r="CW39" s="1308"/>
      <c r="CX39" s="1305"/>
      <c r="CY39" s="1308"/>
      <c r="DA39" s="811">
        <v>2016</v>
      </c>
      <c r="DB39" s="1321">
        <f t="shared" si="8"/>
        <v>44</v>
      </c>
      <c r="DC39" s="1034">
        <f t="shared" si="13"/>
        <v>129.88083443010001</v>
      </c>
      <c r="DD39" s="1036"/>
      <c r="DT39" s="2696">
        <f t="shared" si="6"/>
        <v>44</v>
      </c>
      <c r="DX39" s="2690">
        <v>2016</v>
      </c>
      <c r="DY39" s="1346">
        <f t="shared" si="9"/>
        <v>66.08</v>
      </c>
      <c r="DZ39" s="1347"/>
      <c r="EA39" s="1247"/>
      <c r="EB39" s="1348">
        <f>EB38+0.7</f>
        <v>20.7</v>
      </c>
      <c r="ES39" s="1328">
        <f t="shared" si="10"/>
        <v>66.08</v>
      </c>
      <c r="ET39" s="1328">
        <f>EB39</f>
        <v>20.7</v>
      </c>
      <c r="EV39" s="943"/>
      <c r="EW39" s="811">
        <v>2016</v>
      </c>
      <c r="EY39" s="943" t="s">
        <v>1483</v>
      </c>
      <c r="EZ39" s="943"/>
      <c r="FD39" s="2694">
        <v>25</v>
      </c>
      <c r="FK39" s="1322">
        <v>42767</v>
      </c>
      <c r="FL39" s="943" t="s">
        <v>1511</v>
      </c>
      <c r="FP39" s="1323">
        <v>55.56</v>
      </c>
    </row>
    <row r="40" spans="5:172" ht="21">
      <c r="F40" s="820">
        <v>2029</v>
      </c>
      <c r="G40" s="501"/>
      <c r="H40" s="503"/>
      <c r="I40" s="492">
        <v>0.83699999999999997</v>
      </c>
      <c r="Y40" s="477">
        <f t="shared" si="2"/>
        <v>0.83699999999999997</v>
      </c>
      <c r="AC40" s="820">
        <v>2029</v>
      </c>
      <c r="AD40" s="501"/>
      <c r="AE40" s="503"/>
      <c r="AF40" s="492"/>
      <c r="AG40" s="492"/>
      <c r="AY40" s="820">
        <v>2029</v>
      </c>
      <c r="AZ40" s="501"/>
      <c r="BA40" s="503"/>
      <c r="BB40" s="492"/>
      <c r="CI40" s="1254">
        <v>2028</v>
      </c>
      <c r="CJ40" s="20"/>
      <c r="CK40" s="1123"/>
      <c r="CL40" s="20"/>
      <c r="CM40" s="1308">
        <f t="shared" si="12"/>
        <v>0</v>
      </c>
      <c r="CN40" s="20"/>
      <c r="CO40" s="1308"/>
      <c r="CP40" s="1309"/>
      <c r="CQ40" s="1310"/>
      <c r="CR40" s="1213"/>
      <c r="CS40" s="1308"/>
      <c r="CT40" s="1309"/>
      <c r="CU40" s="1308"/>
      <c r="CV40" s="1305"/>
      <c r="CW40" s="1308"/>
      <c r="CX40" s="1305"/>
      <c r="CY40" s="1308"/>
      <c r="DA40" s="811">
        <v>2017</v>
      </c>
      <c r="DB40" s="1321">
        <f t="shared" si="8"/>
        <v>54.53</v>
      </c>
      <c r="DC40" s="1034">
        <f t="shared" si="13"/>
        <v>133.33275098709001</v>
      </c>
      <c r="DD40" s="1036"/>
      <c r="DT40" s="2696">
        <f t="shared" si="6"/>
        <v>54.53</v>
      </c>
      <c r="DX40" s="2690">
        <v>2017</v>
      </c>
      <c r="DY40" s="1346">
        <f t="shared" si="9"/>
        <v>58.29</v>
      </c>
      <c r="DZ40" s="1347"/>
      <c r="EA40" s="1247"/>
      <c r="EB40" s="1348">
        <f t="shared" ref="EB40:EB53" si="14">EB39+0.7</f>
        <v>21.4</v>
      </c>
      <c r="ES40" s="1328">
        <f t="shared" si="10"/>
        <v>58.29</v>
      </c>
      <c r="ET40" s="1328">
        <f t="shared" ref="ET40:ET53" si="15">EB40</f>
        <v>21.4</v>
      </c>
      <c r="EV40" s="943"/>
      <c r="EW40" s="811">
        <v>2017</v>
      </c>
      <c r="EY40" s="943" t="s">
        <v>1484</v>
      </c>
      <c r="EZ40" s="943"/>
      <c r="FD40" s="2694">
        <v>28.9</v>
      </c>
      <c r="FK40" s="1322">
        <v>42736</v>
      </c>
      <c r="FL40" s="943" t="s">
        <v>1512</v>
      </c>
      <c r="FP40" s="1323">
        <f>55.68</f>
        <v>55.68</v>
      </c>
    </row>
    <row r="41" spans="5:172" ht="21">
      <c r="F41" s="853">
        <v>2030</v>
      </c>
      <c r="G41" s="505"/>
      <c r="H41" s="505"/>
      <c r="I41" s="1385">
        <v>0.83699999999999997</v>
      </c>
      <c r="Y41" s="513">
        <f t="shared" si="2"/>
        <v>0.83699999999999997</v>
      </c>
      <c r="AC41" s="853">
        <v>2030</v>
      </c>
      <c r="AD41" s="505"/>
      <c r="AE41" s="505"/>
      <c r="AF41" s="872"/>
      <c r="AG41" s="872"/>
      <c r="AY41" s="853">
        <v>2030</v>
      </c>
      <c r="AZ41" s="505"/>
      <c r="BA41" s="505"/>
      <c r="BB41" s="872"/>
      <c r="CI41" s="1254">
        <v>2029</v>
      </c>
      <c r="CJ41" s="20"/>
      <c r="CK41" s="1123"/>
      <c r="CL41" s="20"/>
      <c r="CM41" s="1308">
        <f t="shared" si="12"/>
        <v>0</v>
      </c>
      <c r="CN41" s="20"/>
      <c r="CO41" s="1308"/>
      <c r="CP41" s="1309"/>
      <c r="CQ41" s="1310"/>
      <c r="CR41" s="1213"/>
      <c r="CS41" s="1308"/>
      <c r="CT41" s="1309"/>
      <c r="CU41" s="1308"/>
      <c r="CV41" s="1305"/>
      <c r="CW41" s="1308"/>
      <c r="CX41" s="1305"/>
      <c r="CY41" s="1308"/>
      <c r="DA41" s="811">
        <v>2018</v>
      </c>
      <c r="DB41" s="1321">
        <f t="shared" si="8"/>
        <v>72.930000000000007</v>
      </c>
      <c r="DC41" s="1034">
        <f t="shared" si="13"/>
        <v>136.439475888381</v>
      </c>
      <c r="DD41" s="1036"/>
      <c r="DT41" s="2696">
        <f t="shared" si="6"/>
        <v>72.930000000000007</v>
      </c>
      <c r="DX41" s="2690">
        <v>2018</v>
      </c>
      <c r="DY41" s="1346">
        <f t="shared" si="9"/>
        <v>62.69</v>
      </c>
      <c r="DZ41" s="1347"/>
      <c r="EA41" s="1247"/>
      <c r="EB41" s="1348">
        <f t="shared" si="14"/>
        <v>22.099999999999998</v>
      </c>
      <c r="ES41" s="1328">
        <f>DZ41</f>
        <v>0</v>
      </c>
      <c r="ET41" s="1328">
        <f t="shared" si="15"/>
        <v>22.099999999999998</v>
      </c>
      <c r="EV41" s="943"/>
      <c r="EW41" s="811">
        <v>2018</v>
      </c>
      <c r="EY41" s="943" t="s">
        <v>1485</v>
      </c>
      <c r="EZ41" s="943"/>
      <c r="FD41" s="2694">
        <v>38.299999999999997</v>
      </c>
      <c r="FO41" s="614" t="s">
        <v>1513</v>
      </c>
      <c r="FP41" s="1324">
        <f>SUM(FP29:FP40)</f>
        <v>666.56000000000006</v>
      </c>
    </row>
    <row r="42" spans="5:172" ht="21">
      <c r="CI42" s="1214">
        <v>2030</v>
      </c>
      <c r="CJ42" s="3"/>
      <c r="CK42" s="1311"/>
      <c r="CL42" s="3"/>
      <c r="CM42" s="1313">
        <f t="shared" si="12"/>
        <v>0</v>
      </c>
      <c r="CN42" s="3"/>
      <c r="CO42" s="1313"/>
      <c r="CP42" s="1312"/>
      <c r="CQ42" s="1314"/>
      <c r="CR42" s="1250"/>
      <c r="CS42" s="1313"/>
      <c r="CT42" s="1312"/>
      <c r="CU42" s="1313"/>
      <c r="CV42" s="1315"/>
      <c r="CW42" s="1313"/>
      <c r="CX42" s="1315"/>
      <c r="CY42" s="1313"/>
      <c r="DA42" s="811">
        <v>2019</v>
      </c>
      <c r="DB42" s="1321">
        <f t="shared" si="8"/>
        <v>63.33</v>
      </c>
      <c r="DC42" s="1034">
        <f t="shared" si="13"/>
        <v>139.23552829954289</v>
      </c>
      <c r="DD42" s="1036"/>
      <c r="DT42" s="2696">
        <f t="shared" si="6"/>
        <v>63.33</v>
      </c>
      <c r="DX42" s="2690">
        <v>2019</v>
      </c>
      <c r="DY42" s="1346">
        <f t="shared" si="9"/>
        <v>64.73</v>
      </c>
      <c r="DZ42" s="1347"/>
      <c r="EA42" s="1247"/>
      <c r="EB42" s="1348">
        <f t="shared" si="14"/>
        <v>22.799999999999997</v>
      </c>
      <c r="ES42" s="1328">
        <f t="shared" ref="ES42:ES53" si="16">DZ42</f>
        <v>0</v>
      </c>
      <c r="ET42" s="1328">
        <f t="shared" si="15"/>
        <v>22.799999999999997</v>
      </c>
      <c r="EV42" s="943"/>
      <c r="EW42" s="811">
        <v>2019</v>
      </c>
      <c r="EY42" s="943" t="s">
        <v>1486</v>
      </c>
      <c r="EZ42" s="943"/>
      <c r="FD42" s="2694">
        <v>54.4</v>
      </c>
    </row>
    <row r="43" spans="5:172" ht="21">
      <c r="DA43" s="811">
        <v>2020</v>
      </c>
      <c r="DB43" s="1321">
        <f t="shared" si="8"/>
        <v>40</v>
      </c>
      <c r="DC43" s="1034">
        <f t="shared" si="13"/>
        <v>141.75197546958859</v>
      </c>
      <c r="DD43" s="1036">
        <f>DB43</f>
        <v>40</v>
      </c>
      <c r="DT43" s="2696">
        <f t="shared" si="6"/>
        <v>40</v>
      </c>
      <c r="DX43" s="2690">
        <v>2020</v>
      </c>
      <c r="DY43" s="1346">
        <f t="shared" si="9"/>
        <v>72.13</v>
      </c>
      <c r="DZ43" s="1347"/>
      <c r="EA43" s="1247"/>
      <c r="EB43" s="1348">
        <f t="shared" si="14"/>
        <v>23.499999999999996</v>
      </c>
      <c r="ES43" s="1328">
        <f t="shared" si="16"/>
        <v>0</v>
      </c>
      <c r="ET43" s="1328">
        <f t="shared" si="15"/>
        <v>23.499999999999996</v>
      </c>
      <c r="EV43" s="943"/>
      <c r="EW43" s="811">
        <v>2020</v>
      </c>
      <c r="EY43" s="943" t="s">
        <v>1487</v>
      </c>
      <c r="EZ43" s="943"/>
      <c r="FD43" s="2694">
        <v>65.400000000000006</v>
      </c>
      <c r="FO43" s="614" t="s">
        <v>1514</v>
      </c>
      <c r="FP43" s="599">
        <f>FP41/ 12</f>
        <v>55.546666666666674</v>
      </c>
    </row>
    <row r="44" spans="5:172" ht="21.6" thickBot="1">
      <c r="L44" s="877"/>
      <c r="M44" s="877"/>
      <c r="N44" s="877"/>
      <c r="O44" s="877"/>
      <c r="P44" s="877"/>
      <c r="Q44" s="877"/>
      <c r="R44" s="877"/>
      <c r="S44" s="877"/>
      <c r="T44" s="877"/>
      <c r="U44" s="877"/>
      <c r="V44" s="877"/>
      <c r="W44" s="877"/>
      <c r="X44" s="877"/>
      <c r="Y44" s="877"/>
      <c r="Z44" s="877"/>
      <c r="AJ44" s="877"/>
      <c r="AK44" s="877"/>
      <c r="AL44" s="877"/>
      <c r="AM44" s="877"/>
      <c r="AN44" s="877"/>
      <c r="AO44" s="877"/>
      <c r="AP44" s="877"/>
      <c r="AQ44" s="877"/>
      <c r="AR44" s="877"/>
      <c r="AS44" s="877"/>
      <c r="AT44" s="877"/>
      <c r="AU44" s="877"/>
      <c r="AV44" s="877"/>
      <c r="AW44" s="877"/>
      <c r="CP44" s="2692">
        <v>2000</v>
      </c>
      <c r="CQ44" s="2693">
        <v>28.5</v>
      </c>
      <c r="CS44" s="2692"/>
      <c r="CT44" s="2692"/>
      <c r="DA44" s="811">
        <v>2021</v>
      </c>
      <c r="DB44" s="1057"/>
      <c r="DC44" s="1034">
        <f t="shared" si="13"/>
        <v>144.0167779226297</v>
      </c>
      <c r="DD44" s="1036">
        <f>DB39</f>
        <v>44</v>
      </c>
      <c r="DT44" s="2696">
        <f>DD44</f>
        <v>44</v>
      </c>
      <c r="DX44" s="2690">
        <v>2021</v>
      </c>
      <c r="DY44" s="1346"/>
      <c r="DZ44" s="1347"/>
      <c r="EA44" s="1247"/>
      <c r="EB44" s="1348">
        <f t="shared" si="14"/>
        <v>24.199999999999996</v>
      </c>
      <c r="ES44" s="1328">
        <f t="shared" si="16"/>
        <v>0</v>
      </c>
      <c r="ET44" s="1328">
        <f t="shared" si="15"/>
        <v>24.199999999999996</v>
      </c>
      <c r="EV44" s="943"/>
      <c r="EW44" s="811">
        <v>2021</v>
      </c>
      <c r="EY44" s="943" t="s">
        <v>1488</v>
      </c>
      <c r="EZ44" s="943"/>
      <c r="FD44" s="2694">
        <v>72.7</v>
      </c>
    </row>
    <row r="45" spans="5:172" ht="21">
      <c r="E45" s="56" t="s">
        <v>368</v>
      </c>
      <c r="F45" s="772" t="s">
        <v>1536</v>
      </c>
      <c r="G45" s="772" t="s">
        <v>1538</v>
      </c>
      <c r="H45" s="772" t="s">
        <v>1544</v>
      </c>
      <c r="I45" s="772" t="s">
        <v>1546</v>
      </c>
      <c r="AB45" s="56" t="s">
        <v>368</v>
      </c>
      <c r="AC45" s="772" t="s">
        <v>1191</v>
      </c>
      <c r="AD45" s="772" t="s">
        <v>1538</v>
      </c>
      <c r="AE45" s="772" t="s">
        <v>1542</v>
      </c>
      <c r="AF45" s="772" t="s">
        <v>1543</v>
      </c>
      <c r="AZ45" s="719" t="s">
        <v>368</v>
      </c>
      <c r="BA45" s="1186" t="s">
        <v>1191</v>
      </c>
      <c r="BB45" s="772" t="s">
        <v>1398</v>
      </c>
      <c r="BC45" s="772" t="s">
        <v>1544</v>
      </c>
      <c r="BU45" s="56" t="s">
        <v>368</v>
      </c>
      <c r="BV45" s="772" t="s">
        <v>1191</v>
      </c>
      <c r="BW45" s="772" t="s">
        <v>1561</v>
      </c>
      <c r="BX45" s="772" t="s">
        <v>1544</v>
      </c>
      <c r="BY45" s="772"/>
      <c r="CP45" s="2692">
        <v>2001</v>
      </c>
      <c r="CQ45" s="2693">
        <v>24.44</v>
      </c>
      <c r="CS45" s="2692"/>
      <c r="CT45" s="2692"/>
      <c r="DA45" s="811">
        <v>2022</v>
      </c>
      <c r="DB45" s="1057"/>
      <c r="DC45" s="1034">
        <f t="shared" si="13"/>
        <v>146.0551001303667</v>
      </c>
      <c r="DD45" s="1036">
        <f>DB40</f>
        <v>54.53</v>
      </c>
      <c r="DT45" s="2696">
        <f t="shared" ref="DT45:DT53" si="17">DD45</f>
        <v>54.53</v>
      </c>
      <c r="DX45" s="2690">
        <v>2022</v>
      </c>
      <c r="DY45" s="1346"/>
      <c r="DZ45" s="1347"/>
      <c r="EA45" s="1247"/>
      <c r="EB45" s="1348">
        <f t="shared" si="14"/>
        <v>24.899999999999995</v>
      </c>
      <c r="ES45" s="1328">
        <f t="shared" si="16"/>
        <v>0</v>
      </c>
      <c r="ET45" s="1328">
        <f t="shared" si="15"/>
        <v>24.899999999999995</v>
      </c>
      <c r="EV45" s="943"/>
      <c r="EW45" s="811">
        <v>2022</v>
      </c>
      <c r="EY45" s="943" t="s">
        <v>1489</v>
      </c>
      <c r="EZ45" s="943"/>
      <c r="FD45" s="2694">
        <v>97.7</v>
      </c>
    </row>
    <row r="46" spans="5:172" ht="21.6" thickBot="1">
      <c r="E46" s="59">
        <v>43129</v>
      </c>
      <c r="F46" s="62" t="s">
        <v>1537</v>
      </c>
      <c r="G46" s="62" t="s">
        <v>1537</v>
      </c>
      <c r="H46" s="62" t="s">
        <v>688</v>
      </c>
      <c r="I46" s="62" t="s">
        <v>688</v>
      </c>
      <c r="AB46" s="63">
        <v>43129</v>
      </c>
      <c r="AC46" s="62" t="s">
        <v>1537</v>
      </c>
      <c r="AD46" s="62" t="s">
        <v>1537</v>
      </c>
      <c r="AE46" s="62" t="s">
        <v>688</v>
      </c>
      <c r="AF46" s="62" t="s">
        <v>688</v>
      </c>
      <c r="AZ46" s="1194">
        <v>43188</v>
      </c>
      <c r="BA46" s="1564" t="s">
        <v>1537</v>
      </c>
      <c r="BB46" s="1565" t="s">
        <v>1537</v>
      </c>
      <c r="BC46" s="1136" t="s">
        <v>688</v>
      </c>
      <c r="BU46" s="63">
        <v>43134</v>
      </c>
      <c r="BV46" s="62" t="s">
        <v>1537</v>
      </c>
      <c r="BW46" s="62" t="s">
        <v>1537</v>
      </c>
      <c r="BX46" s="62" t="s">
        <v>688</v>
      </c>
      <c r="BY46" s="62" t="s">
        <v>688</v>
      </c>
      <c r="CP46" s="2692">
        <v>2002</v>
      </c>
      <c r="CQ46" s="2693">
        <v>25.02</v>
      </c>
      <c r="CS46" s="2692"/>
      <c r="CT46" s="2692"/>
      <c r="DA46" s="811">
        <v>2023</v>
      </c>
      <c r="DB46" s="1057"/>
      <c r="DC46" s="1034">
        <f t="shared" si="13"/>
        <v>147.88959011732999</v>
      </c>
      <c r="DD46" s="1036">
        <f t="shared" ref="DD46:DD53" si="18">DD45+0.8*(DD45-DD44)</f>
        <v>62.954000000000001</v>
      </c>
      <c r="DT46" s="2696">
        <f t="shared" si="17"/>
        <v>62.954000000000001</v>
      </c>
      <c r="DX46" s="2690">
        <v>2023</v>
      </c>
      <c r="DY46" s="1346"/>
      <c r="DZ46" s="1347"/>
      <c r="EA46" s="1247"/>
      <c r="EB46" s="1348">
        <f t="shared" si="14"/>
        <v>25.599999999999994</v>
      </c>
      <c r="ES46" s="1328">
        <f t="shared" si="16"/>
        <v>0</v>
      </c>
      <c r="ET46" s="1328">
        <f t="shared" si="15"/>
        <v>25.599999999999994</v>
      </c>
      <c r="EV46" s="943"/>
      <c r="EW46" s="811">
        <v>2023</v>
      </c>
      <c r="EY46" s="943" t="s">
        <v>1490</v>
      </c>
      <c r="EZ46" s="943"/>
      <c r="FD46" s="2694">
        <v>61.9</v>
      </c>
    </row>
    <row r="47" spans="5:172" ht="21">
      <c r="E47" s="1373">
        <v>1995</v>
      </c>
      <c r="F47" s="1370">
        <v>230.40700000000001</v>
      </c>
      <c r="G47" s="1211">
        <v>266.97399999999999</v>
      </c>
      <c r="H47" s="1308"/>
      <c r="I47" s="1308"/>
      <c r="AB47" s="1373">
        <v>1995</v>
      </c>
      <c r="AC47" s="1376">
        <f t="shared" ref="AC47:AC68" si="19">AD6</f>
        <v>1428.5209</v>
      </c>
      <c r="AD47" s="946">
        <v>266.97399999999999</v>
      </c>
      <c r="AE47" s="477"/>
      <c r="AF47" s="477"/>
      <c r="AX47" s="941" t="e">
        <f t="shared" ref="AX47:AX60" si="20">BB47</f>
        <v>#REF!</v>
      </c>
      <c r="AZ47" s="1371">
        <v>1995</v>
      </c>
      <c r="BA47" s="1376">
        <f t="array" ref="BA47:BA68">TRANSPOSE(ОТЧЁТ!U67:AP67)</f>
        <v>1428.5209</v>
      </c>
      <c r="BB47" s="946" t="e">
        <f t="array" ref="BB47:BB68">TRANSPOSE(ОТЧЁТ!#REF!)</f>
        <v>#REF!</v>
      </c>
      <c r="BC47" s="477"/>
      <c r="BU47" s="1373">
        <v>1995</v>
      </c>
      <c r="BV47" s="1376">
        <v>1428.5209</v>
      </c>
      <c r="BW47" s="946">
        <f t="array" ref="BW47:BW68">TRANSPOSE(ОТЧЁТ!U70:AP70)</f>
        <v>272.50150000000002</v>
      </c>
      <c r="BX47" s="477"/>
      <c r="BY47" s="477"/>
      <c r="CP47" s="2692">
        <v>2003</v>
      </c>
      <c r="CQ47" s="2693">
        <v>28.83</v>
      </c>
      <c r="CS47" s="2692"/>
      <c r="CT47" s="2692"/>
      <c r="DA47" s="811">
        <v>2024</v>
      </c>
      <c r="DB47" s="1057"/>
      <c r="DC47" s="1034">
        <f t="shared" si="13"/>
        <v>149.54063110559696</v>
      </c>
      <c r="DD47" s="1036">
        <f t="shared" si="18"/>
        <v>69.693200000000004</v>
      </c>
      <c r="DT47" s="2696">
        <f t="shared" si="17"/>
        <v>69.693200000000004</v>
      </c>
      <c r="DX47" s="2690">
        <v>2024</v>
      </c>
      <c r="DY47" s="1346"/>
      <c r="DZ47" s="1347"/>
      <c r="EA47" s="1247"/>
      <c r="EB47" s="1348">
        <f t="shared" si="14"/>
        <v>26.299999999999994</v>
      </c>
      <c r="ES47" s="1328">
        <f t="shared" si="16"/>
        <v>0</v>
      </c>
      <c r="ET47" s="1328">
        <f t="shared" si="15"/>
        <v>26.299999999999994</v>
      </c>
      <c r="EV47" s="943"/>
      <c r="EW47" s="811">
        <v>2024</v>
      </c>
      <c r="EY47" s="943" t="s">
        <v>1491</v>
      </c>
      <c r="EZ47" s="943"/>
      <c r="FD47" s="2694">
        <v>79.599999999999994</v>
      </c>
    </row>
    <row r="48" spans="5:172" ht="22.5" customHeight="1">
      <c r="E48" s="1371">
        <v>1996</v>
      </c>
      <c r="F48" s="1219">
        <v>334.30200000000002</v>
      </c>
      <c r="G48" s="1211">
        <v>375.95800000000003</v>
      </c>
      <c r="H48" s="1308"/>
      <c r="I48" s="1308"/>
      <c r="AB48" s="1371">
        <v>1996</v>
      </c>
      <c r="AC48" s="1377">
        <f t="shared" si="19"/>
        <v>2007.8252000000002</v>
      </c>
      <c r="AD48" s="946">
        <v>375.95800000000003</v>
      </c>
      <c r="AE48" s="477"/>
      <c r="AF48" s="477"/>
      <c r="AX48" s="941" t="e">
        <f t="shared" si="20"/>
        <v>#REF!</v>
      </c>
      <c r="AZ48" s="1371">
        <v>1996</v>
      </c>
      <c r="BA48" s="1377">
        <v>2007.8252000000002</v>
      </c>
      <c r="BB48" s="946" t="e">
        <v>#REF!</v>
      </c>
      <c r="BC48" s="477"/>
      <c r="BU48" s="1371">
        <v>1996</v>
      </c>
      <c r="BV48" s="1377">
        <f t="shared" ref="BV48:BV68" si="21">BA48</f>
        <v>2007.8252000000002</v>
      </c>
      <c r="BW48" s="946">
        <v>391.38130000000001</v>
      </c>
      <c r="BX48" s="477"/>
      <c r="BY48" s="477"/>
      <c r="CP48" s="2692">
        <v>2004</v>
      </c>
      <c r="CQ48" s="2693">
        <v>38.270000000000003</v>
      </c>
      <c r="CS48" s="2692"/>
      <c r="CT48" s="2692"/>
      <c r="DA48" s="811">
        <v>2025</v>
      </c>
      <c r="DB48" s="1057"/>
      <c r="DC48" s="1034">
        <f t="shared" si="13"/>
        <v>151.02656799503723</v>
      </c>
      <c r="DD48" s="1036">
        <f t="shared" si="18"/>
        <v>75.08456000000001</v>
      </c>
      <c r="DT48" s="2696">
        <f t="shared" si="17"/>
        <v>75.08456000000001</v>
      </c>
      <c r="DX48" s="2690">
        <v>2025</v>
      </c>
      <c r="DY48" s="1346"/>
      <c r="DZ48" s="1347"/>
      <c r="EA48" s="1247"/>
      <c r="EB48" s="1348">
        <f t="shared" si="14"/>
        <v>26.999999999999993</v>
      </c>
      <c r="ES48" s="1328">
        <f t="shared" si="16"/>
        <v>0</v>
      </c>
      <c r="ET48" s="1328">
        <f t="shared" si="15"/>
        <v>26.999999999999993</v>
      </c>
      <c r="EV48" s="943"/>
      <c r="EW48" s="811">
        <v>2025</v>
      </c>
      <c r="EY48" s="943" t="s">
        <v>1492</v>
      </c>
      <c r="EZ48" s="943"/>
      <c r="FD48" s="2694">
        <v>111</v>
      </c>
    </row>
    <row r="49" spans="5:160" ht="21" customHeight="1">
      <c r="E49" s="1371">
        <v>1997</v>
      </c>
      <c r="F49" s="1219">
        <v>406.47199999999998</v>
      </c>
      <c r="G49" s="1211">
        <v>408.79700000000003</v>
      </c>
      <c r="H49" s="1211">
        <f>0.7*G49+0.2*G48+0.1*G47</f>
        <v>388.04689999999999</v>
      </c>
      <c r="I49" s="1211"/>
      <c r="AB49" s="1371">
        <v>1997</v>
      </c>
      <c r="AC49" s="1377">
        <f t="shared" si="19"/>
        <v>2342.5137</v>
      </c>
      <c r="AD49" s="946">
        <v>408.79700000000003</v>
      </c>
      <c r="AE49" s="946">
        <f>0.5*AC49+0.3*AC48+0.2*AC47</f>
        <v>2059.3085900000001</v>
      </c>
      <c r="AF49" s="946"/>
      <c r="AX49" s="941" t="e">
        <f t="shared" si="20"/>
        <v>#REF!</v>
      </c>
      <c r="AZ49" s="1371">
        <v>1997</v>
      </c>
      <c r="BA49" s="1377">
        <v>2342.5137</v>
      </c>
      <c r="BB49" s="946" t="e">
        <v>#REF!</v>
      </c>
      <c r="BC49" s="946">
        <f>0.5*BA49+0.3*BA48+0.2*BA47</f>
        <v>2059.3085900000001</v>
      </c>
      <c r="BT49" s="1424">
        <f>BX49</f>
        <v>2059.3085900000001</v>
      </c>
      <c r="BU49" s="1371">
        <v>1997</v>
      </c>
      <c r="BV49" s="1377">
        <f t="shared" si="21"/>
        <v>2342.5137</v>
      </c>
      <c r="BW49" s="946">
        <v>493.57350000000002</v>
      </c>
      <c r="BX49" s="946">
        <v>2059.3085900000001</v>
      </c>
      <c r="BY49" s="946"/>
      <c r="CP49" s="2692">
        <v>2005</v>
      </c>
      <c r="CQ49" s="2693">
        <v>54.52</v>
      </c>
      <c r="CS49" s="2692"/>
      <c r="CT49" s="2692"/>
      <c r="DA49" s="811">
        <v>2026</v>
      </c>
      <c r="DB49" s="1057"/>
      <c r="DC49" s="1034">
        <f t="shared" si="13"/>
        <v>152.36391119553346</v>
      </c>
      <c r="DD49" s="1036">
        <f t="shared" si="18"/>
        <v>79.397648000000018</v>
      </c>
      <c r="DT49" s="2696">
        <f t="shared" si="17"/>
        <v>79.397648000000018</v>
      </c>
      <c r="DX49" s="2690">
        <v>2026</v>
      </c>
      <c r="DY49" s="1346"/>
      <c r="DZ49" s="1347"/>
      <c r="EA49" s="1247"/>
      <c r="EB49" s="1348">
        <f t="shared" si="14"/>
        <v>27.699999999999992</v>
      </c>
      <c r="ES49" s="1328">
        <f t="shared" si="16"/>
        <v>0</v>
      </c>
      <c r="ET49" s="1328">
        <f t="shared" si="15"/>
        <v>27.699999999999992</v>
      </c>
      <c r="EV49" s="943"/>
      <c r="EW49" s="811">
        <v>2026</v>
      </c>
      <c r="EY49" s="943" t="s">
        <v>1493</v>
      </c>
      <c r="EZ49" s="943"/>
      <c r="FD49" s="2694">
        <v>111.4</v>
      </c>
    </row>
    <row r="50" spans="5:160" ht="24.75" customHeight="1">
      <c r="E50" s="1371">
        <v>1998</v>
      </c>
      <c r="F50" s="1219">
        <v>428.56400000000002</v>
      </c>
      <c r="G50" s="1211">
        <v>407.08600000000001</v>
      </c>
      <c r="H50" s="1211">
        <f t="shared" ref="H50:H68" si="22">0.7*G50+0.2*G49+0.1*G48</f>
        <v>404.31540000000001</v>
      </c>
      <c r="I50" s="1211"/>
      <c r="AB50" s="1371">
        <v>1998</v>
      </c>
      <c r="AC50" s="1377">
        <f t="shared" si="19"/>
        <v>2629.6228999999998</v>
      </c>
      <c r="AD50" s="946">
        <v>407.08600000000001</v>
      </c>
      <c r="AE50" s="946">
        <f t="shared" ref="AE50:AE68" si="23">0.5*AC50+0.3*AC49+0.2*AC48</f>
        <v>2419.1306</v>
      </c>
      <c r="AF50" s="946"/>
      <c r="AX50" s="941" t="e">
        <f t="shared" si="20"/>
        <v>#REF!</v>
      </c>
      <c r="AZ50" s="1371">
        <v>1998</v>
      </c>
      <c r="BA50" s="1377">
        <v>2629.6228999999998</v>
      </c>
      <c r="BB50" s="946" t="e">
        <v>#REF!</v>
      </c>
      <c r="BC50" s="946">
        <f t="shared" ref="BC50:BC68" si="24">0.5*BA50+0.3*BA49+0.2*BA48</f>
        <v>2419.1306</v>
      </c>
      <c r="BT50" s="1424">
        <f t="shared" ref="BT50:BT64" si="25">BX50</f>
        <v>2419.1306</v>
      </c>
      <c r="BU50" s="1371">
        <v>1998</v>
      </c>
      <c r="BV50" s="1377">
        <f t="shared" si="21"/>
        <v>2629.6228999999998</v>
      </c>
      <c r="BW50" s="946">
        <v>492.62060000000002</v>
      </c>
      <c r="BX50" s="946">
        <v>2419.1306</v>
      </c>
      <c r="BY50" s="946"/>
      <c r="CP50" s="2692">
        <v>2006</v>
      </c>
      <c r="CQ50" s="2693">
        <v>65.14</v>
      </c>
      <c r="CS50" s="2692"/>
      <c r="CT50" s="2692"/>
      <c r="DA50" s="811">
        <v>2027</v>
      </c>
      <c r="DB50" s="1057"/>
      <c r="DC50" s="1034">
        <f t="shared" si="13"/>
        <v>153.56752007598007</v>
      </c>
      <c r="DD50" s="1036">
        <f t="shared" si="18"/>
        <v>82.848118400000018</v>
      </c>
      <c r="DT50" s="2696">
        <f t="shared" si="17"/>
        <v>82.848118400000018</v>
      </c>
      <c r="DX50" s="2690">
        <v>2027</v>
      </c>
      <c r="DY50" s="1346"/>
      <c r="DZ50" s="1347"/>
      <c r="EA50" s="1247"/>
      <c r="EB50" s="1348">
        <f t="shared" si="14"/>
        <v>28.399999999999991</v>
      </c>
      <c r="ES50" s="1328">
        <f t="shared" si="16"/>
        <v>0</v>
      </c>
      <c r="ET50" s="1328">
        <f t="shared" si="15"/>
        <v>28.399999999999991</v>
      </c>
      <c r="EV50" s="943"/>
      <c r="EW50" s="811">
        <v>2027</v>
      </c>
      <c r="EY50" s="943" t="s">
        <v>1494</v>
      </c>
      <c r="EZ50" s="943"/>
      <c r="FD50" s="2694">
        <v>108.8</v>
      </c>
    </row>
    <row r="51" spans="5:160" ht="21">
      <c r="E51" s="1371">
        <v>1999</v>
      </c>
      <c r="F51" s="1219">
        <v>597.30600000000004</v>
      </c>
      <c r="G51" s="1211">
        <v>670.43899999999996</v>
      </c>
      <c r="H51" s="1211">
        <f t="shared" si="22"/>
        <v>591.60419999999988</v>
      </c>
      <c r="I51" s="1211"/>
      <c r="AB51" s="1371">
        <v>1999</v>
      </c>
      <c r="AC51" s="1377">
        <f t="shared" si="19"/>
        <v>4823.2329</v>
      </c>
      <c r="AD51" s="946">
        <v>670.43899999999996</v>
      </c>
      <c r="AE51" s="946">
        <f t="shared" si="23"/>
        <v>3669.0060599999997</v>
      </c>
      <c r="AF51" s="946"/>
      <c r="AX51" s="941" t="e">
        <f t="shared" si="20"/>
        <v>#REF!</v>
      </c>
      <c r="AZ51" s="1371">
        <v>1999</v>
      </c>
      <c r="BA51" s="1377">
        <v>4823.2329</v>
      </c>
      <c r="BB51" s="946" t="e">
        <v>#REF!</v>
      </c>
      <c r="BC51" s="946">
        <f t="shared" si="24"/>
        <v>3669.0060599999997</v>
      </c>
      <c r="BT51" s="1424">
        <f t="shared" si="25"/>
        <v>3669.0060599999997</v>
      </c>
      <c r="BU51" s="1371">
        <v>1999</v>
      </c>
      <c r="BV51" s="1377">
        <f t="shared" si="21"/>
        <v>4823.2329</v>
      </c>
      <c r="BW51" s="946">
        <v>703.20910000000003</v>
      </c>
      <c r="BX51" s="946">
        <v>3669.0060599999997</v>
      </c>
      <c r="BY51" s="946"/>
      <c r="CP51" s="2692">
        <v>2007</v>
      </c>
      <c r="CQ51" s="2693">
        <v>72.39</v>
      </c>
      <c r="CS51" s="2692"/>
      <c r="CT51" s="2692"/>
      <c r="DA51" s="811">
        <v>2028</v>
      </c>
      <c r="DB51" s="1057"/>
      <c r="DC51" s="1034">
        <f t="shared" si="13"/>
        <v>154.65076806838201</v>
      </c>
      <c r="DD51" s="1036">
        <f t="shared" si="18"/>
        <v>85.608494720000024</v>
      </c>
      <c r="DT51" s="2696">
        <f t="shared" si="17"/>
        <v>85.608494720000024</v>
      </c>
      <c r="DX51" s="2690">
        <v>2028</v>
      </c>
      <c r="DY51" s="1346"/>
      <c r="DZ51" s="1347"/>
      <c r="EA51" s="1247"/>
      <c r="EB51" s="1348">
        <f t="shared" si="14"/>
        <v>29.099999999999991</v>
      </c>
      <c r="ES51" s="1328">
        <f t="shared" si="16"/>
        <v>0</v>
      </c>
      <c r="ET51" s="1328">
        <f t="shared" si="15"/>
        <v>29.099999999999991</v>
      </c>
      <c r="EV51" s="943"/>
      <c r="EW51" s="811">
        <v>2028</v>
      </c>
      <c r="EY51" s="943" t="s">
        <v>1460</v>
      </c>
      <c r="EZ51" s="943"/>
      <c r="FD51" s="2694">
        <v>98.9</v>
      </c>
    </row>
    <row r="52" spans="5:160" ht="21">
      <c r="E52" s="1371">
        <v>2000</v>
      </c>
      <c r="F52" s="1219">
        <v>843.37800000000004</v>
      </c>
      <c r="G52" s="1211">
        <v>1165.2339999999999</v>
      </c>
      <c r="H52" s="1211">
        <f t="shared" si="22"/>
        <v>990.46019999999999</v>
      </c>
      <c r="I52" s="1211">
        <f>H52</f>
        <v>990.46019999999999</v>
      </c>
      <c r="AB52" s="1371">
        <v>2000</v>
      </c>
      <c r="AC52" s="1377">
        <f t="shared" si="19"/>
        <v>7305.6466</v>
      </c>
      <c r="AD52" s="946">
        <v>1165.2339999999999</v>
      </c>
      <c r="AE52" s="946">
        <f t="shared" si="23"/>
        <v>5625.7177499999998</v>
      </c>
      <c r="AF52" s="946"/>
      <c r="AX52" s="941" t="e">
        <f t="shared" si="20"/>
        <v>#REF!</v>
      </c>
      <c r="AZ52" s="1371">
        <v>2000</v>
      </c>
      <c r="BA52" s="1377">
        <v>7305.6466</v>
      </c>
      <c r="BB52" s="946" t="e">
        <v>#REF!</v>
      </c>
      <c r="BC52" s="946">
        <f t="shared" si="24"/>
        <v>5625.7177499999998</v>
      </c>
      <c r="BT52" s="1424">
        <f t="shared" si="25"/>
        <v>5625.7177499999998</v>
      </c>
      <c r="BU52" s="1371">
        <v>2000</v>
      </c>
      <c r="BV52" s="1377">
        <f t="shared" si="21"/>
        <v>7305.6466</v>
      </c>
      <c r="BW52" s="946">
        <v>1102.4971</v>
      </c>
      <c r="BX52" s="946">
        <v>5625.7177499999998</v>
      </c>
      <c r="BY52" s="946"/>
      <c r="CP52" s="2692">
        <v>2008</v>
      </c>
      <c r="CQ52" s="2693">
        <v>97.26</v>
      </c>
      <c r="CS52" s="2692"/>
      <c r="CT52" s="2692"/>
      <c r="DA52" s="811">
        <v>2029</v>
      </c>
      <c r="DB52" s="1057"/>
      <c r="DC52" s="1034">
        <f t="shared" si="13"/>
        <v>155.62569126154375</v>
      </c>
      <c r="DD52" s="1036">
        <f t="shared" si="18"/>
        <v>87.816795776000035</v>
      </c>
      <c r="DT52" s="2696">
        <f t="shared" si="17"/>
        <v>87.816795776000035</v>
      </c>
      <c r="DX52" s="2690">
        <v>2029</v>
      </c>
      <c r="DY52" s="1346"/>
      <c r="DZ52" s="1347"/>
      <c r="EA52" s="1247"/>
      <c r="EB52" s="1348">
        <f t="shared" si="14"/>
        <v>29.79999999999999</v>
      </c>
      <c r="ES52" s="1328">
        <f t="shared" si="16"/>
        <v>0</v>
      </c>
      <c r="ET52" s="1328">
        <f t="shared" si="15"/>
        <v>29.79999999999999</v>
      </c>
      <c r="EV52" s="943"/>
      <c r="EW52" s="811">
        <v>2029</v>
      </c>
      <c r="EY52" s="943" t="s">
        <v>1461</v>
      </c>
      <c r="EZ52" s="943"/>
      <c r="FD52" s="2694">
        <v>52.4</v>
      </c>
    </row>
    <row r="53" spans="5:160" ht="21.6" thickBot="1">
      <c r="E53" s="1371">
        <v>2001</v>
      </c>
      <c r="F53" s="1219">
        <v>1117.655</v>
      </c>
      <c r="G53" s="1211">
        <v>1504.7</v>
      </c>
      <c r="H53" s="1211">
        <f t="shared" si="22"/>
        <v>1353.3806999999999</v>
      </c>
      <c r="I53" s="1211">
        <f t="shared" ref="I53:I59" si="26">H53</f>
        <v>1353.3806999999999</v>
      </c>
      <c r="AB53" s="1371">
        <v>2001</v>
      </c>
      <c r="AC53" s="1377">
        <f t="shared" si="19"/>
        <v>8943.5825999999997</v>
      </c>
      <c r="AD53" s="946">
        <v>1504.7</v>
      </c>
      <c r="AE53" s="946">
        <f t="shared" si="23"/>
        <v>7628.1318599999995</v>
      </c>
      <c r="AF53" s="946"/>
      <c r="AX53" s="941" t="e">
        <f t="shared" si="20"/>
        <v>#REF!</v>
      </c>
      <c r="AZ53" s="1371">
        <v>2001</v>
      </c>
      <c r="BA53" s="1377">
        <v>8943.5825999999997</v>
      </c>
      <c r="BB53" s="946" t="e">
        <v>#REF!</v>
      </c>
      <c r="BC53" s="946">
        <f t="shared" si="24"/>
        <v>7628.1318599999995</v>
      </c>
      <c r="BT53" s="1424">
        <f t="shared" si="25"/>
        <v>7628.1318599999995</v>
      </c>
      <c r="BU53" s="1371">
        <v>2001</v>
      </c>
      <c r="BV53" s="1377">
        <f t="shared" si="21"/>
        <v>8943.5825999999997</v>
      </c>
      <c r="BW53" s="946">
        <v>1469.9576</v>
      </c>
      <c r="BX53" s="946">
        <v>7628.1318599999995</v>
      </c>
      <c r="BY53" s="946"/>
      <c r="CP53" s="2692">
        <v>2009</v>
      </c>
      <c r="CQ53" s="2693">
        <v>61.67</v>
      </c>
      <c r="CS53" s="2692"/>
      <c r="CT53" s="2692"/>
      <c r="DA53" s="812">
        <v>2030</v>
      </c>
      <c r="DB53" s="1059"/>
      <c r="DC53" s="1060">
        <f t="shared" si="13"/>
        <v>156.50312213538933</v>
      </c>
      <c r="DD53" s="1037">
        <f t="shared" si="18"/>
        <v>89.583436620800043</v>
      </c>
      <c r="DT53" s="2697">
        <f t="shared" si="17"/>
        <v>89.583436620800043</v>
      </c>
      <c r="DX53" s="2691">
        <v>2030</v>
      </c>
      <c r="DY53" s="1349"/>
      <c r="DZ53" s="1350"/>
      <c r="EA53" s="1251"/>
      <c r="EB53" s="1351">
        <f t="shared" si="14"/>
        <v>30.499999999999989</v>
      </c>
      <c r="ES53" s="1331">
        <f t="shared" si="16"/>
        <v>0</v>
      </c>
      <c r="ET53" s="1331">
        <f t="shared" si="15"/>
        <v>30.499999999999989</v>
      </c>
      <c r="EV53" s="943"/>
      <c r="EW53" s="812">
        <v>2030</v>
      </c>
      <c r="EY53" s="943" t="s">
        <v>1462</v>
      </c>
      <c r="EZ53" s="943"/>
      <c r="FD53" s="2694">
        <v>44</v>
      </c>
    </row>
    <row r="54" spans="5:160" ht="21">
      <c r="E54" s="1371">
        <v>2002</v>
      </c>
      <c r="F54" s="1219">
        <v>1615.0630000000001</v>
      </c>
      <c r="G54" s="1211">
        <v>1762.4</v>
      </c>
      <c r="H54" s="1211">
        <f t="shared" si="22"/>
        <v>1651.1434000000002</v>
      </c>
      <c r="I54" s="1211">
        <f t="shared" si="26"/>
        <v>1651.1434000000002</v>
      </c>
      <c r="AB54" s="1371">
        <v>2002</v>
      </c>
      <c r="AC54" s="1377">
        <f t="shared" si="19"/>
        <v>10819.270899999998</v>
      </c>
      <c r="AD54" s="946">
        <v>1762.4</v>
      </c>
      <c r="AE54" s="946">
        <f t="shared" si="23"/>
        <v>9553.8395499999988</v>
      </c>
      <c r="AF54" s="946"/>
      <c r="AX54" s="941" t="e">
        <f t="shared" si="20"/>
        <v>#REF!</v>
      </c>
      <c r="AZ54" s="1371">
        <v>2002</v>
      </c>
      <c r="BA54" s="1377">
        <v>10819.270899999998</v>
      </c>
      <c r="BB54" s="946" t="e">
        <v>#REF!</v>
      </c>
      <c r="BC54" s="946">
        <f t="shared" si="24"/>
        <v>9553.8395499999988</v>
      </c>
      <c r="BT54" s="1424">
        <f t="shared" si="25"/>
        <v>9553.8395499999988</v>
      </c>
      <c r="BU54" s="1371">
        <v>2002</v>
      </c>
      <c r="BV54" s="1377">
        <f t="shared" si="21"/>
        <v>10819.270899999998</v>
      </c>
      <c r="BW54" s="946">
        <v>1942.4418000000001</v>
      </c>
      <c r="BX54" s="946">
        <v>9553.8395499999988</v>
      </c>
      <c r="BY54" s="946"/>
      <c r="CP54" s="2692">
        <v>2010</v>
      </c>
      <c r="CQ54" s="2693">
        <v>79.5</v>
      </c>
      <c r="CS54" s="2692"/>
      <c r="CT54" s="2692"/>
      <c r="EY54" s="943">
        <v>2017</v>
      </c>
      <c r="FD54" s="2694">
        <v>54.53</v>
      </c>
    </row>
    <row r="55" spans="5:160" ht="21">
      <c r="E55" s="1371">
        <v>2003</v>
      </c>
      <c r="F55" s="1219">
        <v>1815.6579999999999</v>
      </c>
      <c r="G55" s="1211">
        <v>2186.4</v>
      </c>
      <c r="H55" s="1211">
        <f t="shared" si="22"/>
        <v>2033.43</v>
      </c>
      <c r="I55" s="1211">
        <f t="shared" si="26"/>
        <v>2033.43</v>
      </c>
      <c r="AB55" s="1371">
        <v>2003</v>
      </c>
      <c r="AC55" s="1377">
        <f t="shared" si="19"/>
        <v>13208.250299999998</v>
      </c>
      <c r="AD55" s="946">
        <v>2186.4</v>
      </c>
      <c r="AE55" s="946">
        <f t="shared" si="23"/>
        <v>11638.622939999997</v>
      </c>
      <c r="AF55" s="946"/>
      <c r="AX55" s="941" t="e">
        <f t="shared" si="20"/>
        <v>#REF!</v>
      </c>
      <c r="AZ55" s="1371">
        <v>2003</v>
      </c>
      <c r="BA55" s="1377">
        <v>13208.250299999998</v>
      </c>
      <c r="BB55" s="946" t="e">
        <v>#REF!</v>
      </c>
      <c r="BC55" s="946">
        <f t="shared" si="24"/>
        <v>11638.622939999997</v>
      </c>
      <c r="BT55" s="1424">
        <f t="shared" si="25"/>
        <v>11638.622939999997</v>
      </c>
      <c r="BU55" s="1371">
        <v>2003</v>
      </c>
      <c r="BV55" s="1377">
        <f t="shared" si="21"/>
        <v>13208.250299999998</v>
      </c>
      <c r="BW55" s="946">
        <v>2366.3687</v>
      </c>
      <c r="BX55" s="946">
        <v>11638.622939999997</v>
      </c>
      <c r="BY55" s="946"/>
      <c r="CP55" s="2692">
        <v>2011</v>
      </c>
      <c r="CQ55" s="2693">
        <v>111.26</v>
      </c>
      <c r="CS55" s="2692"/>
      <c r="CT55" s="2692"/>
      <c r="EY55" s="943">
        <v>2018</v>
      </c>
      <c r="FD55" s="2694">
        <v>72.930000000000007</v>
      </c>
    </row>
    <row r="56" spans="5:160" ht="21">
      <c r="E56" s="1371">
        <v>2004</v>
      </c>
      <c r="F56" s="1219">
        <v>1972.1120000000001</v>
      </c>
      <c r="G56" s="1211">
        <v>2865</v>
      </c>
      <c r="H56" s="1211">
        <f t="shared" si="22"/>
        <v>2619.0199999999995</v>
      </c>
      <c r="I56" s="1211">
        <f t="shared" si="26"/>
        <v>2619.0199999999995</v>
      </c>
      <c r="AB56" s="1371">
        <v>2004</v>
      </c>
      <c r="AC56" s="1377">
        <f t="shared" si="19"/>
        <v>17027.166999999998</v>
      </c>
      <c r="AD56" s="946">
        <v>2865</v>
      </c>
      <c r="AE56" s="946">
        <f t="shared" si="23"/>
        <v>14639.912769999997</v>
      </c>
      <c r="AF56" s="946"/>
      <c r="AX56" s="941" t="e">
        <f t="shared" si="20"/>
        <v>#REF!</v>
      </c>
      <c r="AZ56" s="1371">
        <v>2004</v>
      </c>
      <c r="BA56" s="1377">
        <v>17027.166999999998</v>
      </c>
      <c r="BB56" s="946" t="e">
        <v>#REF!</v>
      </c>
      <c r="BC56" s="946">
        <f t="shared" si="24"/>
        <v>14639.912769999997</v>
      </c>
      <c r="BT56" s="1424">
        <f t="shared" si="25"/>
        <v>14639.912769999997</v>
      </c>
      <c r="BU56" s="1371">
        <v>2004</v>
      </c>
      <c r="BV56" s="1377">
        <f t="shared" si="21"/>
        <v>17027.166999999998</v>
      </c>
      <c r="BW56" s="946">
        <v>2889.8145</v>
      </c>
      <c r="BX56" s="946">
        <v>14639.912769999997</v>
      </c>
      <c r="BY56" s="946"/>
      <c r="CP56" s="2692">
        <v>2012</v>
      </c>
      <c r="CQ56" s="2693">
        <v>111.67</v>
      </c>
      <c r="CS56" s="2692"/>
      <c r="CT56" s="2692"/>
      <c r="EY56" s="943">
        <v>2019</v>
      </c>
      <c r="FD56" s="2694">
        <v>63.33</v>
      </c>
    </row>
    <row r="57" spans="5:160" ht="21">
      <c r="E57" s="1371">
        <v>2005</v>
      </c>
      <c r="F57" s="1219">
        <v>2943.6860000000001</v>
      </c>
      <c r="G57" s="1211">
        <v>3611.1</v>
      </c>
      <c r="H57" s="1211">
        <f t="shared" si="22"/>
        <v>3319.41</v>
      </c>
      <c r="I57" s="1211">
        <f t="shared" si="26"/>
        <v>3319.41</v>
      </c>
      <c r="AB57" s="1371">
        <v>2005</v>
      </c>
      <c r="AC57" s="1377">
        <f t="shared" si="19"/>
        <v>21609.765799999997</v>
      </c>
      <c r="AD57" s="946">
        <v>3611.1</v>
      </c>
      <c r="AE57" s="946">
        <f t="shared" si="23"/>
        <v>18554.683059999996</v>
      </c>
      <c r="AF57" s="946"/>
      <c r="AX57" s="941" t="e">
        <f t="shared" si="20"/>
        <v>#REF!</v>
      </c>
      <c r="AZ57" s="1371">
        <v>2005</v>
      </c>
      <c r="BA57" s="1377">
        <v>21609.765799999997</v>
      </c>
      <c r="BB57" s="946" t="e">
        <v>#REF!</v>
      </c>
      <c r="BC57" s="946">
        <f t="shared" si="24"/>
        <v>18554.683059999996</v>
      </c>
      <c r="BT57" s="1424">
        <f t="shared" si="25"/>
        <v>18554.683059999996</v>
      </c>
      <c r="BU57" s="1371">
        <v>2005</v>
      </c>
      <c r="BV57" s="1377">
        <f t="shared" si="21"/>
        <v>21609.765799999997</v>
      </c>
      <c r="BW57" s="946">
        <v>3645.9185000000002</v>
      </c>
      <c r="BX57" s="946">
        <v>18554.683059999996</v>
      </c>
      <c r="BY57" s="946"/>
      <c r="CP57" s="2692">
        <v>2013</v>
      </c>
      <c r="CQ57" s="2693">
        <v>108.66</v>
      </c>
      <c r="CS57" s="2692"/>
      <c r="CT57" s="2692"/>
      <c r="DV57" s="551" t="s">
        <v>368</v>
      </c>
      <c r="DW57" s="1343" t="s">
        <v>80</v>
      </c>
      <c r="DX57" s="1343" t="s">
        <v>1458</v>
      </c>
      <c r="DY57" s="1343" t="s">
        <v>1529</v>
      </c>
      <c r="DZ57" s="1343" t="s">
        <v>1530</v>
      </c>
      <c r="EA57" s="1343" t="s">
        <v>1527</v>
      </c>
      <c r="EB57" s="1343" t="s">
        <v>822</v>
      </c>
      <c r="EC57" s="1343" t="s">
        <v>1279</v>
      </c>
      <c r="ES57" s="1361" t="s">
        <v>1455</v>
      </c>
      <c r="ET57" s="27"/>
      <c r="EY57" s="943">
        <v>2020</v>
      </c>
      <c r="FD57" s="2694">
        <v>40</v>
      </c>
    </row>
    <row r="58" spans="5:160" ht="21">
      <c r="E58" s="1371">
        <v>2006</v>
      </c>
      <c r="F58" s="1219">
        <v>3252.4360000000001</v>
      </c>
      <c r="G58" s="1211">
        <v>4730</v>
      </c>
      <c r="H58" s="1211">
        <f t="shared" si="22"/>
        <v>4319.72</v>
      </c>
      <c r="I58" s="1211">
        <f t="shared" si="26"/>
        <v>4319.72</v>
      </c>
      <c r="AB58" s="1371">
        <v>2006</v>
      </c>
      <c r="AC58" s="1377">
        <f t="shared" si="19"/>
        <v>26917.203699999998</v>
      </c>
      <c r="AD58" s="946">
        <v>4730</v>
      </c>
      <c r="AE58" s="946">
        <f t="shared" si="23"/>
        <v>23346.96499</v>
      </c>
      <c r="AF58" s="946"/>
      <c r="AX58" s="941" t="e">
        <f t="shared" si="20"/>
        <v>#REF!</v>
      </c>
      <c r="AZ58" s="1371">
        <v>2006</v>
      </c>
      <c r="BA58" s="1377">
        <v>26917.203699999998</v>
      </c>
      <c r="BB58" s="946" t="e">
        <v>#REF!</v>
      </c>
      <c r="BC58" s="946">
        <f t="shared" si="24"/>
        <v>23346.96499</v>
      </c>
      <c r="BT58" s="1424">
        <f t="shared" si="25"/>
        <v>23346.96499</v>
      </c>
      <c r="BU58" s="1371">
        <v>2006</v>
      </c>
      <c r="BV58" s="1377">
        <f t="shared" si="21"/>
        <v>26917.203699999998</v>
      </c>
      <c r="BW58" s="946">
        <v>4680.4097000000002</v>
      </c>
      <c r="BX58" s="946">
        <v>23346.96499</v>
      </c>
      <c r="BY58" s="946"/>
      <c r="CP58" s="2692">
        <v>2014</v>
      </c>
      <c r="CQ58" s="2693">
        <v>98.95</v>
      </c>
      <c r="CS58" s="2692"/>
      <c r="CT58" s="2692"/>
      <c r="CZ58" s="56" t="s">
        <v>1545</v>
      </c>
      <c r="DA58" s="823" t="s">
        <v>1191</v>
      </c>
      <c r="DB58" s="861" t="s">
        <v>687</v>
      </c>
      <c r="DC58" s="823" t="s">
        <v>1283</v>
      </c>
      <c r="DD58" s="861" t="s">
        <v>687</v>
      </c>
      <c r="DE58" s="823" t="s">
        <v>1284</v>
      </c>
      <c r="DF58" s="861" t="s">
        <v>687</v>
      </c>
      <c r="DG58" s="823" t="s">
        <v>291</v>
      </c>
      <c r="DH58" s="861" t="s">
        <v>687</v>
      </c>
      <c r="DI58" s="823" t="s">
        <v>785</v>
      </c>
      <c r="DJ58" s="861" t="s">
        <v>687</v>
      </c>
      <c r="DK58" s="823" t="s">
        <v>1285</v>
      </c>
      <c r="DL58" s="861" t="s">
        <v>687</v>
      </c>
      <c r="DM58" s="823" t="s">
        <v>1287</v>
      </c>
      <c r="DN58" s="861" t="s">
        <v>687</v>
      </c>
      <c r="DO58" s="823" t="s">
        <v>128</v>
      </c>
      <c r="DP58" s="861" t="s">
        <v>687</v>
      </c>
      <c r="DQ58" s="772" t="s">
        <v>1266</v>
      </c>
      <c r="DR58" s="1332" t="s">
        <v>687</v>
      </c>
      <c r="DS58" s="772" t="s">
        <v>1298</v>
      </c>
      <c r="DT58" s="1332" t="s">
        <v>687</v>
      </c>
      <c r="DV58" s="59">
        <v>43127</v>
      </c>
      <c r="DW58" s="62" t="s">
        <v>688</v>
      </c>
      <c r="DX58" s="1360" t="s">
        <v>1277</v>
      </c>
      <c r="DY58" s="1360" t="s">
        <v>1277</v>
      </c>
      <c r="DZ58" s="1360" t="s">
        <v>1277</v>
      </c>
      <c r="EA58" s="863" t="s">
        <v>1282</v>
      </c>
      <c r="EB58" s="62" t="s">
        <v>688</v>
      </c>
      <c r="EC58" s="62" t="s">
        <v>688</v>
      </c>
      <c r="ES58" s="1343" t="s">
        <v>822</v>
      </c>
      <c r="ET58" s="1343" t="s">
        <v>1279</v>
      </c>
      <c r="EY58" s="943">
        <v>2021</v>
      </c>
    </row>
    <row r="59" spans="5:160" ht="21">
      <c r="E59" s="1371">
        <v>2007</v>
      </c>
      <c r="F59" s="1219">
        <v>4296.4110000000001</v>
      </c>
      <c r="G59" s="1211">
        <v>6716.2219999999998</v>
      </c>
      <c r="H59" s="1211">
        <f t="shared" si="22"/>
        <v>6008.4653999999991</v>
      </c>
      <c r="I59" s="1211">
        <f t="shared" si="26"/>
        <v>6008.4653999999991</v>
      </c>
      <c r="AB59" s="1371">
        <v>2007</v>
      </c>
      <c r="AC59" s="1377">
        <f t="shared" si="19"/>
        <v>33247.513200000001</v>
      </c>
      <c r="AD59" s="946">
        <v>6716.2219999999998</v>
      </c>
      <c r="AE59" s="946">
        <f t="shared" si="23"/>
        <v>29020.870870000002</v>
      </c>
      <c r="AF59" s="946"/>
      <c r="AX59" s="941" t="e">
        <f t="shared" si="20"/>
        <v>#REF!</v>
      </c>
      <c r="AZ59" s="1371">
        <v>2007</v>
      </c>
      <c r="BA59" s="1377">
        <v>33247.513200000001</v>
      </c>
      <c r="BB59" s="946" t="e">
        <v>#REF!</v>
      </c>
      <c r="BC59" s="946">
        <f t="shared" si="24"/>
        <v>29020.870870000002</v>
      </c>
      <c r="BT59" s="1424">
        <f t="shared" si="25"/>
        <v>29020.870870000002</v>
      </c>
      <c r="BU59" s="1371">
        <v>2007</v>
      </c>
      <c r="BV59" s="1377">
        <f t="shared" si="21"/>
        <v>33247.513200000001</v>
      </c>
      <c r="BW59" s="946">
        <v>5750.9641000000001</v>
      </c>
      <c r="BX59" s="946">
        <v>29020.870870000002</v>
      </c>
      <c r="BY59" s="946"/>
      <c r="CP59" s="2692">
        <v>2015</v>
      </c>
      <c r="CQ59" s="2693">
        <v>52.39</v>
      </c>
      <c r="CS59" s="2692"/>
      <c r="CT59" s="2692"/>
      <c r="CZ59" s="59">
        <v>42023</v>
      </c>
      <c r="DA59" s="62" t="s">
        <v>46</v>
      </c>
      <c r="DB59" s="62" t="s">
        <v>46</v>
      </c>
      <c r="DC59" s="62" t="s">
        <v>688</v>
      </c>
      <c r="DD59" s="62" t="s">
        <v>688</v>
      </c>
      <c r="DE59" s="62" t="s">
        <v>688</v>
      </c>
      <c r="DF59" s="62" t="s">
        <v>688</v>
      </c>
      <c r="DG59" s="62" t="s">
        <v>688</v>
      </c>
      <c r="DH59" s="62" t="s">
        <v>688</v>
      </c>
      <c r="DI59" s="62" t="s">
        <v>688</v>
      </c>
      <c r="DJ59" s="62" t="s">
        <v>688</v>
      </c>
      <c r="DK59" s="62" t="s">
        <v>46</v>
      </c>
      <c r="DL59" s="62" t="s">
        <v>46</v>
      </c>
      <c r="DM59" s="62" t="s">
        <v>688</v>
      </c>
      <c r="DN59" s="62" t="s">
        <v>688</v>
      </c>
      <c r="DO59" s="62" t="s">
        <v>46</v>
      </c>
      <c r="DP59" s="62" t="s">
        <v>46</v>
      </c>
      <c r="DQ59" s="62" t="s">
        <v>688</v>
      </c>
      <c r="DR59" s="62" t="s">
        <v>688</v>
      </c>
      <c r="DS59" s="62" t="s">
        <v>688</v>
      </c>
      <c r="DT59" s="62" t="s">
        <v>688</v>
      </c>
      <c r="DV59" s="1220">
        <v>1995</v>
      </c>
      <c r="DW59" s="1305">
        <v>1</v>
      </c>
      <c r="DX59" s="1306">
        <v>17.100000000000001</v>
      </c>
      <c r="DY59" s="1347">
        <f>0.95*DM54+0.05*DX59</f>
        <v>0.85500000000000009</v>
      </c>
      <c r="DZ59" s="1357">
        <f>0.7*DW59+0.3*EA59</f>
        <v>1.96</v>
      </c>
      <c r="EA59" s="1306">
        <v>4.2</v>
      </c>
      <c r="EB59" s="1238">
        <f t="array" ref="EB59:EB80">TRANSPOSE(ОТЧЁТ!U187:AP187)</f>
        <v>1</v>
      </c>
      <c r="EC59" s="1308">
        <f t="array" ref="EC59:EC80">TRANSPOSE(ОТЧЁТ!U188:AP188)</f>
        <v>1</v>
      </c>
      <c r="ES59" s="1238">
        <v>1</v>
      </c>
      <c r="ET59" s="1358">
        <v>1</v>
      </c>
      <c r="EY59" s="943">
        <v>2022</v>
      </c>
    </row>
    <row r="60" spans="5:160" ht="21">
      <c r="E60" s="1371">
        <v>2008</v>
      </c>
      <c r="F60" s="1219">
        <v>5744.8469999999998</v>
      </c>
      <c r="G60" s="1211">
        <v>8781.616</v>
      </c>
      <c r="H60" s="1211">
        <f t="shared" si="22"/>
        <v>7963.3755999999994</v>
      </c>
      <c r="I60" s="1211">
        <f t="shared" ref="I60:I68" si="27">H60</f>
        <v>7963.3755999999994</v>
      </c>
      <c r="AB60" s="1371">
        <v>2008</v>
      </c>
      <c r="AC60" s="1377">
        <f t="shared" si="19"/>
        <v>41276.849199999997</v>
      </c>
      <c r="AD60" s="946">
        <v>8781.616</v>
      </c>
      <c r="AE60" s="946">
        <f t="shared" si="23"/>
        <v>35996.119299999998</v>
      </c>
      <c r="AF60" s="946">
        <f t="shared" ref="AF60:AF68" si="28">AE60</f>
        <v>35996.119299999998</v>
      </c>
      <c r="AX60" s="941" t="e">
        <f t="shared" si="20"/>
        <v>#REF!</v>
      </c>
      <c r="AZ60" s="1371">
        <v>2008</v>
      </c>
      <c r="BA60" s="1377">
        <v>41276.849199999997</v>
      </c>
      <c r="BB60" s="946" t="e">
        <v>#REF!</v>
      </c>
      <c r="BC60" s="946">
        <f t="shared" si="24"/>
        <v>35996.119299999998</v>
      </c>
      <c r="BT60" s="1424">
        <f t="shared" si="25"/>
        <v>35996.119299999998</v>
      </c>
      <c r="BU60" s="1371">
        <v>2008</v>
      </c>
      <c r="BV60" s="1377">
        <f t="shared" si="21"/>
        <v>41276.849199999997</v>
      </c>
      <c r="BW60" s="946">
        <v>7359.8441999999995</v>
      </c>
      <c r="BX60" s="946">
        <v>35996.119299999998</v>
      </c>
      <c r="BY60" s="946"/>
      <c r="CZ60" s="810">
        <v>1995</v>
      </c>
      <c r="DA60" s="866">
        <f t="array" ref="DA60:DA78">TRANSPOSE(ОТЧЁТ!U67:AM67)</f>
        <v>1428.5209</v>
      </c>
      <c r="DB60" s="489"/>
      <c r="DC60" s="491">
        <f t="array" ref="DC60:DC78">TRANSPOSE(ОТЧЁТ!U127:AM127)</f>
        <v>0.95899999999999996</v>
      </c>
      <c r="DD60" s="489"/>
      <c r="DE60" s="491" t="e">
        <f t="array" ref="DE60:DE78">TRANSPOSE(НАСТРОЙКА!#REF!)</f>
        <v>#REF!</v>
      </c>
      <c r="DF60" s="489"/>
      <c r="DG60" s="550">
        <v>1</v>
      </c>
      <c r="DH60" s="489"/>
      <c r="DI60" s="499">
        <v>1</v>
      </c>
      <c r="DJ60" s="489"/>
      <c r="DK60" s="866">
        <f t="array" ref="DK60:DK78">TRANSPOSE(ОТЧЁТ!U89:AM89)</f>
        <v>910.9</v>
      </c>
      <c r="DL60" s="489"/>
      <c r="DM60" s="491">
        <f t="array" ref="DM60:DM78">TRANSPOSE(ОТЧЁТ!U141:AM141)</f>
        <v>0.89900000000000002</v>
      </c>
      <c r="DN60" s="489"/>
      <c r="DO60" s="866">
        <f t="array" ref="DO60:DO78">TRANSPOSE(ОТЧЁТ!U79:AM79)</f>
        <v>266.97399999999999</v>
      </c>
      <c r="DP60" s="489"/>
      <c r="DQ60" s="508">
        <v>1</v>
      </c>
      <c r="DR60" s="489"/>
      <c r="DS60" s="508" t="e">
        <f>#REF!*EC59+#REF!*DQ60+#REF!</f>
        <v>#REF!</v>
      </c>
      <c r="DT60" s="489"/>
      <c r="DV60" s="1221">
        <v>1996</v>
      </c>
      <c r="DW60" s="1305">
        <f>НАСТРОЙКА!CY137</f>
        <v>1.218</v>
      </c>
      <c r="DX60" s="1306">
        <f t="shared" ref="DX60:DX81" si="29">DB19</f>
        <v>20.5</v>
      </c>
      <c r="DY60" s="1347">
        <f>0.95*DW60+0.05*DX60</f>
        <v>2.1821000000000002</v>
      </c>
      <c r="DZ60" s="1247">
        <f>0.7*DW60+0.3*EA60</f>
        <v>2.5206</v>
      </c>
      <c r="EA60" s="1306">
        <f t="shared" ref="EA60:EA81" si="30">DY19</f>
        <v>5.56</v>
      </c>
      <c r="EB60" s="1242">
        <v>1.2062700474653716</v>
      </c>
      <c r="EC60" s="1308">
        <v>1.170751567490661</v>
      </c>
      <c r="ES60" s="1242">
        <f t="shared" ref="ES60:ES80" si="31">EB60</f>
        <v>1.2062700474653716</v>
      </c>
      <c r="ET60" s="1308">
        <f t="shared" ref="ET60:ET80" si="32">EC60</f>
        <v>1.170751567490661</v>
      </c>
      <c r="EY60" s="943">
        <v>2023</v>
      </c>
    </row>
    <row r="61" spans="5:160" ht="21">
      <c r="E61" s="1371">
        <v>2009</v>
      </c>
      <c r="F61" s="1219">
        <v>6356.223</v>
      </c>
      <c r="G61" s="1211">
        <v>7976.0129999999999</v>
      </c>
      <c r="H61" s="1211">
        <f t="shared" si="22"/>
        <v>8011.1544999999996</v>
      </c>
      <c r="I61" s="1211">
        <f t="shared" si="27"/>
        <v>8011.1544999999996</v>
      </c>
      <c r="AB61" s="1371">
        <v>2009</v>
      </c>
      <c r="AC61" s="1377">
        <f t="shared" si="19"/>
        <v>38807.270899999996</v>
      </c>
      <c r="AD61" s="946">
        <v>7976.0129999999999</v>
      </c>
      <c r="AE61" s="946">
        <f t="shared" si="23"/>
        <v>38436.192849999999</v>
      </c>
      <c r="AF61" s="946">
        <f t="shared" si="28"/>
        <v>38436.192849999999</v>
      </c>
      <c r="AZ61" s="1371">
        <v>2009</v>
      </c>
      <c r="BA61" s="1377">
        <v>38807.270899999996</v>
      </c>
      <c r="BB61" s="946" t="e">
        <v>#REF!</v>
      </c>
      <c r="BC61" s="946">
        <f t="shared" si="24"/>
        <v>38436.192849999999</v>
      </c>
      <c r="BT61" s="1424">
        <f t="shared" si="25"/>
        <v>38436.192849999999</v>
      </c>
      <c r="BU61" s="1371">
        <v>2009</v>
      </c>
      <c r="BV61" s="1377">
        <f t="shared" si="21"/>
        <v>38807.270899999996</v>
      </c>
      <c r="BW61" s="946">
        <v>8066.7</v>
      </c>
      <c r="BX61" s="946">
        <v>38436.192849999999</v>
      </c>
      <c r="BY61" s="946"/>
      <c r="CZ61" s="811">
        <v>1996</v>
      </c>
      <c r="DA61" s="866">
        <v>2007.8252000000002</v>
      </c>
      <c r="DB61" s="492"/>
      <c r="DC61" s="491">
        <v>0.96399999999999997</v>
      </c>
      <c r="DD61" s="492"/>
      <c r="DE61" s="491" t="e">
        <v>#REF!</v>
      </c>
      <c r="DF61" s="492"/>
      <c r="DG61" s="491">
        <f>DG60*DC61</f>
        <v>0.96399999999999997</v>
      </c>
      <c r="DH61" s="492"/>
      <c r="DI61" s="474" t="e">
        <f>DI60*DE61</f>
        <v>#REF!</v>
      </c>
      <c r="DJ61" s="492"/>
      <c r="DK61" s="866">
        <v>1357.1</v>
      </c>
      <c r="DL61" s="492"/>
      <c r="DM61" s="491">
        <v>0.81899999999999995</v>
      </c>
      <c r="DN61" s="492"/>
      <c r="DO61" s="866">
        <v>375.95800000000003</v>
      </c>
      <c r="DP61" s="492"/>
      <c r="DQ61" s="508">
        <v>1.4230255714814841</v>
      </c>
      <c r="DR61" s="492"/>
      <c r="DS61" s="508" t="e">
        <f>#REF!*EC60+#REF!*DQ61+#REF!</f>
        <v>#REF!</v>
      </c>
      <c r="DT61" s="492"/>
      <c r="DV61" s="1221">
        <v>1997</v>
      </c>
      <c r="DW61" s="1305">
        <f>НАСТРОЙКА!CY138</f>
        <v>1.3519800000000002</v>
      </c>
      <c r="DX61" s="1306">
        <f t="shared" si="29"/>
        <v>19.100000000000001</v>
      </c>
      <c r="DY61" s="1347">
        <f t="shared" ref="DY61:DY94" si="33">0.95*DW61+0.05*DX61</f>
        <v>2.2393810000000003</v>
      </c>
      <c r="DZ61" s="1247">
        <f t="shared" ref="DZ61:DZ94" si="34">0.7*DW61+0.3*EA61</f>
        <v>2.6863860000000002</v>
      </c>
      <c r="EA61" s="1306">
        <f t="shared" si="30"/>
        <v>5.8</v>
      </c>
      <c r="EB61" s="1242">
        <v>1.3416177583578945</v>
      </c>
      <c r="EC61" s="1308">
        <v>1.4027022303089887</v>
      </c>
      <c r="ES61" s="1242">
        <f t="shared" si="31"/>
        <v>1.3416177583578945</v>
      </c>
      <c r="ET61" s="1308">
        <f t="shared" si="32"/>
        <v>1.4027022303089887</v>
      </c>
      <c r="EY61" s="943">
        <v>2024</v>
      </c>
    </row>
    <row r="62" spans="5:160" ht="21">
      <c r="E62" s="1371">
        <v>2010</v>
      </c>
      <c r="F62" s="1219">
        <v>6275.9309999999996</v>
      </c>
      <c r="G62" s="1211">
        <v>9152.1</v>
      </c>
      <c r="H62" s="1211">
        <f t="shared" si="22"/>
        <v>8879.8341999999993</v>
      </c>
      <c r="I62" s="1211">
        <f t="shared" si="27"/>
        <v>8879.8341999999993</v>
      </c>
      <c r="AB62" s="1371">
        <v>2010</v>
      </c>
      <c r="AC62" s="1377">
        <f t="shared" si="19"/>
        <v>46308.53100000001</v>
      </c>
      <c r="AD62" s="946">
        <v>9152.1</v>
      </c>
      <c r="AE62" s="946">
        <f t="shared" si="23"/>
        <v>43051.816610000002</v>
      </c>
      <c r="AF62" s="946">
        <f t="shared" si="28"/>
        <v>43051.816610000002</v>
      </c>
      <c r="AZ62" s="1371">
        <v>2010</v>
      </c>
      <c r="BA62" s="1377">
        <v>46308.53100000001</v>
      </c>
      <c r="BB62" s="946" t="e">
        <v>#REF!</v>
      </c>
      <c r="BC62" s="946">
        <f t="shared" si="24"/>
        <v>43051.816610000002</v>
      </c>
      <c r="BT62" s="1424">
        <f t="shared" si="25"/>
        <v>43051.816610000002</v>
      </c>
      <c r="BU62" s="1371">
        <v>2010</v>
      </c>
      <c r="BV62" s="1377">
        <f t="shared" si="21"/>
        <v>46308.53100000001</v>
      </c>
      <c r="BW62" s="946">
        <v>8671.3230000000003</v>
      </c>
      <c r="BX62" s="946">
        <v>43051.816610000002</v>
      </c>
      <c r="BY62" s="946"/>
      <c r="CZ62" s="811">
        <v>1997</v>
      </c>
      <c r="DA62" s="866">
        <v>2342.5137</v>
      </c>
      <c r="DB62" s="492"/>
      <c r="DC62" s="491">
        <v>1.014</v>
      </c>
      <c r="DD62" s="492"/>
      <c r="DE62" s="491" t="e">
        <v>#REF!</v>
      </c>
      <c r="DF62" s="492"/>
      <c r="DG62" s="491">
        <f t="shared" ref="DG62:DG78" si="35">DG61*DC62</f>
        <v>0.97749600000000003</v>
      </c>
      <c r="DH62" s="492"/>
      <c r="DI62" s="474" t="e">
        <f t="shared" ref="DI62:DI78" si="36">DI61*DE62</f>
        <v>#REF!</v>
      </c>
      <c r="DJ62" s="492"/>
      <c r="DK62" s="866">
        <v>1656.4</v>
      </c>
      <c r="DL62" s="492"/>
      <c r="DM62" s="491">
        <v>0.95</v>
      </c>
      <c r="DN62" s="492"/>
      <c r="DO62" s="866">
        <v>408.79700000000003</v>
      </c>
      <c r="DP62" s="492"/>
      <c r="DQ62" s="508">
        <v>1.6020944641617485</v>
      </c>
      <c r="DR62" s="492"/>
      <c r="DS62" s="508" t="e">
        <f>#REF!*EC61+#REF!*DQ62+#REF!</f>
        <v>#REF!</v>
      </c>
      <c r="DT62" s="492"/>
      <c r="DV62" s="1221">
        <v>1998</v>
      </c>
      <c r="DW62" s="1305">
        <f>НАСТРОЙКА!CY139</f>
        <v>2.4930511200000005</v>
      </c>
      <c r="DX62" s="1306">
        <f t="shared" si="29"/>
        <v>12.7</v>
      </c>
      <c r="DY62" s="1347">
        <f t="shared" si="33"/>
        <v>3.0033985640000003</v>
      </c>
      <c r="DZ62" s="1247">
        <f t="shared" si="34"/>
        <v>3.5451357840000002</v>
      </c>
      <c r="EA62" s="1306">
        <f t="shared" si="30"/>
        <v>6</v>
      </c>
      <c r="EB62" s="1242">
        <v>1.8660673788361899</v>
      </c>
      <c r="EC62" s="1308">
        <v>2.0776657762662092</v>
      </c>
      <c r="ES62" s="1242">
        <f t="shared" si="31"/>
        <v>1.8660673788361899</v>
      </c>
      <c r="ET62" s="1308">
        <f t="shared" si="32"/>
        <v>2.0776657762662092</v>
      </c>
      <c r="EY62" s="943">
        <v>2025</v>
      </c>
    </row>
    <row r="63" spans="5:160" ht="21">
      <c r="E63" s="1371">
        <v>2011</v>
      </c>
      <c r="F63" s="1219">
        <v>8813.3140000000003</v>
      </c>
      <c r="G63" s="1211">
        <v>11035.652</v>
      </c>
      <c r="H63" s="1211">
        <f t="shared" si="22"/>
        <v>10352.977699999999</v>
      </c>
      <c r="I63" s="1211">
        <f t="shared" si="27"/>
        <v>10352.977699999999</v>
      </c>
      <c r="AB63" s="1371">
        <v>2011</v>
      </c>
      <c r="AC63" s="1377">
        <f t="shared" si="19"/>
        <v>60282.540400000005</v>
      </c>
      <c r="AD63" s="946">
        <v>11035.652</v>
      </c>
      <c r="AE63" s="946">
        <f t="shared" si="23"/>
        <v>51795.283680000008</v>
      </c>
      <c r="AF63" s="946">
        <f t="shared" si="28"/>
        <v>51795.283680000008</v>
      </c>
      <c r="AZ63" s="1371">
        <v>2011</v>
      </c>
      <c r="BA63" s="1377">
        <v>60282.540400000005</v>
      </c>
      <c r="BB63" s="946" t="e">
        <v>#REF!</v>
      </c>
      <c r="BC63" s="946">
        <f t="shared" si="24"/>
        <v>51795.283680000008</v>
      </c>
      <c r="BT63" s="1424">
        <f t="shared" si="25"/>
        <v>51795.283680000008</v>
      </c>
      <c r="BU63" s="1371">
        <v>2011</v>
      </c>
      <c r="BV63" s="1377">
        <f t="shared" si="21"/>
        <v>60282.540400000005</v>
      </c>
      <c r="BW63" s="946">
        <v>10527.4218</v>
      </c>
      <c r="BX63" s="946">
        <v>51795.283680000008</v>
      </c>
      <c r="BY63" s="946"/>
      <c r="CZ63" s="811">
        <v>1998</v>
      </c>
      <c r="DA63" s="866">
        <v>2629.6228999999998</v>
      </c>
      <c r="DB63" s="492"/>
      <c r="DC63" s="491">
        <v>0.94699999999999995</v>
      </c>
      <c r="DD63" s="492"/>
      <c r="DE63" s="491" t="e">
        <v>#REF!</v>
      </c>
      <c r="DF63" s="492"/>
      <c r="DG63" s="491">
        <f t="shared" si="35"/>
        <v>0.92568871200000002</v>
      </c>
      <c r="DH63" s="492"/>
      <c r="DI63" s="474" t="e">
        <f t="shared" si="36"/>
        <v>#REF!</v>
      </c>
      <c r="DJ63" s="492"/>
      <c r="DK63" s="866">
        <v>1776</v>
      </c>
      <c r="DL63" s="492"/>
      <c r="DM63" s="491">
        <v>0.88</v>
      </c>
      <c r="DN63" s="492"/>
      <c r="DO63" s="866">
        <v>407.08600000000001</v>
      </c>
      <c r="DP63" s="492"/>
      <c r="DQ63" s="508">
        <v>1.7915975405266318</v>
      </c>
      <c r="DR63" s="492"/>
      <c r="DS63" s="508" t="e">
        <f>#REF!*EC62+#REF!*DQ63+#REF!</f>
        <v>#REF!</v>
      </c>
      <c r="DT63" s="492"/>
      <c r="DV63" s="1221">
        <v>1999</v>
      </c>
      <c r="DW63" s="1305">
        <f>НАСТРОЙКА!CY140</f>
        <v>3.4030147788000007</v>
      </c>
      <c r="DX63" s="1306">
        <f t="shared" si="29"/>
        <v>17.7</v>
      </c>
      <c r="DY63" s="1347">
        <f t="shared" si="33"/>
        <v>4.1178640398600006</v>
      </c>
      <c r="DZ63" s="1247">
        <f t="shared" si="34"/>
        <v>9.7681103451600002</v>
      </c>
      <c r="EA63" s="1306">
        <f t="shared" si="30"/>
        <v>24.62</v>
      </c>
      <c r="EB63" s="1242">
        <v>4.2606518536034752</v>
      </c>
      <c r="EC63" s="1308">
        <v>4.8943006185343938</v>
      </c>
      <c r="ES63" s="1242">
        <f t="shared" si="31"/>
        <v>4.2606518536034752</v>
      </c>
      <c r="ET63" s="1308">
        <f t="shared" si="32"/>
        <v>4.8943006185343938</v>
      </c>
    </row>
    <row r="64" spans="5:160" ht="21">
      <c r="E64" s="1371">
        <v>2012</v>
      </c>
      <c r="F64" s="1219">
        <v>10338.4</v>
      </c>
      <c r="G64" s="1211">
        <v>12586.090400000001</v>
      </c>
      <c r="H64" s="1211">
        <f t="shared" si="22"/>
        <v>11932.60368</v>
      </c>
      <c r="I64" s="1211">
        <f t="shared" si="27"/>
        <v>11932.60368</v>
      </c>
      <c r="AB64" s="1371">
        <v>2012</v>
      </c>
      <c r="AC64" s="1377">
        <f t="shared" si="19"/>
        <v>68163.883100000006</v>
      </c>
      <c r="AD64" s="946">
        <v>12586.090400000001</v>
      </c>
      <c r="AE64" s="946">
        <f t="shared" si="23"/>
        <v>61428.409870000003</v>
      </c>
      <c r="AF64" s="946">
        <f t="shared" si="28"/>
        <v>61428.409870000003</v>
      </c>
      <c r="AZ64" s="1371">
        <v>2012</v>
      </c>
      <c r="BA64" s="1377">
        <v>68163.883100000006</v>
      </c>
      <c r="BB64" s="946" t="e">
        <v>#REF!</v>
      </c>
      <c r="BC64" s="946">
        <f t="shared" si="24"/>
        <v>61428.409870000003</v>
      </c>
      <c r="BT64" s="1424">
        <f t="shared" si="25"/>
        <v>61428.409870000003</v>
      </c>
      <c r="BU64" s="1371">
        <v>2012</v>
      </c>
      <c r="BV64" s="1377">
        <f t="shared" si="21"/>
        <v>68163.883100000006</v>
      </c>
      <c r="BW64" s="946">
        <v>12155.9717</v>
      </c>
      <c r="BX64" s="946">
        <v>61428.409870000003</v>
      </c>
      <c r="BY64" s="946"/>
      <c r="CZ64" s="811">
        <v>1999</v>
      </c>
      <c r="DA64" s="866">
        <v>4823.2329</v>
      </c>
      <c r="DB64" s="492"/>
      <c r="DC64" s="491">
        <v>1.0640000000000001</v>
      </c>
      <c r="DD64" s="492"/>
      <c r="DE64" s="491" t="e">
        <v>#REF!</v>
      </c>
      <c r="DF64" s="492"/>
      <c r="DG64" s="491">
        <f t="shared" si="35"/>
        <v>0.98493278956800012</v>
      </c>
      <c r="DH64" s="492"/>
      <c r="DI64" s="474" t="e">
        <f t="shared" si="36"/>
        <v>#REF!</v>
      </c>
      <c r="DJ64" s="492"/>
      <c r="DK64" s="866">
        <v>2908.1</v>
      </c>
      <c r="DL64" s="492"/>
      <c r="DM64" s="491">
        <v>1.05</v>
      </c>
      <c r="DN64" s="492"/>
      <c r="DO64" s="866">
        <v>670.43899999999996</v>
      </c>
      <c r="DP64" s="492"/>
      <c r="DQ64" s="508">
        <v>3.0909273639762795</v>
      </c>
      <c r="DR64" s="492"/>
      <c r="DS64" s="508" t="e">
        <f>#REF!*EC63+#REF!*DQ64+#REF!</f>
        <v>#REF!</v>
      </c>
      <c r="DT64" s="492"/>
      <c r="DV64" s="1221">
        <v>2000</v>
      </c>
      <c r="DW64" s="1305">
        <f>НАСТРОЙКА!CY141</f>
        <v>4.0904237641176007</v>
      </c>
      <c r="DX64" s="1306">
        <f t="shared" si="29"/>
        <v>28.3</v>
      </c>
      <c r="DY64" s="1347">
        <f t="shared" si="33"/>
        <v>5.3009025759117208</v>
      </c>
      <c r="DZ64" s="1247">
        <f t="shared" si="34"/>
        <v>11.311296634882321</v>
      </c>
      <c r="EA64" s="1306">
        <f t="shared" si="30"/>
        <v>28.16</v>
      </c>
      <c r="EB64" s="1242">
        <v>6.0082118596068304</v>
      </c>
      <c r="EC64" s="1308">
        <v>5.1416113994451775</v>
      </c>
      <c r="ES64" s="1242">
        <f t="shared" si="31"/>
        <v>6.0082118596068304</v>
      </c>
      <c r="ET64" s="1308">
        <f t="shared" si="32"/>
        <v>5.1416113994451775</v>
      </c>
    </row>
    <row r="65" spans="5:150" ht="21">
      <c r="E65" s="1371">
        <v>2013</v>
      </c>
      <c r="F65" s="1219">
        <v>11160.485000000001</v>
      </c>
      <c r="G65" s="1211">
        <v>13450.2382</v>
      </c>
      <c r="H65" s="1211">
        <f t="shared" si="22"/>
        <v>13035.95002</v>
      </c>
      <c r="I65" s="1211">
        <f t="shared" si="27"/>
        <v>13035.95002</v>
      </c>
      <c r="AB65" s="1371">
        <v>2013</v>
      </c>
      <c r="AC65" s="1377">
        <f t="shared" si="19"/>
        <v>73133.89509999998</v>
      </c>
      <c r="AD65" s="946">
        <v>13450.2382</v>
      </c>
      <c r="AE65" s="946">
        <f t="shared" si="23"/>
        <v>69072.620559999996</v>
      </c>
      <c r="AF65" s="946">
        <f t="shared" si="28"/>
        <v>69072.620559999996</v>
      </c>
      <c r="AZ65" s="1371">
        <v>2013</v>
      </c>
      <c r="BA65" s="1377">
        <v>73133.89509999998</v>
      </c>
      <c r="BB65" s="946" t="e">
        <v>#REF!</v>
      </c>
      <c r="BC65" s="946">
        <f t="shared" si="24"/>
        <v>69072.620559999996</v>
      </c>
      <c r="BU65" s="1371">
        <v>2013</v>
      </c>
      <c r="BV65" s="1377">
        <f t="shared" si="21"/>
        <v>73133.89509999998</v>
      </c>
      <c r="BW65" s="946">
        <v>13551.946099999999</v>
      </c>
      <c r="BX65" s="946">
        <v>69072.620559999996</v>
      </c>
      <c r="BY65" s="946">
        <f>BW65</f>
        <v>13551.946099999999</v>
      </c>
      <c r="CZ65" s="811">
        <v>2000</v>
      </c>
      <c r="DA65" s="866">
        <v>7305.6466</v>
      </c>
      <c r="DB65" s="492"/>
      <c r="DC65" s="491">
        <v>1.1000000000000001</v>
      </c>
      <c r="DD65" s="492"/>
      <c r="DE65" s="491" t="e">
        <v>#REF!</v>
      </c>
      <c r="DF65" s="492"/>
      <c r="DG65" s="491">
        <f t="shared" si="35"/>
        <v>1.0834260685248003</v>
      </c>
      <c r="DH65" s="492"/>
      <c r="DI65" s="474" t="e">
        <f t="shared" si="36"/>
        <v>#REF!</v>
      </c>
      <c r="DJ65" s="492"/>
      <c r="DK65" s="866">
        <v>3983.9</v>
      </c>
      <c r="DL65" s="492"/>
      <c r="DM65" s="491">
        <v>1.1739999999999999</v>
      </c>
      <c r="DN65" s="492"/>
      <c r="DO65" s="866">
        <v>1165.2339999999999</v>
      </c>
      <c r="DP65" s="492"/>
      <c r="DQ65" s="508">
        <v>4.2983278940953449</v>
      </c>
      <c r="DR65" s="492"/>
      <c r="DS65" s="508" t="e">
        <f>#REF!*EC64+#REF!*DQ65+#REF!</f>
        <v>#REF!</v>
      </c>
      <c r="DT65" s="492"/>
      <c r="DV65" s="1221">
        <v>2001</v>
      </c>
      <c r="DW65" s="1305">
        <f>НАСТРОЙКА!CY142</f>
        <v>4.8512425842434741</v>
      </c>
      <c r="DX65" s="1306">
        <f t="shared" si="29"/>
        <v>24.4</v>
      </c>
      <c r="DY65" s="1347">
        <f t="shared" si="33"/>
        <v>5.8286804550313001</v>
      </c>
      <c r="DZ65" s="1247">
        <f t="shared" si="34"/>
        <v>12.437869808970431</v>
      </c>
      <c r="EA65" s="1306">
        <f t="shared" si="30"/>
        <v>30.14</v>
      </c>
      <c r="EB65" s="1242">
        <v>5.9105900050191611</v>
      </c>
      <c r="EC65" s="1308">
        <v>5.3433855590626722</v>
      </c>
      <c r="ES65" s="1242">
        <f t="shared" si="31"/>
        <v>5.9105900050191611</v>
      </c>
      <c r="ET65" s="1308">
        <f t="shared" si="32"/>
        <v>5.3433855590626722</v>
      </c>
    </row>
    <row r="66" spans="5:150" ht="21">
      <c r="E66" s="1371">
        <v>2014</v>
      </c>
      <c r="F66" s="1219">
        <v>10888</v>
      </c>
      <c r="G66" s="1211">
        <v>13902.6453</v>
      </c>
      <c r="H66" s="1211">
        <f t="shared" si="22"/>
        <v>13680.508389999999</v>
      </c>
      <c r="I66" s="1211">
        <f t="shared" si="27"/>
        <v>13680.508389999999</v>
      </c>
      <c r="AB66" s="1371">
        <v>2014</v>
      </c>
      <c r="AC66" s="1377">
        <f t="shared" si="19"/>
        <v>79058</v>
      </c>
      <c r="AD66" s="946">
        <v>13902.6453</v>
      </c>
      <c r="AE66" s="946">
        <f t="shared" si="23"/>
        <v>75101.94515</v>
      </c>
      <c r="AF66" s="946">
        <f t="shared" si="28"/>
        <v>75101.94515</v>
      </c>
      <c r="AZ66" s="1371">
        <v>2014</v>
      </c>
      <c r="BA66" s="1377">
        <v>79058</v>
      </c>
      <c r="BB66" s="946" t="e">
        <v>#REF!</v>
      </c>
      <c r="BC66" s="946">
        <f t="shared" si="24"/>
        <v>75101.94515</v>
      </c>
      <c r="BU66" s="1371">
        <v>2014</v>
      </c>
      <c r="BV66" s="1377">
        <f t="shared" si="21"/>
        <v>79058</v>
      </c>
      <c r="BW66" s="946">
        <v>14173.19</v>
      </c>
      <c r="BX66" s="946">
        <v>75172.774399999995</v>
      </c>
      <c r="BY66" s="946">
        <f>BW66</f>
        <v>14173.19</v>
      </c>
      <c r="CZ66" s="811">
        <v>2001</v>
      </c>
      <c r="DA66" s="866">
        <v>8943.5825999999997</v>
      </c>
      <c r="DB66" s="492"/>
      <c r="DC66" s="491">
        <v>1.0509999999999999</v>
      </c>
      <c r="DD66" s="492"/>
      <c r="DE66" s="491" t="e">
        <v>#REF!</v>
      </c>
      <c r="DF66" s="492"/>
      <c r="DG66" s="491">
        <f t="shared" si="35"/>
        <v>1.138680798019565</v>
      </c>
      <c r="DH66" s="492"/>
      <c r="DI66" s="474" t="e">
        <f t="shared" si="36"/>
        <v>#REF!</v>
      </c>
      <c r="DJ66" s="492"/>
      <c r="DK66" s="866">
        <v>5325.8</v>
      </c>
      <c r="DL66" s="492"/>
      <c r="DM66" s="491">
        <v>1.1000000000000001</v>
      </c>
      <c r="DN66" s="492"/>
      <c r="DO66" s="866">
        <v>1504.7</v>
      </c>
      <c r="DP66" s="492"/>
      <c r="DQ66" s="508">
        <v>5.2101582214210298</v>
      </c>
      <c r="DR66" s="492"/>
      <c r="DS66" s="508" t="e">
        <f>#REF!*EC65+#REF!*DQ66+#REF!</f>
        <v>#REF!</v>
      </c>
      <c r="DT66" s="492"/>
      <c r="DV66" s="1221">
        <v>2002</v>
      </c>
      <c r="DW66" s="1305">
        <f>НАСТРОЙКА!CY143</f>
        <v>5.5837802144642392</v>
      </c>
      <c r="DX66" s="1306">
        <f t="shared" si="29"/>
        <v>25</v>
      </c>
      <c r="DY66" s="1347">
        <f t="shared" si="33"/>
        <v>6.554591203741027</v>
      </c>
      <c r="DZ66" s="1247">
        <f t="shared" si="34"/>
        <v>13.328646150124968</v>
      </c>
      <c r="EA66" s="1306">
        <f t="shared" si="30"/>
        <v>31.4</v>
      </c>
      <c r="EB66" s="1242">
        <v>6.1936348205467269</v>
      </c>
      <c r="EC66" s="1308">
        <v>5.6965406483895409</v>
      </c>
      <c r="ES66" s="1242">
        <f t="shared" si="31"/>
        <v>6.1936348205467269</v>
      </c>
      <c r="ET66" s="1308">
        <f t="shared" si="32"/>
        <v>5.6965406483895409</v>
      </c>
    </row>
    <row r="67" spans="5:150" ht="21">
      <c r="E67" s="1371">
        <v>2015</v>
      </c>
      <c r="F67" s="1219">
        <v>10721</v>
      </c>
      <c r="G67" s="1211">
        <v>13897.2</v>
      </c>
      <c r="H67" s="1211">
        <f t="shared" si="22"/>
        <v>13853.59288</v>
      </c>
      <c r="I67" s="1211">
        <f t="shared" si="27"/>
        <v>13853.59288</v>
      </c>
      <c r="AB67" s="1371">
        <v>2015</v>
      </c>
      <c r="AC67" s="1377">
        <f t="shared" si="19"/>
        <v>83094</v>
      </c>
      <c r="AD67" s="946">
        <v>13897.2</v>
      </c>
      <c r="AE67" s="946">
        <f t="shared" si="23"/>
        <v>79891.179019999996</v>
      </c>
      <c r="AF67" s="946">
        <f t="shared" si="28"/>
        <v>79891.179019999996</v>
      </c>
      <c r="AZ67" s="1371">
        <v>2015</v>
      </c>
      <c r="BA67" s="1377">
        <v>83094</v>
      </c>
      <c r="BB67" s="946" t="e">
        <v>#REF!</v>
      </c>
      <c r="BC67" s="946">
        <f t="shared" si="24"/>
        <v>79891.179019999996</v>
      </c>
      <c r="BU67" s="1371">
        <v>2015</v>
      </c>
      <c r="BV67" s="1377">
        <f t="shared" si="21"/>
        <v>83094</v>
      </c>
      <c r="BW67" s="946">
        <v>14684.12</v>
      </c>
      <c r="BX67" s="946">
        <v>80002.985769999999</v>
      </c>
      <c r="BY67" s="946">
        <f>BW67</f>
        <v>14684.12</v>
      </c>
      <c r="CZ67" s="811">
        <v>2002</v>
      </c>
      <c r="DA67" s="866">
        <v>10819.270899999998</v>
      </c>
      <c r="DB67" s="492"/>
      <c r="DC67" s="491">
        <v>1.0469999999999999</v>
      </c>
      <c r="DD67" s="492"/>
      <c r="DE67" s="491" t="e">
        <v>#REF!</v>
      </c>
      <c r="DF67" s="492"/>
      <c r="DG67" s="491">
        <f t="shared" si="35"/>
        <v>1.1921987955264846</v>
      </c>
      <c r="DH67" s="492"/>
      <c r="DI67" s="474" t="e">
        <f t="shared" si="36"/>
        <v>#REF!</v>
      </c>
      <c r="DJ67" s="492"/>
      <c r="DK67" s="866">
        <v>6831</v>
      </c>
      <c r="DL67" s="492"/>
      <c r="DM67" s="491">
        <v>1.028</v>
      </c>
      <c r="DN67" s="492"/>
      <c r="DO67" s="866">
        <v>1762.4</v>
      </c>
      <c r="DP67" s="492"/>
      <c r="DQ67" s="508">
        <v>5.9296464112464475</v>
      </c>
      <c r="DR67" s="492"/>
      <c r="DS67" s="508" t="e">
        <f>#REF!*EC66+#REF!*DQ67+#REF!</f>
        <v>#REF!</v>
      </c>
      <c r="DT67" s="492"/>
      <c r="DV67" s="1221">
        <v>2003</v>
      </c>
      <c r="DW67" s="1305">
        <f>НАСТРОЙКА!CY144</f>
        <v>6.2538338401999489</v>
      </c>
      <c r="DX67" s="1306">
        <f t="shared" si="29"/>
        <v>28.9</v>
      </c>
      <c r="DY67" s="1347">
        <f t="shared" si="33"/>
        <v>7.3861421481899514</v>
      </c>
      <c r="DZ67" s="1247">
        <f t="shared" si="34"/>
        <v>13.212683688139963</v>
      </c>
      <c r="EA67" s="1306">
        <f t="shared" si="30"/>
        <v>29.45</v>
      </c>
      <c r="EB67" s="1242">
        <v>6.7152546240758211</v>
      </c>
      <c r="EC67" s="1308">
        <v>5.788123461724906</v>
      </c>
      <c r="ES67" s="1242">
        <f t="shared" si="31"/>
        <v>6.7152546240758211</v>
      </c>
      <c r="ET67" s="1308">
        <f t="shared" si="32"/>
        <v>5.788123461724906</v>
      </c>
    </row>
    <row r="68" spans="5:150" ht="21">
      <c r="E68" s="1371">
        <v>2016</v>
      </c>
      <c r="F68" s="1219">
        <v>13256</v>
      </c>
      <c r="G68" s="1211">
        <v>14748.8</v>
      </c>
      <c r="H68" s="1211">
        <f t="shared" si="22"/>
        <v>14493.864529999999</v>
      </c>
      <c r="I68" s="1211">
        <f t="shared" si="27"/>
        <v>14493.864529999999</v>
      </c>
      <c r="AB68" s="1371">
        <v>2016</v>
      </c>
      <c r="AC68" s="1377">
        <f t="shared" si="19"/>
        <v>86014</v>
      </c>
      <c r="AD68" s="946">
        <v>14748.8</v>
      </c>
      <c r="AE68" s="946">
        <f t="shared" si="23"/>
        <v>83746.8</v>
      </c>
      <c r="AF68" s="946">
        <f t="shared" si="28"/>
        <v>83746.8</v>
      </c>
      <c r="AZ68" s="1371">
        <v>2016</v>
      </c>
      <c r="BA68" s="1377">
        <v>86014</v>
      </c>
      <c r="BB68" s="946" t="e">
        <v>#REF!</v>
      </c>
      <c r="BC68" s="946">
        <f t="shared" si="24"/>
        <v>83746.8</v>
      </c>
      <c r="BU68" s="1371">
        <v>2016</v>
      </c>
      <c r="BV68" s="1377">
        <f t="shared" si="21"/>
        <v>86014</v>
      </c>
      <c r="BW68" s="946">
        <v>15728.49</v>
      </c>
      <c r="BX68" s="946">
        <v>83831.541670000006</v>
      </c>
      <c r="BY68" s="946">
        <f>BW68</f>
        <v>15728.49</v>
      </c>
      <c r="CZ68" s="811">
        <v>2003</v>
      </c>
      <c r="DA68" s="866">
        <v>13208.250299999998</v>
      </c>
      <c r="DB68" s="492"/>
      <c r="DC68" s="491">
        <v>1.073</v>
      </c>
      <c r="DD68" s="492"/>
      <c r="DE68" s="491" t="e">
        <v>#REF!</v>
      </c>
      <c r="DF68" s="492"/>
      <c r="DG68" s="491">
        <f t="shared" si="35"/>
        <v>1.2792293075999179</v>
      </c>
      <c r="DH68" s="492"/>
      <c r="DI68" s="474" t="e">
        <f t="shared" si="36"/>
        <v>#REF!</v>
      </c>
      <c r="DJ68" s="492"/>
      <c r="DK68" s="866">
        <v>8900.5</v>
      </c>
      <c r="DL68" s="492"/>
      <c r="DM68" s="491">
        <v>1.125</v>
      </c>
      <c r="DN68" s="492"/>
      <c r="DO68" s="866">
        <v>2186.4</v>
      </c>
      <c r="DP68" s="492"/>
      <c r="DQ68" s="508">
        <v>6.7748611993914016</v>
      </c>
      <c r="DR68" s="492"/>
      <c r="DS68" s="508" t="e">
        <f>#REF!*EC67+#REF!*DQ68+#REF!</f>
        <v>#REF!</v>
      </c>
      <c r="DT68" s="492"/>
      <c r="DV68" s="1221">
        <v>2004</v>
      </c>
      <c r="DW68" s="1305">
        <f>НАСТРОЙКА!CY145</f>
        <v>6.9855323995033425</v>
      </c>
      <c r="DX68" s="1306">
        <f t="shared" si="29"/>
        <v>38.299999999999997</v>
      </c>
      <c r="DY68" s="1347">
        <f t="shared" si="33"/>
        <v>8.5512557795281747</v>
      </c>
      <c r="DZ68" s="1247">
        <f t="shared" si="34"/>
        <v>13.214872679652338</v>
      </c>
      <c r="EA68" s="1306">
        <f t="shared" si="30"/>
        <v>27.75</v>
      </c>
      <c r="EB68" s="1242">
        <v>7.5604196927091616</v>
      </c>
      <c r="EC68" s="1308">
        <v>5.6171649663435321</v>
      </c>
      <c r="ES68" s="1242">
        <f t="shared" si="31"/>
        <v>7.5604196927091616</v>
      </c>
      <c r="ET68" s="1308">
        <f t="shared" si="32"/>
        <v>5.6171649663435321</v>
      </c>
    </row>
    <row r="69" spans="5:150" ht="21">
      <c r="E69" s="1371">
        <v>2017</v>
      </c>
      <c r="F69" s="1374"/>
      <c r="G69" s="490"/>
      <c r="H69" s="492"/>
      <c r="I69" s="492"/>
      <c r="AB69" s="1371">
        <v>2017</v>
      </c>
      <c r="AC69" s="1377"/>
      <c r="AD69" s="490">
        <f>ОТЧЁТ!AQ79</f>
        <v>16027.3</v>
      </c>
      <c r="AE69" s="492"/>
      <c r="AF69" s="492"/>
      <c r="AZ69" s="1371">
        <v>2017</v>
      </c>
      <c r="BA69" s="1377"/>
      <c r="BB69" s="490"/>
      <c r="BC69" s="492"/>
      <c r="BU69" s="1371">
        <v>2017</v>
      </c>
      <c r="BV69" s="1377"/>
      <c r="BW69" s="490"/>
      <c r="BX69" s="492"/>
      <c r="BY69" s="492"/>
      <c r="CZ69" s="811">
        <v>2004</v>
      </c>
      <c r="DA69" s="866">
        <v>17027.166999999998</v>
      </c>
      <c r="DB69" s="492"/>
      <c r="DC69" s="491">
        <v>1.0720000000000001</v>
      </c>
      <c r="DD69" s="492"/>
      <c r="DE69" s="491" t="e">
        <v>#REF!</v>
      </c>
      <c r="DF69" s="492"/>
      <c r="DG69" s="491">
        <f t="shared" si="35"/>
        <v>1.3713338177471122</v>
      </c>
      <c r="DH69" s="492"/>
      <c r="DI69" s="474" t="e">
        <f t="shared" si="36"/>
        <v>#REF!</v>
      </c>
      <c r="DJ69" s="492"/>
      <c r="DK69" s="866">
        <v>10976.3</v>
      </c>
      <c r="DL69" s="492"/>
      <c r="DM69" s="491">
        <v>1.137</v>
      </c>
      <c r="DN69" s="492"/>
      <c r="DO69" s="866">
        <v>2865</v>
      </c>
      <c r="DP69" s="492"/>
      <c r="DQ69" s="508">
        <v>7.9881324646136438</v>
      </c>
      <c r="DR69" s="492"/>
      <c r="DS69" s="508" t="e">
        <f>#REF!*EC68+#REF!*DQ69+#REF!</f>
        <v>#REF!</v>
      </c>
      <c r="DT69" s="492"/>
      <c r="DV69" s="1221">
        <v>2005</v>
      </c>
      <c r="DW69" s="1305">
        <f>НАСТРОЙКА!CY146</f>
        <v>7.7469554310492068</v>
      </c>
      <c r="DX69" s="1306">
        <f t="shared" si="29"/>
        <v>54.4</v>
      </c>
      <c r="DY69" s="1347">
        <f t="shared" si="33"/>
        <v>10.079607659496746</v>
      </c>
      <c r="DZ69" s="1247">
        <f t="shared" si="34"/>
        <v>14.056868801734446</v>
      </c>
      <c r="EA69" s="1306">
        <f t="shared" si="30"/>
        <v>28.78</v>
      </c>
      <c r="EB69" s="1242">
        <v>9.215042167890525</v>
      </c>
      <c r="EC69" s="1308">
        <v>5.9336563381172764</v>
      </c>
      <c r="ES69" s="1242">
        <f t="shared" si="31"/>
        <v>9.215042167890525</v>
      </c>
      <c r="ET69" s="1308">
        <f t="shared" si="32"/>
        <v>5.9336563381172764</v>
      </c>
    </row>
    <row r="70" spans="5:150" ht="21">
      <c r="E70" s="1371">
        <v>2018</v>
      </c>
      <c r="F70" s="1374"/>
      <c r="G70" s="490"/>
      <c r="H70" s="492"/>
      <c r="I70" s="492"/>
      <c r="AB70" s="1371">
        <v>2018</v>
      </c>
      <c r="AC70" s="1377"/>
      <c r="AD70" s="490"/>
      <c r="AE70" s="492"/>
      <c r="AF70" s="492"/>
      <c r="AZ70" s="1371">
        <v>2018</v>
      </c>
      <c r="BA70" s="1377"/>
      <c r="BB70" s="490"/>
      <c r="BC70" s="492"/>
      <c r="BU70" s="1371">
        <v>2018</v>
      </c>
      <c r="BV70" s="1377"/>
      <c r="BW70" s="490"/>
      <c r="BX70" s="492"/>
      <c r="BY70" s="492"/>
      <c r="CZ70" s="811">
        <v>2005</v>
      </c>
      <c r="DA70" s="866">
        <v>21609.765799999997</v>
      </c>
      <c r="DB70" s="492"/>
      <c r="DC70" s="491">
        <v>1.0640000000000001</v>
      </c>
      <c r="DD70" s="492"/>
      <c r="DE70" s="491" t="e">
        <v>#REF!</v>
      </c>
      <c r="DF70" s="492"/>
      <c r="DG70" s="491">
        <f t="shared" si="35"/>
        <v>1.4590991820829273</v>
      </c>
      <c r="DH70" s="492"/>
      <c r="DI70" s="474" t="e">
        <f t="shared" si="36"/>
        <v>#REF!</v>
      </c>
      <c r="DJ70" s="492"/>
      <c r="DK70" s="866">
        <v>13819</v>
      </c>
      <c r="DL70" s="492"/>
      <c r="DM70" s="491">
        <v>1.1020000000000001</v>
      </c>
      <c r="DN70" s="492"/>
      <c r="DO70" s="866">
        <v>3611.1</v>
      </c>
      <c r="DP70" s="492"/>
      <c r="DQ70" s="508">
        <v>9.5753506090096341</v>
      </c>
      <c r="DR70" s="492"/>
      <c r="DS70" s="508" t="e">
        <f>#REF!*EC69+#REF!*DQ70+#REF!</f>
        <v>#REF!</v>
      </c>
      <c r="DT70" s="492"/>
      <c r="DV70" s="1221">
        <v>2006</v>
      </c>
      <c r="DW70" s="1305">
        <f>НАСТРОЙКА!CY147</f>
        <v>8.4441814198436358</v>
      </c>
      <c r="DX70" s="1306">
        <f t="shared" si="29"/>
        <v>65.400000000000006</v>
      </c>
      <c r="DY70" s="1347">
        <f t="shared" si="33"/>
        <v>11.291972348851456</v>
      </c>
      <c r="DZ70" s="1247">
        <f t="shared" si="34"/>
        <v>13.809926993890544</v>
      </c>
      <c r="EA70" s="1306">
        <f t="shared" si="30"/>
        <v>26.33</v>
      </c>
      <c r="EB70" s="1242">
        <v>10.249953881504441</v>
      </c>
      <c r="EC70" s="1308">
        <v>5.9494755268032087</v>
      </c>
      <c r="ES70" s="1242">
        <f t="shared" si="31"/>
        <v>10.249953881504441</v>
      </c>
      <c r="ET70" s="1308">
        <f t="shared" si="32"/>
        <v>5.9494755268032087</v>
      </c>
    </row>
    <row r="71" spans="5:150" ht="21">
      <c r="E71" s="1371">
        <v>2019</v>
      </c>
      <c r="F71" s="1374"/>
      <c r="G71" s="490"/>
      <c r="H71" s="492"/>
      <c r="I71" s="492"/>
      <c r="AB71" s="1371">
        <v>2019</v>
      </c>
      <c r="AC71" s="1377"/>
      <c r="AD71" s="490"/>
      <c r="AE71" s="492"/>
      <c r="AF71" s="492"/>
      <c r="AZ71" s="1371">
        <v>2019</v>
      </c>
      <c r="BA71" s="1377"/>
      <c r="BB71" s="490"/>
      <c r="BC71" s="492"/>
      <c r="BU71" s="1371">
        <v>2019</v>
      </c>
      <c r="BV71" s="1377"/>
      <c r="BW71" s="490"/>
      <c r="BX71" s="492"/>
      <c r="BY71" s="492"/>
      <c r="CZ71" s="811">
        <v>2006</v>
      </c>
      <c r="DA71" s="866">
        <v>26917.203699999998</v>
      </c>
      <c r="DB71" s="485"/>
      <c r="DC71" s="491">
        <v>1.0820000000000001</v>
      </c>
      <c r="DD71" s="485"/>
      <c r="DE71" s="491" t="e">
        <v>#REF!</v>
      </c>
      <c r="DF71" s="485"/>
      <c r="DG71" s="491">
        <f t="shared" si="35"/>
        <v>1.5787453150137274</v>
      </c>
      <c r="DH71" s="485"/>
      <c r="DI71" s="474" t="e">
        <f t="shared" si="36"/>
        <v>#REF!</v>
      </c>
      <c r="DJ71" s="485"/>
      <c r="DK71" s="866">
        <v>17290.099999999999</v>
      </c>
      <c r="DL71" s="485"/>
      <c r="DM71" s="491">
        <v>1.167</v>
      </c>
      <c r="DN71" s="485"/>
      <c r="DO71" s="866">
        <v>4730</v>
      </c>
      <c r="DP71" s="485"/>
      <c r="DQ71" s="508">
        <v>10.995998689731229</v>
      </c>
      <c r="DR71" s="485"/>
      <c r="DS71" s="508" t="e">
        <f>#REF!*EC70+#REF!*DQ71+#REF!</f>
        <v>#REF!</v>
      </c>
      <c r="DT71" s="485"/>
      <c r="DV71" s="1221">
        <v>2007</v>
      </c>
      <c r="DW71" s="1305">
        <f>НАСТРОЙКА!CY148</f>
        <v>9.4465057543790749</v>
      </c>
      <c r="DX71" s="1306">
        <f t="shared" si="29"/>
        <v>72.7</v>
      </c>
      <c r="DY71" s="1347">
        <f t="shared" si="33"/>
        <v>12.609180466660121</v>
      </c>
      <c r="DZ71" s="1247">
        <f t="shared" si="34"/>
        <v>14.286554028065352</v>
      </c>
      <c r="EA71" s="1306">
        <f t="shared" si="30"/>
        <v>25.58</v>
      </c>
      <c r="EB71" s="1242">
        <v>10.650833844352405</v>
      </c>
      <c r="EC71" s="1308">
        <v>5.9724865903412292</v>
      </c>
      <c r="ES71" s="1242">
        <f t="shared" si="31"/>
        <v>10.650833844352405</v>
      </c>
      <c r="ET71" s="1308">
        <f t="shared" si="32"/>
        <v>5.9724865903412292</v>
      </c>
    </row>
    <row r="72" spans="5:150" ht="21">
      <c r="E72" s="1371">
        <v>2020</v>
      </c>
      <c r="F72" s="1374"/>
      <c r="G72" s="490"/>
      <c r="H72" s="492"/>
      <c r="I72" s="492"/>
      <c r="AB72" s="1371">
        <v>2020</v>
      </c>
      <c r="AC72" s="1377"/>
      <c r="AD72" s="490"/>
      <c r="AE72" s="492"/>
      <c r="AF72" s="492"/>
      <c r="AZ72" s="1371">
        <v>2020</v>
      </c>
      <c r="BA72" s="1377"/>
      <c r="BB72" s="490"/>
      <c r="BC72" s="492"/>
      <c r="BU72" s="1371">
        <v>2020</v>
      </c>
      <c r="BV72" s="1377"/>
      <c r="BW72" s="490"/>
      <c r="BX72" s="492"/>
      <c r="BY72" s="492"/>
      <c r="CZ72" s="811">
        <v>2007</v>
      </c>
      <c r="DA72" s="866">
        <v>33247.513200000001</v>
      </c>
      <c r="DB72" s="503"/>
      <c r="DC72" s="491">
        <v>1.085</v>
      </c>
      <c r="DD72" s="503"/>
      <c r="DE72" s="491" t="e">
        <v>#REF!</v>
      </c>
      <c r="DF72" s="503"/>
      <c r="DG72" s="491">
        <f t="shared" si="35"/>
        <v>1.7129386667898943</v>
      </c>
      <c r="DH72" s="503"/>
      <c r="DI72" s="474" t="e">
        <f t="shared" si="36"/>
        <v>#REF!</v>
      </c>
      <c r="DJ72" s="503"/>
      <c r="DK72" s="866">
        <v>21311.5</v>
      </c>
      <c r="DL72" s="503"/>
      <c r="DM72" s="491">
        <v>1.2270000000000001</v>
      </c>
      <c r="DN72" s="503"/>
      <c r="DO72" s="866">
        <v>6716.2219999999998</v>
      </c>
      <c r="DP72" s="503"/>
      <c r="DQ72" s="508">
        <v>12.595094794725632</v>
      </c>
      <c r="DR72" s="503"/>
      <c r="DS72" s="508" t="e">
        <f>#REF!*EC71+#REF!*DQ72+#REF!</f>
        <v>#REF!</v>
      </c>
      <c r="DT72" s="503"/>
      <c r="DV72" s="1221">
        <v>2008</v>
      </c>
      <c r="DW72" s="1305">
        <f>НАСТРОЙКА!CY149</f>
        <v>10.701001718560617</v>
      </c>
      <c r="DX72" s="1306">
        <f t="shared" si="29"/>
        <v>97.7</v>
      </c>
      <c r="DY72" s="1347">
        <f t="shared" si="33"/>
        <v>15.050951632632586</v>
      </c>
      <c r="DZ72" s="1247">
        <f t="shared" si="34"/>
        <v>14.945701202992431</v>
      </c>
      <c r="EA72" s="1306">
        <f t="shared" si="30"/>
        <v>24.85</v>
      </c>
      <c r="EB72" s="1242">
        <v>13.643325842032947</v>
      </c>
      <c r="EC72" s="1308">
        <v>6.6180737006266304</v>
      </c>
      <c r="ES72" s="1242">
        <f t="shared" si="31"/>
        <v>13.643325842032947</v>
      </c>
      <c r="ET72" s="1308">
        <f t="shared" si="32"/>
        <v>6.6180737006266304</v>
      </c>
    </row>
    <row r="73" spans="5:150" ht="21">
      <c r="E73" s="1371">
        <v>2021</v>
      </c>
      <c r="F73" s="1374"/>
      <c r="G73" s="490"/>
      <c r="H73" s="492"/>
      <c r="I73" s="492"/>
      <c r="AB73" s="1371">
        <v>2021</v>
      </c>
      <c r="AC73" s="1377"/>
      <c r="AD73" s="490"/>
      <c r="AE73" s="492"/>
      <c r="AF73" s="492"/>
      <c r="AZ73" s="1371">
        <v>2021</v>
      </c>
      <c r="BA73" s="1377"/>
      <c r="BB73" s="490"/>
      <c r="BC73" s="492"/>
      <c r="BU73" s="1371">
        <v>2021</v>
      </c>
      <c r="BV73" s="1377"/>
      <c r="BW73" s="490"/>
      <c r="BX73" s="492"/>
      <c r="BY73" s="492"/>
      <c r="CZ73" s="811">
        <v>2008</v>
      </c>
      <c r="DA73" s="866">
        <v>41276.849199999997</v>
      </c>
      <c r="DB73" s="503"/>
      <c r="DC73" s="491">
        <v>1.052</v>
      </c>
      <c r="DD73" s="503"/>
      <c r="DE73" s="491" t="e">
        <v>#REF!</v>
      </c>
      <c r="DF73" s="503"/>
      <c r="DG73" s="491">
        <f t="shared" si="35"/>
        <v>1.8020114774629687</v>
      </c>
      <c r="DH73" s="503"/>
      <c r="DI73" s="474" t="e">
        <f t="shared" si="36"/>
        <v>#REF!</v>
      </c>
      <c r="DJ73" s="503"/>
      <c r="DK73" s="866">
        <v>25244</v>
      </c>
      <c r="DL73" s="503"/>
      <c r="DM73" s="491">
        <v>1.095</v>
      </c>
      <c r="DN73" s="503"/>
      <c r="DO73" s="866">
        <v>8781.616</v>
      </c>
      <c r="DP73" s="503"/>
      <c r="DQ73" s="508">
        <v>14.90816825584335</v>
      </c>
      <c r="DR73" s="503"/>
      <c r="DS73" s="508" t="e">
        <f>#REF!*EC72+#REF!*DQ73+#REF!</f>
        <v>#REF!</v>
      </c>
      <c r="DT73" s="503"/>
      <c r="DV73" s="1221">
        <v>2009</v>
      </c>
      <c r="DW73" s="1305">
        <f>НАСТРОЙКА!CY150</f>
        <v>11.642689869793951</v>
      </c>
      <c r="DX73" s="1306">
        <f t="shared" si="29"/>
        <v>61.9</v>
      </c>
      <c r="DY73" s="1347">
        <f t="shared" si="33"/>
        <v>14.155555376304253</v>
      </c>
      <c r="DZ73" s="1247">
        <f t="shared" si="34"/>
        <v>17.665882908855764</v>
      </c>
      <c r="EA73" s="1306">
        <f t="shared" si="30"/>
        <v>31.72</v>
      </c>
      <c r="EB73" s="1242">
        <v>12.010355196687106</v>
      </c>
      <c r="EC73" s="1308">
        <v>8.3015732196072296</v>
      </c>
      <c r="ES73" s="1242">
        <f t="shared" si="31"/>
        <v>12.010355196687106</v>
      </c>
      <c r="ET73" s="1308">
        <f t="shared" si="32"/>
        <v>8.3015732196072296</v>
      </c>
    </row>
    <row r="74" spans="5:150" ht="21">
      <c r="E74" s="1371">
        <v>2022</v>
      </c>
      <c r="F74" s="1374"/>
      <c r="G74" s="490"/>
      <c r="H74" s="492"/>
      <c r="I74" s="492"/>
      <c r="AB74" s="1371">
        <v>2022</v>
      </c>
      <c r="AC74" s="1377"/>
      <c r="AD74" s="490"/>
      <c r="AE74" s="492"/>
      <c r="AF74" s="492"/>
      <c r="AZ74" s="1371">
        <v>2022</v>
      </c>
      <c r="BA74" s="1377"/>
      <c r="BB74" s="490"/>
      <c r="BC74" s="492"/>
      <c r="BU74" s="1371">
        <v>2022</v>
      </c>
      <c r="BV74" s="1377"/>
      <c r="BW74" s="490"/>
      <c r="BX74" s="492"/>
      <c r="BY74" s="492"/>
      <c r="CZ74" s="811">
        <v>2009</v>
      </c>
      <c r="DA74" s="866">
        <v>38807.270899999996</v>
      </c>
      <c r="DB74" s="503"/>
      <c r="DC74" s="491">
        <v>0.92100000000000004</v>
      </c>
      <c r="DD74" s="503"/>
      <c r="DE74" s="491" t="e">
        <v>#REF!</v>
      </c>
      <c r="DF74" s="503"/>
      <c r="DG74" s="491">
        <f t="shared" si="35"/>
        <v>1.6596525707433942</v>
      </c>
      <c r="DH74" s="503"/>
      <c r="DI74" s="474" t="e">
        <f t="shared" si="36"/>
        <v>#REF!</v>
      </c>
      <c r="DJ74" s="503"/>
      <c r="DK74" s="866">
        <v>28697.5</v>
      </c>
      <c r="DL74" s="503"/>
      <c r="DM74" s="491">
        <v>0.86499999999999999</v>
      </c>
      <c r="DN74" s="503"/>
      <c r="DO74" s="866">
        <v>7976.0129999999999</v>
      </c>
      <c r="DP74" s="503"/>
      <c r="DQ74" s="508">
        <v>15.145649385720535</v>
      </c>
      <c r="DR74" s="503"/>
      <c r="DS74" s="508" t="e">
        <f>#REF!*EC73+#REF!*DQ74+#REF!</f>
        <v>#REF!</v>
      </c>
      <c r="DT74" s="503"/>
      <c r="DV74" s="1221">
        <v>2010</v>
      </c>
      <c r="DW74" s="1305">
        <f>НАСТРОЙКА!CY151</f>
        <v>12.664918040361862</v>
      </c>
      <c r="DX74" s="1306">
        <f t="shared" si="29"/>
        <v>79.599999999999994</v>
      </c>
      <c r="DY74" s="1347">
        <f t="shared" si="33"/>
        <v>16.011672138343766</v>
      </c>
      <c r="DZ74" s="1247">
        <f t="shared" si="34"/>
        <v>17.976442628253302</v>
      </c>
      <c r="EA74" s="1306">
        <f t="shared" si="30"/>
        <v>30.37</v>
      </c>
      <c r="EB74" s="1242">
        <v>14.006747557636276</v>
      </c>
      <c r="EC74" s="1308">
        <v>8.121605375451491</v>
      </c>
      <c r="ES74" s="1242">
        <f t="shared" si="31"/>
        <v>14.006747557636276</v>
      </c>
      <c r="ET74" s="1308">
        <f t="shared" si="32"/>
        <v>8.121605375451491</v>
      </c>
    </row>
    <row r="75" spans="5:150" ht="21">
      <c r="E75" s="1371">
        <v>2023</v>
      </c>
      <c r="F75" s="1374"/>
      <c r="G75" s="490"/>
      <c r="H75" s="485"/>
      <c r="I75" s="485"/>
      <c r="AB75" s="1371">
        <v>2023</v>
      </c>
      <c r="AC75" s="1377"/>
      <c r="AD75" s="490"/>
      <c r="AE75" s="485"/>
      <c r="AF75" s="485"/>
      <c r="AZ75" s="1371">
        <v>2023</v>
      </c>
      <c r="BA75" s="1377"/>
      <c r="BB75" s="490"/>
      <c r="BC75" s="485"/>
      <c r="BU75" s="1371">
        <v>2023</v>
      </c>
      <c r="BV75" s="1377"/>
      <c r="BW75" s="490"/>
      <c r="BX75" s="485"/>
      <c r="BY75" s="485"/>
      <c r="CZ75" s="811">
        <v>2010</v>
      </c>
      <c r="DA75" s="866">
        <v>46308.53100000001</v>
      </c>
      <c r="DB75" s="503"/>
      <c r="DC75" s="491">
        <v>1.0449999999999999</v>
      </c>
      <c r="DD75" s="503"/>
      <c r="DE75" s="491" t="e">
        <v>#REF!</v>
      </c>
      <c r="DF75" s="503"/>
      <c r="DG75" s="491">
        <f t="shared" si="35"/>
        <v>1.7343369364268468</v>
      </c>
      <c r="DH75" s="503"/>
      <c r="DI75" s="474" t="e">
        <f t="shared" si="36"/>
        <v>#REF!</v>
      </c>
      <c r="DJ75" s="503"/>
      <c r="DK75" s="866">
        <v>32498.3</v>
      </c>
      <c r="DL75" s="503"/>
      <c r="DM75" s="491">
        <v>1.0629999999999999</v>
      </c>
      <c r="DN75" s="503"/>
      <c r="DO75" s="866">
        <v>9152.1</v>
      </c>
      <c r="DP75" s="503"/>
      <c r="DQ75" s="508">
        <v>17.430127110309737</v>
      </c>
      <c r="DR75" s="503"/>
      <c r="DS75" s="508" t="e">
        <f>#REF!*EC74+#REF!*DQ75+#REF!</f>
        <v>#REF!</v>
      </c>
      <c r="DT75" s="503"/>
      <c r="DV75" s="1221">
        <v>2011</v>
      </c>
      <c r="DW75" s="1305">
        <f>НАСТРОЙКА!CY152</f>
        <v>13.437478040823935</v>
      </c>
      <c r="DX75" s="1306">
        <f t="shared" si="29"/>
        <v>111</v>
      </c>
      <c r="DY75" s="1347">
        <f t="shared" si="33"/>
        <v>18.315604138782739</v>
      </c>
      <c r="DZ75" s="1247">
        <f t="shared" si="34"/>
        <v>18.223234628576755</v>
      </c>
      <c r="EA75" s="1306">
        <f t="shared" si="30"/>
        <v>29.39</v>
      </c>
      <c r="EB75" s="1242">
        <v>17.408124468926459</v>
      </c>
      <c r="EC75" s="1308">
        <v>8.2828741918760365</v>
      </c>
      <c r="ES75" s="1242">
        <f t="shared" si="31"/>
        <v>17.408124468926459</v>
      </c>
      <c r="ET75" s="1308">
        <f t="shared" si="32"/>
        <v>8.2828741918760365</v>
      </c>
    </row>
    <row r="76" spans="5:150" ht="21">
      <c r="E76" s="1371">
        <v>2024</v>
      </c>
      <c r="F76" s="1374"/>
      <c r="G76" s="490"/>
      <c r="H76" s="485"/>
      <c r="I76" s="485"/>
      <c r="AB76" s="1371">
        <v>2024</v>
      </c>
      <c r="AC76" s="1377"/>
      <c r="AD76" s="490"/>
      <c r="AE76" s="485"/>
      <c r="AF76" s="485"/>
      <c r="AZ76" s="1371">
        <v>2024</v>
      </c>
      <c r="BA76" s="1377"/>
      <c r="BB76" s="490"/>
      <c r="BC76" s="485"/>
      <c r="BU76" s="1371">
        <v>2024</v>
      </c>
      <c r="BV76" s="1377"/>
      <c r="BW76" s="490"/>
      <c r="BX76" s="485"/>
      <c r="BY76" s="485"/>
      <c r="CZ76" s="811">
        <v>2011</v>
      </c>
      <c r="DA76" s="866">
        <v>60282.540400000005</v>
      </c>
      <c r="DB76" s="503"/>
      <c r="DC76" s="491">
        <v>1.0429999999999999</v>
      </c>
      <c r="DD76" s="503"/>
      <c r="DE76" s="491" t="e">
        <v>#REF!</v>
      </c>
      <c r="DF76" s="503"/>
      <c r="DG76" s="491">
        <f t="shared" si="35"/>
        <v>1.808913424693201</v>
      </c>
      <c r="DH76" s="503"/>
      <c r="DI76" s="474" t="e">
        <f t="shared" si="36"/>
        <v>#REF!</v>
      </c>
      <c r="DJ76" s="503"/>
      <c r="DK76" s="866">
        <v>35648.699999999997</v>
      </c>
      <c r="DL76" s="503"/>
      <c r="DM76" s="491">
        <v>1.1080000000000001</v>
      </c>
      <c r="DN76" s="503"/>
      <c r="DO76" s="866">
        <v>11035.652</v>
      </c>
      <c r="DP76" s="503"/>
      <c r="DQ76" s="508">
        <v>20.042935553606711</v>
      </c>
      <c r="DR76" s="503"/>
      <c r="DS76" s="508" t="e">
        <f>#REF!*EC75+#REF!*DQ76+#REF!</f>
        <v>#REF!</v>
      </c>
      <c r="DT76" s="503"/>
      <c r="DV76" s="1221">
        <v>2012</v>
      </c>
      <c r="DW76" s="1305">
        <f>НАСТРОЙКА!CY153</f>
        <v>14.321664095910151</v>
      </c>
      <c r="DX76" s="1306">
        <f t="shared" si="29"/>
        <v>111.4</v>
      </c>
      <c r="DY76" s="1347">
        <f t="shared" si="33"/>
        <v>19.175580891114642</v>
      </c>
      <c r="DZ76" s="1247">
        <f t="shared" si="34"/>
        <v>19.349164867137105</v>
      </c>
      <c r="EA76" s="1306">
        <f t="shared" si="30"/>
        <v>31.08</v>
      </c>
      <c r="EB76" s="1242">
        <v>18.653542469425737</v>
      </c>
      <c r="EC76" s="1308">
        <v>8.6670199170643638</v>
      </c>
      <c r="ES76" s="1242">
        <f t="shared" si="31"/>
        <v>18.653542469425737</v>
      </c>
      <c r="ET76" s="1308">
        <f t="shared" si="32"/>
        <v>8.6670199170643638</v>
      </c>
    </row>
    <row r="77" spans="5:150" ht="21">
      <c r="E77" s="1371">
        <v>2025</v>
      </c>
      <c r="F77" s="1374"/>
      <c r="G77" s="490"/>
      <c r="H77" s="485"/>
      <c r="I77" s="485"/>
      <c r="AB77" s="1371">
        <v>2025</v>
      </c>
      <c r="AC77" s="1377"/>
      <c r="AD77" s="490"/>
      <c r="AE77" s="485"/>
      <c r="AF77" s="485"/>
      <c r="AZ77" s="1371">
        <v>2025</v>
      </c>
      <c r="BA77" s="1377"/>
      <c r="BB77" s="490"/>
      <c r="BC77" s="485"/>
      <c r="BU77" s="1371">
        <v>2025</v>
      </c>
      <c r="BV77" s="1377"/>
      <c r="BW77" s="490"/>
      <c r="BX77" s="485"/>
      <c r="BY77" s="485"/>
      <c r="CZ77" s="811">
        <v>2012</v>
      </c>
      <c r="DA77" s="866">
        <v>68163.883100000006</v>
      </c>
      <c r="DB77" s="503"/>
      <c r="DC77" s="491">
        <v>1.0365590157306384</v>
      </c>
      <c r="DD77" s="503"/>
      <c r="DE77" s="491" t="e">
        <v>#REF!</v>
      </c>
      <c r="DF77" s="503"/>
      <c r="DG77" s="491">
        <f t="shared" si="35"/>
        <v>1.8750455190419226</v>
      </c>
      <c r="DH77" s="503"/>
      <c r="DI77" s="474" t="e">
        <f t="shared" si="36"/>
        <v>#REF!</v>
      </c>
      <c r="DJ77" s="503"/>
      <c r="DK77" s="866">
        <v>39904</v>
      </c>
      <c r="DL77" s="503"/>
      <c r="DM77" s="491">
        <v>1.0680000000000001</v>
      </c>
      <c r="DN77" s="503"/>
      <c r="DO77" s="866">
        <v>12586.090400000001</v>
      </c>
      <c r="DP77" s="503"/>
      <c r="DQ77" s="508">
        <v>21.495051558826809</v>
      </c>
      <c r="DR77" s="503"/>
      <c r="DS77" s="508" t="e">
        <f>#REF!*EC76+#REF!*DQ77+#REF!</f>
        <v>#REF!</v>
      </c>
      <c r="DT77" s="503"/>
      <c r="DV77" s="1221">
        <v>2013</v>
      </c>
      <c r="DW77" s="1305">
        <f>НАСТРОЙКА!CY154</f>
        <v>15.245411430096356</v>
      </c>
      <c r="DX77" s="1306">
        <f t="shared" si="29"/>
        <v>108.8</v>
      </c>
      <c r="DY77" s="1347">
        <f t="shared" si="33"/>
        <v>19.923140858591537</v>
      </c>
      <c r="DZ77" s="1247">
        <f t="shared" si="34"/>
        <v>20.226788001067447</v>
      </c>
      <c r="EA77" s="1306">
        <f t="shared" si="30"/>
        <v>31.85</v>
      </c>
      <c r="EB77" s="1242">
        <v>18.357364736075578</v>
      </c>
      <c r="EC77" s="1308">
        <v>9.0619465420277994</v>
      </c>
      <c r="ES77" s="1242">
        <f t="shared" si="31"/>
        <v>18.357364736075578</v>
      </c>
      <c r="ET77" s="1308">
        <f t="shared" si="32"/>
        <v>9.0619465420277994</v>
      </c>
    </row>
    <row r="78" spans="5:150" ht="21">
      <c r="E78" s="1371">
        <v>2026</v>
      </c>
      <c r="F78" s="1374"/>
      <c r="G78" s="490"/>
      <c r="H78" s="485"/>
      <c r="I78" s="485"/>
      <c r="AB78" s="1371">
        <v>2026</v>
      </c>
      <c r="AC78" s="1377"/>
      <c r="AD78" s="490"/>
      <c r="AE78" s="485"/>
      <c r="AF78" s="485"/>
      <c r="AZ78" s="1371">
        <v>2026</v>
      </c>
      <c r="BA78" s="1377"/>
      <c r="BB78" s="490"/>
      <c r="BC78" s="485"/>
      <c r="BU78" s="1371">
        <v>2026</v>
      </c>
      <c r="BV78" s="1377"/>
      <c r="BW78" s="490"/>
      <c r="BX78" s="485"/>
      <c r="BY78" s="485"/>
      <c r="CZ78" s="811">
        <v>2013</v>
      </c>
      <c r="DA78" s="866">
        <v>73133.89509999998</v>
      </c>
      <c r="DB78" s="503"/>
      <c r="DC78" s="491">
        <v>1.0178535450091057</v>
      </c>
      <c r="DD78" s="503"/>
      <c r="DE78" s="491" t="e">
        <v>#REF!</v>
      </c>
      <c r="DF78" s="503"/>
      <c r="DG78" s="491">
        <f t="shared" si="35"/>
        <v>1.9085217286102596</v>
      </c>
      <c r="DH78" s="503"/>
      <c r="DI78" s="474" t="e">
        <f t="shared" si="36"/>
        <v>#REF!</v>
      </c>
      <c r="DJ78" s="503"/>
      <c r="DK78" s="866">
        <v>44650</v>
      </c>
      <c r="DL78" s="503"/>
      <c r="DM78" s="491">
        <v>1.008</v>
      </c>
      <c r="DN78" s="503"/>
      <c r="DO78" s="866">
        <v>13450.2382</v>
      </c>
      <c r="DP78" s="503"/>
      <c r="DQ78" s="508">
        <v>22.757607622707155</v>
      </c>
      <c r="DR78" s="503"/>
      <c r="DS78" s="508" t="e">
        <f>#REF!*EC77+#REF!*DQ78+#REF!</f>
        <v>#REF!</v>
      </c>
      <c r="DT78" s="503"/>
      <c r="DV78" s="1221">
        <v>2014</v>
      </c>
      <c r="DW78" s="1305">
        <f>НАСТРОЙКА!CY155</f>
        <v>17.318787384589459</v>
      </c>
      <c r="DX78" s="1306">
        <f t="shared" si="29"/>
        <v>98.9</v>
      </c>
      <c r="DY78" s="1347">
        <f t="shared" si="33"/>
        <v>21.397848015359987</v>
      </c>
      <c r="DZ78" s="1247">
        <f t="shared" si="34"/>
        <v>23.706151169212621</v>
      </c>
      <c r="EA78" s="1306">
        <f t="shared" si="30"/>
        <v>38.61</v>
      </c>
      <c r="EB78" s="1246">
        <v>20.747451690988555</v>
      </c>
      <c r="EC78" s="1308">
        <v>10.713774916786434</v>
      </c>
      <c r="ES78" s="1242">
        <f t="shared" si="31"/>
        <v>20.747451690988555</v>
      </c>
      <c r="ET78" s="1308">
        <f t="shared" si="32"/>
        <v>10.713774916786434</v>
      </c>
    </row>
    <row r="79" spans="5:150" ht="21">
      <c r="E79" s="1371">
        <v>2027</v>
      </c>
      <c r="F79" s="1374"/>
      <c r="G79" s="490"/>
      <c r="H79" s="485"/>
      <c r="I79" s="485"/>
      <c r="AB79" s="1371">
        <v>2027</v>
      </c>
      <c r="AC79" s="1377"/>
      <c r="AD79" s="490"/>
      <c r="AE79" s="485"/>
      <c r="AF79" s="485"/>
      <c r="AZ79" s="1371">
        <v>2027</v>
      </c>
      <c r="BA79" s="1377"/>
      <c r="BB79" s="490"/>
      <c r="BC79" s="485"/>
      <c r="BU79" s="1371">
        <v>2027</v>
      </c>
      <c r="BV79" s="1377"/>
      <c r="BW79" s="490"/>
      <c r="BX79" s="485"/>
      <c r="BY79" s="485"/>
      <c r="CZ79" s="811">
        <v>2014</v>
      </c>
      <c r="DA79" s="490"/>
      <c r="DB79" s="535" t="e">
        <f t="array" ref="DB79:DB95">TRANSPOSE(СЧЁТ!#REF!)</f>
        <v>#REF!</v>
      </c>
      <c r="DC79" s="490"/>
      <c r="DD79" s="485">
        <f t="array" ref="DD79:DD95">TRANSPOSE(СЧЁТ!AH219:AX219)</f>
        <v>0</v>
      </c>
      <c r="DE79" s="490"/>
      <c r="DF79" s="485" t="e">
        <f t="array" ref="DF79:DF95">TRANSPOSE(СЧЁТ!#REF!)</f>
        <v>#REF!</v>
      </c>
      <c r="DG79" s="490"/>
      <c r="DH79" s="485">
        <f>DG78*DD79</f>
        <v>0</v>
      </c>
      <c r="DI79" s="487"/>
      <c r="DJ79" s="485" t="e">
        <f>DI78*DF79</f>
        <v>#REF!</v>
      </c>
      <c r="DK79" s="490"/>
      <c r="DL79" s="535" t="e">
        <f t="array" ref="DL79:DL95">TRANSPOSE(СЧЁТ!#REF!)</f>
        <v>#REF!</v>
      </c>
      <c r="DM79" s="508"/>
      <c r="DN79" s="485">
        <f t="array" ref="DN79:DN95">TRANSPOSE(СЧЁТ!AH230:AX230)</f>
        <v>0</v>
      </c>
      <c r="DO79" s="508"/>
      <c r="DP79" s="535">
        <f t="array" ref="DP79:DP95">TRANSPOSE(СЧЁТ!AH187:AX187)</f>
        <v>2.7734367261611617</v>
      </c>
      <c r="DQ79" s="490"/>
      <c r="DR79" s="503"/>
      <c r="DS79" s="490"/>
      <c r="DT79" s="503"/>
      <c r="DV79" s="1221">
        <v>2015</v>
      </c>
      <c r="DW79" s="1305">
        <f>НАСТРОЙКА!CY156</f>
        <v>19.552910957201501</v>
      </c>
      <c r="DX79" s="1306">
        <f t="shared" si="29"/>
        <v>52.4</v>
      </c>
      <c r="DY79" s="1347">
        <f t="shared" si="33"/>
        <v>21.195265409341427</v>
      </c>
      <c r="DZ79" s="1247">
        <f t="shared" si="34"/>
        <v>32.008037670041048</v>
      </c>
      <c r="EA79" s="1306">
        <f t="shared" si="30"/>
        <v>61.07</v>
      </c>
      <c r="EB79" s="1246">
        <v>22.274520095355602</v>
      </c>
      <c r="EC79" s="1308">
        <v>15.005583237946571</v>
      </c>
      <c r="ES79" s="1242">
        <f t="shared" si="31"/>
        <v>22.274520095355602</v>
      </c>
      <c r="ET79" s="1308">
        <f t="shared" si="32"/>
        <v>15.005583237946571</v>
      </c>
    </row>
    <row r="80" spans="5:150" ht="21">
      <c r="E80" s="1371">
        <v>2028</v>
      </c>
      <c r="F80" s="1374"/>
      <c r="G80" s="490"/>
      <c r="H80" s="485"/>
      <c r="I80" s="485"/>
      <c r="AB80" s="1371">
        <v>2028</v>
      </c>
      <c r="AC80" s="1377"/>
      <c r="AD80" s="490"/>
      <c r="AE80" s="485"/>
      <c r="AF80" s="485"/>
      <c r="AZ80" s="1371">
        <v>2028</v>
      </c>
      <c r="BA80" s="1377"/>
      <c r="BB80" s="490"/>
      <c r="BC80" s="485"/>
      <c r="BU80" s="1371">
        <v>2028</v>
      </c>
      <c r="BV80" s="1377"/>
      <c r="BW80" s="490"/>
      <c r="BX80" s="485"/>
      <c r="BY80" s="485"/>
      <c r="CZ80" s="811">
        <v>2015</v>
      </c>
      <c r="DA80" s="490"/>
      <c r="DB80" s="535" t="e">
        <v>#REF!</v>
      </c>
      <c r="DC80" s="490"/>
      <c r="DD80" s="485">
        <v>0</v>
      </c>
      <c r="DE80" s="490"/>
      <c r="DF80" s="485" t="e">
        <v>#REF!</v>
      </c>
      <c r="DG80" s="490"/>
      <c r="DH80" s="485">
        <f>DH79*DD80</f>
        <v>0</v>
      </c>
      <c r="DI80" s="487"/>
      <c r="DJ80" s="485" t="e">
        <f>DJ79*DF80</f>
        <v>#REF!</v>
      </c>
      <c r="DK80" s="490"/>
      <c r="DL80" s="535" t="e">
        <v>#REF!</v>
      </c>
      <c r="DM80" s="508"/>
      <c r="DN80" s="485">
        <v>0</v>
      </c>
      <c r="DO80" s="508"/>
      <c r="DP80" s="535">
        <v>2.5127336739020127</v>
      </c>
      <c r="DQ80" s="490"/>
      <c r="DR80" s="503"/>
      <c r="DS80" s="490"/>
      <c r="DT80" s="503"/>
      <c r="DV80" s="1221">
        <v>2016</v>
      </c>
      <c r="DW80" s="1305">
        <f>НАСТРОЙКА!CY157</f>
        <v>20.606812857794662</v>
      </c>
      <c r="DX80" s="1306">
        <f t="shared" si="29"/>
        <v>44</v>
      </c>
      <c r="DY80" s="1347">
        <f t="shared" si="33"/>
        <v>21.776472214904928</v>
      </c>
      <c r="DZ80" s="1247">
        <f t="shared" si="34"/>
        <v>34.248769000456264</v>
      </c>
      <c r="EA80" s="1306">
        <f t="shared" si="30"/>
        <v>66.08</v>
      </c>
      <c r="EB80" s="1246">
        <v>20.030786917707065</v>
      </c>
      <c r="EC80" s="1308">
        <v>16.052012422908835</v>
      </c>
      <c r="ES80" s="1242">
        <f t="shared" si="31"/>
        <v>20.030786917707065</v>
      </c>
      <c r="ET80" s="1308">
        <f t="shared" si="32"/>
        <v>16.052012422908835</v>
      </c>
    </row>
    <row r="81" spans="5:150" ht="21">
      <c r="E81" s="1371">
        <v>2029</v>
      </c>
      <c r="F81" s="1374"/>
      <c r="G81" s="490"/>
      <c r="H81" s="485"/>
      <c r="I81" s="485"/>
      <c r="AB81" s="1371">
        <v>2029</v>
      </c>
      <c r="AC81" s="1377"/>
      <c r="AD81" s="490"/>
      <c r="AE81" s="485"/>
      <c r="AF81" s="485"/>
      <c r="AZ81" s="1371">
        <v>2029</v>
      </c>
      <c r="BA81" s="1377"/>
      <c r="BB81" s="490"/>
      <c r="BC81" s="485"/>
      <c r="BU81" s="1371">
        <v>2029</v>
      </c>
      <c r="BV81" s="1377"/>
      <c r="BW81" s="490"/>
      <c r="BX81" s="485"/>
      <c r="BY81" s="485"/>
      <c r="CZ81" s="811">
        <v>2016</v>
      </c>
      <c r="DA81" s="490"/>
      <c r="DB81" s="535" t="e">
        <v>#REF!</v>
      </c>
      <c r="DC81" s="490"/>
      <c r="DD81" s="485">
        <v>0</v>
      </c>
      <c r="DE81" s="490"/>
      <c r="DF81" s="485" t="e">
        <v>#REF!</v>
      </c>
      <c r="DG81" s="490"/>
      <c r="DH81" s="485">
        <f t="shared" ref="DH81:DH95" si="37">DH80*DD81</f>
        <v>0</v>
      </c>
      <c r="DI81" s="487"/>
      <c r="DJ81" s="485" t="e">
        <f t="shared" ref="DJ81:DJ95" si="38">DJ80*DF81</f>
        <v>#REF!</v>
      </c>
      <c r="DK81" s="490"/>
      <c r="DL81" s="535" t="e">
        <v>#REF!</v>
      </c>
      <c r="DM81" s="508"/>
      <c r="DN81" s="485">
        <v>0</v>
      </c>
      <c r="DO81" s="508"/>
      <c r="DP81" s="535">
        <v>2.4649917340978744</v>
      </c>
      <c r="DQ81" s="490"/>
      <c r="DR81" s="503"/>
      <c r="DS81" s="490"/>
      <c r="DT81" s="503"/>
      <c r="DV81" s="1221">
        <v>2017</v>
      </c>
      <c r="DW81" s="1305">
        <f>НАСТРОЙКА!DA158</f>
        <v>0</v>
      </c>
      <c r="DX81" s="1306">
        <f t="shared" si="29"/>
        <v>54.53</v>
      </c>
      <c r="DY81" s="1347">
        <f t="shared" si="33"/>
        <v>2.7265000000000001</v>
      </c>
      <c r="DZ81" s="1247">
        <f t="shared" si="34"/>
        <v>17.486999999999998</v>
      </c>
      <c r="EA81" s="1306">
        <f t="shared" si="30"/>
        <v>58.29</v>
      </c>
      <c r="EB81" s="1246"/>
      <c r="EC81" s="1210"/>
      <c r="ES81" s="1242">
        <f t="shared" ref="ES81:ES94" si="39">0.941*(0.95*DW81+0.05*DX81)-0.2661</f>
        <v>2.2995365000000003</v>
      </c>
      <c r="ET81" s="1308">
        <f t="shared" ref="ET81:ET94" si="40">0.4659*(0.7*DW81+0.3*EA81)-0.1713</f>
        <v>7.9758932999999992</v>
      </c>
    </row>
    <row r="82" spans="5:150" ht="21">
      <c r="E82" s="1372">
        <v>2030</v>
      </c>
      <c r="F82" s="1375"/>
      <c r="G82" s="493"/>
      <c r="H82" s="486"/>
      <c r="I82" s="486"/>
      <c r="AB82" s="1372">
        <v>2030</v>
      </c>
      <c r="AC82" s="1378"/>
      <c r="AD82" s="493"/>
      <c r="AE82" s="486"/>
      <c r="AF82" s="486"/>
      <c r="AZ82" s="1372">
        <v>2030</v>
      </c>
      <c r="BA82" s="1378"/>
      <c r="BB82" s="493"/>
      <c r="BC82" s="486"/>
      <c r="BU82" s="1372">
        <v>2030</v>
      </c>
      <c r="BV82" s="1378"/>
      <c r="BW82" s="493"/>
      <c r="BX82" s="486"/>
      <c r="BY82" s="486"/>
      <c r="CZ82" s="811">
        <v>2017</v>
      </c>
      <c r="DA82" s="490"/>
      <c r="DB82" s="535" t="e">
        <v>#REF!</v>
      </c>
      <c r="DC82" s="490"/>
      <c r="DD82" s="485">
        <v>0</v>
      </c>
      <c r="DE82" s="490"/>
      <c r="DF82" s="485" t="e">
        <v>#REF!</v>
      </c>
      <c r="DG82" s="490"/>
      <c r="DH82" s="485">
        <f t="shared" si="37"/>
        <v>0</v>
      </c>
      <c r="DI82" s="487"/>
      <c r="DJ82" s="485" t="e">
        <f t="shared" si="38"/>
        <v>#REF!</v>
      </c>
      <c r="DK82" s="490"/>
      <c r="DL82" s="535" t="e">
        <v>#REF!</v>
      </c>
      <c r="DM82" s="508"/>
      <c r="DN82" s="485">
        <v>0</v>
      </c>
      <c r="DO82" s="508"/>
      <c r="DP82" s="535">
        <v>2.5463364613231039</v>
      </c>
      <c r="DQ82" s="490"/>
      <c r="DR82" s="503"/>
      <c r="DS82" s="490"/>
      <c r="DT82" s="503"/>
      <c r="DV82" s="1221">
        <v>2018</v>
      </c>
      <c r="DW82" s="1305">
        <f>НАСТРОЙКА!DA159</f>
        <v>22.02392812898368</v>
      </c>
      <c r="DX82" s="1353">
        <f t="shared" ref="DX82:DX90" si="41">DD46</f>
        <v>62.954000000000001</v>
      </c>
      <c r="DY82" s="1347">
        <f t="shared" si="33"/>
        <v>24.070431722534497</v>
      </c>
      <c r="DZ82" s="1247">
        <f t="shared" si="34"/>
        <v>15.416749690288576</v>
      </c>
      <c r="EA82" s="1353">
        <f t="shared" ref="EA82:EA94" si="42">DZ41</f>
        <v>0</v>
      </c>
      <c r="EB82" s="1246"/>
      <c r="EC82" s="1210"/>
      <c r="ES82" s="1242">
        <f t="shared" si="39"/>
        <v>22.384176250904957</v>
      </c>
      <c r="ET82" s="1308">
        <f t="shared" si="40"/>
        <v>7.0113636807054469</v>
      </c>
    </row>
    <row r="83" spans="5:150" ht="21">
      <c r="CZ83" s="811">
        <v>2018</v>
      </c>
      <c r="DA83" s="490"/>
      <c r="DB83" s="535" t="e">
        <v>#REF!</v>
      </c>
      <c r="DC83" s="490"/>
      <c r="DD83" s="485">
        <v>0</v>
      </c>
      <c r="DE83" s="490"/>
      <c r="DF83" s="485" t="e">
        <v>#REF!</v>
      </c>
      <c r="DG83" s="490"/>
      <c r="DH83" s="485">
        <f t="shared" si="37"/>
        <v>0</v>
      </c>
      <c r="DI83" s="487"/>
      <c r="DJ83" s="485" t="e">
        <f t="shared" si="38"/>
        <v>#REF!</v>
      </c>
      <c r="DK83" s="490"/>
      <c r="DL83" s="535" t="e">
        <v>#REF!</v>
      </c>
      <c r="DM83" s="508"/>
      <c r="DN83" s="485">
        <v>0</v>
      </c>
      <c r="DO83" s="508"/>
      <c r="DP83" s="535">
        <v>2.6049021999335351</v>
      </c>
      <c r="DQ83" s="490"/>
      <c r="DR83" s="503"/>
      <c r="DS83" s="490"/>
      <c r="DT83" s="503"/>
      <c r="DV83" s="1221">
        <v>2019</v>
      </c>
      <c r="DW83" s="1305">
        <f>НАСТРОЙКА!DA160</f>
        <v>22.693455544104783</v>
      </c>
      <c r="DX83" s="1354">
        <f t="shared" si="41"/>
        <v>69.693200000000004</v>
      </c>
      <c r="DY83" s="1347">
        <f t="shared" si="33"/>
        <v>25.043442766899545</v>
      </c>
      <c r="DZ83" s="1247">
        <f t="shared" si="34"/>
        <v>15.885418880873347</v>
      </c>
      <c r="EA83" s="1354">
        <f t="shared" si="42"/>
        <v>0</v>
      </c>
      <c r="EB83" s="1246"/>
      <c r="EC83" s="1210"/>
      <c r="ES83" s="1242">
        <f t="shared" si="39"/>
        <v>23.299779643652471</v>
      </c>
      <c r="ET83" s="1308">
        <f t="shared" si="40"/>
        <v>7.2297166565988924</v>
      </c>
    </row>
    <row r="84" spans="5:150" ht="21">
      <c r="CZ84" s="811">
        <v>2019</v>
      </c>
      <c r="DA84" s="490"/>
      <c r="DB84" s="535" t="e">
        <v>#REF!</v>
      </c>
      <c r="DC84" s="490"/>
      <c r="DD84" s="485">
        <v>0</v>
      </c>
      <c r="DE84" s="490"/>
      <c r="DF84" s="485" t="e">
        <v>#REF!</v>
      </c>
      <c r="DG84" s="490"/>
      <c r="DH84" s="485">
        <f t="shared" si="37"/>
        <v>0</v>
      </c>
      <c r="DI84" s="487"/>
      <c r="DJ84" s="485" t="e">
        <f t="shared" si="38"/>
        <v>#REF!</v>
      </c>
      <c r="DK84" s="490"/>
      <c r="DL84" s="535" t="e">
        <v>#REF!</v>
      </c>
      <c r="DM84" s="508"/>
      <c r="DN84" s="485">
        <v>0</v>
      </c>
      <c r="DO84" s="508"/>
      <c r="DP84" s="535">
        <f ca="1"/>
        <v>2.7216220663945272</v>
      </c>
      <c r="DQ84" s="490"/>
      <c r="DR84" s="503"/>
      <c r="DS84" s="490"/>
      <c r="DT84" s="503"/>
      <c r="DV84" s="1221">
        <v>2020</v>
      </c>
      <c r="DW84" s="1305">
        <f>НАСТРОЙКА!DA161</f>
        <v>23.807704211320324</v>
      </c>
      <c r="DX84" s="1354">
        <f t="shared" si="41"/>
        <v>75.08456000000001</v>
      </c>
      <c r="DY84" s="1347">
        <f t="shared" si="33"/>
        <v>26.371547000754308</v>
      </c>
      <c r="DZ84" s="1247">
        <f t="shared" si="34"/>
        <v>16.665392947924225</v>
      </c>
      <c r="EA84" s="1354">
        <f t="shared" si="42"/>
        <v>0</v>
      </c>
      <c r="EB84" s="1246"/>
      <c r="EC84" s="1210"/>
      <c r="ES84" s="1242">
        <f t="shared" si="39"/>
        <v>24.549525727709803</v>
      </c>
      <c r="ET84" s="1308">
        <f t="shared" si="40"/>
        <v>7.5931065744378969</v>
      </c>
    </row>
    <row r="85" spans="5:150" ht="21">
      <c r="E85" s="551" t="s">
        <v>368</v>
      </c>
      <c r="F85" s="1282" t="s">
        <v>652</v>
      </c>
      <c r="G85" s="1282" t="s">
        <v>590</v>
      </c>
      <c r="H85" s="772" t="s">
        <v>1544</v>
      </c>
      <c r="I85" s="772" t="s">
        <v>1546</v>
      </c>
      <c r="AB85" s="56" t="s">
        <v>368</v>
      </c>
      <c r="AC85" s="1343" t="s">
        <v>652</v>
      </c>
      <c r="AD85" s="772" t="s">
        <v>1548</v>
      </c>
      <c r="AE85" s="1343" t="s">
        <v>1547</v>
      </c>
      <c r="AU85" s="1343" t="s">
        <v>652</v>
      </c>
      <c r="AW85" s="56" t="s">
        <v>368</v>
      </c>
      <c r="AX85" s="1343" t="s">
        <v>1549</v>
      </c>
      <c r="AY85" s="772" t="s">
        <v>1548</v>
      </c>
      <c r="AZ85" s="1343" t="s">
        <v>1547</v>
      </c>
      <c r="BP85" s="1343" t="s">
        <v>1549</v>
      </c>
      <c r="CZ85" s="811">
        <v>2020</v>
      </c>
      <c r="DA85" s="490"/>
      <c r="DB85" s="535" t="e">
        <v>#REF!</v>
      </c>
      <c r="DC85" s="490"/>
      <c r="DD85" s="485">
        <v>0</v>
      </c>
      <c r="DE85" s="490"/>
      <c r="DF85" s="485" t="e">
        <v>#REF!</v>
      </c>
      <c r="DG85" s="490"/>
      <c r="DH85" s="485">
        <f t="shared" si="37"/>
        <v>0</v>
      </c>
      <c r="DI85" s="487"/>
      <c r="DJ85" s="485" t="e">
        <f t="shared" si="38"/>
        <v>#REF!</v>
      </c>
      <c r="DK85" s="490"/>
      <c r="DL85" s="535" t="e">
        <v>#REF!</v>
      </c>
      <c r="DM85" s="508"/>
      <c r="DN85" s="485">
        <v>0</v>
      </c>
      <c r="DO85" s="508"/>
      <c r="DP85" s="535">
        <f ca="1"/>
        <v>2.8201249402924198</v>
      </c>
      <c r="DQ85" s="490"/>
      <c r="DR85" s="503"/>
      <c r="DS85" s="490"/>
      <c r="DT85" s="503"/>
      <c r="DV85" s="1221">
        <v>2021</v>
      </c>
      <c r="DW85" s="1305">
        <f>НАСТРОЙКА!DA162</f>
        <v>24.998089421886341</v>
      </c>
      <c r="DX85" s="1354">
        <f t="shared" si="41"/>
        <v>79.397648000000018</v>
      </c>
      <c r="DY85" s="1347">
        <f t="shared" si="33"/>
        <v>27.718067350792026</v>
      </c>
      <c r="DZ85" s="1247">
        <f t="shared" si="34"/>
        <v>17.498662595320436</v>
      </c>
      <c r="EA85" s="1354">
        <f t="shared" si="42"/>
        <v>0</v>
      </c>
      <c r="EB85" s="1246"/>
      <c r="EC85" s="1210"/>
      <c r="ES85" s="1242">
        <f t="shared" si="39"/>
        <v>25.816601377095292</v>
      </c>
      <c r="ET85" s="1308">
        <f t="shared" si="40"/>
        <v>7.9813269031597898</v>
      </c>
    </row>
    <row r="86" spans="5:150" ht="21">
      <c r="E86" s="59">
        <v>43130</v>
      </c>
      <c r="F86" s="62" t="s">
        <v>1537</v>
      </c>
      <c r="G86" s="62" t="s">
        <v>1537</v>
      </c>
      <c r="H86" s="62" t="s">
        <v>688</v>
      </c>
      <c r="I86" s="62" t="s">
        <v>688</v>
      </c>
      <c r="AB86" s="63">
        <v>43130</v>
      </c>
      <c r="AC86" s="62" t="s">
        <v>688</v>
      </c>
      <c r="AD86" s="62" t="s">
        <v>688</v>
      </c>
      <c r="AE86" s="62" t="s">
        <v>688</v>
      </c>
      <c r="AU86" s="1384" t="s">
        <v>1550</v>
      </c>
      <c r="AW86" s="63">
        <v>43130</v>
      </c>
      <c r="AX86" s="62" t="s">
        <v>688</v>
      </c>
      <c r="AY86" s="62" t="s">
        <v>688</v>
      </c>
      <c r="AZ86" s="62" t="s">
        <v>688</v>
      </c>
      <c r="BP86" s="1384" t="s">
        <v>1550</v>
      </c>
      <c r="CZ86" s="811">
        <v>2021</v>
      </c>
      <c r="DA86" s="490"/>
      <c r="DB86" s="535" t="e">
        <v>#REF!</v>
      </c>
      <c r="DC86" s="490"/>
      <c r="DD86" s="485">
        <v>0</v>
      </c>
      <c r="DE86" s="490"/>
      <c r="DF86" s="485" t="e">
        <v>#REF!</v>
      </c>
      <c r="DG86" s="490"/>
      <c r="DH86" s="485">
        <f t="shared" si="37"/>
        <v>0</v>
      </c>
      <c r="DI86" s="487"/>
      <c r="DJ86" s="485" t="e">
        <f t="shared" si="38"/>
        <v>#REF!</v>
      </c>
      <c r="DK86" s="490"/>
      <c r="DL86" s="535" t="e">
        <v>#REF!</v>
      </c>
      <c r="DM86" s="508"/>
      <c r="DN86" s="485">
        <v>0</v>
      </c>
      <c r="DO86" s="508"/>
      <c r="DP86" s="535">
        <f ca="1"/>
        <v>2.9876106811441123</v>
      </c>
      <c r="DQ86" s="490"/>
      <c r="DR86" s="503"/>
      <c r="DS86" s="490"/>
      <c r="DT86" s="503"/>
      <c r="DV86" s="1221">
        <v>2022</v>
      </c>
      <c r="DW86" s="1305">
        <f>НАСТРОЙКА!DA163</f>
        <v>26.247993892980659</v>
      </c>
      <c r="DX86" s="1354">
        <f t="shared" si="41"/>
        <v>82.848118400000018</v>
      </c>
      <c r="DY86" s="1347">
        <f t="shared" si="33"/>
        <v>29.078000118331627</v>
      </c>
      <c r="DZ86" s="1247">
        <f t="shared" si="34"/>
        <v>18.37359572508646</v>
      </c>
      <c r="EA86" s="1354">
        <f t="shared" si="42"/>
        <v>0</v>
      </c>
      <c r="EB86" s="1246"/>
      <c r="EC86" s="1210"/>
      <c r="ES86" s="1242">
        <f t="shared" si="39"/>
        <v>27.096298111350059</v>
      </c>
      <c r="ET86" s="1308">
        <f t="shared" si="40"/>
        <v>8.3889582483177811</v>
      </c>
    </row>
    <row r="87" spans="5:150" ht="21">
      <c r="E87" s="1373">
        <v>1995</v>
      </c>
      <c r="F87" s="1299">
        <f t="array" ref="F87:F108">TRANSPOSE(ОТЧЁТ!U191:AP191)</f>
        <v>1</v>
      </c>
      <c r="G87" s="476">
        <f t="array" ref="G87:G108">TRANSPOSE(ОТЧЁТ!U151:AP151)</f>
        <v>1</v>
      </c>
      <c r="H87" s="1382">
        <f>G87</f>
        <v>1</v>
      </c>
      <c r="I87" s="1308"/>
      <c r="AB87" s="813">
        <v>1995</v>
      </c>
      <c r="AC87" s="1376">
        <f>F87</f>
        <v>1</v>
      </c>
      <c r="AD87" s="1308"/>
      <c r="AE87" s="946" t="e">
        <f>НАСТРОЙКА!#REF!</f>
        <v>#REF!</v>
      </c>
      <c r="AU87" s="1383">
        <f>AC87</f>
        <v>1</v>
      </c>
      <c r="AW87" s="813">
        <v>1995</v>
      </c>
      <c r="AX87" s="1376">
        <f t="array" ref="AX87:AX108">TRANSPOSE(ОТЧЁТ!U190:AP190)</f>
        <v>1</v>
      </c>
      <c r="AY87" s="1308"/>
      <c r="AZ87" s="946">
        <v>1</v>
      </c>
      <c r="BP87" s="1383">
        <f>AX87</f>
        <v>1</v>
      </c>
      <c r="CZ87" s="811">
        <v>2022</v>
      </c>
      <c r="DA87" s="490"/>
      <c r="DB87" s="535" t="e">
        <v>#REF!</v>
      </c>
      <c r="DC87" s="490"/>
      <c r="DD87" s="485">
        <v>0</v>
      </c>
      <c r="DE87" s="490"/>
      <c r="DF87" s="485" t="e">
        <v>#REF!</v>
      </c>
      <c r="DG87" s="490"/>
      <c r="DH87" s="485">
        <f t="shared" si="37"/>
        <v>0</v>
      </c>
      <c r="DI87" s="487"/>
      <c r="DJ87" s="485" t="e">
        <f t="shared" si="38"/>
        <v>#REF!</v>
      </c>
      <c r="DK87" s="490"/>
      <c r="DL87" s="535" t="e">
        <v>#REF!</v>
      </c>
      <c r="DM87" s="508"/>
      <c r="DN87" s="485">
        <v>0</v>
      </c>
      <c r="DO87" s="508"/>
      <c r="DP87" s="535">
        <f ca="1"/>
        <v>3.1318358804286244</v>
      </c>
      <c r="DQ87" s="490"/>
      <c r="DR87" s="503"/>
      <c r="DS87" s="490"/>
      <c r="DT87" s="503"/>
      <c r="DV87" s="1221">
        <v>2023</v>
      </c>
      <c r="DW87" s="1305">
        <f>НАСТРОЙКА!DA164</f>
        <v>27.560393587629694</v>
      </c>
      <c r="DX87" s="1354">
        <f t="shared" si="41"/>
        <v>85.608494720000024</v>
      </c>
      <c r="DY87" s="1347">
        <f t="shared" si="33"/>
        <v>30.46279864424821</v>
      </c>
      <c r="DZ87" s="1247">
        <f t="shared" si="34"/>
        <v>19.292275511340783</v>
      </c>
      <c r="EA87" s="1354">
        <f t="shared" si="42"/>
        <v>0</v>
      </c>
      <c r="EB87" s="1246"/>
      <c r="EC87" s="1210"/>
      <c r="ES87" s="1242">
        <f t="shared" si="39"/>
        <v>28.399393524237563</v>
      </c>
      <c r="ET87" s="1308">
        <f t="shared" si="40"/>
        <v>8.8169711607336705</v>
      </c>
    </row>
    <row r="88" spans="5:150" ht="21">
      <c r="E88" s="1371">
        <v>1996</v>
      </c>
      <c r="F88" s="1301">
        <v>1.6953967315458069</v>
      </c>
      <c r="G88" s="476">
        <v>1.218</v>
      </c>
      <c r="H88" s="1382">
        <f>G88</f>
        <v>1.218</v>
      </c>
      <c r="I88" s="1308"/>
      <c r="AB88" s="820">
        <v>1996</v>
      </c>
      <c r="AC88" s="1301">
        <f>F88</f>
        <v>1.6953967315458069</v>
      </c>
      <c r="AD88" s="477"/>
      <c r="AE88" s="477" t="e">
        <f>НАСТРОЙКА!#REF!</f>
        <v>#REF!</v>
      </c>
      <c r="AU88" s="1328">
        <f>AC88</f>
        <v>1.6953967315458069</v>
      </c>
      <c r="AW88" s="820">
        <v>1996</v>
      </c>
      <c r="AX88" s="1301">
        <v>2.4661634872716665</v>
      </c>
      <c r="AY88" s="477"/>
      <c r="AZ88" s="477">
        <v>1.218</v>
      </c>
      <c r="BP88" s="1328">
        <f>AX88</f>
        <v>2.4661634872716665</v>
      </c>
      <c r="CZ88" s="811">
        <v>2023</v>
      </c>
      <c r="DA88" s="490"/>
      <c r="DB88" s="535" t="e">
        <v>#REF!</v>
      </c>
      <c r="DC88" s="490"/>
      <c r="DD88" s="485">
        <v>0</v>
      </c>
      <c r="DE88" s="490"/>
      <c r="DF88" s="485" t="e">
        <v>#REF!</v>
      </c>
      <c r="DG88" s="490"/>
      <c r="DH88" s="485">
        <f t="shared" si="37"/>
        <v>0</v>
      </c>
      <c r="DI88" s="487"/>
      <c r="DJ88" s="485" t="e">
        <f t="shared" si="38"/>
        <v>#REF!</v>
      </c>
      <c r="DK88" s="490"/>
      <c r="DL88" s="535" t="e">
        <v>#REF!</v>
      </c>
      <c r="DM88" s="508"/>
      <c r="DN88" s="485">
        <v>0</v>
      </c>
      <c r="DO88" s="508"/>
      <c r="DP88" s="535">
        <f ca="1"/>
        <v>3.2768169121645849</v>
      </c>
      <c r="DQ88" s="490"/>
      <c r="DR88" s="503"/>
      <c r="DS88" s="490"/>
      <c r="DT88" s="503"/>
      <c r="DV88" s="1221">
        <v>2024</v>
      </c>
      <c r="DW88" s="1305">
        <f>НАСТРОЙКА!DA165</f>
        <v>28.938413267011178</v>
      </c>
      <c r="DX88" s="1354">
        <f t="shared" si="41"/>
        <v>87.816795776000035</v>
      </c>
      <c r="DY88" s="1347">
        <f t="shared" si="33"/>
        <v>31.882332392460619</v>
      </c>
      <c r="DZ88" s="1247">
        <f t="shared" si="34"/>
        <v>20.256889286907825</v>
      </c>
      <c r="EA88" s="1354">
        <f t="shared" si="42"/>
        <v>0</v>
      </c>
      <c r="EB88" s="1246"/>
      <c r="EC88" s="1210"/>
      <c r="ES88" s="1242">
        <f t="shared" si="39"/>
        <v>29.735174781305439</v>
      </c>
      <c r="ET88" s="1308">
        <f t="shared" si="40"/>
        <v>9.2663847187703539</v>
      </c>
    </row>
    <row r="89" spans="5:150" ht="21">
      <c r="E89" s="1371">
        <v>1997</v>
      </c>
      <c r="F89" s="1301">
        <v>2.415292468742241</v>
      </c>
      <c r="G89" s="476">
        <v>1.3519800000000002</v>
      </c>
      <c r="H89" s="1382">
        <f t="shared" ref="H89:H105" si="43">G89</f>
        <v>1.3519800000000002</v>
      </c>
      <c r="I89" s="1211"/>
      <c r="AB89" s="820">
        <v>1997</v>
      </c>
      <c r="AC89" s="1301">
        <f t="shared" ref="AC89:AC108" si="44">F89</f>
        <v>2.415292468742241</v>
      </c>
      <c r="AD89" s="477"/>
      <c r="AE89" s="477" t="e">
        <f>НАСТРОЙКА!#REF!</f>
        <v>#REF!</v>
      </c>
      <c r="AU89" s="1328">
        <f t="shared" ref="AU89:AU108" si="45">AC89</f>
        <v>2.415292468742241</v>
      </c>
      <c r="AW89" s="820">
        <v>1997</v>
      </c>
      <c r="AX89" s="1301">
        <v>2.5165818894824628</v>
      </c>
      <c r="AY89" s="477"/>
      <c r="AZ89" s="477">
        <v>1.3519800000000002</v>
      </c>
      <c r="BP89" s="1328">
        <f t="shared" ref="BP89:BP108" si="46">AX89</f>
        <v>2.5165818894824628</v>
      </c>
      <c r="CZ89" s="811">
        <v>2024</v>
      </c>
      <c r="DA89" s="490"/>
      <c r="DB89" s="535" t="e">
        <v>#REF!</v>
      </c>
      <c r="DC89" s="490"/>
      <c r="DD89" s="485">
        <v>0</v>
      </c>
      <c r="DE89" s="490"/>
      <c r="DF89" s="485" t="e">
        <v>#REF!</v>
      </c>
      <c r="DG89" s="490"/>
      <c r="DH89" s="485">
        <f t="shared" si="37"/>
        <v>0</v>
      </c>
      <c r="DI89" s="487"/>
      <c r="DJ89" s="485" t="e">
        <f t="shared" si="38"/>
        <v>#REF!</v>
      </c>
      <c r="DK89" s="490"/>
      <c r="DL89" s="535" t="e">
        <v>#REF!</v>
      </c>
      <c r="DM89" s="508"/>
      <c r="DN89" s="485">
        <v>0</v>
      </c>
      <c r="DO89" s="508"/>
      <c r="DP89" s="535">
        <f ca="1"/>
        <v>3.4250255201235156</v>
      </c>
      <c r="DQ89" s="490"/>
      <c r="DR89" s="503"/>
      <c r="DS89" s="490"/>
      <c r="DT89" s="503"/>
      <c r="DV89" s="1221">
        <v>2025</v>
      </c>
      <c r="DW89" s="1305">
        <f>НАСТРОЙКА!DA166</f>
        <v>30.385333930361739</v>
      </c>
      <c r="DX89" s="1354">
        <f t="shared" si="41"/>
        <v>89.583436620800043</v>
      </c>
      <c r="DY89" s="1347">
        <f t="shared" si="33"/>
        <v>33.345239064883657</v>
      </c>
      <c r="DZ89" s="1247">
        <f t="shared" si="34"/>
        <v>21.269733751253217</v>
      </c>
      <c r="EA89" s="1354">
        <f t="shared" si="42"/>
        <v>0</v>
      </c>
      <c r="EB89" s="1246"/>
      <c r="EC89" s="1210"/>
      <c r="ES89" s="1242">
        <f t="shared" si="39"/>
        <v>31.111769960055518</v>
      </c>
      <c r="ET89" s="1308">
        <f t="shared" si="40"/>
        <v>9.7382689547088734</v>
      </c>
    </row>
    <row r="90" spans="5:150" ht="21">
      <c r="E90" s="1371">
        <v>1998</v>
      </c>
      <c r="F90" s="1301">
        <v>2.6727462335842294</v>
      </c>
      <c r="G90" s="476">
        <v>2.4930511200000005</v>
      </c>
      <c r="H90" s="1382">
        <f t="shared" si="43"/>
        <v>2.4930511200000005</v>
      </c>
      <c r="I90" s="1211"/>
      <c r="AB90" s="820">
        <v>1998</v>
      </c>
      <c r="AC90" s="1301">
        <f t="shared" si="44"/>
        <v>2.6727462335842294</v>
      </c>
      <c r="AD90" s="477"/>
      <c r="AE90" s="477" t="e">
        <f>НАСТРОЙКА!#REF!</f>
        <v>#REF!</v>
      </c>
      <c r="AU90" s="1328">
        <f t="shared" si="45"/>
        <v>2.6727462335842294</v>
      </c>
      <c r="AW90" s="820">
        <v>1998</v>
      </c>
      <c r="AX90" s="1301">
        <v>2.6836249787031963</v>
      </c>
      <c r="AY90" s="477"/>
      <c r="AZ90" s="477">
        <v>2.4930511200000005</v>
      </c>
      <c r="BP90" s="1328">
        <f t="shared" si="46"/>
        <v>2.6836249787031963</v>
      </c>
      <c r="CZ90" s="811">
        <v>2025</v>
      </c>
      <c r="DA90" s="490"/>
      <c r="DB90" s="535" t="e">
        <v>#REF!</v>
      </c>
      <c r="DC90" s="490"/>
      <c r="DD90" s="485">
        <v>0</v>
      </c>
      <c r="DE90" s="490"/>
      <c r="DF90" s="485" t="e">
        <v>#REF!</v>
      </c>
      <c r="DG90" s="490"/>
      <c r="DH90" s="485">
        <f t="shared" si="37"/>
        <v>0</v>
      </c>
      <c r="DI90" s="487"/>
      <c r="DJ90" s="485" t="e">
        <f t="shared" si="38"/>
        <v>#REF!</v>
      </c>
      <c r="DK90" s="490"/>
      <c r="DL90" s="535" t="e">
        <v>#REF!</v>
      </c>
      <c r="DM90" s="508"/>
      <c r="DN90" s="485">
        <v>0</v>
      </c>
      <c r="DO90" s="508"/>
      <c r="DP90" s="535">
        <f ca="1"/>
        <v>3.5781337236652386</v>
      </c>
      <c r="DQ90" s="490"/>
      <c r="DR90" s="503"/>
      <c r="DS90" s="490"/>
      <c r="DT90" s="503"/>
      <c r="DV90" s="1221">
        <v>2026</v>
      </c>
      <c r="DW90" s="1305">
        <f>НАСТРОЙКА!DA167</f>
        <v>31.904600626879827</v>
      </c>
      <c r="DX90" s="1354">
        <f t="shared" si="41"/>
        <v>0</v>
      </c>
      <c r="DY90" s="1347">
        <f t="shared" si="33"/>
        <v>30.309370595535835</v>
      </c>
      <c r="DZ90" s="1247">
        <f t="shared" si="34"/>
        <v>22.333220438815879</v>
      </c>
      <c r="EA90" s="1354">
        <f t="shared" si="42"/>
        <v>0</v>
      </c>
      <c r="EB90" s="1246"/>
      <c r="EC90" s="1210"/>
      <c r="ES90" s="1242">
        <f t="shared" si="39"/>
        <v>28.255017730399217</v>
      </c>
      <c r="ET90" s="1308">
        <f t="shared" si="40"/>
        <v>10.233747402444317</v>
      </c>
    </row>
    <row r="91" spans="5:150" ht="21">
      <c r="E91" s="1371">
        <v>1999</v>
      </c>
      <c r="F91" s="1301">
        <v>3.4893420575027583</v>
      </c>
      <c r="G91" s="476">
        <v>3.4030147788000007</v>
      </c>
      <c r="H91" s="1382">
        <f t="shared" si="43"/>
        <v>3.4030147788000007</v>
      </c>
      <c r="I91" s="1211"/>
      <c r="AB91" s="820">
        <v>1999</v>
      </c>
      <c r="AC91" s="1301">
        <f t="shared" si="44"/>
        <v>3.4893420575027583</v>
      </c>
      <c r="AD91" s="477"/>
      <c r="AE91" s="477" t="e">
        <f>НАСТРОЙКА!#REF!</f>
        <v>#REF!</v>
      </c>
      <c r="AU91" s="1328">
        <f t="shared" si="45"/>
        <v>3.4893420575027583</v>
      </c>
      <c r="AW91" s="820">
        <v>1999</v>
      </c>
      <c r="AX91" s="1301">
        <v>2.701164323022275</v>
      </c>
      <c r="AY91" s="477"/>
      <c r="AZ91" s="477">
        <v>3.4030147788000007</v>
      </c>
      <c r="BP91" s="1328">
        <f t="shared" si="46"/>
        <v>2.701164323022275</v>
      </c>
      <c r="CZ91" s="811">
        <v>2026</v>
      </c>
      <c r="DA91" s="490"/>
      <c r="DB91" s="535" t="e">
        <v>#REF!</v>
      </c>
      <c r="DC91" s="490"/>
      <c r="DD91" s="485">
        <v>0</v>
      </c>
      <c r="DE91" s="490"/>
      <c r="DF91" s="485" t="e">
        <v>#REF!</v>
      </c>
      <c r="DG91" s="490"/>
      <c r="DH91" s="485">
        <f t="shared" si="37"/>
        <v>0</v>
      </c>
      <c r="DI91" s="487"/>
      <c r="DJ91" s="485" t="e">
        <f t="shared" si="38"/>
        <v>#REF!</v>
      </c>
      <c r="DK91" s="490"/>
      <c r="DL91" s="535" t="e">
        <v>#REF!</v>
      </c>
      <c r="DM91" s="508"/>
      <c r="DN91" s="485">
        <v>0</v>
      </c>
      <c r="DO91" s="508"/>
      <c r="DP91" s="535">
        <f ca="1"/>
        <v>3.7373233083186994</v>
      </c>
      <c r="DQ91" s="490"/>
      <c r="DR91" s="503"/>
      <c r="DS91" s="490"/>
      <c r="DT91" s="503"/>
      <c r="DV91" s="1221">
        <v>2027</v>
      </c>
      <c r="DW91" s="1305">
        <f>НАСТРОЙКА!DA168</f>
        <v>33.499830658223821</v>
      </c>
      <c r="DX91" s="1354" t="e">
        <f>#REF!</f>
        <v>#REF!</v>
      </c>
      <c r="DY91" s="1347" t="e">
        <f t="shared" si="33"/>
        <v>#REF!</v>
      </c>
      <c r="DZ91" s="1247">
        <f t="shared" si="34"/>
        <v>23.449881460756675</v>
      </c>
      <c r="EA91" s="1354">
        <f t="shared" si="42"/>
        <v>0</v>
      </c>
      <c r="EB91" s="1246"/>
      <c r="EC91" s="1210"/>
      <c r="ES91" s="1242" t="e">
        <f t="shared" si="39"/>
        <v>#REF!</v>
      </c>
      <c r="ET91" s="1308">
        <f t="shared" si="40"/>
        <v>10.753999772566534</v>
      </c>
    </row>
    <row r="92" spans="5:150" ht="21">
      <c r="E92" s="1371">
        <v>2000</v>
      </c>
      <c r="F92" s="1301">
        <v>3.9448052793534916</v>
      </c>
      <c r="G92" s="476">
        <v>4.0904237641176007</v>
      </c>
      <c r="H92" s="1382">
        <f t="shared" si="43"/>
        <v>4.0904237641176007</v>
      </c>
      <c r="I92" s="1211"/>
      <c r="AB92" s="820">
        <v>2000</v>
      </c>
      <c r="AC92" s="1301">
        <f t="shared" si="44"/>
        <v>3.9448052793534916</v>
      </c>
      <c r="AD92" s="477"/>
      <c r="AE92" s="477" t="e">
        <f>НАСТРОЙКА!#REF!</f>
        <v>#REF!</v>
      </c>
      <c r="AU92" s="1328">
        <f t="shared" si="45"/>
        <v>3.9448052793534916</v>
      </c>
      <c r="AW92" s="820">
        <v>2000</v>
      </c>
      <c r="AX92" s="1301">
        <v>3.2947518370474893</v>
      </c>
      <c r="AY92" s="477"/>
      <c r="AZ92" s="477">
        <v>4.0904237641176007</v>
      </c>
      <c r="BP92" s="1328">
        <f t="shared" si="46"/>
        <v>3.2947518370474893</v>
      </c>
      <c r="CZ92" s="811">
        <v>2027</v>
      </c>
      <c r="DA92" s="490"/>
      <c r="DB92" s="535" t="e">
        <v>#REF!</v>
      </c>
      <c r="DC92" s="490"/>
      <c r="DD92" s="485">
        <v>0</v>
      </c>
      <c r="DE92" s="490"/>
      <c r="DF92" s="485" t="e">
        <v>#REF!</v>
      </c>
      <c r="DG92" s="490"/>
      <c r="DH92" s="485">
        <f t="shared" si="37"/>
        <v>0</v>
      </c>
      <c r="DI92" s="487"/>
      <c r="DJ92" s="485" t="e">
        <f t="shared" si="38"/>
        <v>#REF!</v>
      </c>
      <c r="DK92" s="490"/>
      <c r="DL92" s="535" t="e">
        <v>#REF!</v>
      </c>
      <c r="DM92" s="508"/>
      <c r="DN92" s="485">
        <v>0</v>
      </c>
      <c r="DO92" s="508"/>
      <c r="DP92" s="535">
        <f ca="1"/>
        <v>3.9034785313534401</v>
      </c>
      <c r="DQ92" s="490"/>
      <c r="DR92" s="503"/>
      <c r="DS92" s="490"/>
      <c r="DT92" s="503"/>
      <c r="DV92" s="1221">
        <v>2028</v>
      </c>
      <c r="DW92" s="1305">
        <f>НАСТРОЙКА!DA169</f>
        <v>35.174822191135014</v>
      </c>
      <c r="DX92" s="1354">
        <f>DD55</f>
        <v>0</v>
      </c>
      <c r="DY92" s="1347">
        <f t="shared" si="33"/>
        <v>33.416081081578263</v>
      </c>
      <c r="DZ92" s="1247">
        <f t="shared" si="34"/>
        <v>24.622375533794507</v>
      </c>
      <c r="EA92" s="1354">
        <f t="shared" si="42"/>
        <v>0</v>
      </c>
      <c r="EB92" s="1246"/>
      <c r="EC92" s="1210"/>
      <c r="ES92" s="1242">
        <f t="shared" si="39"/>
        <v>31.178432297765141</v>
      </c>
      <c r="ET92" s="1308">
        <f t="shared" si="40"/>
        <v>11.30026476119486</v>
      </c>
    </row>
    <row r="93" spans="5:150" ht="21">
      <c r="E93" s="1371">
        <v>2001</v>
      </c>
      <c r="F93" s="1301">
        <v>4.3960246162225971</v>
      </c>
      <c r="G93" s="476">
        <v>4.8512425842434741</v>
      </c>
      <c r="H93" s="1382">
        <f t="shared" si="43"/>
        <v>4.8512425842434741</v>
      </c>
      <c r="I93" s="1211"/>
      <c r="AB93" s="820">
        <v>2001</v>
      </c>
      <c r="AC93" s="1301">
        <f t="shared" si="44"/>
        <v>4.3960246162225971</v>
      </c>
      <c r="AD93" s="477"/>
      <c r="AE93" s="477" t="e">
        <f>НАСТРОЙКА!#REF!</f>
        <v>#REF!</v>
      </c>
      <c r="AU93" s="1328">
        <f t="shared" si="45"/>
        <v>4.3960246162225971</v>
      </c>
      <c r="AW93" s="820">
        <v>2001</v>
      </c>
      <c r="AX93" s="1301">
        <v>3.7846782806927575</v>
      </c>
      <c r="AY93" s="477"/>
      <c r="AZ93" s="477">
        <v>4.8512425842434741</v>
      </c>
      <c r="BP93" s="1328">
        <f t="shared" si="46"/>
        <v>3.7846782806927575</v>
      </c>
      <c r="CZ93" s="811">
        <v>2028</v>
      </c>
      <c r="DA93" s="490"/>
      <c r="DB93" s="535" t="e">
        <v>#REF!</v>
      </c>
      <c r="DC93" s="490"/>
      <c r="DD93" s="485">
        <v>0</v>
      </c>
      <c r="DE93" s="490"/>
      <c r="DF93" s="485" t="e">
        <v>#REF!</v>
      </c>
      <c r="DG93" s="490"/>
      <c r="DH93" s="485">
        <f t="shared" si="37"/>
        <v>0</v>
      </c>
      <c r="DI93" s="487"/>
      <c r="DJ93" s="485" t="e">
        <f t="shared" si="38"/>
        <v>#REF!</v>
      </c>
      <c r="DK93" s="490"/>
      <c r="DL93" s="535" t="e">
        <v>#REF!</v>
      </c>
      <c r="DM93" s="508"/>
      <c r="DN93" s="485">
        <v>0</v>
      </c>
      <c r="DO93" s="508"/>
      <c r="DP93" s="535">
        <f ca="1"/>
        <v>4.0773062606563286</v>
      </c>
      <c r="DQ93" s="490"/>
      <c r="DR93" s="503"/>
      <c r="DS93" s="490"/>
      <c r="DT93" s="503"/>
      <c r="DV93" s="1221">
        <v>2029</v>
      </c>
      <c r="DW93" s="1305">
        <f>НАСТРОЙКА!DA170</f>
        <v>36.933563300691766</v>
      </c>
      <c r="DX93" s="1354">
        <f>DD56</f>
        <v>0</v>
      </c>
      <c r="DY93" s="1347">
        <f t="shared" si="33"/>
        <v>35.086885135657177</v>
      </c>
      <c r="DZ93" s="1247">
        <f t="shared" si="34"/>
        <v>25.853494310484233</v>
      </c>
      <c r="EA93" s="1354">
        <f t="shared" si="42"/>
        <v>0</v>
      </c>
      <c r="EB93" s="1246"/>
      <c r="EC93" s="1210"/>
      <c r="ES93" s="1242">
        <f t="shared" si="39"/>
        <v>32.7506589126534</v>
      </c>
      <c r="ET93" s="1308">
        <f t="shared" si="40"/>
        <v>11.873842999254604</v>
      </c>
    </row>
    <row r="94" spans="5:150" ht="21">
      <c r="E94" s="1371">
        <v>2002</v>
      </c>
      <c r="F94" s="1301">
        <v>5.8843823618297426</v>
      </c>
      <c r="G94" s="476">
        <v>5.5837802144642392</v>
      </c>
      <c r="H94" s="1382">
        <f t="shared" si="43"/>
        <v>5.5837802144642392</v>
      </c>
      <c r="I94" s="1211"/>
      <c r="AB94" s="820">
        <v>2002</v>
      </c>
      <c r="AC94" s="1301">
        <f t="shared" si="44"/>
        <v>5.8843823618297426</v>
      </c>
      <c r="AD94" s="477"/>
      <c r="AE94" s="477" t="e">
        <f>НАСТРОЙКА!#REF!</f>
        <v>#REF!</v>
      </c>
      <c r="AU94" s="1328">
        <f t="shared" si="45"/>
        <v>5.8843823618297426</v>
      </c>
      <c r="AW94" s="820">
        <v>2002</v>
      </c>
      <c r="AX94" s="1301">
        <v>4.5228031897927927</v>
      </c>
      <c r="AY94" s="477"/>
      <c r="AZ94" s="477">
        <v>5.5837802144642392</v>
      </c>
      <c r="BP94" s="1328">
        <f t="shared" si="46"/>
        <v>4.5228031897927927</v>
      </c>
      <c r="CZ94" s="811">
        <v>2029</v>
      </c>
      <c r="DA94" s="490"/>
      <c r="DB94" s="535" t="e">
        <v>#REF!</v>
      </c>
      <c r="DC94" s="490"/>
      <c r="DD94" s="485">
        <v>0</v>
      </c>
      <c r="DE94" s="490"/>
      <c r="DF94" s="485" t="e">
        <v>#REF!</v>
      </c>
      <c r="DG94" s="490"/>
      <c r="DH94" s="485">
        <f t="shared" si="37"/>
        <v>0</v>
      </c>
      <c r="DI94" s="487"/>
      <c r="DJ94" s="485" t="e">
        <f t="shared" si="38"/>
        <v>#REF!</v>
      </c>
      <c r="DK94" s="490"/>
      <c r="DL94" s="535" t="e">
        <v>#REF!</v>
      </c>
      <c r="DM94" s="508"/>
      <c r="DN94" s="485">
        <v>0</v>
      </c>
      <c r="DO94" s="508"/>
      <c r="DP94" s="535">
        <f ca="1"/>
        <v>4.2594110227937145</v>
      </c>
      <c r="DQ94" s="490"/>
      <c r="DR94" s="503"/>
      <c r="DS94" s="490"/>
      <c r="DT94" s="503"/>
      <c r="DV94" s="1222">
        <v>2030</v>
      </c>
      <c r="DW94" s="1352">
        <f>НАСТРОЙКА!DA176</f>
        <v>49.494507172004546</v>
      </c>
      <c r="DX94" s="1355">
        <f>DD57</f>
        <v>0</v>
      </c>
      <c r="DY94" s="1356">
        <f t="shared" si="33"/>
        <v>47.019781813404315</v>
      </c>
      <c r="DZ94" s="1256">
        <f t="shared" si="34"/>
        <v>34.646155020403178</v>
      </c>
      <c r="EA94" s="1355">
        <f t="shared" si="42"/>
        <v>0</v>
      </c>
      <c r="EB94" s="1287"/>
      <c r="EC94" s="1359"/>
      <c r="ES94" s="1352">
        <f t="shared" si="39"/>
        <v>43.979514686413459</v>
      </c>
      <c r="ET94" s="1313">
        <f t="shared" si="40"/>
        <v>15.970343624005841</v>
      </c>
    </row>
    <row r="95" spans="5:150" ht="20.399999999999999">
      <c r="E95" s="1371">
        <v>2003</v>
      </c>
      <c r="F95" s="1301">
        <v>5.9009164044902702</v>
      </c>
      <c r="G95" s="476">
        <v>6.2538338401999489</v>
      </c>
      <c r="H95" s="1382">
        <f t="shared" si="43"/>
        <v>6.2538338401999489</v>
      </c>
      <c r="I95" s="1211"/>
      <c r="AB95" s="820">
        <v>2003</v>
      </c>
      <c r="AC95" s="1301">
        <f t="shared" si="44"/>
        <v>5.9009164044902702</v>
      </c>
      <c r="AD95" s="477"/>
      <c r="AE95" s="477" t="e">
        <f>НАСТРОЙКА!#REF!</f>
        <v>#REF!</v>
      </c>
      <c r="AU95" s="1328">
        <f t="shared" si="45"/>
        <v>5.9009164044902702</v>
      </c>
      <c r="AW95" s="820">
        <v>2003</v>
      </c>
      <c r="AX95" s="1301">
        <v>5.542638112686384</v>
      </c>
      <c r="AY95" s="477"/>
      <c r="AZ95" s="477">
        <v>6.2538338401999489</v>
      </c>
      <c r="BP95" s="1328">
        <f t="shared" si="46"/>
        <v>5.542638112686384</v>
      </c>
      <c r="CZ95" s="812">
        <v>2030</v>
      </c>
      <c r="DA95" s="506"/>
      <c r="DB95" s="867" t="e">
        <v>#REF!</v>
      </c>
      <c r="DC95" s="493"/>
      <c r="DD95" s="486">
        <v>0</v>
      </c>
      <c r="DE95" s="493"/>
      <c r="DF95" s="486" t="e">
        <v>#REF!</v>
      </c>
      <c r="DG95" s="493"/>
      <c r="DH95" s="485">
        <f t="shared" si="37"/>
        <v>0</v>
      </c>
      <c r="DI95" s="506"/>
      <c r="DJ95" s="485" t="e">
        <f t="shared" si="38"/>
        <v>#REF!</v>
      </c>
      <c r="DK95" s="493"/>
      <c r="DL95" s="867" t="e">
        <v>#REF!</v>
      </c>
      <c r="DM95" s="865"/>
      <c r="DN95" s="486">
        <v>0</v>
      </c>
      <c r="DO95" s="865"/>
      <c r="DP95" s="867">
        <f ca="1"/>
        <v>4.4503420355599346</v>
      </c>
      <c r="DQ95" s="493"/>
      <c r="DR95" s="509"/>
      <c r="DS95" s="493"/>
      <c r="DT95" s="509"/>
    </row>
    <row r="96" spans="5:150" ht="20.399999999999999">
      <c r="E96" s="1371">
        <v>2004</v>
      </c>
      <c r="F96" s="1301">
        <v>5.7361386042739939</v>
      </c>
      <c r="G96" s="476">
        <v>6.9855323995033425</v>
      </c>
      <c r="H96" s="1382">
        <f t="shared" si="43"/>
        <v>6.9855323995033425</v>
      </c>
      <c r="I96" s="1211"/>
      <c r="AB96" s="820">
        <v>2004</v>
      </c>
      <c r="AC96" s="1301">
        <f t="shared" si="44"/>
        <v>5.7361386042739939</v>
      </c>
      <c r="AD96" s="477"/>
      <c r="AE96" s="477" t="e">
        <f>НАСТРОЙКА!#REF!</f>
        <v>#REF!</v>
      </c>
      <c r="AU96" s="1328">
        <f t="shared" si="45"/>
        <v>5.7361386042739939</v>
      </c>
      <c r="AW96" s="820">
        <v>2004</v>
      </c>
      <c r="AX96" s="1301">
        <v>6.2728522161048463</v>
      </c>
      <c r="AY96" s="477"/>
      <c r="AZ96" s="477">
        <v>6.9855323995033425</v>
      </c>
      <c r="BP96" s="1328">
        <f t="shared" si="46"/>
        <v>6.2728522161048463</v>
      </c>
    </row>
    <row r="97" spans="5:83" ht="20.399999999999999">
      <c r="E97" s="1371">
        <v>2005</v>
      </c>
      <c r="F97" s="1301">
        <v>7.7188495068870884</v>
      </c>
      <c r="G97" s="476">
        <v>7.7469554310492068</v>
      </c>
      <c r="H97" s="1382">
        <f t="shared" si="43"/>
        <v>7.7469554310492068</v>
      </c>
      <c r="I97" s="1211"/>
      <c r="AB97" s="820">
        <v>2005</v>
      </c>
      <c r="AC97" s="1301">
        <f t="shared" si="44"/>
        <v>7.7188495068870884</v>
      </c>
      <c r="AD97" s="477"/>
      <c r="AE97" s="477" t="e">
        <f>НАСТРОЙКА!#REF!</f>
        <v>#REF!</v>
      </c>
      <c r="AU97" s="1328">
        <f t="shared" si="45"/>
        <v>7.7188495068870884</v>
      </c>
      <c r="AW97" s="820">
        <v>2005</v>
      </c>
      <c r="AX97" s="1301">
        <v>7.3244397581202456</v>
      </c>
      <c r="AY97" s="477"/>
      <c r="AZ97" s="477">
        <v>7.7469554310492068</v>
      </c>
      <c r="BP97" s="1328">
        <f t="shared" si="46"/>
        <v>7.3244397581202456</v>
      </c>
    </row>
    <row r="98" spans="5:83" ht="20.399999999999999">
      <c r="E98" s="1371">
        <v>2006</v>
      </c>
      <c r="F98" s="1301">
        <v>7.333907061981483</v>
      </c>
      <c r="G98" s="476">
        <v>8.4441814198436358</v>
      </c>
      <c r="H98" s="1382">
        <f t="shared" si="43"/>
        <v>8.4441814198436358</v>
      </c>
      <c r="I98" s="1211"/>
      <c r="AB98" s="820">
        <v>2006</v>
      </c>
      <c r="AC98" s="1301">
        <f t="shared" si="44"/>
        <v>7.333907061981483</v>
      </c>
      <c r="AD98" s="477"/>
      <c r="AE98" s="477" t="e">
        <f>НАСТРОЙКА!#REF!</f>
        <v>#REF!</v>
      </c>
      <c r="AU98" s="1328">
        <f t="shared" si="45"/>
        <v>7.333907061981483</v>
      </c>
      <c r="AW98" s="820">
        <v>2006</v>
      </c>
      <c r="AX98" s="1301">
        <v>8.1861967165379976</v>
      </c>
      <c r="AY98" s="477"/>
      <c r="AZ98" s="477">
        <v>8.4441814198436358</v>
      </c>
      <c r="BP98" s="1328">
        <f t="shared" si="46"/>
        <v>8.1861967165379976</v>
      </c>
    </row>
    <row r="99" spans="5:83" ht="20.399999999999999">
      <c r="E99" s="1371">
        <v>2007</v>
      </c>
      <c r="F99" s="1301">
        <v>7.9418012798076241</v>
      </c>
      <c r="G99" s="476">
        <v>9.4465057543790749</v>
      </c>
      <c r="H99" s="1382">
        <f t="shared" si="43"/>
        <v>9.4465057543790749</v>
      </c>
      <c r="I99" s="1211"/>
      <c r="AB99" s="820">
        <v>2007</v>
      </c>
      <c r="AC99" s="1301">
        <f t="shared" si="44"/>
        <v>7.9418012798076241</v>
      </c>
      <c r="AD99" s="477"/>
      <c r="AE99" s="477" t="e">
        <f>НАСТРОЙКА!#REF!</f>
        <v>#REF!</v>
      </c>
      <c r="AU99" s="1328">
        <f t="shared" si="45"/>
        <v>7.9418012798076241</v>
      </c>
      <c r="AW99" s="820">
        <v>2007</v>
      </c>
      <c r="AX99" s="1301">
        <v>10.097240670067599</v>
      </c>
      <c r="AY99" s="477"/>
      <c r="AZ99" s="477">
        <v>9.4465057543790749</v>
      </c>
      <c r="BP99" s="1328">
        <f t="shared" si="46"/>
        <v>10.097240670067599</v>
      </c>
    </row>
    <row r="100" spans="5:83" ht="20.399999999999999">
      <c r="E100" s="1371">
        <v>2008</v>
      </c>
      <c r="F100" s="1301">
        <v>9.313557709187231</v>
      </c>
      <c r="G100" s="476">
        <v>10.701001718560617</v>
      </c>
      <c r="H100" s="1382">
        <f t="shared" si="43"/>
        <v>10.701001718560617</v>
      </c>
      <c r="I100" s="1211"/>
      <c r="AB100" s="820">
        <v>2008</v>
      </c>
      <c r="AC100" s="1301">
        <f t="shared" si="44"/>
        <v>9.313557709187231</v>
      </c>
      <c r="AD100" s="477"/>
      <c r="AE100" s="477" t="e">
        <f>НАСТРОЙКА!#REF!</f>
        <v>#REF!</v>
      </c>
      <c r="AU100" s="1328">
        <f t="shared" si="45"/>
        <v>9.313557709187231</v>
      </c>
      <c r="AW100" s="820">
        <v>2008</v>
      </c>
      <c r="AX100" s="1301">
        <v>12.014838376677151</v>
      </c>
      <c r="AY100" s="477"/>
      <c r="AZ100" s="477">
        <v>10.701001718560617</v>
      </c>
      <c r="BP100" s="1328">
        <f t="shared" si="46"/>
        <v>12.014838376677151</v>
      </c>
    </row>
    <row r="101" spans="5:83" ht="20.399999999999999">
      <c r="E101" s="1371">
        <v>2009</v>
      </c>
      <c r="F101" s="1301">
        <v>10.66694831320229</v>
      </c>
      <c r="G101" s="476">
        <v>11.642689869793951</v>
      </c>
      <c r="H101" s="1382">
        <f t="shared" si="43"/>
        <v>11.642689869793951</v>
      </c>
      <c r="I101" s="1211"/>
      <c r="AB101" s="820">
        <v>2009</v>
      </c>
      <c r="AC101" s="1301">
        <f t="shared" si="44"/>
        <v>10.66694831320229</v>
      </c>
      <c r="AD101" s="477"/>
      <c r="AE101" s="477" t="e">
        <f>НАСТРОЙКА!#REF!</f>
        <v>#REF!</v>
      </c>
      <c r="AU101" s="1328">
        <f t="shared" si="45"/>
        <v>10.66694831320229</v>
      </c>
      <c r="AW101" s="820">
        <v>2009</v>
      </c>
      <c r="AX101" s="1301">
        <v>12.870829474853368</v>
      </c>
      <c r="AY101" s="477"/>
      <c r="AZ101" s="477">
        <v>11.642689869793951</v>
      </c>
      <c r="BP101" s="1328">
        <f t="shared" si="46"/>
        <v>12.870829474853368</v>
      </c>
    </row>
    <row r="102" spans="5:83" ht="20.399999999999999">
      <c r="E102" s="1371">
        <v>2010</v>
      </c>
      <c r="F102" s="1301">
        <v>11.27644871677545</v>
      </c>
      <c r="G102" s="476">
        <v>12.664918040361862</v>
      </c>
      <c r="H102" s="1382">
        <f t="shared" si="43"/>
        <v>12.664918040361862</v>
      </c>
      <c r="I102" s="1211"/>
      <c r="AB102" s="820">
        <v>2010</v>
      </c>
      <c r="AC102" s="1301">
        <f t="shared" si="44"/>
        <v>11.27644871677545</v>
      </c>
      <c r="AD102" s="477"/>
      <c r="AE102" s="477" t="e">
        <f>НАСТРОЙКА!#REF!</f>
        <v>#REF!</v>
      </c>
      <c r="AU102" s="1328">
        <f t="shared" si="45"/>
        <v>11.27644871677545</v>
      </c>
      <c r="AW102" s="820">
        <v>2010</v>
      </c>
      <c r="AX102" s="1301">
        <v>14.148307151553455</v>
      </c>
      <c r="AY102" s="477"/>
      <c r="AZ102" s="477">
        <v>12.664918040361862</v>
      </c>
      <c r="BP102" s="1328">
        <f t="shared" si="46"/>
        <v>14.148307151553455</v>
      </c>
    </row>
    <row r="103" spans="5:83" ht="20.399999999999999">
      <c r="E103" s="1371">
        <v>2011</v>
      </c>
      <c r="F103" s="1301">
        <v>12.282914423380722</v>
      </c>
      <c r="G103" s="476">
        <v>13.437478040823935</v>
      </c>
      <c r="H103" s="1382">
        <f t="shared" si="43"/>
        <v>13.437478040823935</v>
      </c>
      <c r="I103" s="1211"/>
      <c r="AB103" s="820">
        <v>2011</v>
      </c>
      <c r="AC103" s="1301">
        <f t="shared" si="44"/>
        <v>12.282914423380722</v>
      </c>
      <c r="AD103" s="477"/>
      <c r="AE103" s="477" t="e">
        <f>НАСТРОЙКА!#REF!</f>
        <v>#REF!</v>
      </c>
      <c r="AU103" s="1328">
        <f t="shared" si="45"/>
        <v>12.282914423380722</v>
      </c>
      <c r="AW103" s="820">
        <v>2011</v>
      </c>
      <c r="AX103" s="1301">
        <v>15.766970202222982</v>
      </c>
      <c r="AY103" s="477"/>
      <c r="AZ103" s="477">
        <v>13.437478040823935</v>
      </c>
      <c r="BP103" s="1328">
        <f t="shared" si="46"/>
        <v>15.766970202222982</v>
      </c>
    </row>
    <row r="104" spans="5:83" ht="21">
      <c r="E104" s="1371">
        <v>2012</v>
      </c>
      <c r="F104" s="1301">
        <v>13.249096044334456</v>
      </c>
      <c r="G104" s="476">
        <v>14.321664095910151</v>
      </c>
      <c r="H104" s="1382">
        <f t="shared" si="43"/>
        <v>14.321664095910151</v>
      </c>
      <c r="I104" s="1211"/>
      <c r="AB104" s="820">
        <v>2012</v>
      </c>
      <c r="AC104" s="1301">
        <f t="shared" si="44"/>
        <v>13.249096044334456</v>
      </c>
      <c r="AD104" s="477"/>
      <c r="AE104" s="477" t="e">
        <f>НАСТРОЙКА!#REF!</f>
        <v>#REF!</v>
      </c>
      <c r="AU104" s="1328">
        <f t="shared" si="45"/>
        <v>13.249096044334456</v>
      </c>
      <c r="AW104" s="820">
        <v>2012</v>
      </c>
      <c r="AX104" s="1301">
        <v>16.974068796381736</v>
      </c>
      <c r="AY104" s="477"/>
      <c r="AZ104" s="477">
        <v>14.324351591518315</v>
      </c>
      <c r="BP104" s="1328">
        <f t="shared" si="46"/>
        <v>16.974068796381736</v>
      </c>
      <c r="CE104" s="599"/>
    </row>
    <row r="105" spans="5:83" ht="20.399999999999999">
      <c r="E105" s="1371">
        <v>2013</v>
      </c>
      <c r="F105" s="1301">
        <v>14.15863931501705</v>
      </c>
      <c r="G105" s="476">
        <v>15.245411430096356</v>
      </c>
      <c r="H105" s="1382">
        <f t="shared" si="43"/>
        <v>15.245411430096356</v>
      </c>
      <c r="I105" s="1211"/>
      <c r="AB105" s="820">
        <v>2013</v>
      </c>
      <c r="AC105" s="1301">
        <f t="shared" si="44"/>
        <v>14.15863931501705</v>
      </c>
      <c r="AD105" s="477"/>
      <c r="AE105" s="477" t="e">
        <f>НАСТРОЙКА!#REF!</f>
        <v>#REF!</v>
      </c>
      <c r="AU105" s="1328">
        <f t="shared" si="45"/>
        <v>14.15863931501705</v>
      </c>
      <c r="AW105" s="820">
        <v>2013</v>
      </c>
      <c r="AX105" s="1301">
        <v>17.953158422730532</v>
      </c>
      <c r="AY105" s="477"/>
      <c r="AZ105" s="477">
        <v>15.255434444967005</v>
      </c>
      <c r="BP105" s="1328">
        <f t="shared" si="46"/>
        <v>17.953158422730532</v>
      </c>
    </row>
    <row r="106" spans="5:83" ht="20.399999999999999">
      <c r="E106" s="1371">
        <v>2014</v>
      </c>
      <c r="F106" s="1301">
        <v>14.240158664898729</v>
      </c>
      <c r="G106" s="476">
        <v>17.318787384589459</v>
      </c>
      <c r="H106" s="765"/>
      <c r="I106" s="1211"/>
      <c r="AB106" s="820">
        <v>2014</v>
      </c>
      <c r="AC106" s="1301">
        <f t="shared" si="44"/>
        <v>14.240158664898729</v>
      </c>
      <c r="AD106" s="477"/>
      <c r="AE106" s="477" t="e">
        <f>НАСТРОЙКА!#REF!</f>
        <v>#REF!</v>
      </c>
      <c r="AU106" s="1328">
        <f t="shared" si="45"/>
        <v>14.240158664898729</v>
      </c>
      <c r="AW106" s="820">
        <v>2014</v>
      </c>
      <c r="AX106" s="1301">
        <v>19.115802786548628</v>
      </c>
      <c r="AY106" s="477"/>
      <c r="AZ106" s="477">
        <v>16.994553971693247</v>
      </c>
      <c r="BP106" s="1328">
        <f t="shared" si="46"/>
        <v>19.115802786548628</v>
      </c>
    </row>
    <row r="107" spans="5:83" ht="20.399999999999999">
      <c r="E107" s="1371">
        <v>2015</v>
      </c>
      <c r="F107" s="1301">
        <v>14.837823597492827</v>
      </c>
      <c r="G107" s="476">
        <v>19.552910957201501</v>
      </c>
      <c r="H107" s="765"/>
      <c r="I107" s="1211"/>
      <c r="AB107" s="820">
        <v>2015</v>
      </c>
      <c r="AC107" s="1301">
        <f t="shared" si="44"/>
        <v>14.837823597492827</v>
      </c>
      <c r="AD107" s="477">
        <f>AC107</f>
        <v>14.837823597492827</v>
      </c>
      <c r="AE107" s="477" t="e">
        <f>НАСТРОЙКА!#REF!</f>
        <v>#REF!</v>
      </c>
      <c r="AU107" s="1328">
        <f t="shared" si="45"/>
        <v>14.837823597492827</v>
      </c>
      <c r="AW107" s="820">
        <v>2015</v>
      </c>
      <c r="AX107" s="1301">
        <v>20.193444864834213</v>
      </c>
      <c r="AY107" s="477">
        <f>AX107</f>
        <v>20.193444864834213</v>
      </c>
      <c r="AZ107" s="477">
        <v>19.186851434041674</v>
      </c>
      <c r="BP107" s="1328">
        <f t="shared" si="46"/>
        <v>20.193444864834213</v>
      </c>
    </row>
    <row r="108" spans="5:83" ht="20.399999999999999">
      <c r="E108" s="1371">
        <v>2016</v>
      </c>
      <c r="F108" s="1301">
        <v>15.707409284457475</v>
      </c>
      <c r="G108" s="476">
        <v>20.608768148890384</v>
      </c>
      <c r="H108" s="765"/>
      <c r="I108" s="1211"/>
      <c r="AB108" s="820">
        <v>2016</v>
      </c>
      <c r="AC108" s="1301">
        <f t="shared" si="44"/>
        <v>15.707409284457475</v>
      </c>
      <c r="AD108" s="477">
        <f>AC108</f>
        <v>15.707409284457475</v>
      </c>
      <c r="AE108" s="477" t="e">
        <f>НАСТРОЙКА!#REF!</f>
        <v>#REF!</v>
      </c>
      <c r="AU108" s="1328">
        <f t="shared" si="45"/>
        <v>15.707409284457475</v>
      </c>
      <c r="AW108" s="820">
        <v>2016</v>
      </c>
      <c r="AX108" s="1301">
        <v>22.177890468882978</v>
      </c>
      <c r="AY108" s="477">
        <f>AX108</f>
        <v>22.177890468882978</v>
      </c>
      <c r="AZ108" s="477">
        <v>20.222941411479926</v>
      </c>
      <c r="BP108" s="1328">
        <f t="shared" si="46"/>
        <v>22.177890468882978</v>
      </c>
    </row>
    <row r="109" spans="5:83" ht="18">
      <c r="E109" s="1371">
        <v>2017</v>
      </c>
      <c r="F109" s="1374"/>
      <c r="G109" s="490"/>
      <c r="H109" s="1379"/>
      <c r="I109" s="492"/>
      <c r="AB109" s="820">
        <v>2017</v>
      </c>
      <c r="AC109" s="501"/>
      <c r="AD109" s="503">
        <f>AD108+0.95*(AD108-AD107)</f>
        <v>16.533515687073891</v>
      </c>
      <c r="AE109" s="477" t="e">
        <f>НАСТРОЙКА!#REF!</f>
        <v>#REF!</v>
      </c>
      <c r="AU109" s="1328">
        <f>AD109</f>
        <v>16.533515687073891</v>
      </c>
      <c r="AW109" s="820">
        <v>2017</v>
      </c>
      <c r="AX109" s="501"/>
      <c r="AY109" s="503">
        <f>AY108+0.95*(AY108-AY107)</f>
        <v>24.063113792729304</v>
      </c>
      <c r="AZ109" s="477">
        <v>20.728514946766921</v>
      </c>
      <c r="BP109" s="1328">
        <f>AY109</f>
        <v>24.063113792729304</v>
      </c>
    </row>
    <row r="110" spans="5:83" ht="18">
      <c r="E110" s="1371">
        <v>2018</v>
      </c>
      <c r="F110" s="1374"/>
      <c r="G110" s="490"/>
      <c r="H110" s="1379"/>
      <c r="I110" s="492"/>
      <c r="AB110" s="820">
        <v>2018</v>
      </c>
      <c r="AC110" s="501"/>
      <c r="AD110" s="503">
        <f t="shared" ref="AD110:AD122" si="47">AD109+0.95*(AD109-AD108)</f>
        <v>17.318316769559488</v>
      </c>
      <c r="AE110" s="477" t="e">
        <f>НАСТРОЙКА!#REF!</f>
        <v>#REF!</v>
      </c>
      <c r="AU110" s="1328">
        <f t="shared" ref="AU110:AU122" si="48">AD110</f>
        <v>17.318316769559488</v>
      </c>
      <c r="AW110" s="820">
        <v>2018</v>
      </c>
      <c r="AX110" s="501"/>
      <c r="AY110" s="503">
        <f t="shared" ref="AY110:AY122" si="49">AY109+0.95*(AY109-AY108)</f>
        <v>25.854075950383312</v>
      </c>
      <c r="AZ110" s="477">
        <v>21.184542275595796</v>
      </c>
      <c r="BP110" s="1328">
        <f t="shared" ref="BP110:BP122" si="50">AY110</f>
        <v>25.854075950383312</v>
      </c>
    </row>
    <row r="111" spans="5:83" ht="18">
      <c r="E111" s="1371">
        <v>2019</v>
      </c>
      <c r="F111" s="1374"/>
      <c r="G111" s="490"/>
      <c r="H111" s="1379"/>
      <c r="I111" s="492"/>
      <c r="AB111" s="820">
        <v>2019</v>
      </c>
      <c r="AC111" s="501"/>
      <c r="AD111" s="503">
        <f t="shared" si="47"/>
        <v>18.063877797920803</v>
      </c>
      <c r="AE111" s="477" t="e">
        <f>НАСТРОЙКА!#REF!</f>
        <v>#REF!</v>
      </c>
      <c r="AU111" s="1328">
        <f t="shared" si="48"/>
        <v>18.063877797920803</v>
      </c>
      <c r="AW111" s="820">
        <v>2019</v>
      </c>
      <c r="AX111" s="501"/>
      <c r="AY111" s="503">
        <f t="shared" si="49"/>
        <v>27.55549000015462</v>
      </c>
      <c r="AZ111" s="477">
        <v>21.608233121107713</v>
      </c>
      <c r="BP111" s="1328">
        <f t="shared" si="50"/>
        <v>27.55549000015462</v>
      </c>
    </row>
    <row r="112" spans="5:83" ht="18">
      <c r="E112" s="1371">
        <v>2020</v>
      </c>
      <c r="F112" s="1374"/>
      <c r="G112" s="490"/>
      <c r="H112" s="1379"/>
      <c r="I112" s="492"/>
      <c r="AB112" s="820">
        <v>2020</v>
      </c>
      <c r="AC112" s="501"/>
      <c r="AD112" s="503">
        <f t="shared" si="47"/>
        <v>18.772160774864052</v>
      </c>
      <c r="AE112" s="477" t="e">
        <f>НАСТРОЙКА!#REF!</f>
        <v>#REF!</v>
      </c>
      <c r="AU112" s="1328">
        <f t="shared" si="48"/>
        <v>18.772160774864052</v>
      </c>
      <c r="AW112" s="820">
        <v>2020</v>
      </c>
      <c r="AX112" s="501"/>
      <c r="AY112" s="503">
        <f t="shared" si="49"/>
        <v>29.171833347437364</v>
      </c>
      <c r="AZ112" s="477">
        <v>22.040397783529865</v>
      </c>
      <c r="BP112" s="1328">
        <f t="shared" si="50"/>
        <v>29.171833347437364</v>
      </c>
    </row>
    <row r="113" spans="5:80" ht="18">
      <c r="E113" s="1371">
        <v>2021</v>
      </c>
      <c r="F113" s="1374"/>
      <c r="G113" s="490"/>
      <c r="H113" s="1379"/>
      <c r="I113" s="492"/>
      <c r="AB113" s="820">
        <v>2021</v>
      </c>
      <c r="AC113" s="501"/>
      <c r="AD113" s="503">
        <f t="shared" si="47"/>
        <v>19.445029602960137</v>
      </c>
      <c r="AE113" s="477" t="e">
        <f>НАСТРОЙКА!#REF!</f>
        <v>#REF!</v>
      </c>
      <c r="AU113" s="1328">
        <f t="shared" si="48"/>
        <v>19.445029602960137</v>
      </c>
      <c r="AW113" s="820">
        <v>2021</v>
      </c>
      <c r="AX113" s="501"/>
      <c r="AY113" s="503">
        <f t="shared" si="49"/>
        <v>30.707359527355969</v>
      </c>
      <c r="AZ113" s="477">
        <v>22.481205739200462</v>
      </c>
      <c r="BP113" s="1328">
        <f t="shared" si="50"/>
        <v>30.707359527355969</v>
      </c>
    </row>
    <row r="114" spans="5:80" ht="18">
      <c r="E114" s="1371">
        <v>2022</v>
      </c>
      <c r="F114" s="1374"/>
      <c r="G114" s="490"/>
      <c r="H114" s="1379"/>
      <c r="I114" s="492"/>
      <c r="AB114" s="820">
        <v>2022</v>
      </c>
      <c r="AC114" s="501"/>
      <c r="AD114" s="503">
        <f t="shared" si="47"/>
        <v>20.084254989651416</v>
      </c>
      <c r="AE114" s="477" t="e">
        <f>НАСТРОЙКА!#REF!</f>
        <v>#REF!</v>
      </c>
      <c r="AU114" s="1328">
        <f t="shared" si="48"/>
        <v>20.084254989651416</v>
      </c>
      <c r="AW114" s="820">
        <v>2022</v>
      </c>
      <c r="AX114" s="501"/>
      <c r="AY114" s="503">
        <f t="shared" si="49"/>
        <v>32.166109398278643</v>
      </c>
      <c r="AZ114" s="477">
        <v>22.93082985398447</v>
      </c>
      <c r="BP114" s="1328">
        <f t="shared" si="50"/>
        <v>32.166109398278643</v>
      </c>
    </row>
    <row r="115" spans="5:80" ht="18">
      <c r="E115" s="1371">
        <v>2023</v>
      </c>
      <c r="F115" s="1374"/>
      <c r="G115" s="490"/>
      <c r="H115" s="1380"/>
      <c r="I115" s="485"/>
      <c r="AB115" s="820">
        <v>2023</v>
      </c>
      <c r="AC115" s="501"/>
      <c r="AD115" s="503">
        <f t="shared" si="47"/>
        <v>20.691519107008133</v>
      </c>
      <c r="AE115" s="477" t="e">
        <f>НАСТРОЙКА!#REF!</f>
        <v>#REF!</v>
      </c>
      <c r="AU115" s="1328">
        <f t="shared" si="48"/>
        <v>20.691519107008133</v>
      </c>
      <c r="AW115" s="820">
        <v>2023</v>
      </c>
      <c r="AX115" s="501"/>
      <c r="AY115" s="503">
        <f t="shared" si="49"/>
        <v>33.551921775655181</v>
      </c>
      <c r="AZ115" s="477">
        <v>23.38944645106416</v>
      </c>
      <c r="BP115" s="1328">
        <f t="shared" si="50"/>
        <v>33.551921775655181</v>
      </c>
    </row>
    <row r="116" spans="5:80" ht="18">
      <c r="E116" s="1371">
        <v>2024</v>
      </c>
      <c r="F116" s="1374"/>
      <c r="G116" s="490"/>
      <c r="H116" s="1380"/>
      <c r="I116" s="485"/>
      <c r="AB116" s="820">
        <v>2024</v>
      </c>
      <c r="AC116" s="501"/>
      <c r="AD116" s="503">
        <f t="shared" si="47"/>
        <v>21.268420018497014</v>
      </c>
      <c r="AE116" s="477" t="e">
        <f>НАСТРОЙКА!#REF!</f>
        <v>#REF!</v>
      </c>
      <c r="AU116" s="1328">
        <f t="shared" si="48"/>
        <v>21.268420018497014</v>
      </c>
      <c r="AW116" s="820">
        <v>2024</v>
      </c>
      <c r="AX116" s="501"/>
      <c r="AY116" s="503">
        <f t="shared" si="49"/>
        <v>34.868443534162893</v>
      </c>
      <c r="AZ116" s="477">
        <v>23.857235380085445</v>
      </c>
      <c r="BP116" s="1328">
        <f t="shared" si="50"/>
        <v>34.868443534162893</v>
      </c>
    </row>
    <row r="117" spans="5:80" ht="18">
      <c r="E117" s="1371">
        <v>2025</v>
      </c>
      <c r="F117" s="1374"/>
      <c r="G117" s="490"/>
      <c r="H117" s="1380"/>
      <c r="I117" s="485"/>
      <c r="AB117" s="820">
        <v>2025</v>
      </c>
      <c r="AC117" s="501"/>
      <c r="AD117" s="503">
        <f t="shared" si="47"/>
        <v>21.816475884411453</v>
      </c>
      <c r="AE117" s="477" t="e">
        <f>НАСТРОЙКА!#REF!</f>
        <v>#REF!</v>
      </c>
      <c r="AU117" s="1328">
        <f t="shared" si="48"/>
        <v>21.816475884411453</v>
      </c>
      <c r="AW117" s="820">
        <v>2025</v>
      </c>
      <c r="AX117" s="501"/>
      <c r="AY117" s="503">
        <f t="shared" si="49"/>
        <v>36.119139204745217</v>
      </c>
      <c r="AZ117" s="477">
        <v>24.334380087687155</v>
      </c>
      <c r="BP117" s="1328">
        <f t="shared" si="50"/>
        <v>36.119139204745217</v>
      </c>
    </row>
    <row r="118" spans="5:80" ht="20.399999999999999">
      <c r="E118" s="1371">
        <v>2026</v>
      </c>
      <c r="F118" s="1374"/>
      <c r="G118" s="490"/>
      <c r="H118" s="1380"/>
      <c r="I118" s="485"/>
      <c r="AB118" s="820">
        <v>2026</v>
      </c>
      <c r="AC118" s="501"/>
      <c r="AD118" s="503">
        <f t="shared" si="47"/>
        <v>22.337128957030171</v>
      </c>
      <c r="AE118" s="477" t="e">
        <f>НАСТРОЙКА!#REF!</f>
        <v>#REF!</v>
      </c>
      <c r="AU118" s="1328">
        <f t="shared" si="48"/>
        <v>22.337128957030171</v>
      </c>
      <c r="AW118" s="820">
        <v>2026</v>
      </c>
      <c r="AX118" s="501"/>
      <c r="AY118" s="503">
        <f t="shared" si="49"/>
        <v>37.307300091798425</v>
      </c>
      <c r="AZ118" s="477">
        <v>24.821067689440898</v>
      </c>
      <c r="BP118" s="1328">
        <f t="shared" si="50"/>
        <v>37.307300091798425</v>
      </c>
      <c r="CB118" s="943"/>
    </row>
    <row r="119" spans="5:80" ht="20.399999999999999">
      <c r="E119" s="1371">
        <v>2027</v>
      </c>
      <c r="F119" s="1374"/>
      <c r="G119" s="490"/>
      <c r="H119" s="1380"/>
      <c r="I119" s="485"/>
      <c r="AB119" s="820">
        <v>2027</v>
      </c>
      <c r="AC119" s="501"/>
      <c r="AD119" s="503">
        <f t="shared" si="47"/>
        <v>22.831749376017953</v>
      </c>
      <c r="AE119" s="477" t="e">
        <f>НАСТРОЙКА!#REF!</f>
        <v>#REF!</v>
      </c>
      <c r="AU119" s="1328">
        <f t="shared" si="48"/>
        <v>22.831749376017953</v>
      </c>
      <c r="AW119" s="820">
        <v>2027</v>
      </c>
      <c r="AX119" s="501"/>
      <c r="AY119" s="503">
        <f t="shared" si="49"/>
        <v>38.436052934498974</v>
      </c>
      <c r="AZ119" s="477">
        <v>25.317489043229717</v>
      </c>
      <c r="BP119" s="1328">
        <f t="shared" si="50"/>
        <v>38.436052934498974</v>
      </c>
      <c r="CB119" s="943"/>
    </row>
    <row r="120" spans="5:80" ht="20.399999999999999">
      <c r="E120" s="1371">
        <v>2028</v>
      </c>
      <c r="F120" s="1374"/>
      <c r="G120" s="490"/>
      <c r="H120" s="1380"/>
      <c r="I120" s="485"/>
      <c r="AB120" s="820">
        <v>2028</v>
      </c>
      <c r="AC120" s="501"/>
      <c r="AD120" s="503">
        <f t="shared" si="47"/>
        <v>23.301638774056347</v>
      </c>
      <c r="AE120" s="477" t="e">
        <f>НАСТРОЙКА!#REF!</f>
        <v>#REF!</v>
      </c>
      <c r="AU120" s="1328">
        <f t="shared" si="48"/>
        <v>23.301638774056347</v>
      </c>
      <c r="AW120" s="820">
        <v>2028</v>
      </c>
      <c r="AX120" s="501"/>
      <c r="AY120" s="503">
        <f t="shared" si="49"/>
        <v>39.508368135064494</v>
      </c>
      <c r="AZ120" s="477">
        <v>25.823838824094313</v>
      </c>
      <c r="BP120" s="1328">
        <f t="shared" si="50"/>
        <v>39.508368135064494</v>
      </c>
      <c r="CB120" s="943"/>
    </row>
    <row r="121" spans="5:80" ht="20.399999999999999">
      <c r="E121" s="1371">
        <v>2029</v>
      </c>
      <c r="F121" s="1374"/>
      <c r="G121" s="490"/>
      <c r="H121" s="1380"/>
      <c r="I121" s="485"/>
      <c r="AB121" s="820">
        <v>2029</v>
      </c>
      <c r="AC121" s="501"/>
      <c r="AD121" s="503">
        <f t="shared" si="47"/>
        <v>23.748033702192821</v>
      </c>
      <c r="AE121" s="477" t="e">
        <f>НАСТРОЙКА!#REF!</f>
        <v>#REF!</v>
      </c>
      <c r="AU121" s="1328">
        <f t="shared" si="48"/>
        <v>23.748033702192821</v>
      </c>
      <c r="AW121" s="820">
        <v>2029</v>
      </c>
      <c r="AX121" s="501"/>
      <c r="AY121" s="503">
        <f t="shared" si="49"/>
        <v>40.527067575601734</v>
      </c>
      <c r="AZ121" s="477">
        <v>26.340315600576201</v>
      </c>
      <c r="BP121" s="1328">
        <f t="shared" si="50"/>
        <v>40.527067575601734</v>
      </c>
      <c r="BT121" s="943"/>
      <c r="BU121" s="943"/>
      <c r="BV121" s="943"/>
      <c r="BW121" s="943"/>
      <c r="BX121" s="943"/>
      <c r="BY121" s="943"/>
      <c r="BZ121" s="943"/>
      <c r="CA121" s="943"/>
      <c r="CB121" s="943"/>
    </row>
    <row r="122" spans="5:80" ht="20.399999999999999">
      <c r="E122" s="1372">
        <v>2030</v>
      </c>
      <c r="F122" s="1375"/>
      <c r="G122" s="493"/>
      <c r="H122" s="1381"/>
      <c r="I122" s="486"/>
      <c r="AB122" s="853">
        <v>2030</v>
      </c>
      <c r="AC122" s="505"/>
      <c r="AD122" s="505">
        <f t="shared" si="47"/>
        <v>24.172108883922473</v>
      </c>
      <c r="AE122" s="1304" t="e">
        <f>НАСТРОЙКА!#REF!</f>
        <v>#REF!</v>
      </c>
      <c r="AU122" s="1331">
        <f t="shared" si="48"/>
        <v>24.172108883922473</v>
      </c>
      <c r="AW122" s="853">
        <v>2030</v>
      </c>
      <c r="AX122" s="505"/>
      <c r="AY122" s="503">
        <f t="shared" si="49"/>
        <v>41.494832044112115</v>
      </c>
      <c r="AZ122" s="1304">
        <v>26.867121912587724</v>
      </c>
      <c r="BP122" s="1331">
        <f t="shared" si="50"/>
        <v>41.494832044112115</v>
      </c>
      <c r="BT122" s="943"/>
      <c r="BU122" s="943"/>
      <c r="BV122" s="943"/>
      <c r="BW122" s="943"/>
      <c r="BX122" s="943"/>
      <c r="BY122" s="943"/>
      <c r="BZ122" s="943"/>
      <c r="CA122" s="943"/>
      <c r="CB122" s="943"/>
    </row>
    <row r="123" spans="5:80" ht="20.399999999999999">
      <c r="BT123" s="943"/>
      <c r="BU123" s="943"/>
      <c r="BV123" s="943"/>
      <c r="BW123" s="943"/>
      <c r="BX123" s="943"/>
      <c r="BY123" s="943"/>
      <c r="BZ123" s="943"/>
      <c r="CA123" s="943"/>
      <c r="CB123" s="943"/>
    </row>
    <row r="124" spans="5:80" ht="20.399999999999999">
      <c r="BT124" s="943"/>
      <c r="BU124" s="943"/>
      <c r="BV124" s="943"/>
      <c r="BW124" s="943"/>
      <c r="BX124" s="943"/>
      <c r="BY124" s="943"/>
      <c r="BZ124" s="943"/>
      <c r="CA124" s="943"/>
      <c r="CB124" s="943"/>
    </row>
    <row r="125" spans="5:80" ht="20.399999999999999">
      <c r="BZ125" s="943"/>
      <c r="CA125" s="943"/>
      <c r="CB125" s="943"/>
    </row>
    <row r="126" spans="5:80" ht="20.399999999999999">
      <c r="BT126" s="943"/>
      <c r="BU126" s="943"/>
      <c r="BV126" s="943"/>
      <c r="BW126" s="943"/>
      <c r="BX126" s="943"/>
      <c r="BY126" s="943"/>
      <c r="BZ126" s="943"/>
      <c r="CA126" s="943"/>
      <c r="CB126" s="943"/>
    </row>
    <row r="127" spans="5:80" ht="20.399999999999999">
      <c r="BT127" s="943"/>
      <c r="BU127" s="943"/>
      <c r="BV127" s="943"/>
      <c r="BW127" s="943"/>
      <c r="BX127" s="943"/>
      <c r="BY127" s="943"/>
      <c r="BZ127" s="943"/>
      <c r="CA127" s="943"/>
      <c r="CB127" s="943"/>
    </row>
    <row r="128" spans="5:80" ht="20.399999999999999">
      <c r="BT128" s="943"/>
      <c r="BU128" s="943"/>
      <c r="BV128" s="943"/>
      <c r="BW128" s="943"/>
      <c r="BX128" s="943"/>
      <c r="BY128" s="943"/>
      <c r="BZ128" s="943"/>
      <c r="CA128" s="943"/>
      <c r="CB128" s="943"/>
    </row>
    <row r="129" spans="6:80" ht="20.399999999999999">
      <c r="BT129" s="943"/>
      <c r="BU129" s="943"/>
      <c r="BV129" s="943"/>
      <c r="BW129" s="943"/>
      <c r="BX129" s="943"/>
      <c r="BY129" s="943"/>
      <c r="BZ129" s="943"/>
      <c r="CA129" s="943"/>
      <c r="CB129" s="943"/>
    </row>
    <row r="137" spans="6:80" ht="15" thickBot="1"/>
    <row r="138" spans="6:80" ht="18">
      <c r="F138" s="1333" t="s">
        <v>334</v>
      </c>
      <c r="G138" s="1334"/>
      <c r="H138" s="1334"/>
      <c r="I138" s="1334"/>
      <c r="J138" s="1334"/>
      <c r="K138" s="1334"/>
      <c r="L138" s="1334"/>
      <c r="M138" s="1334"/>
      <c r="N138" s="1334"/>
      <c r="O138" s="1335"/>
    </row>
    <row r="139" spans="6:80" ht="18">
      <c r="F139" s="1336" t="s">
        <v>328</v>
      </c>
      <c r="G139" s="1337"/>
      <c r="H139" s="1337"/>
      <c r="I139" s="1337"/>
      <c r="J139" s="1337"/>
      <c r="K139" s="1337"/>
      <c r="L139" s="1337"/>
      <c r="M139" s="1337"/>
      <c r="N139" s="1337"/>
      <c r="O139" s="1338"/>
    </row>
    <row r="140" spans="6:80" ht="18">
      <c r="F140" s="1336" t="s">
        <v>327</v>
      </c>
      <c r="G140" s="1337"/>
      <c r="H140" s="1337"/>
      <c r="I140" s="1337"/>
      <c r="J140" s="1337"/>
      <c r="K140" s="1337"/>
      <c r="L140" s="1337"/>
      <c r="M140" s="1337"/>
      <c r="N140" s="1337"/>
      <c r="O140" s="1338"/>
    </row>
    <row r="141" spans="6:80" ht="18">
      <c r="F141" s="1336" t="s">
        <v>329</v>
      </c>
      <c r="G141" s="1337"/>
      <c r="H141" s="1337"/>
      <c r="I141" s="1337"/>
      <c r="J141" s="1337"/>
      <c r="K141" s="1337"/>
      <c r="L141" s="1337"/>
      <c r="M141" s="1337"/>
      <c r="N141" s="1337"/>
      <c r="O141" s="1338"/>
      <c r="AI141" s="643"/>
      <c r="AJ141" s="644" t="s">
        <v>135</v>
      </c>
      <c r="AK141" s="644"/>
      <c r="AL141" s="643"/>
    </row>
    <row r="142" spans="6:80" ht="25.8">
      <c r="F142" s="1336" t="s">
        <v>333</v>
      </c>
      <c r="G142" s="1337"/>
      <c r="H142" s="1337"/>
      <c r="I142" s="1337"/>
      <c r="J142" s="1337"/>
      <c r="K142" s="1337"/>
      <c r="L142" s="1337"/>
      <c r="M142" s="1337"/>
      <c r="N142" s="1337"/>
      <c r="O142" s="1338"/>
      <c r="X142" s="2760" t="s">
        <v>141</v>
      </c>
      <c r="Y142" s="2760"/>
      <c r="Z142" s="2760"/>
      <c r="AA142" s="2760"/>
      <c r="AI142" s="643"/>
      <c r="AJ142" s="644" t="s">
        <v>136</v>
      </c>
      <c r="AK142" s="644"/>
      <c r="AL142" s="643"/>
      <c r="AP142" s="704" t="s">
        <v>141</v>
      </c>
      <c r="AQ142" s="704"/>
      <c r="AR142" s="704"/>
      <c r="AS142" s="704"/>
      <c r="AT142" s="704"/>
      <c r="AU142" s="704"/>
      <c r="AV142" s="704"/>
    </row>
    <row r="143" spans="6:80" ht="18">
      <c r="F143" s="1336" t="s">
        <v>330</v>
      </c>
      <c r="G143" s="1337"/>
      <c r="H143" s="1337"/>
      <c r="I143" s="1337"/>
      <c r="J143" s="1337"/>
      <c r="K143" s="1337"/>
      <c r="L143" s="1337"/>
      <c r="M143" s="1337"/>
      <c r="N143" s="1337"/>
      <c r="O143" s="1338"/>
      <c r="X143" s="438"/>
      <c r="Y143" s="438"/>
      <c r="Z143" s="438"/>
      <c r="AA143" s="438"/>
      <c r="AI143" s="643"/>
      <c r="AJ143" s="643"/>
      <c r="AK143" s="643"/>
      <c r="AL143" s="643"/>
      <c r="AR143" s="688"/>
      <c r="AS143" s="688"/>
      <c r="AT143" s="688"/>
      <c r="AU143" s="688"/>
    </row>
    <row r="144" spans="6:80" ht="34.799999999999997">
      <c r="F144" s="1336" t="s">
        <v>331</v>
      </c>
      <c r="G144" s="1337"/>
      <c r="H144" s="1337"/>
      <c r="I144" s="1337"/>
      <c r="J144" s="1337"/>
      <c r="K144" s="1337"/>
      <c r="L144" s="1337"/>
      <c r="M144" s="1337"/>
      <c r="N144" s="1337"/>
      <c r="O144" s="1338"/>
      <c r="T144" s="614" t="s">
        <v>1110</v>
      </c>
      <c r="U144" s="614"/>
      <c r="X144" s="2761" t="s">
        <v>137</v>
      </c>
      <c r="Y144" s="615" t="s">
        <v>138</v>
      </c>
      <c r="Z144" s="616" t="s">
        <v>142</v>
      </c>
      <c r="AA144" s="616" t="s">
        <v>143</v>
      </c>
      <c r="AI144" s="643"/>
      <c r="AJ144" s="645" t="s">
        <v>137</v>
      </c>
      <c r="AK144" s="645" t="s">
        <v>138</v>
      </c>
      <c r="AL144" s="643"/>
      <c r="AR144" s="702" t="s">
        <v>137</v>
      </c>
      <c r="AS144" s="689" t="s">
        <v>138</v>
      </c>
      <c r="AT144" s="690" t="s">
        <v>142</v>
      </c>
      <c r="AU144" s="690" t="s">
        <v>143</v>
      </c>
    </row>
    <row r="145" spans="5:80" ht="70.2" thickBot="1">
      <c r="F145" s="1339" t="s">
        <v>332</v>
      </c>
      <c r="G145" s="1340"/>
      <c r="H145" s="1340"/>
      <c r="I145" s="1340"/>
      <c r="J145" s="1340"/>
      <c r="K145" s="1340"/>
      <c r="L145" s="1340"/>
      <c r="M145" s="1340"/>
      <c r="N145" s="1340"/>
      <c r="O145" s="1341"/>
      <c r="X145" s="2762"/>
      <c r="Y145" s="617" t="s">
        <v>144</v>
      </c>
      <c r="Z145" s="617" t="s">
        <v>145</v>
      </c>
      <c r="AA145" s="618" t="s">
        <v>146</v>
      </c>
      <c r="AC145" s="621" t="s">
        <v>1112</v>
      </c>
      <c r="AD145" s="642" t="s">
        <v>656</v>
      </c>
      <c r="AI145" s="643"/>
      <c r="AJ145" s="646"/>
      <c r="AK145" s="646" t="s">
        <v>139</v>
      </c>
      <c r="AL145" s="643"/>
      <c r="AM145" s="621" t="s">
        <v>1113</v>
      </c>
      <c r="AN145" s="642" t="s">
        <v>664</v>
      </c>
      <c r="AR145" s="703"/>
      <c r="AS145" s="691" t="s">
        <v>144</v>
      </c>
      <c r="AT145" s="691" t="s">
        <v>145</v>
      </c>
      <c r="AU145" s="692" t="s">
        <v>146</v>
      </c>
    </row>
    <row r="146" spans="5:80" ht="18.600000000000001" thickBot="1">
      <c r="F146" s="1342"/>
      <c r="G146" s="1342"/>
      <c r="H146" s="1342"/>
      <c r="I146" s="1342"/>
      <c r="J146" s="1342"/>
      <c r="K146" s="1342"/>
      <c r="L146" s="1342"/>
      <c r="M146" s="1342"/>
      <c r="N146" s="1342"/>
      <c r="O146" s="1342"/>
      <c r="T146" s="606">
        <v>100</v>
      </c>
      <c r="U146" s="609">
        <f>T146/100</f>
        <v>1</v>
      </c>
      <c r="X146" s="637">
        <v>1990</v>
      </c>
      <c r="Y146" s="601">
        <v>136</v>
      </c>
      <c r="Z146" s="601">
        <v>96.9</v>
      </c>
      <c r="AA146" s="601">
        <v>100</v>
      </c>
      <c r="AC146" s="602">
        <f t="shared" ref="AC146:AC151" si="51">Y146/1000</f>
        <v>0.13600000000000001</v>
      </c>
      <c r="AI146" s="643"/>
      <c r="AJ146" s="647">
        <v>1990</v>
      </c>
      <c r="AK146" s="647">
        <v>1927</v>
      </c>
      <c r="AL146" s="643"/>
      <c r="AM146" s="666">
        <f t="shared" ref="AM146:AM151" si="52">AK146/1000</f>
        <v>1.927</v>
      </c>
      <c r="AR146" s="693">
        <v>1990</v>
      </c>
      <c r="AS146" s="694">
        <v>136</v>
      </c>
      <c r="AT146" s="710">
        <v>96.9</v>
      </c>
      <c r="AU146" s="711">
        <v>100</v>
      </c>
    </row>
    <row r="147" spans="5:80" ht="20.399999999999999">
      <c r="F147" s="1333" t="s">
        <v>335</v>
      </c>
      <c r="G147" s="1334"/>
      <c r="H147" s="1334"/>
      <c r="I147" s="1334"/>
      <c r="J147" s="1334"/>
      <c r="K147" s="1334"/>
      <c r="L147" s="1334"/>
      <c r="M147" s="1334"/>
      <c r="N147" s="1334"/>
      <c r="O147" s="1335"/>
      <c r="T147" s="607">
        <v>89.2</v>
      </c>
      <c r="U147" s="612">
        <f t="shared" ref="U147:U168" si="53">T147/100</f>
        <v>0.89200000000000002</v>
      </c>
      <c r="V147" s="609">
        <f>U147/U146</f>
        <v>0.89200000000000002</v>
      </c>
      <c r="X147" s="637">
        <v>1991</v>
      </c>
      <c r="Y147" s="601">
        <v>176</v>
      </c>
      <c r="Z147" s="601">
        <v>89.2</v>
      </c>
      <c r="AA147" s="601">
        <v>89.2</v>
      </c>
      <c r="AC147" s="603">
        <f t="shared" si="51"/>
        <v>0.17599999999999999</v>
      </c>
      <c r="AI147" s="643"/>
      <c r="AJ147" s="647">
        <v>1991</v>
      </c>
      <c r="AK147" s="648">
        <v>2061</v>
      </c>
      <c r="AL147" s="643"/>
      <c r="AM147" s="666">
        <f t="shared" si="52"/>
        <v>2.0609999999999999</v>
      </c>
      <c r="AR147" s="693">
        <v>1991</v>
      </c>
      <c r="AS147" s="694">
        <v>176</v>
      </c>
      <c r="AT147" s="710">
        <v>89.2</v>
      </c>
      <c r="AU147" s="710">
        <v>89.2</v>
      </c>
      <c r="BT147" s="943"/>
      <c r="BU147" s="943"/>
      <c r="BV147" s="943"/>
      <c r="BW147" s="943"/>
      <c r="BX147" s="943"/>
      <c r="BY147" s="943"/>
      <c r="BZ147" s="943"/>
      <c r="CA147" s="943"/>
      <c r="CB147" s="943"/>
    </row>
    <row r="148" spans="5:80" ht="18">
      <c r="F148" s="1336" t="s">
        <v>336</v>
      </c>
      <c r="G148" s="1337"/>
      <c r="H148" s="1337"/>
      <c r="I148" s="1337"/>
      <c r="J148" s="1337"/>
      <c r="K148" s="1337"/>
      <c r="L148" s="1337"/>
      <c r="M148" s="1337"/>
      <c r="N148" s="1337"/>
      <c r="O148" s="1338"/>
      <c r="T148" s="607">
        <v>60</v>
      </c>
      <c r="U148" s="612">
        <f t="shared" si="53"/>
        <v>0.6</v>
      </c>
      <c r="V148" s="610">
        <f t="shared" ref="V148:V168" si="54">U148/U147</f>
        <v>0.67264573991031384</v>
      </c>
      <c r="X148" s="637">
        <v>1992</v>
      </c>
      <c r="Y148" s="601">
        <v>2005</v>
      </c>
      <c r="Z148" s="601">
        <v>67.2</v>
      </c>
      <c r="AA148" s="601">
        <v>60</v>
      </c>
      <c r="AC148" s="604">
        <f t="shared" si="51"/>
        <v>2.0049999999999999</v>
      </c>
      <c r="AI148" s="643"/>
      <c r="AJ148" s="648">
        <v>1992</v>
      </c>
      <c r="AK148" s="649">
        <v>43215</v>
      </c>
      <c r="AL148" s="643"/>
      <c r="AM148" s="666">
        <f t="shared" si="52"/>
        <v>43.215000000000003</v>
      </c>
      <c r="AR148" s="695">
        <v>1992</v>
      </c>
      <c r="AS148" s="696">
        <v>2005</v>
      </c>
      <c r="AT148" s="710">
        <v>67.2</v>
      </c>
      <c r="AU148" s="710">
        <v>60</v>
      </c>
    </row>
    <row r="149" spans="5:80" ht="18">
      <c r="F149" s="1336" t="s">
        <v>337</v>
      </c>
      <c r="G149" s="1337"/>
      <c r="H149" s="1337"/>
      <c r="I149" s="1337"/>
      <c r="J149" s="1337"/>
      <c r="K149" s="1337"/>
      <c r="L149" s="1337"/>
      <c r="M149" s="1337"/>
      <c r="N149" s="1337"/>
      <c r="O149" s="1338"/>
      <c r="T149" s="607">
        <v>42</v>
      </c>
      <c r="U149" s="612">
        <f t="shared" si="53"/>
        <v>0.42</v>
      </c>
      <c r="V149" s="610">
        <f t="shared" si="54"/>
        <v>0.7</v>
      </c>
      <c r="X149" s="637">
        <v>1993</v>
      </c>
      <c r="Y149" s="601">
        <v>15093</v>
      </c>
      <c r="Z149" s="601">
        <v>70</v>
      </c>
      <c r="AA149" s="601">
        <v>42</v>
      </c>
      <c r="AC149" s="605">
        <f t="shared" si="51"/>
        <v>15.093</v>
      </c>
      <c r="AI149" s="643"/>
      <c r="AJ149" s="650">
        <v>1993</v>
      </c>
      <c r="AK149" s="649">
        <v>63861</v>
      </c>
      <c r="AL149" s="643"/>
      <c r="AM149" s="666">
        <f t="shared" si="52"/>
        <v>63.860999999999997</v>
      </c>
      <c r="AR149" s="697">
        <v>1993</v>
      </c>
      <c r="AS149" s="712">
        <v>15093</v>
      </c>
      <c r="AT149" s="710">
        <v>70</v>
      </c>
      <c r="AU149" s="710">
        <v>42</v>
      </c>
    </row>
    <row r="150" spans="5:80" ht="18.600000000000001" thickBot="1">
      <c r="F150" s="1336" t="s">
        <v>338</v>
      </c>
      <c r="G150" s="1337"/>
      <c r="H150" s="1337"/>
      <c r="I150" s="1337"/>
      <c r="J150" s="1337"/>
      <c r="K150" s="1337"/>
      <c r="L150" s="1337"/>
      <c r="M150" s="1337"/>
      <c r="N150" s="1337"/>
      <c r="O150" s="1338"/>
      <c r="T150" s="607">
        <v>34.4</v>
      </c>
      <c r="U150" s="612">
        <f t="shared" si="53"/>
        <v>0.34399999999999997</v>
      </c>
      <c r="V150" s="610">
        <f t="shared" si="54"/>
        <v>0.81904761904761902</v>
      </c>
      <c r="X150" s="638">
        <v>1994</v>
      </c>
      <c r="Y150" s="623">
        <v>72350</v>
      </c>
      <c r="Z150" s="623">
        <v>81.8</v>
      </c>
      <c r="AA150" s="623">
        <v>34.4</v>
      </c>
      <c r="AC150" s="605">
        <f t="shared" si="51"/>
        <v>72.349999999999994</v>
      </c>
      <c r="AI150" s="643"/>
      <c r="AJ150" s="652">
        <v>1994</v>
      </c>
      <c r="AK150" s="653">
        <v>1221494</v>
      </c>
      <c r="AL150" s="643"/>
      <c r="AM150" s="667">
        <f t="shared" si="52"/>
        <v>1221.4939999999999</v>
      </c>
      <c r="AR150" s="697">
        <v>1994</v>
      </c>
      <c r="AS150" s="712">
        <v>72350</v>
      </c>
      <c r="AT150" s="710">
        <v>81.8</v>
      </c>
      <c r="AU150" s="710">
        <v>34.4</v>
      </c>
    </row>
    <row r="151" spans="5:80" ht="18.600000000000001" thickBot="1">
      <c r="F151" s="1339" t="s">
        <v>339</v>
      </c>
      <c r="G151" s="1340"/>
      <c r="H151" s="1340"/>
      <c r="I151" s="1340"/>
      <c r="J151" s="1340"/>
      <c r="K151" s="1340"/>
      <c r="L151" s="1340"/>
      <c r="M151" s="1340"/>
      <c r="N151" s="1340"/>
      <c r="O151" s="1341"/>
      <c r="T151" s="607">
        <v>31.9</v>
      </c>
      <c r="U151" s="612">
        <f t="shared" si="53"/>
        <v>0.31900000000000001</v>
      </c>
      <c r="V151" s="610">
        <f t="shared" si="54"/>
        <v>0.92732558139534893</v>
      </c>
      <c r="X151" s="639">
        <v>1995</v>
      </c>
      <c r="Y151" s="624">
        <v>230407</v>
      </c>
      <c r="Z151" s="624">
        <v>92.7</v>
      </c>
      <c r="AA151" s="625">
        <v>31.9</v>
      </c>
      <c r="AC151" s="633">
        <f t="shared" si="51"/>
        <v>230.40700000000001</v>
      </c>
      <c r="AD151" s="634">
        <f>AC151</f>
        <v>230.40700000000001</v>
      </c>
      <c r="AI151" s="643"/>
      <c r="AJ151" s="654">
        <v>1995</v>
      </c>
      <c r="AK151" s="655">
        <v>5306460</v>
      </c>
      <c r="AL151" s="643"/>
      <c r="AM151" s="667">
        <f t="shared" si="52"/>
        <v>5306.46</v>
      </c>
      <c r="AR151" s="697">
        <v>1995</v>
      </c>
      <c r="AS151" s="712">
        <v>230407</v>
      </c>
      <c r="AT151" s="710">
        <v>92.7</v>
      </c>
      <c r="AU151" s="710">
        <v>31.9</v>
      </c>
    </row>
    <row r="152" spans="5:80" ht="18.600000000000001" thickBot="1">
      <c r="E152" s="70"/>
      <c r="F152" s="494"/>
      <c r="G152" s="1337"/>
      <c r="H152" s="1337"/>
      <c r="I152" s="1337"/>
      <c r="J152" s="1337"/>
      <c r="K152" s="1337"/>
      <c r="L152" s="1337"/>
      <c r="M152" s="1337"/>
      <c r="N152" s="1337"/>
      <c r="O152" s="1337"/>
      <c r="P152" s="70"/>
      <c r="T152" s="607">
        <v>27.3</v>
      </c>
      <c r="U152" s="612">
        <f t="shared" si="53"/>
        <v>0.27300000000000002</v>
      </c>
      <c r="V152" s="610">
        <f t="shared" si="54"/>
        <v>0.85579937304075238</v>
      </c>
      <c r="X152" s="640">
        <v>1996</v>
      </c>
      <c r="Y152" s="601">
        <v>334302</v>
      </c>
      <c r="Z152" s="601">
        <v>85.7</v>
      </c>
      <c r="AA152" s="626">
        <v>27.3</v>
      </c>
      <c r="AC152" s="629">
        <f t="shared" ref="AC152:AC168" si="55">Y152/1000</f>
        <v>334.30200000000002</v>
      </c>
      <c r="AD152" s="635">
        <f>AD151*Z152/100</f>
        <v>197.458799</v>
      </c>
      <c r="AI152" s="643"/>
      <c r="AJ152" s="656">
        <v>1996</v>
      </c>
      <c r="AK152" s="657">
        <v>13250160</v>
      </c>
      <c r="AL152" s="643"/>
      <c r="AM152" s="667">
        <f t="shared" ref="AM152:AM168" si="56">AK152/1000</f>
        <v>13250.16</v>
      </c>
      <c r="AR152" s="698">
        <v>1996</v>
      </c>
      <c r="AS152" s="699">
        <v>334302</v>
      </c>
      <c r="AT152" s="710">
        <v>85.7</v>
      </c>
      <c r="AU152" s="710">
        <v>27.3</v>
      </c>
    </row>
    <row r="153" spans="5:80" ht="18">
      <c r="E153" s="70"/>
      <c r="F153" s="1333" t="s">
        <v>342</v>
      </c>
      <c r="G153" s="1334"/>
      <c r="H153" s="1334"/>
      <c r="I153" s="1334"/>
      <c r="J153" s="1334"/>
      <c r="K153" s="1334"/>
      <c r="L153" s="1334"/>
      <c r="M153" s="1334"/>
      <c r="N153" s="1334"/>
      <c r="O153" s="1335"/>
      <c r="P153" s="70"/>
      <c r="T153" s="607">
        <v>23.3</v>
      </c>
      <c r="U153" s="612">
        <f t="shared" si="53"/>
        <v>0.23300000000000001</v>
      </c>
      <c r="V153" s="610">
        <f t="shared" si="54"/>
        <v>0.85347985347985345</v>
      </c>
      <c r="X153" s="640">
        <v>1997</v>
      </c>
      <c r="Y153" s="601">
        <v>406472</v>
      </c>
      <c r="Z153" s="601">
        <v>85.4</v>
      </c>
      <c r="AA153" s="626">
        <v>23.3</v>
      </c>
      <c r="AC153" s="630">
        <f t="shared" si="55"/>
        <v>406.47199999999998</v>
      </c>
      <c r="AD153" s="635">
        <f t="shared" ref="AD153:AD168" si="57">AD152*Z153/100</f>
        <v>168.62981434600002</v>
      </c>
      <c r="AI153" s="643"/>
      <c r="AJ153" s="658">
        <v>1997</v>
      </c>
      <c r="AK153" s="657">
        <v>13411951</v>
      </c>
      <c r="AL153" s="643"/>
      <c r="AM153" s="667">
        <f t="shared" si="56"/>
        <v>13411.950999999999</v>
      </c>
      <c r="AR153" s="693">
        <v>1997</v>
      </c>
      <c r="AS153" s="694">
        <v>406472</v>
      </c>
      <c r="AT153" s="710">
        <v>85.4</v>
      </c>
      <c r="AU153" s="710">
        <v>23.3</v>
      </c>
    </row>
    <row r="154" spans="5:80" ht="18">
      <c r="E154" s="70"/>
      <c r="F154" s="1336" t="s">
        <v>340</v>
      </c>
      <c r="G154" s="1337"/>
      <c r="H154" s="1337"/>
      <c r="I154" s="1337"/>
      <c r="J154" s="1337"/>
      <c r="K154" s="1337"/>
      <c r="L154" s="1337"/>
      <c r="M154" s="1337"/>
      <c r="N154" s="1337"/>
      <c r="O154" s="1338"/>
      <c r="P154" s="70"/>
      <c r="T154" s="607">
        <v>22.2</v>
      </c>
      <c r="U154" s="612">
        <f t="shared" si="53"/>
        <v>0.222</v>
      </c>
      <c r="V154" s="610">
        <f t="shared" si="54"/>
        <v>0.95278969957081538</v>
      </c>
      <c r="X154" s="640">
        <v>1998</v>
      </c>
      <c r="Y154" s="601">
        <v>428564</v>
      </c>
      <c r="Z154" s="601">
        <v>95</v>
      </c>
      <c r="AA154" s="626">
        <v>22.2</v>
      </c>
      <c r="AC154" s="630">
        <f t="shared" si="55"/>
        <v>428.56400000000002</v>
      </c>
      <c r="AD154" s="635">
        <f t="shared" si="57"/>
        <v>160.19832362870002</v>
      </c>
      <c r="AI154" s="643"/>
      <c r="AJ154" s="658">
        <v>1998</v>
      </c>
      <c r="AK154" s="657">
        <v>14277540</v>
      </c>
      <c r="AL154" s="643"/>
      <c r="AM154" s="667">
        <f t="shared" si="56"/>
        <v>14277.54</v>
      </c>
      <c r="AR154" s="693">
        <v>1998</v>
      </c>
      <c r="AS154" s="694">
        <v>428564</v>
      </c>
      <c r="AT154" s="710">
        <v>95</v>
      </c>
      <c r="AU154" s="710">
        <v>22.2</v>
      </c>
    </row>
    <row r="155" spans="5:80" ht="18.600000000000001" thickBot="1">
      <c r="E155" s="70"/>
      <c r="F155" s="1339" t="s">
        <v>341</v>
      </c>
      <c r="G155" s="1340"/>
      <c r="H155" s="1340"/>
      <c r="I155" s="1340"/>
      <c r="J155" s="1340"/>
      <c r="K155" s="1340"/>
      <c r="L155" s="1340"/>
      <c r="M155" s="1340"/>
      <c r="N155" s="1340"/>
      <c r="O155" s="1341"/>
      <c r="P155" s="70"/>
      <c r="T155" s="607">
        <v>23.7</v>
      </c>
      <c r="U155" s="612">
        <f t="shared" si="53"/>
        <v>0.23699999999999999</v>
      </c>
      <c r="V155" s="610">
        <f t="shared" si="54"/>
        <v>1.0675675675675675</v>
      </c>
      <c r="X155" s="640">
        <v>1999</v>
      </c>
      <c r="Y155" s="601">
        <v>597306</v>
      </c>
      <c r="Z155" s="601">
        <v>106.7</v>
      </c>
      <c r="AA155" s="626">
        <v>23.7</v>
      </c>
      <c r="AC155" s="630">
        <f t="shared" si="55"/>
        <v>597.30600000000004</v>
      </c>
      <c r="AD155" s="635">
        <f t="shared" si="57"/>
        <v>170.93161131182293</v>
      </c>
      <c r="AI155" s="643"/>
      <c r="AJ155" s="658">
        <v>1999</v>
      </c>
      <c r="AK155" s="657">
        <v>14334783</v>
      </c>
      <c r="AL155" s="643"/>
      <c r="AM155" s="667">
        <f t="shared" si="56"/>
        <v>14334.782999999999</v>
      </c>
      <c r="AR155" s="693">
        <v>1999</v>
      </c>
      <c r="AS155" s="694">
        <v>597306</v>
      </c>
      <c r="AT155" s="710">
        <v>106.7</v>
      </c>
      <c r="AU155" s="710">
        <v>23.7</v>
      </c>
    </row>
    <row r="156" spans="5:80" ht="18.600000000000001" thickBot="1">
      <c r="E156" s="70"/>
      <c r="F156" s="494"/>
      <c r="G156" s="1337"/>
      <c r="H156" s="1337"/>
      <c r="I156" s="1337"/>
      <c r="J156" s="1337"/>
      <c r="K156" s="1337"/>
      <c r="L156" s="1337"/>
      <c r="M156" s="1337"/>
      <c r="N156" s="1337"/>
      <c r="O156" s="1337"/>
      <c r="P156" s="70"/>
      <c r="T156" s="607">
        <v>29.6</v>
      </c>
      <c r="U156" s="612">
        <f t="shared" si="53"/>
        <v>0.29600000000000004</v>
      </c>
      <c r="V156" s="610">
        <f t="shared" si="54"/>
        <v>1.2489451476793252</v>
      </c>
      <c r="X156" s="640">
        <v>2000</v>
      </c>
      <c r="Y156" s="601">
        <v>843378</v>
      </c>
      <c r="Z156" s="601">
        <v>125.1</v>
      </c>
      <c r="AA156" s="626">
        <v>29.6</v>
      </c>
      <c r="AC156" s="630">
        <f t="shared" si="55"/>
        <v>843.37800000000004</v>
      </c>
      <c r="AD156" s="635">
        <f t="shared" si="57"/>
        <v>213.83544575109048</v>
      </c>
      <c r="AI156" s="643"/>
      <c r="AJ156" s="658">
        <v>2000</v>
      </c>
      <c r="AK156" s="657">
        <v>17464172</v>
      </c>
      <c r="AL156" s="643"/>
      <c r="AM156" s="667">
        <f t="shared" si="56"/>
        <v>17464.171999999999</v>
      </c>
      <c r="AR156" s="693">
        <v>2000</v>
      </c>
      <c r="AS156" s="694">
        <v>843378</v>
      </c>
      <c r="AT156" s="710">
        <v>125.1</v>
      </c>
      <c r="AU156" s="710">
        <v>29.6</v>
      </c>
    </row>
    <row r="157" spans="5:80" ht="18">
      <c r="E157" s="70"/>
      <c r="F157" s="1333" t="s">
        <v>343</v>
      </c>
      <c r="G157" s="1334"/>
      <c r="H157" s="1334"/>
      <c r="I157" s="1334"/>
      <c r="J157" s="1334"/>
      <c r="K157" s="1334"/>
      <c r="L157" s="1334"/>
      <c r="M157" s="1334"/>
      <c r="N157" s="1334"/>
      <c r="O157" s="1335"/>
      <c r="P157" s="70"/>
      <c r="T157" s="607">
        <v>35.200000000000003</v>
      </c>
      <c r="U157" s="612">
        <f t="shared" si="53"/>
        <v>0.35200000000000004</v>
      </c>
      <c r="V157" s="610">
        <f t="shared" si="54"/>
        <v>1.189189189189189</v>
      </c>
      <c r="X157" s="640">
        <v>2001</v>
      </c>
      <c r="Y157" s="601">
        <v>1117655</v>
      </c>
      <c r="Z157" s="601">
        <v>118.9</v>
      </c>
      <c r="AA157" s="626">
        <v>35.200000000000003</v>
      </c>
      <c r="AC157" s="630">
        <f t="shared" si="55"/>
        <v>1117.655</v>
      </c>
      <c r="AD157" s="635">
        <f t="shared" si="57"/>
        <v>254.25034499804661</v>
      </c>
      <c r="AI157" s="643"/>
      <c r="AJ157" s="658">
        <v>2001</v>
      </c>
      <c r="AK157" s="657">
        <v>21495236</v>
      </c>
      <c r="AL157" s="643"/>
      <c r="AM157" s="667">
        <f t="shared" si="56"/>
        <v>21495.236000000001</v>
      </c>
      <c r="AR157" s="693">
        <v>2001</v>
      </c>
      <c r="AS157" s="694">
        <v>1117655</v>
      </c>
      <c r="AT157" s="710">
        <v>118.9</v>
      </c>
      <c r="AU157" s="710">
        <v>35.200000000000003</v>
      </c>
    </row>
    <row r="158" spans="5:80" ht="18">
      <c r="E158" s="70"/>
      <c r="F158" s="1336" t="s">
        <v>340</v>
      </c>
      <c r="G158" s="1337"/>
      <c r="H158" s="1337"/>
      <c r="I158" s="1337"/>
      <c r="J158" s="1337"/>
      <c r="K158" s="1337"/>
      <c r="L158" s="1337"/>
      <c r="M158" s="1337"/>
      <c r="N158" s="1337"/>
      <c r="O158" s="1338"/>
      <c r="P158" s="70"/>
      <c r="T158" s="607">
        <v>38</v>
      </c>
      <c r="U158" s="612">
        <f t="shared" si="53"/>
        <v>0.38</v>
      </c>
      <c r="V158" s="610">
        <f t="shared" si="54"/>
        <v>1.0795454545454544</v>
      </c>
      <c r="X158" s="640">
        <v>2002</v>
      </c>
      <c r="Y158" s="601">
        <v>1615063</v>
      </c>
      <c r="Z158" s="601">
        <v>107.9</v>
      </c>
      <c r="AA158" s="626">
        <v>38</v>
      </c>
      <c r="AC158" s="630">
        <f t="shared" si="55"/>
        <v>1615.0630000000001</v>
      </c>
      <c r="AD158" s="635">
        <f t="shared" si="57"/>
        <v>274.33612225289232</v>
      </c>
      <c r="AI158" s="643"/>
      <c r="AJ158" s="658">
        <v>2002</v>
      </c>
      <c r="AK158" s="657">
        <v>26333273</v>
      </c>
      <c r="AL158" s="643"/>
      <c r="AM158" s="667">
        <f t="shared" si="56"/>
        <v>26333.273000000001</v>
      </c>
      <c r="AR158" s="693">
        <v>2002</v>
      </c>
      <c r="AS158" s="694">
        <v>1615063</v>
      </c>
      <c r="AT158" s="710">
        <v>107.9</v>
      </c>
      <c r="AU158" s="710">
        <v>38</v>
      </c>
    </row>
    <row r="159" spans="5:80" ht="18.600000000000001" thickBot="1">
      <c r="F159" s="1339" t="s">
        <v>341</v>
      </c>
      <c r="G159" s="1340"/>
      <c r="H159" s="1340"/>
      <c r="I159" s="1340"/>
      <c r="J159" s="1340"/>
      <c r="K159" s="1340"/>
      <c r="L159" s="1340"/>
      <c r="M159" s="1340"/>
      <c r="N159" s="1340"/>
      <c r="O159" s="1341"/>
      <c r="T159" s="607">
        <v>42.6</v>
      </c>
      <c r="U159" s="612">
        <f t="shared" si="53"/>
        <v>0.42599999999999999</v>
      </c>
      <c r="V159" s="610">
        <f t="shared" si="54"/>
        <v>1.1210526315789473</v>
      </c>
      <c r="X159" s="640">
        <v>2003</v>
      </c>
      <c r="Y159" s="601">
        <v>1815658</v>
      </c>
      <c r="Z159" s="601">
        <v>112.1</v>
      </c>
      <c r="AA159" s="626">
        <v>42.6</v>
      </c>
      <c r="AC159" s="630">
        <f t="shared" si="55"/>
        <v>1815.6579999999999</v>
      </c>
      <c r="AD159" s="635">
        <f t="shared" si="57"/>
        <v>307.53079304549226</v>
      </c>
      <c r="AI159" s="643"/>
      <c r="AJ159" s="658">
        <v>2003</v>
      </c>
      <c r="AK159" s="657">
        <v>32173286</v>
      </c>
      <c r="AL159" s="643"/>
      <c r="AM159" s="667">
        <f t="shared" si="56"/>
        <v>32173.286</v>
      </c>
      <c r="AR159" s="693">
        <v>2003</v>
      </c>
      <c r="AS159" s="694">
        <v>1815658</v>
      </c>
      <c r="AT159" s="710">
        <v>112.1</v>
      </c>
      <c r="AU159" s="710">
        <v>42.6</v>
      </c>
    </row>
    <row r="160" spans="5:80" ht="18.600000000000001" thickBot="1">
      <c r="F160" s="1342"/>
      <c r="G160" s="1342"/>
      <c r="H160" s="1342"/>
      <c r="I160" s="1342"/>
      <c r="J160" s="1342"/>
      <c r="K160" s="1342"/>
      <c r="L160" s="1342"/>
      <c r="M160" s="1342"/>
      <c r="N160" s="1342"/>
      <c r="O160" s="1342"/>
      <c r="T160" s="607">
        <v>47.6</v>
      </c>
      <c r="U160" s="612">
        <f t="shared" si="53"/>
        <v>0.47600000000000003</v>
      </c>
      <c r="V160" s="610">
        <f t="shared" si="54"/>
        <v>1.1173708920187795</v>
      </c>
      <c r="X160" s="640">
        <v>2004</v>
      </c>
      <c r="Y160" s="601">
        <v>1972112</v>
      </c>
      <c r="Z160" s="601">
        <v>111.8</v>
      </c>
      <c r="AA160" s="626">
        <v>47.6</v>
      </c>
      <c r="AC160" s="630">
        <f t="shared" si="55"/>
        <v>1972.1120000000001</v>
      </c>
      <c r="AD160" s="635">
        <f t="shared" si="57"/>
        <v>343.81942662486034</v>
      </c>
      <c r="AI160" s="643"/>
      <c r="AJ160" s="658">
        <v>2004</v>
      </c>
      <c r="AK160" s="657">
        <v>34873724</v>
      </c>
      <c r="AL160" s="643"/>
      <c r="AM160" s="667">
        <f t="shared" si="56"/>
        <v>34873.724000000002</v>
      </c>
      <c r="AR160" s="693">
        <v>2004</v>
      </c>
      <c r="AS160" s="694">
        <v>1972112</v>
      </c>
      <c r="AT160" s="710">
        <v>111.8</v>
      </c>
      <c r="AU160" s="710">
        <v>47.6</v>
      </c>
    </row>
    <row r="161" spans="5:80" ht="18">
      <c r="F161" s="1333" t="s">
        <v>344</v>
      </c>
      <c r="G161" s="1334"/>
      <c r="H161" s="1334"/>
      <c r="I161" s="1334"/>
      <c r="J161" s="1334"/>
      <c r="K161" s="1334"/>
      <c r="L161" s="1334"/>
      <c r="M161" s="1334"/>
      <c r="N161" s="1334"/>
      <c r="O161" s="1335"/>
      <c r="T161" s="607">
        <v>52.8</v>
      </c>
      <c r="U161" s="612">
        <f t="shared" si="53"/>
        <v>0.52800000000000002</v>
      </c>
      <c r="V161" s="610">
        <f t="shared" si="54"/>
        <v>1.1092436974789917</v>
      </c>
      <c r="X161" s="640">
        <v>2005</v>
      </c>
      <c r="Y161" s="601">
        <v>2943686</v>
      </c>
      <c r="Z161" s="601">
        <v>111</v>
      </c>
      <c r="AA161" s="626">
        <v>52.8</v>
      </c>
      <c r="AC161" s="630">
        <f t="shared" si="55"/>
        <v>2943.6860000000001</v>
      </c>
      <c r="AD161" s="635">
        <f t="shared" si="57"/>
        <v>381.639563553595</v>
      </c>
      <c r="AI161" s="643"/>
      <c r="AJ161" s="658">
        <v>2005</v>
      </c>
      <c r="AK161" s="657">
        <v>41493568</v>
      </c>
      <c r="AL161" s="643"/>
      <c r="AM161" s="667">
        <f t="shared" si="56"/>
        <v>41493.567999999999</v>
      </c>
      <c r="AR161" s="693">
        <v>2005</v>
      </c>
      <c r="AS161" s="694">
        <v>2943686</v>
      </c>
      <c r="AT161" s="710">
        <v>111</v>
      </c>
      <c r="AU161" s="710">
        <v>52.8</v>
      </c>
    </row>
    <row r="162" spans="5:80" ht="18">
      <c r="F162" s="1336" t="s">
        <v>345</v>
      </c>
      <c r="G162" s="1337"/>
      <c r="H162" s="1337"/>
      <c r="I162" s="1337"/>
      <c r="J162" s="1337"/>
      <c r="K162" s="1337"/>
      <c r="L162" s="1337"/>
      <c r="M162" s="1337"/>
      <c r="N162" s="1337"/>
      <c r="O162" s="1338"/>
      <c r="T162" s="607">
        <v>61.4</v>
      </c>
      <c r="U162" s="612">
        <f t="shared" si="53"/>
        <v>0.61399999999999999</v>
      </c>
      <c r="V162" s="610">
        <f t="shared" si="54"/>
        <v>1.1628787878787878</v>
      </c>
      <c r="X162" s="640">
        <v>2006</v>
      </c>
      <c r="Y162" s="601">
        <v>3252436</v>
      </c>
      <c r="Z162" s="601">
        <v>116.1</v>
      </c>
      <c r="AA162" s="626">
        <v>61.4</v>
      </c>
      <c r="AC162" s="631">
        <f t="shared" si="55"/>
        <v>3252.4360000000001</v>
      </c>
      <c r="AD162" s="635">
        <f t="shared" si="57"/>
        <v>443.08353328572377</v>
      </c>
      <c r="AI162" s="643"/>
      <c r="AJ162" s="658">
        <v>2006</v>
      </c>
      <c r="AK162" s="659">
        <v>47489498</v>
      </c>
      <c r="AL162" s="643"/>
      <c r="AM162" s="667">
        <f t="shared" si="56"/>
        <v>47489.498</v>
      </c>
      <c r="AR162" s="693">
        <v>2006</v>
      </c>
      <c r="AS162" s="694">
        <v>3252436</v>
      </c>
      <c r="AT162" s="710">
        <v>116.1</v>
      </c>
      <c r="AU162" s="710">
        <v>61.4</v>
      </c>
    </row>
    <row r="163" spans="5:80" ht="18.600000000000001" thickBot="1">
      <c r="F163" s="1339" t="s">
        <v>341</v>
      </c>
      <c r="G163" s="1340"/>
      <c r="H163" s="1340"/>
      <c r="I163" s="1340"/>
      <c r="J163" s="1340"/>
      <c r="K163" s="1340"/>
      <c r="L163" s="1340"/>
      <c r="M163" s="1340"/>
      <c r="N163" s="1340"/>
      <c r="O163" s="1341"/>
      <c r="T163" s="607">
        <v>74.900000000000006</v>
      </c>
      <c r="U163" s="612">
        <f t="shared" si="53"/>
        <v>0.74900000000000011</v>
      </c>
      <c r="V163" s="610">
        <f t="shared" si="54"/>
        <v>1.219869706840391</v>
      </c>
      <c r="X163" s="640">
        <v>2007</v>
      </c>
      <c r="Y163" s="601">
        <v>4296411</v>
      </c>
      <c r="Z163" s="601">
        <v>122.1</v>
      </c>
      <c r="AA163" s="626">
        <v>74.900000000000006</v>
      </c>
      <c r="AC163" s="630">
        <f t="shared" si="55"/>
        <v>4296.4110000000001</v>
      </c>
      <c r="AD163" s="635">
        <f t="shared" si="57"/>
        <v>541.00499414186879</v>
      </c>
      <c r="AI163" s="643"/>
      <c r="AJ163" s="658">
        <v>2007</v>
      </c>
      <c r="AK163" s="660">
        <v>60391454</v>
      </c>
      <c r="AL163" s="651"/>
      <c r="AM163" s="667">
        <f t="shared" si="56"/>
        <v>60391.453999999998</v>
      </c>
      <c r="AR163" s="693">
        <v>2007</v>
      </c>
      <c r="AS163" s="696">
        <v>4296411</v>
      </c>
      <c r="AT163" s="710">
        <v>122.1</v>
      </c>
      <c r="AU163" s="710">
        <v>74.900000000000006</v>
      </c>
    </row>
    <row r="164" spans="5:80" ht="18.600000000000001" thickBot="1">
      <c r="F164" s="1342"/>
      <c r="G164" s="1342"/>
      <c r="H164" s="1342"/>
      <c r="I164" s="1342"/>
      <c r="J164" s="1342"/>
      <c r="K164" s="1342"/>
      <c r="L164" s="1342"/>
      <c r="M164" s="1342"/>
      <c r="N164" s="1342"/>
      <c r="O164" s="1342"/>
      <c r="T164" s="607">
        <v>85.4</v>
      </c>
      <c r="U164" s="612">
        <f t="shared" si="53"/>
        <v>0.85400000000000009</v>
      </c>
      <c r="V164" s="610">
        <f t="shared" si="54"/>
        <v>1.1401869158878504</v>
      </c>
      <c r="X164" s="640">
        <v>2008</v>
      </c>
      <c r="Y164" s="601">
        <v>5744847</v>
      </c>
      <c r="Z164" s="601">
        <v>114</v>
      </c>
      <c r="AA164" s="626">
        <v>85.4</v>
      </c>
      <c r="AC164" s="632">
        <f t="shared" si="55"/>
        <v>5744.8469999999998</v>
      </c>
      <c r="AD164" s="635">
        <f t="shared" si="57"/>
        <v>616.74569332173041</v>
      </c>
      <c r="AI164" s="643"/>
      <c r="AJ164" s="661">
        <v>2008</v>
      </c>
      <c r="AK164" s="660">
        <v>74441095</v>
      </c>
      <c r="AL164" s="651"/>
      <c r="AM164" s="667">
        <f t="shared" si="56"/>
        <v>74441.095000000001</v>
      </c>
      <c r="AR164" s="700">
        <v>2008</v>
      </c>
      <c r="AS164" s="701">
        <v>5744847</v>
      </c>
      <c r="AT164" s="710">
        <v>114</v>
      </c>
      <c r="AU164" s="710">
        <v>85.4</v>
      </c>
    </row>
    <row r="165" spans="5:80" ht="18">
      <c r="F165" s="1333" t="s">
        <v>346</v>
      </c>
      <c r="G165" s="1334"/>
      <c r="H165" s="1334"/>
      <c r="I165" s="1334"/>
      <c r="J165" s="1334"/>
      <c r="K165" s="1334"/>
      <c r="L165" s="1334"/>
      <c r="M165" s="1334"/>
      <c r="N165" s="1334"/>
      <c r="O165" s="1335"/>
      <c r="T165" s="607">
        <v>82.5</v>
      </c>
      <c r="U165" s="612">
        <f t="shared" si="53"/>
        <v>0.82499999999999996</v>
      </c>
      <c r="V165" s="610">
        <f t="shared" si="54"/>
        <v>0.96604215456674458</v>
      </c>
      <c r="X165" s="640">
        <v>2009</v>
      </c>
      <c r="Y165" s="601">
        <v>6356223</v>
      </c>
      <c r="Z165" s="601">
        <v>96.6</v>
      </c>
      <c r="AA165" s="626">
        <v>82.5</v>
      </c>
      <c r="AC165" s="633">
        <f t="shared" si="55"/>
        <v>6356.223</v>
      </c>
      <c r="AD165" s="635">
        <f t="shared" si="57"/>
        <v>595.77633974879154</v>
      </c>
      <c r="AI165" s="643"/>
      <c r="AJ165" s="661">
        <v>2009</v>
      </c>
      <c r="AK165" s="660">
        <v>82302969</v>
      </c>
      <c r="AL165" s="643"/>
      <c r="AM165" s="667">
        <f t="shared" si="56"/>
        <v>82302.968999999997</v>
      </c>
      <c r="AR165" s="700">
        <v>2009</v>
      </c>
      <c r="AS165" s="701">
        <v>6356223</v>
      </c>
      <c r="AT165" s="710">
        <v>96.6</v>
      </c>
      <c r="AU165" s="710">
        <v>82.5</v>
      </c>
    </row>
    <row r="166" spans="5:80" ht="20.399999999999999">
      <c r="F166" s="1336" t="s">
        <v>347</v>
      </c>
      <c r="G166" s="1337"/>
      <c r="H166" s="1337"/>
      <c r="I166" s="1337"/>
      <c r="J166" s="1337"/>
      <c r="K166" s="1337"/>
      <c r="L166" s="1337"/>
      <c r="M166" s="1337"/>
      <c r="N166" s="1337"/>
      <c r="O166" s="1338"/>
      <c r="T166" s="607">
        <v>77.099999999999994</v>
      </c>
      <c r="U166" s="612">
        <f t="shared" si="53"/>
        <v>0.77099999999999991</v>
      </c>
      <c r="V166" s="610">
        <f t="shared" si="54"/>
        <v>0.93454545454545446</v>
      </c>
      <c r="X166" s="640">
        <v>2010</v>
      </c>
      <c r="Y166" s="601">
        <v>6275931</v>
      </c>
      <c r="Z166" s="601">
        <v>93.4</v>
      </c>
      <c r="AA166" s="626">
        <v>77.099999999999994</v>
      </c>
      <c r="AC166" s="633">
        <f t="shared" si="55"/>
        <v>6275.9309999999996</v>
      </c>
      <c r="AD166" s="635">
        <f t="shared" si="57"/>
        <v>556.4551013253714</v>
      </c>
      <c r="AI166" s="643"/>
      <c r="AJ166" s="662">
        <v>2010</v>
      </c>
      <c r="AK166" s="663">
        <v>93185612</v>
      </c>
      <c r="AL166" s="643"/>
      <c r="AM166" s="667">
        <f t="shared" si="56"/>
        <v>93185.611999999994</v>
      </c>
      <c r="AR166" s="705">
        <v>2010</v>
      </c>
      <c r="AS166" s="705">
        <v>6275931</v>
      </c>
      <c r="AT166" s="705">
        <v>93.4</v>
      </c>
      <c r="AU166" s="705">
        <v>77.099999999999994</v>
      </c>
      <c r="BT166" s="943"/>
      <c r="BU166" s="943"/>
      <c r="BV166" s="943"/>
      <c r="BW166" s="943"/>
      <c r="BX166" s="943"/>
      <c r="BY166" s="943"/>
      <c r="BZ166" s="943"/>
      <c r="CA166" s="943"/>
      <c r="CB166" s="943"/>
    </row>
    <row r="167" spans="5:80" ht="18.600000000000001" thickBot="1">
      <c r="F167" s="1339" t="s">
        <v>348</v>
      </c>
      <c r="G167" s="1340"/>
      <c r="H167" s="1340"/>
      <c r="I167" s="1340"/>
      <c r="J167" s="1340"/>
      <c r="K167" s="1340"/>
      <c r="L167" s="1340"/>
      <c r="M167" s="1340"/>
      <c r="N167" s="1340"/>
      <c r="O167" s="1341"/>
      <c r="T167" s="607">
        <v>99.4</v>
      </c>
      <c r="U167" s="612">
        <f t="shared" si="53"/>
        <v>0.99400000000000011</v>
      </c>
      <c r="V167" s="610">
        <f t="shared" si="54"/>
        <v>1.289234760051881</v>
      </c>
      <c r="X167" s="640">
        <v>2011</v>
      </c>
      <c r="Y167" s="601">
        <v>8813314</v>
      </c>
      <c r="Z167" s="601">
        <v>129</v>
      </c>
      <c r="AA167" s="626">
        <v>99.4</v>
      </c>
      <c r="AC167" s="633">
        <f t="shared" si="55"/>
        <v>8813.3140000000003</v>
      </c>
      <c r="AD167" s="635">
        <f t="shared" si="57"/>
        <v>717.8270807097291</v>
      </c>
      <c r="AI167" s="643"/>
      <c r="AJ167" s="662">
        <v>2011</v>
      </c>
      <c r="AK167" s="663">
        <v>108001247</v>
      </c>
      <c r="AL167" s="643"/>
      <c r="AM167" s="667">
        <f t="shared" si="56"/>
        <v>108001.247</v>
      </c>
      <c r="AR167" s="697">
        <v>2011</v>
      </c>
      <c r="AS167" s="706">
        <v>8813314</v>
      </c>
      <c r="AT167" s="707">
        <v>129</v>
      </c>
      <c r="AU167" s="706">
        <v>99.4</v>
      </c>
    </row>
    <row r="168" spans="5:80" ht="18" thickBot="1">
      <c r="T168" s="608">
        <v>108.1</v>
      </c>
      <c r="U168" s="613">
        <f t="shared" si="53"/>
        <v>1.081</v>
      </c>
      <c r="V168" s="611">
        <f t="shared" si="54"/>
        <v>1.0875251509054324</v>
      </c>
      <c r="X168" s="641">
        <v>2012</v>
      </c>
      <c r="Y168" s="627">
        <v>10338476</v>
      </c>
      <c r="Z168" s="627">
        <v>108.7</v>
      </c>
      <c r="AA168" s="628">
        <v>108.1</v>
      </c>
      <c r="AC168" s="629">
        <f t="shared" si="55"/>
        <v>10338.476000000001</v>
      </c>
      <c r="AD168" s="636">
        <f t="shared" si="57"/>
        <v>780.27803673147559</v>
      </c>
      <c r="AI168" s="643"/>
      <c r="AJ168" s="664">
        <v>2012</v>
      </c>
      <c r="AK168" s="665">
        <v>121268908</v>
      </c>
      <c r="AL168" s="643"/>
      <c r="AM168" s="667">
        <f t="shared" si="56"/>
        <v>121268.908</v>
      </c>
      <c r="AR168" s="697">
        <v>2012</v>
      </c>
      <c r="AS168" s="708">
        <v>10338476</v>
      </c>
      <c r="AT168" s="709">
        <v>108.7</v>
      </c>
      <c r="AU168" s="709">
        <v>108.1</v>
      </c>
    </row>
    <row r="169" spans="5:80" ht="17.399999999999999">
      <c r="AI169" s="643"/>
      <c r="AJ169" s="643"/>
      <c r="AK169" s="643"/>
      <c r="AL169" s="643"/>
    </row>
    <row r="171" spans="5:80" ht="18">
      <c r="E171" s="670" t="s">
        <v>1124</v>
      </c>
      <c r="F171" s="671"/>
      <c r="G171" s="671"/>
      <c r="H171" s="671"/>
      <c r="I171" s="671"/>
      <c r="J171" s="671"/>
      <c r="K171" s="671"/>
      <c r="L171" s="671"/>
      <c r="M171" s="671"/>
      <c r="N171" s="672"/>
      <c r="S171" s="118" t="s">
        <v>350</v>
      </c>
      <c r="U171" s="118" t="s">
        <v>704</v>
      </c>
      <c r="W171" s="118" t="s">
        <v>349</v>
      </c>
      <c r="AR171" s="792"/>
      <c r="AS171" s="774"/>
      <c r="AT171" s="774"/>
      <c r="AU171" s="774"/>
      <c r="AV171" s="774"/>
      <c r="AW171" s="774"/>
      <c r="AX171" s="837" t="s">
        <v>1290</v>
      </c>
      <c r="AY171" s="774"/>
      <c r="AZ171" s="874" t="s">
        <v>1291</v>
      </c>
      <c r="BA171" s="874"/>
      <c r="BB171" s="874"/>
      <c r="BC171" s="874"/>
      <c r="BD171" s="874"/>
      <c r="BE171" s="874"/>
      <c r="BF171" s="874"/>
      <c r="BG171" s="874"/>
      <c r="BH171" s="774"/>
      <c r="BI171" s="774"/>
      <c r="BJ171" s="774"/>
      <c r="BK171" s="774"/>
      <c r="BL171" s="774"/>
      <c r="BM171" s="776"/>
    </row>
    <row r="172" spans="5:80" ht="18">
      <c r="E172" s="673"/>
      <c r="F172" s="676">
        <v>1992</v>
      </c>
      <c r="G172" s="676">
        <v>2000</v>
      </c>
      <c r="H172" s="676">
        <v>2005</v>
      </c>
      <c r="I172" s="676">
        <v>2008</v>
      </c>
      <c r="J172" s="676">
        <v>2009</v>
      </c>
      <c r="K172" s="676">
        <v>2010</v>
      </c>
      <c r="L172" s="676">
        <v>2011</v>
      </c>
      <c r="M172" s="676">
        <v>2012</v>
      </c>
      <c r="N172" s="677">
        <v>2013</v>
      </c>
      <c r="R172" s="56" t="s">
        <v>368</v>
      </c>
      <c r="S172" s="91" t="s">
        <v>820</v>
      </c>
      <c r="T172" s="507" t="s">
        <v>687</v>
      </c>
      <c r="U172" s="57" t="s">
        <v>1265</v>
      </c>
      <c r="V172" s="58" t="s">
        <v>687</v>
      </c>
      <c r="W172" s="57" t="s">
        <v>1356</v>
      </c>
      <c r="X172" s="58" t="s">
        <v>687</v>
      </c>
      <c r="AR172" s="782"/>
      <c r="AS172" s="765"/>
      <c r="AT172" s="765"/>
      <c r="AU172" s="765"/>
      <c r="AV172" s="765"/>
      <c r="AW172" s="765"/>
      <c r="AX172" s="765"/>
      <c r="AY172" s="765"/>
      <c r="AZ172" s="788" t="s">
        <v>1292</v>
      </c>
      <c r="BA172" s="788"/>
      <c r="BB172" s="788"/>
      <c r="BC172" s="788"/>
      <c r="BD172" s="788"/>
      <c r="BE172" s="788"/>
      <c r="BF172" s="788"/>
      <c r="BG172" s="788"/>
      <c r="BH172" s="765"/>
      <c r="BI172" s="765"/>
      <c r="BJ172" s="765"/>
      <c r="BK172" s="765"/>
      <c r="BL172" s="765"/>
      <c r="BM172" s="777"/>
    </row>
    <row r="173" spans="5:80" ht="18">
      <c r="E173" s="673" t="s">
        <v>1126</v>
      </c>
      <c r="F173" s="674"/>
      <c r="G173" s="674"/>
      <c r="H173" s="674"/>
      <c r="I173" s="674"/>
      <c r="J173" s="674"/>
      <c r="K173" s="674"/>
      <c r="L173" s="674"/>
      <c r="M173" s="674"/>
      <c r="N173" s="675"/>
      <c r="R173" s="358">
        <v>42460</v>
      </c>
      <c r="S173" s="62" t="s">
        <v>688</v>
      </c>
      <c r="T173" s="62" t="s">
        <v>688</v>
      </c>
      <c r="U173" s="62" t="s">
        <v>688</v>
      </c>
      <c r="V173" s="62" t="s">
        <v>688</v>
      </c>
      <c r="W173" s="62" t="s">
        <v>688</v>
      </c>
      <c r="X173" s="62" t="s">
        <v>688</v>
      </c>
      <c r="AR173" s="782"/>
      <c r="AS173" s="765"/>
      <c r="AT173" s="765"/>
      <c r="AU173" s="765"/>
      <c r="AV173" s="765"/>
      <c r="AW173" s="765"/>
      <c r="AX173" s="765"/>
      <c r="AY173" s="765"/>
      <c r="AZ173" s="788" t="s">
        <v>1294</v>
      </c>
      <c r="BA173" s="788"/>
      <c r="BB173" s="788"/>
      <c r="BC173" s="788"/>
      <c r="BD173" s="788"/>
      <c r="BE173" s="788"/>
      <c r="BF173" s="788"/>
      <c r="BG173" s="788"/>
      <c r="BH173" s="765"/>
      <c r="BI173" s="765"/>
      <c r="BJ173" s="765"/>
      <c r="BK173" s="765"/>
      <c r="BL173" s="765"/>
      <c r="BM173" s="777"/>
    </row>
    <row r="174" spans="5:80" ht="18">
      <c r="E174" s="673" t="s">
        <v>1127</v>
      </c>
      <c r="F174" s="674">
        <v>2.7</v>
      </c>
      <c r="G174" s="674">
        <v>1165.2</v>
      </c>
      <c r="H174" s="674">
        <v>3611.1</v>
      </c>
      <c r="I174" s="674">
        <v>8781.6</v>
      </c>
      <c r="J174" s="674">
        <v>7976</v>
      </c>
      <c r="K174" s="674">
        <v>9152.1</v>
      </c>
      <c r="L174" s="674">
        <v>11035.7</v>
      </c>
      <c r="M174" s="674">
        <v>12586.1</v>
      </c>
      <c r="N174" s="675">
        <v>13255.5</v>
      </c>
      <c r="R174" s="497">
        <v>1995</v>
      </c>
      <c r="S174" s="498">
        <f t="array" ref="S174:S194">TRANSPOSE(ОТЧЁТ!U151:AO151)</f>
        <v>1</v>
      </c>
      <c r="T174" s="492"/>
      <c r="U174" s="508">
        <f t="array" ref="U174:U194">TRANSPOSE(ОТЧЁТ!U179:AO179)</f>
        <v>1</v>
      </c>
      <c r="V174" s="489"/>
      <c r="W174" s="499">
        <f t="array" ref="W174:W194">TRANSPOSE(ОТЧЁТ!U74:AO74)</f>
        <v>0</v>
      </c>
      <c r="X174" s="489"/>
      <c r="AR174" s="783"/>
      <c r="AY174" s="557"/>
      <c r="AZ174" s="788" t="s">
        <v>1297</v>
      </c>
      <c r="BA174" s="788"/>
      <c r="BB174" s="788"/>
      <c r="BC174" s="788"/>
      <c r="BD174" s="788"/>
      <c r="BE174" s="788"/>
      <c r="BF174" s="788"/>
      <c r="BG174" s="788"/>
      <c r="BH174" s="765"/>
      <c r="BI174" s="765"/>
      <c r="BJ174" s="765"/>
      <c r="BK174" s="557"/>
      <c r="BL174" s="557"/>
      <c r="BM174" s="796"/>
    </row>
    <row r="175" spans="5:80" ht="18">
      <c r="E175" s="673" t="s">
        <v>1128</v>
      </c>
      <c r="F175" s="674"/>
      <c r="G175" s="674"/>
      <c r="H175" s="674"/>
      <c r="I175" s="674"/>
      <c r="J175" s="674"/>
      <c r="K175" s="674"/>
      <c r="L175" s="674"/>
      <c r="M175" s="674"/>
      <c r="N175" s="675"/>
      <c r="R175" s="500">
        <v>1996</v>
      </c>
      <c r="S175" s="501">
        <v>1.218</v>
      </c>
      <c r="T175" s="492"/>
      <c r="U175" s="508">
        <v>1.458015926869807</v>
      </c>
      <c r="V175" s="492"/>
      <c r="W175" s="502">
        <v>0</v>
      </c>
      <c r="X175" s="492"/>
      <c r="AS175" s="876" t="s">
        <v>1289</v>
      </c>
      <c r="AT175" s="876"/>
      <c r="AU175" s="876"/>
      <c r="AV175" s="876"/>
      <c r="AW175" s="875" t="s">
        <v>1293</v>
      </c>
      <c r="AX175" s="557"/>
      <c r="AY175" s="877"/>
      <c r="AZ175" s="877"/>
      <c r="BA175" s="877"/>
      <c r="BB175" s="877"/>
      <c r="BC175" s="877"/>
      <c r="BD175" s="877"/>
      <c r="BE175" s="877"/>
      <c r="BF175" s="877"/>
      <c r="BG175" s="877"/>
      <c r="BH175" s="877"/>
      <c r="BI175" s="877"/>
      <c r="BJ175" s="877"/>
      <c r="BK175" s="877"/>
      <c r="BL175" s="877"/>
      <c r="BM175" s="877"/>
    </row>
    <row r="176" spans="5:80" ht="18">
      <c r="E176" s="673" t="s">
        <v>1129</v>
      </c>
      <c r="F176" s="674"/>
      <c r="G176" s="674"/>
      <c r="H176" s="674"/>
      <c r="I176" s="674"/>
      <c r="J176" s="674"/>
      <c r="K176" s="674"/>
      <c r="L176" s="674"/>
      <c r="M176" s="674"/>
      <c r="N176" s="675"/>
      <c r="R176" s="500">
        <v>1997</v>
      </c>
      <c r="S176" s="501">
        <v>1.3519800000000002</v>
      </c>
      <c r="T176" s="492"/>
      <c r="U176" s="508">
        <v>1.6775696170093486</v>
      </c>
      <c r="V176" s="492"/>
      <c r="W176" s="502">
        <v>0</v>
      </c>
      <c r="X176" s="492"/>
      <c r="AR176" s="56" t="s">
        <v>368</v>
      </c>
      <c r="AS176" s="819" t="s">
        <v>1191</v>
      </c>
      <c r="AT176" s="873" t="s">
        <v>687</v>
      </c>
      <c r="AU176" s="819" t="s">
        <v>1288</v>
      </c>
      <c r="AV176" s="873" t="s">
        <v>687</v>
      </c>
      <c r="AW176" s="819" t="s">
        <v>1191</v>
      </c>
      <c r="AX176" s="819" t="s">
        <v>1288</v>
      </c>
    </row>
    <row r="177" spans="5:67" ht="18">
      <c r="E177" s="673" t="s">
        <v>1130</v>
      </c>
      <c r="F177" s="674"/>
      <c r="G177" s="674"/>
      <c r="H177" s="674"/>
      <c r="I177" s="674"/>
      <c r="J177" s="674"/>
      <c r="K177" s="674"/>
      <c r="L177" s="674"/>
      <c r="M177" s="674"/>
      <c r="N177" s="675"/>
      <c r="R177" s="500">
        <v>1998</v>
      </c>
      <c r="S177" s="501">
        <v>2.4930511200000005</v>
      </c>
      <c r="T177" s="492"/>
      <c r="U177" s="508">
        <v>1.988574685283935</v>
      </c>
      <c r="V177" s="492"/>
      <c r="W177" s="502">
        <v>0</v>
      </c>
      <c r="X177" s="492"/>
      <c r="AR177" s="59">
        <v>42027</v>
      </c>
      <c r="AS177" s="62" t="s">
        <v>46</v>
      </c>
      <c r="AT177" s="62" t="s">
        <v>46</v>
      </c>
      <c r="AU177" s="62" t="s">
        <v>46</v>
      </c>
      <c r="AV177" s="62" t="s">
        <v>46</v>
      </c>
      <c r="AW177" s="62" t="s">
        <v>46</v>
      </c>
      <c r="AX177" s="62" t="s">
        <v>46</v>
      </c>
    </row>
    <row r="178" spans="5:67" ht="18">
      <c r="E178" s="673" t="s">
        <v>1131</v>
      </c>
      <c r="F178" s="674"/>
      <c r="G178" s="674"/>
      <c r="H178" s="674"/>
      <c r="I178" s="674"/>
      <c r="J178" s="674"/>
      <c r="K178" s="674"/>
      <c r="L178" s="674"/>
      <c r="M178" s="674"/>
      <c r="N178" s="675"/>
      <c r="R178" s="500">
        <v>1999</v>
      </c>
      <c r="S178" s="501">
        <v>3.4030147788000007</v>
      </c>
      <c r="T178" s="492"/>
      <c r="U178" s="508">
        <v>3.4280333525379545</v>
      </c>
      <c r="V178" s="492"/>
      <c r="W178" s="502">
        <v>0</v>
      </c>
      <c r="X178" s="492"/>
      <c r="AR178" s="810">
        <v>1995</v>
      </c>
      <c r="AS178" s="866">
        <f t="shared" ref="AS178:AS196" si="58">DA60</f>
        <v>1428.5209</v>
      </c>
      <c r="AT178" s="489"/>
      <c r="AU178" s="550">
        <v>232.1</v>
      </c>
      <c r="AV178" s="489"/>
      <c r="AW178" s="491"/>
      <c r="AX178" s="489"/>
    </row>
    <row r="179" spans="5:67" ht="18">
      <c r="E179" s="673" t="s">
        <v>1132</v>
      </c>
      <c r="F179" s="674">
        <v>60.3</v>
      </c>
      <c r="G179" s="674">
        <v>117.4</v>
      </c>
      <c r="H179" s="674">
        <v>110.2</v>
      </c>
      <c r="I179" s="674">
        <v>109.5</v>
      </c>
      <c r="J179" s="674">
        <v>86.5</v>
      </c>
      <c r="K179" s="674">
        <v>106.3</v>
      </c>
      <c r="L179" s="674">
        <v>110.8</v>
      </c>
      <c r="M179" s="674">
        <v>106.8</v>
      </c>
      <c r="N179" s="675">
        <v>99.8</v>
      </c>
      <c r="R179" s="500">
        <v>2000</v>
      </c>
      <c r="S179" s="501">
        <v>4.0904237641176007</v>
      </c>
      <c r="T179" s="492"/>
      <c r="U179" s="508">
        <v>4.7203345530217637</v>
      </c>
      <c r="V179" s="492"/>
      <c r="W179" s="502">
        <v>0</v>
      </c>
      <c r="X179" s="492"/>
      <c r="AR179" s="811">
        <v>1996</v>
      </c>
      <c r="AS179" s="866">
        <f t="shared" si="58"/>
        <v>2007.8252000000002</v>
      </c>
      <c r="AT179" s="492"/>
      <c r="AU179" s="550">
        <v>281.89999999999998</v>
      </c>
      <c r="AV179" s="492"/>
      <c r="AW179" s="491"/>
      <c r="AX179" s="492"/>
    </row>
    <row r="180" spans="5:67" ht="18">
      <c r="E180" s="673" t="s">
        <v>1125</v>
      </c>
      <c r="F180" s="674">
        <v>166.4</v>
      </c>
      <c r="G180" s="674">
        <v>84.6</v>
      </c>
      <c r="H180" s="674">
        <v>141.1</v>
      </c>
      <c r="I180" s="674">
        <v>225.4</v>
      </c>
      <c r="J180" s="674">
        <v>194.9</v>
      </c>
      <c r="K180" s="674">
        <v>207.2</v>
      </c>
      <c r="L180" s="674">
        <v>229.6</v>
      </c>
      <c r="M180" s="674">
        <v>245.2</v>
      </c>
      <c r="N180" s="675">
        <v>244.7</v>
      </c>
      <c r="R180" s="500">
        <v>2001</v>
      </c>
      <c r="S180" s="501">
        <v>4.8512425842434741</v>
      </c>
      <c r="T180" s="492"/>
      <c r="U180" s="508">
        <v>5.4982302967459242</v>
      </c>
      <c r="V180" s="492"/>
      <c r="W180" s="502">
        <v>0</v>
      </c>
      <c r="X180" s="492"/>
      <c r="AR180" s="811">
        <v>1997</v>
      </c>
      <c r="AS180" s="866">
        <f t="shared" si="58"/>
        <v>2342.5137</v>
      </c>
      <c r="AT180" s="492"/>
      <c r="AU180" s="550">
        <v>343.4</v>
      </c>
      <c r="AV180" s="492"/>
      <c r="AW180" s="491"/>
      <c r="AX180" s="492"/>
      <c r="BO180" t="s">
        <v>1295</v>
      </c>
    </row>
    <row r="181" spans="5:67" ht="18">
      <c r="E181" s="126"/>
      <c r="F181" s="3"/>
      <c r="G181" s="3"/>
      <c r="H181" s="3"/>
      <c r="I181" s="3"/>
      <c r="J181" s="3"/>
      <c r="K181" s="3"/>
      <c r="L181" s="3"/>
      <c r="M181" s="3"/>
      <c r="N181" s="81"/>
      <c r="R181" s="500">
        <v>2002</v>
      </c>
      <c r="S181" s="501">
        <v>5.5837802144642392</v>
      </c>
      <c r="T181" s="492"/>
      <c r="U181" s="508">
        <v>6.3527295286418424</v>
      </c>
      <c r="V181" s="492"/>
      <c r="W181" s="502">
        <v>0</v>
      </c>
      <c r="X181" s="492"/>
      <c r="AR181" s="811">
        <v>1998</v>
      </c>
      <c r="AS181" s="866">
        <f t="shared" si="58"/>
        <v>2629.6228999999998</v>
      </c>
      <c r="AT181" s="492"/>
      <c r="AU181" s="550">
        <v>325.89999999999998</v>
      </c>
      <c r="AV181" s="492"/>
      <c r="AW181" s="491"/>
      <c r="AX181" s="492"/>
      <c r="BO181" t="s">
        <v>1296</v>
      </c>
    </row>
    <row r="182" spans="5:67" ht="18">
      <c r="R182" s="500">
        <v>2003</v>
      </c>
      <c r="S182" s="501">
        <v>6.2538338401999489</v>
      </c>
      <c r="T182" s="492"/>
      <c r="U182" s="508">
        <v>7.2278602743829534</v>
      </c>
      <c r="V182" s="492"/>
      <c r="W182" s="502">
        <v>0</v>
      </c>
      <c r="X182" s="492"/>
      <c r="AR182" s="811">
        <v>1999</v>
      </c>
      <c r="AS182" s="866">
        <f t="shared" si="58"/>
        <v>4823.2329</v>
      </c>
      <c r="AT182" s="492"/>
      <c r="AU182" s="550">
        <v>615.5</v>
      </c>
      <c r="AV182" s="492"/>
      <c r="AW182" s="491"/>
      <c r="AX182" s="492"/>
    </row>
    <row r="183" spans="5:67" ht="18">
      <c r="E183" s="678" t="s">
        <v>1133</v>
      </c>
      <c r="F183" s="679"/>
      <c r="G183" s="679"/>
      <c r="H183" s="679"/>
      <c r="I183" s="679"/>
      <c r="J183" s="679"/>
      <c r="K183" s="679"/>
      <c r="L183" s="679"/>
      <c r="M183" s="679"/>
      <c r="N183" s="80"/>
      <c r="R183" s="500">
        <v>2004</v>
      </c>
      <c r="S183" s="501">
        <v>6.9855323995033425</v>
      </c>
      <c r="T183" s="492"/>
      <c r="U183" s="508">
        <v>8.6918699640274202</v>
      </c>
      <c r="V183" s="492"/>
      <c r="W183" s="502">
        <v>0</v>
      </c>
      <c r="X183" s="492"/>
      <c r="AR183" s="811">
        <v>2000</v>
      </c>
      <c r="AS183" s="866">
        <f t="shared" si="58"/>
        <v>7305.6466</v>
      </c>
      <c r="AT183" s="492"/>
      <c r="AU183" s="550">
        <v>1132.0999999999999</v>
      </c>
      <c r="AV183" s="492"/>
      <c r="AW183" s="491"/>
      <c r="AX183" s="492"/>
    </row>
    <row r="184" spans="5:67" ht="18">
      <c r="E184" s="680" t="s">
        <v>1134</v>
      </c>
      <c r="F184" s="681"/>
      <c r="G184" s="681"/>
      <c r="H184" s="681"/>
      <c r="I184" s="681"/>
      <c r="J184" s="681"/>
      <c r="K184" s="681"/>
      <c r="L184" s="681"/>
      <c r="M184" s="681"/>
      <c r="N184" s="12"/>
      <c r="R184" s="500">
        <v>2005</v>
      </c>
      <c r="S184" s="501">
        <v>7.7469554310492068</v>
      </c>
      <c r="T184" s="492"/>
      <c r="U184" s="508">
        <v>10.367609749128871</v>
      </c>
      <c r="V184" s="492"/>
      <c r="W184" s="502">
        <v>0</v>
      </c>
      <c r="X184" s="492"/>
      <c r="AR184" s="811">
        <v>2001</v>
      </c>
      <c r="AS184" s="866">
        <f t="shared" si="58"/>
        <v>8943.5825999999997</v>
      </c>
      <c r="AT184" s="492"/>
      <c r="AU184" s="550">
        <v>1594</v>
      </c>
      <c r="AV184" s="492"/>
      <c r="AW184" s="491"/>
      <c r="AX184" s="492"/>
    </row>
    <row r="185" spans="5:67" ht="18">
      <c r="E185" s="680" t="s">
        <v>1135</v>
      </c>
      <c r="F185" s="681"/>
      <c r="G185" s="681"/>
      <c r="H185" s="681"/>
      <c r="I185" s="681"/>
      <c r="J185" s="681"/>
      <c r="K185" s="681"/>
      <c r="L185" s="681"/>
      <c r="M185" s="681"/>
      <c r="N185" s="12"/>
      <c r="R185" s="500">
        <v>2006</v>
      </c>
      <c r="S185" s="501">
        <v>8.4441814198436358</v>
      </c>
      <c r="T185" s="492"/>
      <c r="U185" s="508">
        <v>11.935242035159135</v>
      </c>
      <c r="V185" s="485"/>
      <c r="W185" s="502">
        <v>0</v>
      </c>
      <c r="X185" s="485"/>
      <c r="AR185" s="811">
        <v>2002</v>
      </c>
      <c r="AS185" s="866">
        <f t="shared" si="58"/>
        <v>10819.270899999998</v>
      </c>
      <c r="AT185" s="492"/>
      <c r="AU185" s="550">
        <v>2204.6999999999998</v>
      </c>
      <c r="AV185" s="492"/>
      <c r="AW185" s="491"/>
      <c r="AX185" s="492"/>
    </row>
    <row r="186" spans="5:67" ht="18">
      <c r="E186" s="680"/>
      <c r="F186" s="682"/>
      <c r="G186" s="683">
        <v>2000</v>
      </c>
      <c r="H186" s="683">
        <v>2005</v>
      </c>
      <c r="I186" s="683">
        <v>2008</v>
      </c>
      <c r="J186" s="683">
        <v>2009</v>
      </c>
      <c r="K186" s="683">
        <v>2010</v>
      </c>
      <c r="L186" s="683">
        <v>2011</v>
      </c>
      <c r="M186" s="683">
        <v>2012</v>
      </c>
      <c r="N186" s="684">
        <v>2013</v>
      </c>
      <c r="R186" s="500">
        <v>2007</v>
      </c>
      <c r="S186" s="501">
        <v>9.4465057543790749</v>
      </c>
      <c r="T186" s="492"/>
      <c r="U186" s="508">
        <v>13.587224630705832</v>
      </c>
      <c r="V186" s="503"/>
      <c r="W186" s="502">
        <v>0</v>
      </c>
      <c r="X186" s="503"/>
      <c r="AR186" s="811">
        <v>2003</v>
      </c>
      <c r="AS186" s="866">
        <f t="shared" si="58"/>
        <v>13208.250299999998</v>
      </c>
      <c r="AT186" s="492"/>
      <c r="AU186" s="550">
        <v>2586.1999999999998</v>
      </c>
      <c r="AV186" s="492"/>
      <c r="AW186" s="491"/>
      <c r="AX186" s="492"/>
    </row>
    <row r="187" spans="5:67" ht="18">
      <c r="E187" s="680" t="s">
        <v>1136</v>
      </c>
      <c r="F187" s="20"/>
      <c r="G187" s="681">
        <v>100</v>
      </c>
      <c r="H187" s="681">
        <v>100</v>
      </c>
      <c r="I187" s="681">
        <v>100</v>
      </c>
      <c r="J187" s="681">
        <v>100</v>
      </c>
      <c r="K187" s="681">
        <v>100</v>
      </c>
      <c r="L187" s="681">
        <v>100</v>
      </c>
      <c r="M187" s="681">
        <v>100</v>
      </c>
      <c r="N187" s="685">
        <v>100</v>
      </c>
      <c r="R187" s="500">
        <v>2008</v>
      </c>
      <c r="S187" s="501">
        <v>10.701001718560617</v>
      </c>
      <c r="T187" s="492"/>
      <c r="U187" s="508">
        <v>16.03475716499792</v>
      </c>
      <c r="V187" s="503"/>
      <c r="W187" s="502">
        <v>0</v>
      </c>
      <c r="X187" s="503"/>
      <c r="AR187" s="811">
        <v>2004</v>
      </c>
      <c r="AS187" s="866">
        <f t="shared" si="58"/>
        <v>17027.166999999998</v>
      </c>
      <c r="AT187" s="492"/>
      <c r="AU187" s="550">
        <v>3428.9</v>
      </c>
      <c r="AV187" s="492"/>
      <c r="AW187" s="491"/>
      <c r="AX187" s="492"/>
      <c r="BO187" t="e">
        <f>(AX198-AV198)/AX198</f>
        <v>#REF!</v>
      </c>
    </row>
    <row r="188" spans="5:67" ht="18">
      <c r="E188" s="680" t="s">
        <v>1137</v>
      </c>
      <c r="F188" s="20"/>
      <c r="G188" s="681"/>
      <c r="H188" s="681"/>
      <c r="I188" s="681"/>
      <c r="J188" s="681"/>
      <c r="K188" s="681"/>
      <c r="L188" s="681"/>
      <c r="M188" s="681"/>
      <c r="N188" s="685"/>
      <c r="R188" s="500">
        <v>2009</v>
      </c>
      <c r="S188" s="501">
        <v>11.642689869793951</v>
      </c>
      <c r="T188" s="492"/>
      <c r="U188" s="508">
        <v>16.368494611949213</v>
      </c>
      <c r="V188" s="503"/>
      <c r="W188" s="502">
        <v>0</v>
      </c>
      <c r="X188" s="503"/>
      <c r="AR188" s="811">
        <v>2005</v>
      </c>
      <c r="AS188" s="866">
        <f t="shared" si="58"/>
        <v>21609.765799999997</v>
      </c>
      <c r="AT188" s="492"/>
      <c r="AU188" s="550">
        <v>5127.2</v>
      </c>
      <c r="AV188" s="492"/>
      <c r="AW188" s="491"/>
      <c r="AX188" s="492"/>
    </row>
    <row r="189" spans="5:67" ht="18">
      <c r="E189" s="680" t="s">
        <v>1138</v>
      </c>
      <c r="F189" s="20"/>
      <c r="G189" s="681">
        <v>47.5</v>
      </c>
      <c r="H189" s="681">
        <v>44.5</v>
      </c>
      <c r="I189" s="681">
        <v>39.5</v>
      </c>
      <c r="J189" s="681">
        <v>37.1</v>
      </c>
      <c r="K189" s="681">
        <v>41</v>
      </c>
      <c r="L189" s="681">
        <v>41.9</v>
      </c>
      <c r="M189" s="681">
        <v>44.5</v>
      </c>
      <c r="N189" s="685">
        <v>46.1</v>
      </c>
      <c r="R189" s="500">
        <v>2010</v>
      </c>
      <c r="S189" s="501">
        <v>12.664918040361862</v>
      </c>
      <c r="T189" s="492"/>
      <c r="U189" s="508">
        <v>18.691365335566658</v>
      </c>
      <c r="V189" s="503"/>
      <c r="W189" s="502">
        <v>0</v>
      </c>
      <c r="X189" s="503"/>
      <c r="AR189" s="811">
        <v>2006</v>
      </c>
      <c r="AS189" s="866">
        <f t="shared" si="58"/>
        <v>26917.203699999998</v>
      </c>
      <c r="AT189" s="485"/>
      <c r="AU189" s="550">
        <v>6278.9</v>
      </c>
      <c r="AV189" s="485"/>
      <c r="AW189" s="491"/>
      <c r="AX189" s="485"/>
    </row>
    <row r="190" spans="5:67" ht="18">
      <c r="E190" s="680" t="s">
        <v>1139</v>
      </c>
      <c r="F190" s="20"/>
      <c r="G190" s="681">
        <v>52.5</v>
      </c>
      <c r="H190" s="681">
        <v>55.5</v>
      </c>
      <c r="I190" s="681">
        <v>60.5</v>
      </c>
      <c r="J190" s="681">
        <v>62.9</v>
      </c>
      <c r="K190" s="681">
        <v>59</v>
      </c>
      <c r="L190" s="681">
        <v>58.1</v>
      </c>
      <c r="M190" s="681">
        <v>55.5</v>
      </c>
      <c r="N190" s="685">
        <v>53.9</v>
      </c>
      <c r="R190" s="500">
        <v>2011</v>
      </c>
      <c r="S190" s="501">
        <v>13.437478040823935</v>
      </c>
      <c r="T190" s="503"/>
      <c r="U190" s="508">
        <v>23.328518818067689</v>
      </c>
      <c r="V190" s="503"/>
      <c r="W190" s="502">
        <v>0</v>
      </c>
      <c r="X190" s="503"/>
      <c r="AR190" s="811">
        <v>2007</v>
      </c>
      <c r="AS190" s="866">
        <f t="shared" si="58"/>
        <v>33247.513200000001</v>
      </c>
      <c r="AT190" s="503"/>
      <c r="AU190" s="550">
        <v>7781.1</v>
      </c>
      <c r="AV190" s="503"/>
      <c r="AW190" s="491"/>
      <c r="AX190" s="503"/>
    </row>
    <row r="191" spans="5:67" ht="18">
      <c r="E191" s="680" t="s">
        <v>1140</v>
      </c>
      <c r="F191" s="20"/>
      <c r="G191" s="681"/>
      <c r="H191" s="681"/>
      <c r="I191" s="681"/>
      <c r="J191" s="681"/>
      <c r="K191" s="681"/>
      <c r="L191" s="681"/>
      <c r="M191" s="681"/>
      <c r="N191" s="685"/>
      <c r="R191" s="500">
        <v>2012</v>
      </c>
      <c r="S191" s="501">
        <v>14.321664095910151</v>
      </c>
      <c r="T191" s="503"/>
      <c r="U191" s="508">
        <v>25.448132013167307</v>
      </c>
      <c r="V191" s="503"/>
      <c r="W191" s="502">
        <v>0</v>
      </c>
      <c r="X191" s="503"/>
      <c r="AR191" s="811">
        <v>2008</v>
      </c>
      <c r="AS191" s="866">
        <f t="shared" si="58"/>
        <v>41276.849199999997</v>
      </c>
      <c r="AT191" s="503"/>
      <c r="AU191" s="550">
        <v>9275.9</v>
      </c>
      <c r="AV191" s="503"/>
      <c r="AW191" s="550"/>
      <c r="AX191" s="503"/>
    </row>
    <row r="192" spans="5:67" ht="18">
      <c r="E192" s="680" t="s">
        <v>1141</v>
      </c>
      <c r="F192" s="20"/>
      <c r="G192" s="681">
        <v>2.9</v>
      </c>
      <c r="H192" s="681">
        <v>8.1</v>
      </c>
      <c r="I192" s="681">
        <v>11.8</v>
      </c>
      <c r="J192" s="681">
        <v>10.3</v>
      </c>
      <c r="K192" s="681">
        <v>9</v>
      </c>
      <c r="L192" s="681">
        <v>8.6</v>
      </c>
      <c r="M192" s="681">
        <v>8.4</v>
      </c>
      <c r="N192" s="685">
        <v>9.3000000000000007</v>
      </c>
      <c r="R192" s="500">
        <v>2013</v>
      </c>
      <c r="S192" s="501">
        <v>15.245411430096356</v>
      </c>
      <c r="T192" s="503"/>
      <c r="U192" s="490">
        <v>26.82470761987901</v>
      </c>
      <c r="V192" s="503"/>
      <c r="W192" s="502">
        <v>0</v>
      </c>
      <c r="X192" s="503"/>
      <c r="AR192" s="811">
        <v>2009</v>
      </c>
      <c r="AS192" s="866">
        <f t="shared" si="58"/>
        <v>38807.270899999996</v>
      </c>
      <c r="AT192" s="503"/>
      <c r="AU192" s="550">
        <v>7337.8</v>
      </c>
      <c r="AV192" s="503"/>
      <c r="AW192" s="550"/>
      <c r="AX192" s="503"/>
    </row>
    <row r="193" spans="5:50" ht="18">
      <c r="E193" s="680" t="s">
        <v>1142</v>
      </c>
      <c r="F193" s="20"/>
      <c r="G193" s="681">
        <v>0.6</v>
      </c>
      <c r="H193" s="681">
        <v>1</v>
      </c>
      <c r="I193" s="681">
        <v>3</v>
      </c>
      <c r="J193" s="681">
        <v>3.2</v>
      </c>
      <c r="K193" s="681">
        <v>2.2999999999999998</v>
      </c>
      <c r="L193" s="681">
        <v>1.8</v>
      </c>
      <c r="M193" s="681">
        <v>1.2</v>
      </c>
      <c r="N193" s="685">
        <v>0.9</v>
      </c>
      <c r="R193" s="500">
        <v>2014</v>
      </c>
      <c r="S193" s="501">
        <v>17.318787384589459</v>
      </c>
      <c r="T193" s="503"/>
      <c r="U193" s="490">
        <v>28.785172632075849</v>
      </c>
      <c r="V193" s="503"/>
      <c r="W193" s="502">
        <v>0</v>
      </c>
      <c r="X193" s="503"/>
      <c r="AR193" s="811">
        <v>2010</v>
      </c>
      <c r="AS193" s="866">
        <f t="shared" si="58"/>
        <v>46308.53100000001</v>
      </c>
      <c r="AT193" s="503"/>
      <c r="AU193" s="550">
        <v>8305.4</v>
      </c>
      <c r="AV193" s="503"/>
      <c r="AW193" s="550"/>
      <c r="AX193" s="503"/>
    </row>
    <row r="194" spans="5:50" ht="18">
      <c r="E194" s="680" t="s">
        <v>1143</v>
      </c>
      <c r="F194" s="20"/>
      <c r="G194" s="681"/>
      <c r="H194" s="681"/>
      <c r="I194" s="681"/>
      <c r="J194" s="681"/>
      <c r="K194" s="681"/>
      <c r="L194" s="681"/>
      <c r="M194" s="681"/>
      <c r="N194" s="685"/>
      <c r="R194" s="500">
        <v>2015</v>
      </c>
      <c r="S194" s="501">
        <v>19.552910957201501</v>
      </c>
      <c r="T194" s="503"/>
      <c r="U194" s="490">
        <v>30.966851255246702</v>
      </c>
      <c r="V194" s="503"/>
      <c r="W194" s="502">
        <v>0</v>
      </c>
      <c r="AR194" s="811">
        <v>2011</v>
      </c>
      <c r="AS194" s="866">
        <f t="shared" si="58"/>
        <v>60282.540400000005</v>
      </c>
      <c r="AT194" s="503"/>
      <c r="AU194" s="550">
        <v>11366</v>
      </c>
      <c r="AV194" s="503"/>
      <c r="AW194" s="550"/>
      <c r="AX194" s="503"/>
    </row>
    <row r="195" spans="5:50" ht="20.399999999999999">
      <c r="E195" s="680" t="s">
        <v>1144</v>
      </c>
      <c r="F195" s="20"/>
      <c r="G195" s="681">
        <v>7.2</v>
      </c>
      <c r="H195" s="681">
        <v>5.9</v>
      </c>
      <c r="I195" s="681">
        <v>6.2</v>
      </c>
      <c r="J195" s="681">
        <v>7.4</v>
      </c>
      <c r="K195" s="681">
        <v>6.1</v>
      </c>
      <c r="L195" s="681">
        <v>5.8</v>
      </c>
      <c r="M195" s="681">
        <v>6.1</v>
      </c>
      <c r="N195" s="685">
        <v>6.2</v>
      </c>
      <c r="Q195" s="943" t="e">
        <f>(T195-1.2294)/0.5934</f>
        <v>#REF!</v>
      </c>
      <c r="R195" s="500">
        <v>2016</v>
      </c>
      <c r="S195" s="501"/>
      <c r="T195" s="503" t="e">
        <f>НАСТРОЙКА!#REF!</f>
        <v>#REF!</v>
      </c>
      <c r="U195" s="490"/>
      <c r="V195" s="503" t="e">
        <f t="array" ref="V195:V209">TRANSPOSE(СЧЁТ!#REF!)</f>
        <v>#REF!</v>
      </c>
      <c r="W195" s="487"/>
      <c r="X195" s="502">
        <v>48</v>
      </c>
      <c r="AR195" s="811">
        <v>2012</v>
      </c>
      <c r="AS195" s="866">
        <f t="shared" si="58"/>
        <v>68163.883100000006</v>
      </c>
      <c r="AT195" s="503"/>
      <c r="AU195" s="550">
        <v>12853.7</v>
      </c>
      <c r="AV195" s="503"/>
      <c r="AW195" s="491"/>
      <c r="AX195" s="503"/>
    </row>
    <row r="196" spans="5:50" ht="20.399999999999999">
      <c r="E196" s="680" t="s">
        <v>1145</v>
      </c>
      <c r="F196" s="20"/>
      <c r="G196" s="681">
        <v>22</v>
      </c>
      <c r="H196" s="681">
        <v>20.399999999999999</v>
      </c>
      <c r="I196" s="681">
        <v>20.9</v>
      </c>
      <c r="J196" s="681">
        <v>21.9</v>
      </c>
      <c r="K196" s="681">
        <v>19.5</v>
      </c>
      <c r="L196" s="681">
        <v>19.2</v>
      </c>
      <c r="M196" s="681">
        <v>17.899999999999999</v>
      </c>
      <c r="N196" s="685">
        <v>18.8</v>
      </c>
      <c r="Q196" s="943" t="e">
        <f t="shared" ref="Q196:Q209" si="59">(T196-1.2294)/0.5934</f>
        <v>#REF!</v>
      </c>
      <c r="R196" s="500">
        <v>2017</v>
      </c>
      <c r="S196" s="501"/>
      <c r="T196" s="503" t="e">
        <f>НАСТРОЙКА!#REF!</f>
        <v>#REF!</v>
      </c>
      <c r="U196" s="490"/>
      <c r="V196" s="503" t="e">
        <v>#REF!</v>
      </c>
      <c r="W196" s="487"/>
      <c r="X196" s="502">
        <v>45</v>
      </c>
      <c r="AR196" s="811">
        <v>2013</v>
      </c>
      <c r="AS196" s="866">
        <f t="shared" si="58"/>
        <v>73133.89509999998</v>
      </c>
      <c r="AT196" s="503"/>
      <c r="AU196" s="550">
        <v>13019</v>
      </c>
      <c r="AV196" s="503"/>
      <c r="AW196" s="491"/>
      <c r="AX196" s="503"/>
    </row>
    <row r="197" spans="5:50" ht="20.399999999999999">
      <c r="E197" s="680" t="s">
        <v>1146</v>
      </c>
      <c r="F197" s="20"/>
      <c r="G197" s="681"/>
      <c r="H197" s="681"/>
      <c r="I197" s="681"/>
      <c r="J197" s="681"/>
      <c r="K197" s="681"/>
      <c r="L197" s="681"/>
      <c r="M197" s="681"/>
      <c r="N197" s="685"/>
      <c r="Q197" s="943" t="e">
        <f t="shared" si="59"/>
        <v>#REF!</v>
      </c>
      <c r="R197" s="500">
        <v>2018</v>
      </c>
      <c r="S197" s="501"/>
      <c r="T197" s="503" t="e">
        <f>НАСТРОЙКА!#REF!</f>
        <v>#REF!</v>
      </c>
      <c r="U197" s="490"/>
      <c r="V197" s="503" t="e">
        <v>#REF!</v>
      </c>
      <c r="W197" s="487"/>
      <c r="X197" s="502">
        <v>45</v>
      </c>
      <c r="AR197" s="811">
        <v>2014</v>
      </c>
      <c r="AS197" s="866"/>
      <c r="AT197" s="535" t="e">
        <f t="shared" ref="AT197:AT213" si="60">DB79</f>
        <v>#REF!</v>
      </c>
      <c r="AU197" s="490"/>
      <c r="AV197" s="862" t="e">
        <f>0.2039*AT197-23.995</f>
        <v>#REF!</v>
      </c>
      <c r="AW197" s="506">
        <f>AX197/0.185</f>
        <v>73354.054054054053</v>
      </c>
      <c r="AX197" s="492">
        <v>13570.5</v>
      </c>
    </row>
    <row r="198" spans="5:50" ht="20.399999999999999">
      <c r="E198" s="680" t="s">
        <v>1147</v>
      </c>
      <c r="F198" s="20"/>
      <c r="G198" s="681">
        <v>6</v>
      </c>
      <c r="H198" s="681">
        <v>7</v>
      </c>
      <c r="I198" s="681">
        <v>8</v>
      </c>
      <c r="J198" s="681">
        <v>11.5</v>
      </c>
      <c r="K198" s="681">
        <v>10</v>
      </c>
      <c r="L198" s="681">
        <v>10.1</v>
      </c>
      <c r="M198" s="681">
        <v>9.6999999999999993</v>
      </c>
      <c r="N198" s="685">
        <v>9.8000000000000007</v>
      </c>
      <c r="Q198" s="943" t="e">
        <f t="shared" si="59"/>
        <v>#REF!</v>
      </c>
      <c r="R198" s="500">
        <v>2019</v>
      </c>
      <c r="S198" s="501"/>
      <c r="T198" s="503" t="e">
        <f>НАСТРОЙКА!#REF!</f>
        <v>#REF!</v>
      </c>
      <c r="U198" s="490"/>
      <c r="V198" s="503" t="e">
        <v>#REF!</v>
      </c>
      <c r="W198" s="487"/>
      <c r="X198" s="502" t="e">
        <f>T198+18</f>
        <v>#REF!</v>
      </c>
      <c r="AR198" s="811">
        <v>2015</v>
      </c>
      <c r="AS198" s="866"/>
      <c r="AT198" s="869" t="e">
        <f t="shared" si="60"/>
        <v>#REF!</v>
      </c>
      <c r="AU198" s="488"/>
      <c r="AV198" s="870" t="e">
        <f t="shared" ref="AV198:AV213" si="61">0.2039*AT198-23.995</f>
        <v>#REF!</v>
      </c>
      <c r="AW198" s="490">
        <f>AX198/0.183</f>
        <v>79587.43169398907</v>
      </c>
      <c r="AX198" s="489">
        <v>14564.5</v>
      </c>
    </row>
    <row r="199" spans="5:50" ht="20.399999999999999">
      <c r="E199" s="680" t="s">
        <v>1148</v>
      </c>
      <c r="F199" s="20"/>
      <c r="G199" s="681"/>
      <c r="H199" s="681"/>
      <c r="I199" s="681"/>
      <c r="J199" s="681"/>
      <c r="K199" s="681"/>
      <c r="L199" s="681"/>
      <c r="M199" s="681"/>
      <c r="N199" s="685"/>
      <c r="Q199" s="943" t="e">
        <f t="shared" si="59"/>
        <v>#REF!</v>
      </c>
      <c r="R199" s="500">
        <v>2020</v>
      </c>
      <c r="S199" s="501"/>
      <c r="T199" s="503" t="e">
        <f>НАСТРОЙКА!#REF!</f>
        <v>#REF!</v>
      </c>
      <c r="U199" s="490"/>
      <c r="V199" s="503" t="e">
        <v>#REF!</v>
      </c>
      <c r="W199" s="487"/>
      <c r="X199" s="502" t="e">
        <f t="shared" ref="X199:X209" si="62">T199+18</f>
        <v>#REF!</v>
      </c>
      <c r="AR199" s="811">
        <v>2016</v>
      </c>
      <c r="AS199" s="866"/>
      <c r="AT199" s="815" t="e">
        <f t="shared" si="60"/>
        <v>#REF!</v>
      </c>
      <c r="AU199" s="490"/>
      <c r="AV199" s="862" t="e">
        <f t="shared" si="61"/>
        <v>#REF!</v>
      </c>
      <c r="AW199" s="490">
        <f>AX199/0.183</f>
        <v>86916.393442622953</v>
      </c>
      <c r="AX199" s="492">
        <v>15905.7</v>
      </c>
    </row>
    <row r="200" spans="5:50" ht="20.399999999999999">
      <c r="E200" s="680" t="s">
        <v>1149</v>
      </c>
      <c r="F200" s="20"/>
      <c r="G200" s="681">
        <v>14.3</v>
      </c>
      <c r="H200" s="681">
        <v>12.3</v>
      </c>
      <c r="I200" s="681">
        <v>11.3</v>
      </c>
      <c r="J200" s="681">
        <v>9.1999999999999993</v>
      </c>
      <c r="K200" s="681">
        <v>8.1999999999999993</v>
      </c>
      <c r="L200" s="681">
        <v>7.9</v>
      </c>
      <c r="M200" s="681">
        <v>7.1</v>
      </c>
      <c r="N200" s="685">
        <v>7.7</v>
      </c>
      <c r="Q200" s="943" t="e">
        <f t="shared" si="59"/>
        <v>#REF!</v>
      </c>
      <c r="R200" s="500">
        <v>2021</v>
      </c>
      <c r="S200" s="501"/>
      <c r="T200" s="503" t="e">
        <f>НАСТРОЙКА!#REF!</f>
        <v>#REF!</v>
      </c>
      <c r="U200" s="490"/>
      <c r="V200" s="503" t="e">
        <v>#REF!</v>
      </c>
      <c r="W200" s="487"/>
      <c r="X200" s="502" t="e">
        <f t="shared" si="62"/>
        <v>#REF!</v>
      </c>
      <c r="AR200" s="811">
        <v>2017</v>
      </c>
      <c r="AS200" s="866"/>
      <c r="AT200" s="871" t="e">
        <f t="shared" si="60"/>
        <v>#REF!</v>
      </c>
      <c r="AU200" s="493"/>
      <c r="AV200" s="864" t="e">
        <f t="shared" si="61"/>
        <v>#REF!</v>
      </c>
      <c r="AW200" s="493"/>
      <c r="AX200" s="872"/>
    </row>
    <row r="201" spans="5:50" ht="20.399999999999999">
      <c r="E201" s="680" t="s">
        <v>1150</v>
      </c>
      <c r="F201" s="20"/>
      <c r="G201" s="681" t="s">
        <v>1151</v>
      </c>
      <c r="H201" s="681" t="s">
        <v>1151</v>
      </c>
      <c r="I201" s="681" t="s">
        <v>1151</v>
      </c>
      <c r="J201" s="681" t="s">
        <v>1151</v>
      </c>
      <c r="K201" s="681" t="s">
        <v>1151</v>
      </c>
      <c r="L201" s="681" t="s">
        <v>1151</v>
      </c>
      <c r="M201" s="681">
        <v>1.1000000000000001</v>
      </c>
      <c r="N201" s="685">
        <v>1.3</v>
      </c>
      <c r="Q201" s="1065" t="e">
        <f t="shared" si="59"/>
        <v>#REF!</v>
      </c>
      <c r="R201" s="500">
        <v>2022</v>
      </c>
      <c r="S201" s="501"/>
      <c r="T201" s="503" t="e">
        <f>НАСТРОЙКА!#REF!</f>
        <v>#REF!</v>
      </c>
      <c r="U201" s="490"/>
      <c r="V201" s="503" t="e">
        <v>#REF!</v>
      </c>
      <c r="W201" s="487"/>
      <c r="X201" s="502" t="e">
        <f t="shared" si="62"/>
        <v>#REF!</v>
      </c>
      <c r="AR201" s="811">
        <v>2018</v>
      </c>
      <c r="AS201" s="866"/>
      <c r="AT201" s="535" t="e">
        <f t="shared" si="60"/>
        <v>#REF!</v>
      </c>
      <c r="AU201" s="490"/>
      <c r="AV201" s="862" t="e">
        <f t="shared" si="61"/>
        <v>#REF!</v>
      </c>
      <c r="AW201" s="490"/>
      <c r="AX201" s="492"/>
    </row>
    <row r="202" spans="5:50" ht="20.399999999999999">
      <c r="E202" s="680" t="s">
        <v>1152</v>
      </c>
      <c r="F202" s="20"/>
      <c r="G202" s="681">
        <v>4.8</v>
      </c>
      <c r="H202" s="681">
        <v>0.5</v>
      </c>
      <c r="I202" s="681">
        <v>0.4</v>
      </c>
      <c r="J202" s="681">
        <v>0.3</v>
      </c>
      <c r="K202" s="681">
        <v>0.3</v>
      </c>
      <c r="L202" s="681">
        <v>0.2</v>
      </c>
      <c r="M202" s="681">
        <v>0.4</v>
      </c>
      <c r="N202" s="685">
        <v>0.3</v>
      </c>
      <c r="Q202" s="943" t="e">
        <f t="shared" si="59"/>
        <v>#REF!</v>
      </c>
      <c r="R202" s="500">
        <v>2023</v>
      </c>
      <c r="S202" s="501"/>
      <c r="T202" s="503" t="e">
        <f>НАСТРОЙКА!#REF!</f>
        <v>#REF!</v>
      </c>
      <c r="U202" s="490"/>
      <c r="V202" s="503" t="e">
        <v>#REF!</v>
      </c>
      <c r="W202" s="487"/>
      <c r="X202" s="502" t="e">
        <f t="shared" si="62"/>
        <v>#REF!</v>
      </c>
      <c r="AR202" s="811">
        <v>2019</v>
      </c>
      <c r="AS202" s="866"/>
      <c r="AT202" s="535" t="e">
        <f t="shared" si="60"/>
        <v>#REF!</v>
      </c>
      <c r="AU202" s="490"/>
      <c r="AV202" s="862" t="e">
        <f t="shared" si="61"/>
        <v>#REF!</v>
      </c>
      <c r="AW202" s="490"/>
      <c r="AX202" s="492"/>
    </row>
    <row r="203" spans="5:50" ht="20.399999999999999">
      <c r="E203" s="680" t="s">
        <v>1153</v>
      </c>
      <c r="F203" s="20"/>
      <c r="G203" s="681"/>
      <c r="H203" s="681"/>
      <c r="I203" s="681"/>
      <c r="J203" s="681"/>
      <c r="K203" s="681"/>
      <c r="L203" s="681"/>
      <c r="M203" s="681"/>
      <c r="N203" s="685"/>
      <c r="Q203" s="943" t="e">
        <f t="shared" si="59"/>
        <v>#REF!</v>
      </c>
      <c r="R203" s="500">
        <v>2024</v>
      </c>
      <c r="S203" s="501"/>
      <c r="T203" s="503" t="e">
        <f>НАСТРОЙКА!#REF!</f>
        <v>#REF!</v>
      </c>
      <c r="U203" s="490"/>
      <c r="V203" s="503" t="e">
        <v>#REF!</v>
      </c>
      <c r="W203" s="487"/>
      <c r="X203" s="502" t="e">
        <f t="shared" si="62"/>
        <v>#REF!</v>
      </c>
      <c r="AR203" s="811">
        <v>2020</v>
      </c>
      <c r="AS203" s="866"/>
      <c r="AT203" s="535" t="e">
        <f t="shared" si="60"/>
        <v>#REF!</v>
      </c>
      <c r="AU203" s="490"/>
      <c r="AV203" s="862" t="e">
        <f t="shared" si="61"/>
        <v>#REF!</v>
      </c>
      <c r="AW203" s="490"/>
      <c r="AX203" s="492"/>
    </row>
    <row r="204" spans="5:50" ht="20.399999999999999">
      <c r="E204" s="680" t="s">
        <v>1154</v>
      </c>
      <c r="F204" s="20"/>
      <c r="G204" s="681" t="s">
        <v>1155</v>
      </c>
      <c r="H204" s="681">
        <v>3.8</v>
      </c>
      <c r="I204" s="681">
        <v>3.5</v>
      </c>
      <c r="J204" s="681">
        <v>2.6</v>
      </c>
      <c r="K204" s="681">
        <v>2.2000000000000002</v>
      </c>
      <c r="L204" s="681">
        <v>2</v>
      </c>
      <c r="M204" s="681">
        <v>2.7</v>
      </c>
      <c r="N204" s="685">
        <v>3</v>
      </c>
      <c r="Q204" s="943" t="e">
        <f t="shared" si="59"/>
        <v>#REF!</v>
      </c>
      <c r="R204" s="500">
        <v>2025</v>
      </c>
      <c r="S204" s="501"/>
      <c r="T204" s="503" t="e">
        <f>НАСТРОЙКА!#REF!</f>
        <v>#REF!</v>
      </c>
      <c r="U204" s="490"/>
      <c r="V204" s="503" t="e">
        <v>#REF!</v>
      </c>
      <c r="W204" s="487"/>
      <c r="X204" s="502" t="e">
        <f t="shared" si="62"/>
        <v>#REF!</v>
      </c>
      <c r="AR204" s="811">
        <v>2021</v>
      </c>
      <c r="AS204" s="866"/>
      <c r="AT204" s="535" t="e">
        <f t="shared" si="60"/>
        <v>#REF!</v>
      </c>
      <c r="AU204" s="490"/>
      <c r="AV204" s="862" t="e">
        <f t="shared" si="61"/>
        <v>#REF!</v>
      </c>
      <c r="AW204" s="490"/>
      <c r="AX204" s="492"/>
    </row>
    <row r="205" spans="5:50" ht="20.399999999999999">
      <c r="E205" s="680" t="s">
        <v>1156</v>
      </c>
      <c r="F205" s="20"/>
      <c r="G205" s="681"/>
      <c r="H205" s="681"/>
      <c r="I205" s="681"/>
      <c r="J205" s="681"/>
      <c r="K205" s="681"/>
      <c r="L205" s="681"/>
      <c r="M205" s="681"/>
      <c r="N205" s="685"/>
      <c r="Q205" s="943" t="e">
        <f t="shared" si="59"/>
        <v>#REF!</v>
      </c>
      <c r="R205" s="500">
        <v>2026</v>
      </c>
      <c r="S205" s="501"/>
      <c r="T205" s="503" t="e">
        <f>НАСТРОЙКА!#REF!</f>
        <v>#REF!</v>
      </c>
      <c r="U205" s="490"/>
      <c r="V205" s="503" t="e">
        <v>#REF!</v>
      </c>
      <c r="W205" s="487"/>
      <c r="X205" s="502" t="e">
        <f t="shared" si="62"/>
        <v>#REF!</v>
      </c>
      <c r="AR205" s="811">
        <v>2022</v>
      </c>
      <c r="AS205" s="866"/>
      <c r="AT205" s="535" t="e">
        <f t="shared" si="60"/>
        <v>#REF!</v>
      </c>
      <c r="AU205" s="490"/>
      <c r="AV205" s="862" t="e">
        <f t="shared" si="61"/>
        <v>#REF!</v>
      </c>
      <c r="AW205" s="490"/>
      <c r="AX205" s="492"/>
    </row>
    <row r="206" spans="5:50" ht="20.399999999999999">
      <c r="E206" s="680" t="s">
        <v>1157</v>
      </c>
      <c r="F206" s="20"/>
      <c r="G206" s="681" t="s">
        <v>1155</v>
      </c>
      <c r="H206" s="681" t="s">
        <v>1151</v>
      </c>
      <c r="I206" s="681">
        <v>1.9</v>
      </c>
      <c r="J206" s="681">
        <v>1.3</v>
      </c>
      <c r="K206" s="681">
        <v>1.2</v>
      </c>
      <c r="L206" s="681">
        <v>1.3</v>
      </c>
      <c r="M206" s="681">
        <v>2.1</v>
      </c>
      <c r="N206" s="685">
        <v>2.2999999999999998</v>
      </c>
      <c r="Q206" s="943" t="e">
        <f t="shared" si="59"/>
        <v>#REF!</v>
      </c>
      <c r="R206" s="500">
        <v>2027</v>
      </c>
      <c r="S206" s="501"/>
      <c r="T206" s="503" t="e">
        <f>НАСТРОЙКА!#REF!</f>
        <v>#REF!</v>
      </c>
      <c r="U206" s="490"/>
      <c r="V206" s="503" t="e">
        <v>#REF!</v>
      </c>
      <c r="W206" s="487"/>
      <c r="X206" s="502" t="e">
        <f t="shared" si="62"/>
        <v>#REF!</v>
      </c>
      <c r="AR206" s="811">
        <v>2023</v>
      </c>
      <c r="AS206" s="866"/>
      <c r="AT206" s="535" t="e">
        <f t="shared" si="60"/>
        <v>#REF!</v>
      </c>
      <c r="AU206" s="490"/>
      <c r="AV206" s="862" t="e">
        <f t="shared" si="61"/>
        <v>#REF!</v>
      </c>
      <c r="AW206" s="490"/>
      <c r="AX206" s="485"/>
    </row>
    <row r="207" spans="5:50" ht="20.399999999999999">
      <c r="E207" s="680" t="s">
        <v>1158</v>
      </c>
      <c r="F207" s="20"/>
      <c r="G207" s="681">
        <v>15.6</v>
      </c>
      <c r="H207" s="681">
        <v>16.8</v>
      </c>
      <c r="I207" s="681">
        <v>17.7</v>
      </c>
      <c r="J207" s="681">
        <v>20.399999999999999</v>
      </c>
      <c r="K207" s="681">
        <v>21.9</v>
      </c>
      <c r="L207" s="681">
        <v>22.3</v>
      </c>
      <c r="M207" s="681">
        <v>20</v>
      </c>
      <c r="N207" s="685">
        <v>16.3</v>
      </c>
      <c r="Q207" s="943" t="e">
        <f t="shared" si="59"/>
        <v>#REF!</v>
      </c>
      <c r="R207" s="500">
        <v>2028</v>
      </c>
      <c r="S207" s="501"/>
      <c r="T207" s="503" t="e">
        <f>НАСТРОЙКА!#REF!</f>
        <v>#REF!</v>
      </c>
      <c r="U207" s="490"/>
      <c r="V207" s="503" t="e">
        <v>#REF!</v>
      </c>
      <c r="W207" s="487"/>
      <c r="X207" s="502" t="e">
        <f t="shared" si="62"/>
        <v>#REF!</v>
      </c>
      <c r="AR207" s="811">
        <v>2024</v>
      </c>
      <c r="AS207" s="866"/>
      <c r="AT207" s="535" t="e">
        <f t="shared" si="60"/>
        <v>#REF!</v>
      </c>
      <c r="AU207" s="490"/>
      <c r="AV207" s="862" t="e">
        <f t="shared" si="61"/>
        <v>#REF!</v>
      </c>
      <c r="AW207" s="490"/>
      <c r="AX207" s="485"/>
    </row>
    <row r="208" spans="5:50" ht="20.399999999999999">
      <c r="E208" s="680" t="s">
        <v>1159</v>
      </c>
      <c r="F208" s="681"/>
      <c r="G208" s="681"/>
      <c r="H208" s="681"/>
      <c r="I208" s="681"/>
      <c r="J208" s="681"/>
      <c r="K208" s="681"/>
      <c r="L208" s="681"/>
      <c r="M208" s="681"/>
      <c r="N208" s="12"/>
      <c r="Q208" s="943" t="e">
        <f t="shared" si="59"/>
        <v>#REF!</v>
      </c>
      <c r="R208" s="500">
        <v>2029</v>
      </c>
      <c r="S208" s="501"/>
      <c r="T208" s="503" t="e">
        <f>НАСТРОЙКА!#REF!</f>
        <v>#REF!</v>
      </c>
      <c r="U208" s="490"/>
      <c r="V208" s="503" t="e">
        <v>#REF!</v>
      </c>
      <c r="W208" s="487"/>
      <c r="X208" s="502" t="e">
        <f t="shared" si="62"/>
        <v>#REF!</v>
      </c>
      <c r="AR208" s="811">
        <v>2025</v>
      </c>
      <c r="AS208" s="866"/>
      <c r="AT208" s="535" t="e">
        <f t="shared" si="60"/>
        <v>#REF!</v>
      </c>
      <c r="AU208" s="490"/>
      <c r="AV208" s="862" t="e">
        <f t="shared" si="61"/>
        <v>#REF!</v>
      </c>
      <c r="AW208" s="490"/>
      <c r="AX208" s="485"/>
    </row>
    <row r="209" spans="5:50" ht="20.399999999999999">
      <c r="E209" s="686" t="s">
        <v>1160</v>
      </c>
      <c r="F209" s="687"/>
      <c r="G209" s="687"/>
      <c r="H209" s="687"/>
      <c r="I209" s="687"/>
      <c r="J209" s="687"/>
      <c r="K209" s="687"/>
      <c r="L209" s="687"/>
      <c r="M209" s="687"/>
      <c r="N209" s="81"/>
      <c r="Q209" s="943" t="e">
        <f t="shared" si="59"/>
        <v>#REF!</v>
      </c>
      <c r="R209" s="504">
        <v>2030</v>
      </c>
      <c r="S209" s="505"/>
      <c r="T209" s="505" t="e">
        <f>НАСТРОЙКА!#REF!</f>
        <v>#REF!</v>
      </c>
      <c r="U209" s="493"/>
      <c r="V209" s="509" t="e">
        <v>#REF!</v>
      </c>
      <c r="W209" s="506"/>
      <c r="X209" s="502" t="e">
        <f t="shared" si="62"/>
        <v>#REF!</v>
      </c>
      <c r="AR209" s="811">
        <v>2026</v>
      </c>
      <c r="AS209" s="866"/>
      <c r="AT209" s="535" t="e">
        <f t="shared" si="60"/>
        <v>#REF!</v>
      </c>
      <c r="AU209" s="490"/>
      <c r="AV209" s="862" t="e">
        <f t="shared" si="61"/>
        <v>#REF!</v>
      </c>
      <c r="AW209" s="490"/>
      <c r="AX209" s="485"/>
    </row>
    <row r="210" spans="5:50" ht="18">
      <c r="AR210" s="811">
        <v>2027</v>
      </c>
      <c r="AS210" s="866"/>
      <c r="AT210" s="535" t="e">
        <f t="shared" si="60"/>
        <v>#REF!</v>
      </c>
      <c r="AU210" s="490"/>
      <c r="AV210" s="862" t="e">
        <f t="shared" si="61"/>
        <v>#REF!</v>
      </c>
      <c r="AW210" s="490"/>
      <c r="AX210" s="485"/>
    </row>
    <row r="211" spans="5:50" ht="18">
      <c r="AR211" s="811">
        <v>2028</v>
      </c>
      <c r="AS211" s="866"/>
      <c r="AT211" s="535" t="e">
        <f t="shared" si="60"/>
        <v>#REF!</v>
      </c>
      <c r="AU211" s="490"/>
      <c r="AV211" s="862" t="e">
        <f t="shared" si="61"/>
        <v>#REF!</v>
      </c>
      <c r="AW211" s="490"/>
      <c r="AX211" s="485"/>
    </row>
    <row r="212" spans="5:50" ht="18">
      <c r="AR212" s="811">
        <v>2029</v>
      </c>
      <c r="AS212" s="866"/>
      <c r="AT212" s="535" t="e">
        <f t="shared" si="60"/>
        <v>#REF!</v>
      </c>
      <c r="AU212" s="490"/>
      <c r="AV212" s="862" t="e">
        <f t="shared" si="61"/>
        <v>#REF!</v>
      </c>
      <c r="AW212" s="490"/>
      <c r="AX212" s="485"/>
    </row>
    <row r="213" spans="5:50" ht="18">
      <c r="AR213" s="812">
        <v>2030</v>
      </c>
      <c r="AS213" s="868"/>
      <c r="AT213" s="867" t="e">
        <f t="shared" si="60"/>
        <v>#REF!</v>
      </c>
      <c r="AU213" s="493"/>
      <c r="AV213" s="864" t="e">
        <f t="shared" si="61"/>
        <v>#REF!</v>
      </c>
      <c r="AW213" s="493"/>
      <c r="AX213" s="486"/>
    </row>
  </sheetData>
  <mergeCells count="2">
    <mergeCell ref="X142:AA142"/>
    <mergeCell ref="X144:X145"/>
  </mergeCells>
  <phoneticPr fontId="46" type="noConversion"/>
  <pageMargins left="0.7" right="0.7" top="0.75" bottom="0.75" header="0.3" footer="0.3"/>
  <pageSetup paperSize="9" scale="60" orientation="landscape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2:EI183"/>
  <sheetViews>
    <sheetView topLeftCell="BM67" zoomScale="40" zoomScaleNormal="40" workbookViewId="0">
      <selection activeCell="CS102" sqref="CS102"/>
    </sheetView>
  </sheetViews>
  <sheetFormatPr defaultRowHeight="14.4"/>
  <cols>
    <col min="2" max="2" width="30.109375" customWidth="1"/>
    <col min="3" max="3" width="11.6640625" customWidth="1"/>
    <col min="4" max="4" width="12.33203125" bestFit="1" customWidth="1"/>
    <col min="5" max="5" width="11.109375" customWidth="1"/>
    <col min="6" max="6" width="10.88671875" bestFit="1" customWidth="1"/>
    <col min="7" max="7" width="10.5546875" customWidth="1"/>
    <col min="8" max="8" width="10.5546875" bestFit="1" customWidth="1"/>
    <col min="10" max="10" width="11.5546875" customWidth="1"/>
    <col min="11" max="11" width="11.88671875" customWidth="1"/>
    <col min="12" max="12" width="11.109375" customWidth="1"/>
    <col min="13" max="13" width="12.6640625" customWidth="1"/>
    <col min="14" max="14" width="12.5546875" customWidth="1"/>
    <col min="15" max="15" width="13" customWidth="1"/>
    <col min="19" max="19" width="9.88671875" customWidth="1"/>
    <col min="21" max="22" width="11.6640625" bestFit="1" customWidth="1"/>
    <col min="23" max="23" width="10.109375" customWidth="1"/>
    <col min="24" max="24" width="11" customWidth="1"/>
    <col min="25" max="26" width="11.44140625" customWidth="1"/>
    <col min="27" max="27" width="12" bestFit="1" customWidth="1"/>
    <col min="30" max="30" width="11" customWidth="1"/>
    <col min="32" max="33" width="10" bestFit="1" customWidth="1"/>
    <col min="47" max="47" width="10.33203125" customWidth="1"/>
    <col min="48" max="48" width="9.6640625" customWidth="1"/>
    <col min="49" max="49" width="12" bestFit="1" customWidth="1"/>
    <col min="50" max="50" width="11.44140625" customWidth="1"/>
    <col min="51" max="51" width="10.88671875" customWidth="1"/>
    <col min="52" max="53" width="9.44140625" bestFit="1" customWidth="1"/>
    <col min="54" max="54" width="10" bestFit="1" customWidth="1"/>
    <col min="55" max="55" width="9.88671875" bestFit="1" customWidth="1"/>
    <col min="58" max="69" width="9.88671875" bestFit="1" customWidth="1"/>
    <col min="70" max="70" width="10.6640625" bestFit="1" customWidth="1"/>
    <col min="71" max="71" width="11.109375" bestFit="1" customWidth="1"/>
    <col min="72" max="72" width="9.88671875" customWidth="1"/>
    <col min="73" max="75" width="10.44140625" customWidth="1"/>
    <col min="76" max="77" width="10.88671875" customWidth="1"/>
    <col min="93" max="93" width="12" bestFit="1" customWidth="1"/>
    <col min="94" max="94" width="10.109375" customWidth="1"/>
    <col min="95" max="95" width="11.44140625" customWidth="1"/>
    <col min="96" max="96" width="12.88671875" customWidth="1"/>
    <col min="97" max="97" width="10.6640625" customWidth="1"/>
    <col min="98" max="98" width="12.33203125" bestFit="1" customWidth="1"/>
    <col min="99" max="99" width="11.5546875" bestFit="1" customWidth="1"/>
    <col min="115" max="115" width="10.6640625" bestFit="1" customWidth="1"/>
    <col min="117" max="117" width="11.6640625" customWidth="1"/>
    <col min="118" max="118" width="13.6640625" bestFit="1" customWidth="1"/>
    <col min="119" max="119" width="10.109375" customWidth="1"/>
    <col min="120" max="120" width="10.44140625" customWidth="1"/>
    <col min="121" max="121" width="10.33203125" customWidth="1"/>
    <col min="137" max="137" width="10.6640625" customWidth="1"/>
    <col min="138" max="138" width="11.44140625" customWidth="1"/>
    <col min="139" max="139" width="15.109375" bestFit="1" customWidth="1"/>
    <col min="140" max="140" width="13.44140625" bestFit="1" customWidth="1"/>
    <col min="141" max="141" width="15.109375" bestFit="1" customWidth="1"/>
  </cols>
  <sheetData>
    <row r="2" spans="1:138" ht="16.2" thickBot="1">
      <c r="H2" s="39"/>
      <c r="I2" s="92" t="s">
        <v>48</v>
      </c>
      <c r="J2" s="39"/>
      <c r="K2" s="39"/>
      <c r="L2" s="39"/>
      <c r="M2" s="39"/>
      <c r="N2" s="39"/>
      <c r="O2" s="117" t="s">
        <v>932</v>
      </c>
      <c r="P2" s="49" t="s">
        <v>75</v>
      </c>
      <c r="Q2" s="49"/>
      <c r="R2" s="49"/>
      <c r="S2" s="49"/>
      <c r="T2" s="39"/>
      <c r="U2" s="39"/>
      <c r="V2" s="39"/>
      <c r="W2" s="39"/>
    </row>
    <row r="3" spans="1:138" ht="21">
      <c r="H3" s="49">
        <v>1</v>
      </c>
      <c r="I3" s="301" t="s">
        <v>49</v>
      </c>
      <c r="J3" s="302"/>
      <c r="K3" s="302"/>
      <c r="L3" s="302"/>
      <c r="M3" s="302"/>
      <c r="N3" s="302"/>
      <c r="O3" s="305" t="s">
        <v>461</v>
      </c>
      <c r="P3" s="316" t="s">
        <v>382</v>
      </c>
      <c r="Q3" s="31"/>
      <c r="R3" s="31"/>
      <c r="S3" s="127"/>
      <c r="T3" s="316" t="s">
        <v>101</v>
      </c>
      <c r="U3" s="31"/>
      <c r="V3" s="31"/>
      <c r="W3" s="127"/>
      <c r="AD3" s="95">
        <f>СЧЁТ!O85</f>
        <v>43942</v>
      </c>
      <c r="AE3" s="57" t="s">
        <v>96</v>
      </c>
      <c r="AF3" s="57" t="s">
        <v>97</v>
      </c>
      <c r="AG3" s="57" t="s">
        <v>98</v>
      </c>
      <c r="AH3" s="57" t="s">
        <v>99</v>
      </c>
      <c r="AU3" s="57" t="s">
        <v>100</v>
      </c>
      <c r="AV3" s="57" t="s">
        <v>99</v>
      </c>
      <c r="AX3" s="95">
        <f>СЧЁТ!O85</f>
        <v>43942</v>
      </c>
      <c r="AY3" s="318" t="s">
        <v>102</v>
      </c>
      <c r="AZ3" s="318" t="s">
        <v>87</v>
      </c>
      <c r="BA3" s="57" t="s">
        <v>103</v>
      </c>
      <c r="BB3" s="57" t="s">
        <v>104</v>
      </c>
      <c r="BO3" s="57" t="s">
        <v>104</v>
      </c>
      <c r="BP3" s="335" t="s">
        <v>105</v>
      </c>
      <c r="BR3" s="536">
        <v>41606</v>
      </c>
      <c r="BS3" s="57" t="s">
        <v>45</v>
      </c>
      <c r="BT3" s="57" t="s">
        <v>47</v>
      </c>
      <c r="BU3" s="57" t="s">
        <v>204</v>
      </c>
      <c r="BV3" s="57" t="s">
        <v>203</v>
      </c>
      <c r="CL3" s="57" t="s">
        <v>203</v>
      </c>
      <c r="CY3" s="575" t="s">
        <v>1089</v>
      </c>
      <c r="CZ3" s="575"/>
      <c r="DA3" s="575"/>
      <c r="DB3" s="575"/>
      <c r="DC3" s="575"/>
      <c r="DD3" s="554"/>
      <c r="DE3" s="554"/>
      <c r="DF3" s="554"/>
      <c r="DG3" s="554"/>
      <c r="DH3" s="554"/>
      <c r="DI3" s="554"/>
      <c r="DJ3" s="554"/>
      <c r="DK3" s="554"/>
      <c r="DL3" s="554"/>
      <c r="DM3" s="554"/>
      <c r="DN3" s="554"/>
      <c r="DO3" s="554"/>
      <c r="DP3" s="554"/>
      <c r="DQ3" s="554"/>
      <c r="DR3" s="554"/>
      <c r="DS3" s="554"/>
      <c r="DT3" s="554"/>
      <c r="DU3" s="554"/>
      <c r="DV3" s="554"/>
      <c r="DW3" s="554"/>
      <c r="DX3" s="554"/>
      <c r="DY3" s="554"/>
      <c r="DZ3" s="554"/>
      <c r="EA3" s="554"/>
      <c r="EB3" s="554"/>
      <c r="EC3" s="554"/>
      <c r="ED3" s="554"/>
      <c r="EE3" s="554"/>
      <c r="EF3" s="554"/>
      <c r="EG3" s="554"/>
      <c r="EH3" s="554"/>
    </row>
    <row r="4" spans="1:138" ht="18">
      <c r="H4" s="49">
        <v>2</v>
      </c>
      <c r="I4" s="289" t="s">
        <v>50</v>
      </c>
      <c r="J4" s="13"/>
      <c r="K4" s="13"/>
      <c r="L4" s="13"/>
      <c r="M4" s="13"/>
      <c r="N4" s="13"/>
      <c r="O4" s="305" t="s">
        <v>54</v>
      </c>
      <c r="P4" s="120" t="s">
        <v>84</v>
      </c>
      <c r="Q4" s="13"/>
      <c r="R4" s="13"/>
      <c r="S4" s="14"/>
      <c r="T4" s="120" t="s">
        <v>90</v>
      </c>
      <c r="U4" s="13"/>
      <c r="V4" s="13"/>
      <c r="W4" s="14"/>
      <c r="AD4" s="59">
        <v>40614</v>
      </c>
      <c r="AE4" s="277" t="s">
        <v>32</v>
      </c>
      <c r="AF4" s="277" t="s">
        <v>687</v>
      </c>
      <c r="AG4" s="277" t="s">
        <v>32</v>
      </c>
      <c r="AH4" s="277" t="s">
        <v>687</v>
      </c>
      <c r="AU4" s="277" t="s">
        <v>823</v>
      </c>
      <c r="AV4" s="277" t="s">
        <v>823</v>
      </c>
      <c r="AX4" s="59">
        <v>40614</v>
      </c>
      <c r="AY4" s="277" t="s">
        <v>32</v>
      </c>
      <c r="AZ4" s="277" t="s">
        <v>687</v>
      </c>
      <c r="BA4" s="277" t="s">
        <v>32</v>
      </c>
      <c r="BB4" s="277" t="s">
        <v>687</v>
      </c>
      <c r="BO4" s="277" t="s">
        <v>823</v>
      </c>
      <c r="BP4" s="277" t="s">
        <v>823</v>
      </c>
      <c r="BR4" s="59"/>
      <c r="BS4" s="317" t="s">
        <v>46</v>
      </c>
      <c r="BT4" s="317" t="s">
        <v>46</v>
      </c>
      <c r="BU4" s="281" t="s">
        <v>809</v>
      </c>
      <c r="BV4" s="281" t="s">
        <v>809</v>
      </c>
      <c r="CL4" s="107" t="s">
        <v>823</v>
      </c>
      <c r="CY4" s="554"/>
      <c r="CZ4" s="554"/>
      <c r="DA4" s="554"/>
      <c r="DB4" s="554"/>
      <c r="DC4" s="554"/>
      <c r="DD4" s="554"/>
      <c r="DE4" s="554"/>
      <c r="DF4" s="554"/>
      <c r="DG4" s="554"/>
      <c r="DH4" s="554"/>
      <c r="DI4" s="554"/>
      <c r="DJ4" s="554"/>
      <c r="DK4" s="554"/>
      <c r="DL4" s="554"/>
      <c r="DM4" s="554"/>
      <c r="DN4" s="554"/>
      <c r="DO4" s="554"/>
      <c r="DP4" s="554"/>
      <c r="DQ4" s="554"/>
      <c r="DR4" s="554"/>
      <c r="DS4" s="554"/>
      <c r="DT4" s="554"/>
      <c r="DU4" s="554"/>
      <c r="DV4" s="554"/>
      <c r="DW4" s="554"/>
      <c r="DX4" s="554"/>
      <c r="DY4" s="554"/>
      <c r="DZ4" s="554"/>
      <c r="EA4" s="554"/>
      <c r="EB4" s="554"/>
      <c r="EC4" s="554"/>
      <c r="ED4" s="554"/>
      <c r="EE4" s="554"/>
      <c r="EF4" s="554"/>
      <c r="EG4" s="554"/>
      <c r="EH4" s="554"/>
    </row>
    <row r="5" spans="1:138" ht="18">
      <c r="H5" s="49">
        <v>3</v>
      </c>
      <c r="I5" s="289" t="s">
        <v>51</v>
      </c>
      <c r="J5" s="13"/>
      <c r="K5" s="13"/>
      <c r="L5" s="13"/>
      <c r="M5" s="13"/>
      <c r="N5" s="13"/>
      <c r="O5" s="305" t="s">
        <v>55</v>
      </c>
      <c r="P5" s="120" t="s">
        <v>76</v>
      </c>
      <c r="Q5" s="13"/>
      <c r="R5" s="13"/>
      <c r="S5" s="14"/>
      <c r="T5" s="120" t="s">
        <v>91</v>
      </c>
      <c r="U5" s="13"/>
      <c r="V5" s="13"/>
      <c r="W5" s="14"/>
      <c r="AD5" s="522">
        <v>1995</v>
      </c>
      <c r="AE5" s="523">
        <f>Y16</f>
        <v>0.24458015167192756</v>
      </c>
      <c r="AF5" s="355"/>
      <c r="AG5" s="523">
        <f>Z16</f>
        <v>0.24548014811767122</v>
      </c>
      <c r="AH5" s="355"/>
      <c r="AU5" s="328">
        <f>AE5</f>
        <v>0.24458015167192756</v>
      </c>
      <c r="AV5" s="65">
        <f>AG5</f>
        <v>0.24548014811767122</v>
      </c>
      <c r="AX5" s="331">
        <v>1995</v>
      </c>
      <c r="AY5" s="328">
        <f>X16</f>
        <v>1.2E-2</v>
      </c>
      <c r="AZ5" s="65"/>
      <c r="BA5" s="328">
        <f>AA16</f>
        <v>1.1158782510365622E-2</v>
      </c>
      <c r="BB5" s="65"/>
      <c r="BO5" s="336">
        <f t="shared" ref="BO5:BO19" si="0">BA5</f>
        <v>1.1158782510365622E-2</v>
      </c>
      <c r="BP5" s="337"/>
      <c r="BR5" s="331">
        <v>1995</v>
      </c>
      <c r="BS5" s="533">
        <f>K16</f>
        <v>910.9</v>
      </c>
      <c r="BT5" s="535">
        <f>M16</f>
        <v>647.87</v>
      </c>
      <c r="BU5" s="473">
        <f>BS5/BT5</f>
        <v>1.4059919428280365</v>
      </c>
      <c r="BV5" s="485"/>
      <c r="CL5" s="336">
        <f t="shared" ref="CL5:CL19" si="1">BU5</f>
        <v>1.4059919428280365</v>
      </c>
      <c r="CY5" s="572" t="s">
        <v>1095</v>
      </c>
      <c r="CZ5" s="554"/>
      <c r="DA5" s="554"/>
      <c r="DB5" s="554"/>
      <c r="DC5" s="554"/>
      <c r="DD5" s="554"/>
      <c r="DE5" s="554"/>
      <c r="DF5" s="554"/>
      <c r="DG5" s="554"/>
      <c r="DH5" s="554"/>
      <c r="DI5" s="554"/>
      <c r="DJ5" s="554"/>
      <c r="DK5" s="554"/>
      <c r="DL5" s="554"/>
      <c r="DM5" s="554"/>
      <c r="DN5" s="554"/>
      <c r="DO5" s="554"/>
      <c r="DP5" s="554"/>
      <c r="DQ5" s="554"/>
      <c r="DR5" s="554"/>
      <c r="DS5" s="554"/>
      <c r="DT5" s="554"/>
      <c r="DU5" s="554"/>
      <c r="DV5" s="554"/>
      <c r="DW5" s="554"/>
      <c r="DX5" s="554"/>
      <c r="DY5" s="554"/>
      <c r="DZ5" s="554"/>
      <c r="EA5" s="554"/>
      <c r="EB5" s="554"/>
      <c r="EC5" s="554"/>
      <c r="ED5" s="554"/>
      <c r="EE5" s="554"/>
      <c r="EF5" s="554"/>
      <c r="EG5" s="554"/>
      <c r="EH5" s="554"/>
    </row>
    <row r="6" spans="1:138" ht="18">
      <c r="H6" s="49">
        <v>4</v>
      </c>
      <c r="I6" s="289" t="s">
        <v>52</v>
      </c>
      <c r="J6" s="13"/>
      <c r="K6" s="13"/>
      <c r="L6" s="13"/>
      <c r="M6" s="13"/>
      <c r="N6" s="13"/>
      <c r="O6" s="305" t="s">
        <v>56</v>
      </c>
      <c r="P6" s="120" t="s">
        <v>77</v>
      </c>
      <c r="Q6" s="13"/>
      <c r="R6" s="13"/>
      <c r="S6" s="14"/>
      <c r="T6" s="120" t="s">
        <v>89</v>
      </c>
      <c r="U6" s="13"/>
      <c r="V6" s="13"/>
      <c r="W6" s="14"/>
      <c r="AD6" s="524">
        <v>1996</v>
      </c>
      <c r="AE6" s="525">
        <f>Y17</f>
        <v>0.26390378728192782</v>
      </c>
      <c r="AF6" s="355"/>
      <c r="AG6" s="525">
        <f>Z17</f>
        <v>0.29108932128083342</v>
      </c>
      <c r="AH6" s="355"/>
      <c r="AU6" s="329">
        <f>AE6</f>
        <v>0.26390378728192782</v>
      </c>
      <c r="AV6" s="65">
        <f>AG6</f>
        <v>0.29108932128083342</v>
      </c>
      <c r="AX6" s="330">
        <v>1996</v>
      </c>
      <c r="AY6" s="329">
        <f>X17</f>
        <v>1.1000000000000001E-2</v>
      </c>
      <c r="AZ6" s="65"/>
      <c r="BA6" s="329">
        <f>AA17</f>
        <v>5.6059731442894322E-3</v>
      </c>
      <c r="BB6" s="65"/>
      <c r="BO6" s="338">
        <f t="shared" si="0"/>
        <v>5.6059731442894322E-3</v>
      </c>
      <c r="BP6" s="339"/>
      <c r="BR6" s="330">
        <v>1996</v>
      </c>
      <c r="BS6" s="534">
        <f>K17</f>
        <v>1357.1</v>
      </c>
      <c r="BT6" s="535">
        <f>M17</f>
        <v>1022.64</v>
      </c>
      <c r="BU6" s="474">
        <f>BS6/BT6</f>
        <v>1.3270554642885082</v>
      </c>
      <c r="BV6" s="485"/>
      <c r="CL6" s="338">
        <f t="shared" si="1"/>
        <v>1.3270554642885082</v>
      </c>
      <c r="CY6" s="554"/>
      <c r="CZ6" s="554"/>
      <c r="DA6" s="554"/>
      <c r="DB6" s="554"/>
      <c r="DC6" s="554"/>
      <c r="DD6" s="554"/>
      <c r="DE6" s="554"/>
      <c r="DF6" s="554"/>
      <c r="DG6" s="554"/>
      <c r="DH6" s="554"/>
      <c r="DI6" s="554"/>
      <c r="DJ6" s="554"/>
      <c r="DK6" s="554"/>
      <c r="DL6" s="554"/>
      <c r="DM6" s="554"/>
      <c r="DN6" s="554"/>
      <c r="DO6" s="554"/>
      <c r="DP6" s="554"/>
      <c r="DQ6" s="554"/>
      <c r="DR6" s="554"/>
      <c r="DS6" s="554"/>
      <c r="DT6" s="554"/>
      <c r="DU6" s="554"/>
      <c r="DV6" s="554"/>
      <c r="DW6" s="554"/>
      <c r="DX6" s="554"/>
      <c r="DY6" s="554"/>
      <c r="DZ6" s="554"/>
      <c r="EA6" s="554"/>
      <c r="EB6" s="554"/>
      <c r="EC6" s="554"/>
      <c r="ED6" s="554"/>
      <c r="EE6" s="554"/>
      <c r="EF6" s="554"/>
      <c r="EG6" s="554"/>
      <c r="EH6" s="554"/>
    </row>
    <row r="7" spans="1:138" ht="18.600000000000001" thickBot="1">
      <c r="H7" s="49">
        <v>5</v>
      </c>
      <c r="I7" s="303" t="s">
        <v>53</v>
      </c>
      <c r="J7" s="304"/>
      <c r="K7" s="304"/>
      <c r="L7" s="304"/>
      <c r="M7" s="304"/>
      <c r="N7" s="304"/>
      <c r="O7" s="306" t="s">
        <v>57</v>
      </c>
      <c r="P7" s="121" t="s">
        <v>85</v>
      </c>
      <c r="Q7" s="25"/>
      <c r="R7" s="25"/>
      <c r="S7" s="315"/>
      <c r="T7" s="121" t="s">
        <v>88</v>
      </c>
      <c r="U7" s="25"/>
      <c r="V7" s="25"/>
      <c r="W7" s="315"/>
      <c r="AD7" s="524">
        <v>1997</v>
      </c>
      <c r="AE7" s="525">
        <f t="shared" ref="AE7:AE19" si="2">Y18</f>
        <v>0.2748882770104617</v>
      </c>
      <c r="AF7" s="355"/>
      <c r="AG7" s="525">
        <f t="shared" ref="AG7:AG19" si="3">Z18</f>
        <v>0.29201572364502681</v>
      </c>
      <c r="AH7" s="355"/>
      <c r="AU7" s="329">
        <f t="shared" ref="AU7:AU19" si="4">AE7</f>
        <v>0.2748882770104617</v>
      </c>
      <c r="AV7" s="65">
        <f t="shared" ref="AV7:AV19" si="5">AG7</f>
        <v>0.29201572364502681</v>
      </c>
      <c r="AX7" s="330">
        <v>1997</v>
      </c>
      <c r="AY7" s="329">
        <f t="shared" ref="AY7:AY19" si="6">X18</f>
        <v>9.0000000000000011E-3</v>
      </c>
      <c r="AZ7" s="65"/>
      <c r="BA7" s="329">
        <f t="shared" ref="BA7:BA19" si="7">AA18</f>
        <v>7.1061920153373355E-3</v>
      </c>
      <c r="BB7" s="65"/>
      <c r="BO7" s="338">
        <f t="shared" si="0"/>
        <v>7.1061920153373355E-3</v>
      </c>
      <c r="BP7" s="339"/>
      <c r="BR7" s="330">
        <v>1997</v>
      </c>
      <c r="BS7" s="534">
        <f t="shared" ref="BS7:BS21" si="8">K18</f>
        <v>1656.4</v>
      </c>
      <c r="BT7" s="535">
        <f t="shared" ref="BT7:BT21" si="9">M18</f>
        <v>1202.9000000000001</v>
      </c>
      <c r="BU7" s="474">
        <f t="shared" ref="BU7:BU21" si="10">BS7/BT7</f>
        <v>1.3770055698728074</v>
      </c>
      <c r="BV7" s="485"/>
      <c r="CL7" s="338">
        <f t="shared" si="1"/>
        <v>1.3770055698728074</v>
      </c>
      <c r="CY7" s="554" t="s">
        <v>1090</v>
      </c>
      <c r="CZ7" s="554"/>
      <c r="DA7" s="554"/>
      <c r="DB7" s="554"/>
      <c r="DC7" s="554"/>
      <c r="DD7" s="554"/>
      <c r="DE7" s="554"/>
      <c r="DF7" s="554"/>
      <c r="DG7" s="554"/>
      <c r="DH7" s="554"/>
      <c r="DI7" s="554"/>
      <c r="DJ7" s="554"/>
      <c r="DK7" s="554"/>
      <c r="DL7" s="554"/>
      <c r="DM7" s="554"/>
      <c r="DN7" s="554"/>
      <c r="DO7" s="554"/>
      <c r="DP7" s="554"/>
      <c r="DQ7" s="554"/>
      <c r="DR7" s="554"/>
      <c r="DS7" s="554"/>
      <c r="DT7" s="554"/>
      <c r="DU7" s="554"/>
      <c r="DV7" s="554"/>
      <c r="DW7" s="554"/>
      <c r="DX7" s="554"/>
      <c r="DY7" s="554"/>
      <c r="DZ7" s="554"/>
      <c r="EA7" s="554"/>
      <c r="EB7" s="554"/>
      <c r="EC7" s="554"/>
      <c r="ED7" s="554"/>
      <c r="EE7" s="554"/>
      <c r="EF7" s="554"/>
      <c r="EG7" s="554"/>
      <c r="EH7" s="554"/>
    </row>
    <row r="8" spans="1:138" ht="18">
      <c r="A8" s="39"/>
      <c r="B8" s="161" t="s">
        <v>58</v>
      </c>
      <c r="C8" s="161"/>
      <c r="D8" s="39"/>
      <c r="E8" s="39"/>
      <c r="F8" s="39"/>
      <c r="G8" s="39"/>
      <c r="P8" s="69" t="s">
        <v>92</v>
      </c>
      <c r="Q8" s="26"/>
      <c r="R8" s="26"/>
      <c r="S8" s="26"/>
      <c r="T8" s="26"/>
      <c r="U8" s="26"/>
      <c r="V8" s="26"/>
      <c r="W8" s="16"/>
      <c r="AD8" s="524">
        <v>1998</v>
      </c>
      <c r="AE8" s="525">
        <f t="shared" si="2"/>
        <v>0.27014591073472544</v>
      </c>
      <c r="AF8" s="355"/>
      <c r="AG8" s="525">
        <f t="shared" si="3"/>
        <v>0.28260776629853934</v>
      </c>
      <c r="AH8" s="355"/>
      <c r="AU8" s="329">
        <f t="shared" si="4"/>
        <v>0.27014591073472544</v>
      </c>
      <c r="AV8" s="65">
        <f t="shared" si="5"/>
        <v>0.28260776629853934</v>
      </c>
      <c r="AX8" s="330">
        <v>1998</v>
      </c>
      <c r="AY8" s="329">
        <f t="shared" si="6"/>
        <v>9.0000000000000011E-3</v>
      </c>
      <c r="AZ8" s="65"/>
      <c r="BA8" s="329">
        <f t="shared" si="7"/>
        <v>6.9150702232177313E-3</v>
      </c>
      <c r="BB8" s="65"/>
      <c r="BO8" s="338">
        <f t="shared" si="0"/>
        <v>6.9150702232177313E-3</v>
      </c>
      <c r="BP8" s="339"/>
      <c r="BR8" s="330">
        <v>1998</v>
      </c>
      <c r="BS8" s="534">
        <f t="shared" si="8"/>
        <v>1776</v>
      </c>
      <c r="BT8" s="535">
        <f t="shared" si="9"/>
        <v>1263.047</v>
      </c>
      <c r="BU8" s="474">
        <f t="shared" si="10"/>
        <v>1.4061234459208565</v>
      </c>
      <c r="BV8" s="485"/>
      <c r="CL8" s="338">
        <f t="shared" si="1"/>
        <v>1.4061234459208565</v>
      </c>
      <c r="CY8" s="554"/>
      <c r="CZ8" s="554"/>
      <c r="DA8" s="554"/>
      <c r="DB8" s="554"/>
      <c r="DC8" s="554"/>
      <c r="DD8" s="554"/>
      <c r="DE8" s="554"/>
      <c r="DF8" s="554"/>
      <c r="DG8" s="554"/>
      <c r="DH8" s="554"/>
      <c r="DI8" s="554"/>
      <c r="DJ8" s="554"/>
      <c r="DK8" s="554"/>
      <c r="DL8" s="554"/>
      <c r="DM8" s="554"/>
      <c r="DN8" s="554"/>
      <c r="DO8" s="554"/>
      <c r="DP8" s="554"/>
      <c r="DQ8" s="554"/>
      <c r="DR8" s="554"/>
      <c r="DS8" s="554"/>
      <c r="DT8" s="554"/>
      <c r="DU8" s="554"/>
      <c r="DV8" s="554"/>
      <c r="DW8" s="554"/>
      <c r="DX8" s="554"/>
      <c r="DY8" s="554"/>
      <c r="DZ8" s="554"/>
      <c r="EA8" s="554"/>
      <c r="EB8" s="554"/>
      <c r="EC8" s="554"/>
      <c r="ED8" s="554"/>
      <c r="EE8" s="554"/>
      <c r="EF8" s="554"/>
      <c r="EG8" s="554"/>
      <c r="EH8" s="554"/>
    </row>
    <row r="9" spans="1:138" ht="18">
      <c r="A9">
        <v>1</v>
      </c>
      <c r="B9" t="s">
        <v>59</v>
      </c>
      <c r="AD9" s="524">
        <v>1999</v>
      </c>
      <c r="AE9" s="525">
        <f t="shared" si="2"/>
        <v>0.16917775593934054</v>
      </c>
      <c r="AF9" s="355"/>
      <c r="AG9" s="525">
        <f t="shared" si="3"/>
        <v>0.30283076311605722</v>
      </c>
      <c r="AH9" s="355"/>
      <c r="AU9" s="329">
        <f t="shared" si="4"/>
        <v>0.16917775593934054</v>
      </c>
      <c r="AV9" s="65">
        <f t="shared" si="5"/>
        <v>0.30283076311605722</v>
      </c>
      <c r="AX9" s="330">
        <v>1999</v>
      </c>
      <c r="AY9" s="329">
        <f t="shared" si="6"/>
        <v>9.0000000000000011E-3</v>
      </c>
      <c r="AZ9" s="65"/>
      <c r="BA9" s="329">
        <f t="shared" si="7"/>
        <v>1.4493114659556394E-2</v>
      </c>
      <c r="BB9" s="65"/>
      <c r="BO9" s="338">
        <f t="shared" si="0"/>
        <v>1.4493114659556394E-2</v>
      </c>
      <c r="BP9" s="339"/>
      <c r="BR9" s="330">
        <v>1999</v>
      </c>
      <c r="BS9" s="534">
        <f t="shared" si="8"/>
        <v>2908.1</v>
      </c>
      <c r="BT9" s="535">
        <f t="shared" si="9"/>
        <v>1933.606</v>
      </c>
      <c r="BU9" s="474">
        <f t="shared" si="10"/>
        <v>1.5039775424776298</v>
      </c>
      <c r="BV9" s="485"/>
      <c r="CL9" s="338">
        <f t="shared" si="1"/>
        <v>1.5039775424776298</v>
      </c>
      <c r="CY9" s="573" t="s">
        <v>1096</v>
      </c>
      <c r="CZ9" s="573"/>
      <c r="DA9" s="573"/>
      <c r="DB9" s="554"/>
      <c r="DC9" s="554"/>
      <c r="DD9" s="554"/>
      <c r="DE9" s="554"/>
      <c r="DF9" s="554"/>
      <c r="DG9" s="554"/>
      <c r="DH9" s="554"/>
      <c r="DI9" s="554"/>
      <c r="DJ9" s="554"/>
      <c r="DK9" s="554"/>
      <c r="DL9" s="554"/>
      <c r="DM9" s="554"/>
      <c r="DN9" s="554"/>
      <c r="DO9" s="554"/>
      <c r="DP9" s="554"/>
      <c r="DQ9" s="554"/>
      <c r="DR9" s="554"/>
      <c r="DS9" s="554"/>
      <c r="DT9" s="554"/>
      <c r="DU9" s="554"/>
      <c r="DV9" s="554"/>
      <c r="DW9" s="554"/>
      <c r="DX9" s="554"/>
      <c r="DY9" s="554"/>
      <c r="DZ9" s="554"/>
      <c r="EA9" s="554"/>
      <c r="EB9" s="554"/>
      <c r="EC9" s="554"/>
      <c r="ED9" s="554"/>
      <c r="EE9" s="554"/>
      <c r="EF9" s="554"/>
      <c r="EG9" s="554"/>
      <c r="EH9" s="554"/>
    </row>
    <row r="10" spans="1:138" ht="18">
      <c r="A10">
        <v>2</v>
      </c>
      <c r="B10" t="s">
        <v>60</v>
      </c>
      <c r="AD10" s="524">
        <v>2000</v>
      </c>
      <c r="AE10" s="525">
        <f t="shared" si="2"/>
        <v>0.19664547860075432</v>
      </c>
      <c r="AF10" s="355"/>
      <c r="AG10" s="525">
        <f t="shared" si="3"/>
        <v>0.28048477118514364</v>
      </c>
      <c r="AH10" s="355"/>
      <c r="AU10" s="329">
        <f t="shared" si="4"/>
        <v>0.19664547860075432</v>
      </c>
      <c r="AV10" s="65">
        <f t="shared" si="5"/>
        <v>0.28048477118514364</v>
      </c>
      <c r="AX10" s="330">
        <v>2000</v>
      </c>
      <c r="AY10" s="329">
        <f t="shared" si="6"/>
        <v>1.2E-2</v>
      </c>
      <c r="AZ10" s="65"/>
      <c r="BA10" s="329">
        <f t="shared" si="7"/>
        <v>1.5512207970682547E-2</v>
      </c>
      <c r="BB10" s="65"/>
      <c r="BO10" s="338">
        <f t="shared" si="0"/>
        <v>1.5512207970682547E-2</v>
      </c>
      <c r="BP10" s="339"/>
      <c r="BR10" s="330">
        <v>2000</v>
      </c>
      <c r="BS10" s="534">
        <f t="shared" si="8"/>
        <v>3983.9</v>
      </c>
      <c r="BT10" s="535">
        <f t="shared" si="9"/>
        <v>2937.23</v>
      </c>
      <c r="BU10" s="474">
        <f t="shared" si="10"/>
        <v>1.3563459449889863</v>
      </c>
      <c r="BV10" s="485"/>
      <c r="CL10" s="338">
        <f t="shared" si="1"/>
        <v>1.3563459449889863</v>
      </c>
      <c r="CY10" s="554"/>
      <c r="CZ10" s="554"/>
      <c r="DA10" s="554"/>
      <c r="DB10" s="554"/>
      <c r="DC10" s="554"/>
      <c r="DD10" s="554"/>
      <c r="DE10" s="554"/>
      <c r="DF10" s="554"/>
      <c r="DG10" s="554"/>
      <c r="DH10" s="554"/>
      <c r="DI10" s="554"/>
      <c r="DJ10" s="554"/>
      <c r="DK10" s="554"/>
      <c r="DL10" s="554"/>
      <c r="DM10" s="554"/>
      <c r="DN10" s="554"/>
      <c r="DO10" s="554"/>
      <c r="DP10" s="554"/>
      <c r="DQ10" s="554"/>
      <c r="DR10" s="554"/>
      <c r="DS10" s="554"/>
      <c r="DT10" s="554"/>
      <c r="DU10" s="554"/>
      <c r="DV10" s="554"/>
      <c r="DW10" s="554"/>
      <c r="DX10" s="554"/>
      <c r="DY10" s="554"/>
      <c r="DZ10" s="554"/>
      <c r="EA10" s="554"/>
      <c r="EB10" s="554"/>
      <c r="EC10" s="554"/>
      <c r="ED10" s="554"/>
      <c r="EE10" s="554"/>
      <c r="EF10" s="554"/>
      <c r="EG10" s="554"/>
      <c r="EH10" s="554"/>
    </row>
    <row r="11" spans="1:138" ht="18">
      <c r="A11">
        <v>3</v>
      </c>
      <c r="B11" t="s">
        <v>70</v>
      </c>
      <c r="AD11" s="524">
        <v>2001</v>
      </c>
      <c r="AE11" s="525">
        <f t="shared" si="2"/>
        <v>0.18172846925747252</v>
      </c>
      <c r="AF11" s="355"/>
      <c r="AG11" s="525">
        <f t="shared" si="3"/>
        <v>0.33459601554104323</v>
      </c>
      <c r="AH11" s="355"/>
      <c r="AU11" s="329">
        <f t="shared" si="4"/>
        <v>0.18172846925747252</v>
      </c>
      <c r="AV11" s="65">
        <f t="shared" si="5"/>
        <v>0.33459601554104323</v>
      </c>
      <c r="AX11" s="330">
        <v>2001</v>
      </c>
      <c r="AY11" s="329">
        <f t="shared" si="6"/>
        <v>1.9E-2</v>
      </c>
      <c r="AZ11" s="65"/>
      <c r="BA11" s="329">
        <f t="shared" si="7"/>
        <v>1.4997489307572569E-2</v>
      </c>
      <c r="BB11" s="65"/>
      <c r="BO11" s="338">
        <f t="shared" si="0"/>
        <v>1.4997489307572569E-2</v>
      </c>
      <c r="BP11" s="339"/>
      <c r="BR11" s="330">
        <v>2001</v>
      </c>
      <c r="BS11" s="534">
        <f t="shared" si="8"/>
        <v>5325.8</v>
      </c>
      <c r="BT11" s="535">
        <f t="shared" si="9"/>
        <v>3848.4</v>
      </c>
      <c r="BU11" s="474">
        <f t="shared" si="10"/>
        <v>1.3838998025153311</v>
      </c>
      <c r="BV11" s="485"/>
      <c r="CL11" s="338">
        <f t="shared" si="1"/>
        <v>1.3838998025153311</v>
      </c>
      <c r="CY11" s="574" t="s">
        <v>1097</v>
      </c>
      <c r="CZ11" s="573"/>
      <c r="DA11" s="573"/>
      <c r="DB11" s="573"/>
      <c r="DC11" s="554"/>
      <c r="DD11" s="554"/>
      <c r="DE11" s="554"/>
      <c r="DF11" s="554"/>
      <c r="DG11" s="554"/>
      <c r="DH11" s="554"/>
      <c r="DI11" s="554"/>
      <c r="DJ11" s="554"/>
      <c r="DK11" s="554"/>
      <c r="DL11" s="554"/>
      <c r="DM11" s="554"/>
      <c r="DN11" s="554"/>
      <c r="DO11" s="554"/>
      <c r="DP11" s="554"/>
      <c r="DQ11" s="554"/>
      <c r="DR11" s="554"/>
      <c r="DS11" s="554"/>
      <c r="DT11" s="554"/>
      <c r="DU11" s="554"/>
      <c r="DV11" s="554"/>
      <c r="DW11" s="554"/>
      <c r="DX11" s="554"/>
      <c r="DY11" s="554"/>
      <c r="DZ11" s="554"/>
      <c r="EA11" s="554"/>
      <c r="EB11" s="554"/>
      <c r="EC11" s="554"/>
      <c r="ED11" s="554"/>
      <c r="EE11" s="554"/>
      <c r="EF11" s="554"/>
      <c r="EG11" s="554"/>
      <c r="EH11" s="554"/>
    </row>
    <row r="12" spans="1:138" ht="18">
      <c r="A12">
        <v>4</v>
      </c>
      <c r="AD12" s="524">
        <v>2002</v>
      </c>
      <c r="AE12" s="525">
        <f t="shared" si="2"/>
        <v>0.20806667151453984</v>
      </c>
      <c r="AF12" s="355"/>
      <c r="AG12" s="525">
        <f t="shared" si="3"/>
        <v>0.30339596178008937</v>
      </c>
      <c r="AH12" s="355"/>
      <c r="AU12" s="329">
        <f t="shared" si="4"/>
        <v>0.20806667151453984</v>
      </c>
      <c r="AV12" s="65">
        <f t="shared" si="5"/>
        <v>0.30339596178008937</v>
      </c>
      <c r="AX12" s="330">
        <v>2002</v>
      </c>
      <c r="AY12" s="329">
        <f t="shared" si="6"/>
        <v>1.9E-2</v>
      </c>
      <c r="AZ12" s="65"/>
      <c r="BA12" s="329">
        <f t="shared" si="7"/>
        <v>1.4539396668167495E-2</v>
      </c>
      <c r="BB12" s="65"/>
      <c r="BO12" s="338">
        <f t="shared" si="0"/>
        <v>1.4539396668167495E-2</v>
      </c>
      <c r="BP12" s="339"/>
      <c r="BR12" s="330">
        <v>2002</v>
      </c>
      <c r="BS12" s="534">
        <f t="shared" si="8"/>
        <v>6831</v>
      </c>
      <c r="BT12" s="535">
        <f t="shared" si="9"/>
        <v>5065.1000000000004</v>
      </c>
      <c r="BU12" s="474">
        <f t="shared" si="10"/>
        <v>1.3486406981105998</v>
      </c>
      <c r="BV12" s="485"/>
      <c r="CL12" s="338">
        <f t="shared" si="1"/>
        <v>1.3486406981105998</v>
      </c>
      <c r="CY12" s="554"/>
      <c r="CZ12" s="554"/>
      <c r="DA12" s="554"/>
      <c r="DB12" s="554"/>
      <c r="DC12" s="554"/>
      <c r="DD12" s="554"/>
      <c r="DE12" s="554"/>
      <c r="DF12" s="554"/>
      <c r="DG12" s="554"/>
      <c r="DH12" s="554"/>
      <c r="DI12" s="554"/>
      <c r="DJ12" s="554"/>
      <c r="DK12" s="554"/>
      <c r="DL12" s="554"/>
      <c r="DM12" s="554"/>
      <c r="DN12" s="554"/>
      <c r="DO12" s="554"/>
      <c r="DP12" s="554"/>
      <c r="DQ12" s="554"/>
      <c r="DR12" s="554"/>
      <c r="DS12" s="554"/>
      <c r="DT12" s="554"/>
      <c r="DU12" s="554"/>
      <c r="DV12" s="554"/>
      <c r="DW12" s="554"/>
      <c r="DX12" s="554"/>
      <c r="DY12" s="554"/>
      <c r="DZ12" s="554"/>
      <c r="EA12" s="554"/>
      <c r="EB12" s="554"/>
      <c r="EC12" s="554"/>
      <c r="ED12" s="554"/>
      <c r="EE12" s="554"/>
      <c r="EF12" s="554"/>
      <c r="EG12" s="554"/>
      <c r="EH12" s="554"/>
    </row>
    <row r="13" spans="1:138" ht="18">
      <c r="L13" t="s">
        <v>61</v>
      </c>
      <c r="M13" t="s">
        <v>374</v>
      </c>
      <c r="N13" t="s">
        <v>374</v>
      </c>
      <c r="O13" t="s">
        <v>374</v>
      </c>
      <c r="P13" t="s">
        <v>374</v>
      </c>
      <c r="Q13" t="s">
        <v>374</v>
      </c>
      <c r="AD13" s="524">
        <v>2003</v>
      </c>
      <c r="AE13" s="525">
        <f t="shared" si="2"/>
        <v>0.21956988388304299</v>
      </c>
      <c r="AF13" s="355"/>
      <c r="AG13" s="525">
        <f t="shared" si="3"/>
        <v>0.31652008877903609</v>
      </c>
      <c r="AH13" s="355"/>
      <c r="AU13" s="329">
        <f t="shared" si="4"/>
        <v>0.21956988388304299</v>
      </c>
      <c r="AV13" s="65">
        <f t="shared" si="5"/>
        <v>0.31652008877903609</v>
      </c>
      <c r="AX13" s="330">
        <v>2003</v>
      </c>
      <c r="AY13" s="329">
        <f t="shared" si="6"/>
        <v>2.2000000000000002E-2</v>
      </c>
      <c r="AZ13" s="65"/>
      <c r="BA13" s="329">
        <f t="shared" si="7"/>
        <v>2.28901945656152E-2</v>
      </c>
      <c r="BB13" s="65"/>
      <c r="BO13" s="338">
        <f t="shared" si="0"/>
        <v>2.28901945656152E-2</v>
      </c>
      <c r="BP13" s="339"/>
      <c r="BR13" s="330">
        <v>2003</v>
      </c>
      <c r="BS13" s="534">
        <f t="shared" si="8"/>
        <v>8900.5</v>
      </c>
      <c r="BT13" s="535">
        <f t="shared" si="9"/>
        <v>6231.3869999999997</v>
      </c>
      <c r="BU13" s="474">
        <f t="shared" si="10"/>
        <v>1.4283336920014758</v>
      </c>
      <c r="BV13" s="485"/>
      <c r="CL13" s="338">
        <f t="shared" si="1"/>
        <v>1.4283336920014758</v>
      </c>
      <c r="CY13" s="573" t="s">
        <v>1098</v>
      </c>
      <c r="CZ13" s="573"/>
      <c r="DA13" s="573"/>
      <c r="DB13" s="573"/>
      <c r="DC13" s="573"/>
      <c r="DD13" s="554"/>
      <c r="DE13" s="554"/>
      <c r="DF13" s="554"/>
      <c r="DG13" s="554"/>
      <c r="DH13" s="554"/>
      <c r="DI13" s="554"/>
      <c r="DJ13" s="554"/>
      <c r="DK13" s="554"/>
      <c r="DL13" s="554"/>
      <c r="DM13" s="554"/>
      <c r="DN13" s="554"/>
      <c r="DO13" s="554"/>
      <c r="DP13" s="554"/>
      <c r="DQ13" s="554"/>
      <c r="DR13" s="554"/>
      <c r="DS13" s="554"/>
      <c r="DT13" s="554"/>
      <c r="DU13" s="554"/>
      <c r="DV13" s="554"/>
      <c r="DW13" s="554"/>
      <c r="DX13" s="554"/>
      <c r="DY13" s="554"/>
      <c r="DZ13" s="554"/>
      <c r="EA13" s="554"/>
      <c r="EB13" s="554"/>
      <c r="EC13" s="554"/>
      <c r="ED13" s="554"/>
      <c r="EE13" s="554"/>
      <c r="EF13" s="554"/>
      <c r="EG13" s="554"/>
      <c r="EH13" s="554"/>
    </row>
    <row r="14" spans="1:138" ht="18">
      <c r="I14" s="77" t="s">
        <v>430</v>
      </c>
      <c r="J14" s="95">
        <v>40613</v>
      </c>
      <c r="K14" s="77" t="s">
        <v>45</v>
      </c>
      <c r="L14" s="118" t="s">
        <v>45</v>
      </c>
      <c r="M14" s="57" t="s">
        <v>47</v>
      </c>
      <c r="N14" s="57" t="s">
        <v>62</v>
      </c>
      <c r="O14" s="57" t="s">
        <v>71</v>
      </c>
      <c r="P14" s="57" t="s">
        <v>72</v>
      </c>
      <c r="Q14" s="57" t="s">
        <v>73</v>
      </c>
      <c r="R14" s="73" t="s">
        <v>80</v>
      </c>
      <c r="S14" s="73" t="s">
        <v>79</v>
      </c>
      <c r="T14" s="73" t="s">
        <v>81</v>
      </c>
      <c r="U14" s="73" t="s">
        <v>43</v>
      </c>
      <c r="V14" s="73" t="s">
        <v>42</v>
      </c>
      <c r="W14" s="73" t="s">
        <v>78</v>
      </c>
      <c r="X14" s="318" t="s">
        <v>87</v>
      </c>
      <c r="Y14" s="318" t="s">
        <v>93</v>
      </c>
      <c r="Z14" s="318" t="s">
        <v>94</v>
      </c>
      <c r="AA14" s="318" t="s">
        <v>95</v>
      </c>
      <c r="AD14" s="524">
        <v>2004</v>
      </c>
      <c r="AE14" s="525">
        <f t="shared" si="2"/>
        <v>0.20362889412419991</v>
      </c>
      <c r="AF14" s="355"/>
      <c r="AG14" s="525">
        <f t="shared" si="3"/>
        <v>0.30086866393986761</v>
      </c>
      <c r="AH14" s="355"/>
      <c r="AU14" s="329">
        <f t="shared" si="4"/>
        <v>0.20362889412419991</v>
      </c>
      <c r="AV14" s="65">
        <f t="shared" si="5"/>
        <v>0.30086866393986761</v>
      </c>
      <c r="AX14" s="330">
        <v>2004</v>
      </c>
      <c r="AY14" s="329">
        <f t="shared" si="6"/>
        <v>2.2000000000000002E-2</v>
      </c>
      <c r="AZ14" s="65"/>
      <c r="BA14" s="329">
        <f t="shared" si="7"/>
        <v>2.6123556231003042E-2</v>
      </c>
      <c r="BB14" s="65"/>
      <c r="BO14" s="338">
        <f t="shared" si="0"/>
        <v>2.6123556231003042E-2</v>
      </c>
      <c r="BP14" s="339"/>
      <c r="BR14" s="330">
        <v>2004</v>
      </c>
      <c r="BS14" s="534">
        <f t="shared" si="8"/>
        <v>10976.3</v>
      </c>
      <c r="BT14" s="535">
        <f t="shared" si="9"/>
        <v>7845.0370000000003</v>
      </c>
      <c r="BU14" s="474">
        <f t="shared" si="10"/>
        <v>1.3991393539635313</v>
      </c>
      <c r="BV14" s="485"/>
      <c r="CL14" s="338">
        <f t="shared" si="1"/>
        <v>1.3991393539635313</v>
      </c>
      <c r="CY14" s="554"/>
      <c r="CZ14" s="554"/>
      <c r="DA14" s="554"/>
      <c r="DB14" s="554"/>
      <c r="DC14" s="554"/>
      <c r="DD14" s="554"/>
      <c r="DE14" s="554"/>
      <c r="DF14" s="554"/>
      <c r="DG14" s="554"/>
      <c r="DH14" s="554"/>
      <c r="DI14" s="554"/>
      <c r="DJ14" s="554"/>
      <c r="DK14" s="554"/>
      <c r="DL14" s="554"/>
      <c r="DM14" s="554"/>
      <c r="DN14" s="554"/>
      <c r="DO14" s="554"/>
      <c r="DP14" s="554"/>
      <c r="DQ14" s="554"/>
      <c r="DR14" s="554"/>
      <c r="DS14" s="554"/>
      <c r="DT14" s="554"/>
      <c r="DU14" s="554"/>
      <c r="DV14" s="554"/>
      <c r="DW14" s="554"/>
      <c r="DX14" s="554"/>
      <c r="DY14" s="554"/>
      <c r="DZ14" s="554"/>
      <c r="EA14" s="554"/>
      <c r="EB14" s="554"/>
      <c r="EC14" s="554"/>
      <c r="ED14" s="554"/>
      <c r="EE14" s="554"/>
      <c r="EF14" s="554"/>
      <c r="EG14" s="554"/>
      <c r="EH14" s="554"/>
    </row>
    <row r="15" spans="1:138" ht="18">
      <c r="I15" s="317" t="s">
        <v>46</v>
      </c>
      <c r="J15" s="59">
        <v>40581</v>
      </c>
      <c r="K15" s="317" t="s">
        <v>46</v>
      </c>
      <c r="L15" s="77" t="s">
        <v>430</v>
      </c>
      <c r="M15" s="317" t="s">
        <v>46</v>
      </c>
      <c r="N15" s="317" t="s">
        <v>46</v>
      </c>
      <c r="O15" s="317" t="s">
        <v>46</v>
      </c>
      <c r="P15" s="317" t="s">
        <v>46</v>
      </c>
      <c r="Q15" s="317" t="s">
        <v>46</v>
      </c>
      <c r="R15" s="317" t="s">
        <v>790</v>
      </c>
      <c r="S15" s="317" t="s">
        <v>46</v>
      </c>
      <c r="T15" s="317" t="s">
        <v>82</v>
      </c>
      <c r="U15" s="317" t="s">
        <v>46</v>
      </c>
      <c r="V15" s="317" t="s">
        <v>46</v>
      </c>
      <c r="W15" s="317" t="s">
        <v>46</v>
      </c>
      <c r="X15" s="317" t="s">
        <v>790</v>
      </c>
      <c r="Y15" s="317" t="s">
        <v>790</v>
      </c>
      <c r="Z15" s="317" t="s">
        <v>790</v>
      </c>
      <c r="AA15" s="317" t="s">
        <v>790</v>
      </c>
      <c r="AD15" s="524">
        <v>2005</v>
      </c>
      <c r="AE15" s="525">
        <f t="shared" si="2"/>
        <v>0.19973857695478286</v>
      </c>
      <c r="AF15" s="355"/>
      <c r="AG15" s="525">
        <f t="shared" si="3"/>
        <v>0.25731064715714158</v>
      </c>
      <c r="AH15" s="355"/>
      <c r="AU15" s="329">
        <f t="shared" si="4"/>
        <v>0.19973857695478286</v>
      </c>
      <c r="AV15" s="65">
        <f t="shared" si="5"/>
        <v>0.25731064715714158</v>
      </c>
      <c r="AX15" s="330">
        <v>2005</v>
      </c>
      <c r="AY15" s="329">
        <f t="shared" si="6"/>
        <v>0.02</v>
      </c>
      <c r="AZ15" s="65"/>
      <c r="BA15" s="329">
        <f t="shared" si="7"/>
        <v>3.4302718465320292E-2</v>
      </c>
      <c r="BB15" s="65"/>
      <c r="BO15" s="338">
        <f t="shared" si="0"/>
        <v>3.4302718465320292E-2</v>
      </c>
      <c r="BP15" s="339"/>
      <c r="BR15" s="330">
        <v>2005</v>
      </c>
      <c r="BS15" s="534">
        <f t="shared" si="8"/>
        <v>13819</v>
      </c>
      <c r="BT15" s="535">
        <f t="shared" si="9"/>
        <v>9439.8269999999993</v>
      </c>
      <c r="BU15" s="474">
        <f t="shared" si="10"/>
        <v>1.4639039465447832</v>
      </c>
      <c r="BV15" s="485"/>
      <c r="CL15" s="338">
        <f t="shared" si="1"/>
        <v>1.4639039465447832</v>
      </c>
      <c r="CY15" s="554" t="s">
        <v>1091</v>
      </c>
      <c r="CZ15" s="554"/>
      <c r="DA15" s="554"/>
      <c r="DB15" s="554"/>
      <c r="DC15" s="554"/>
      <c r="DD15" s="554"/>
      <c r="DE15" s="554"/>
      <c r="DF15" s="554"/>
      <c r="DG15" s="554"/>
      <c r="DH15" s="554"/>
      <c r="DI15" s="554"/>
      <c r="DJ15" s="554"/>
      <c r="DK15" s="554"/>
      <c r="DL15" s="554"/>
      <c r="DM15" s="554"/>
      <c r="DN15" s="554"/>
      <c r="DO15" s="554"/>
      <c r="DP15" s="554"/>
      <c r="DQ15" s="554"/>
      <c r="DR15" s="554"/>
      <c r="DS15" s="554"/>
      <c r="DT15" s="554"/>
      <c r="DU15" s="554"/>
      <c r="DV15" s="554"/>
      <c r="DW15" s="554"/>
      <c r="DX15" s="554"/>
      <c r="DY15" s="554"/>
      <c r="DZ15" s="554"/>
      <c r="EA15" s="554"/>
      <c r="EB15" s="554"/>
      <c r="EC15" s="554"/>
      <c r="ED15" s="554"/>
      <c r="EE15" s="554"/>
      <c r="EF15" s="554"/>
      <c r="EG15" s="554"/>
      <c r="EH15" s="554"/>
    </row>
    <row r="16" spans="1:138" ht="18">
      <c r="I16" s="310">
        <f t="shared" ref="I16:I36" si="11">(M16+Y16*U16+Z16*V16+AA16*W16)/(1-X16)</f>
        <v>987.64574898785429</v>
      </c>
      <c r="J16" s="108">
        <v>1995</v>
      </c>
      <c r="K16" s="299">
        <f t="array" ref="K16:K32">TRANSPOSE(ОТЧЁТ!U89:AK89)</f>
        <v>910.9</v>
      </c>
      <c r="L16" s="310">
        <f t="shared" ref="L16:L30" si="12">M16+N16+O16+P16+Q16</f>
        <v>986.72479999999996</v>
      </c>
      <c r="M16" s="324">
        <f t="array" ref="M16:M32">TRANSPOSE(ОТЧЁТ!U88:AK88)</f>
        <v>647.87</v>
      </c>
      <c r="N16" s="325">
        <f t="shared" ref="N16:N30" si="13">$K16*C22/100</f>
        <v>149.38759999999999</v>
      </c>
      <c r="O16" s="325">
        <f t="shared" ref="O16:O30" si="14">$K16*D22/100</f>
        <v>119.32789999999999</v>
      </c>
      <c r="P16" s="325">
        <f t="shared" ref="P16:P30" si="15">$K16*E22/100</f>
        <v>59.208499999999994</v>
      </c>
      <c r="Q16" s="319">
        <f t="shared" ref="Q16:Q30" si="16">$K16*F22/100</f>
        <v>10.9308</v>
      </c>
      <c r="R16" s="131">
        <f t="array" ref="R16:R36">TRANSPOSE(ОТЧЁТ!U151:AO151)</f>
        <v>1</v>
      </c>
      <c r="S16" s="131">
        <f t="array" ref="S16:S30">TRANSPOSE(ОТЧЁТ!U109:AI109)</f>
        <v>1</v>
      </c>
      <c r="T16" s="319">
        <f t="array" ref="T16:T36">TRANSPOSE(ОТЧЁТ!U170:AO170)</f>
        <v>43.206939348996954</v>
      </c>
      <c r="U16" s="319">
        <f t="array" ref="U16:U36">TRANSPOSE(ОТЧЁТ!U101:AO101)</f>
        <v>610.79200000000003</v>
      </c>
      <c r="V16" s="131">
        <f t="array" ref="V16:V36">TRANSPOSE(ОТЧЁТ!U102:AO102)</f>
        <v>486.1</v>
      </c>
      <c r="W16" s="131">
        <f t="array" ref="W16:W30">TRANSPOSE(ОТЧЁТ!U82:AI82)</f>
        <v>5306</v>
      </c>
      <c r="X16" s="131">
        <f t="shared" ref="X16:X30" si="17">F22/100</f>
        <v>1.2E-2</v>
      </c>
      <c r="Y16" s="320">
        <f t="shared" ref="Y16:AA17" si="18">N16/U16</f>
        <v>0.24458015167192756</v>
      </c>
      <c r="Z16" s="320">
        <f t="shared" si="18"/>
        <v>0.24548014811767122</v>
      </c>
      <c r="AA16" s="321">
        <f t="shared" si="18"/>
        <v>1.1158782510365622E-2</v>
      </c>
      <c r="AD16" s="524">
        <v>2006</v>
      </c>
      <c r="AE16" s="525">
        <f t="shared" si="2"/>
        <v>0.20107749480509063</v>
      </c>
      <c r="AF16" s="355"/>
      <c r="AG16" s="525">
        <f t="shared" si="3"/>
        <v>0.24773283026076987</v>
      </c>
      <c r="AH16" s="355"/>
      <c r="AU16" s="329">
        <f t="shared" si="4"/>
        <v>0.20107749480509063</v>
      </c>
      <c r="AV16" s="65">
        <f t="shared" si="5"/>
        <v>0.24773283026076987</v>
      </c>
      <c r="AX16" s="330">
        <v>2006</v>
      </c>
      <c r="AY16" s="329">
        <f t="shared" si="6"/>
        <v>1.9E-2</v>
      </c>
      <c r="AZ16" s="65"/>
      <c r="BA16" s="329">
        <f t="shared" si="7"/>
        <v>3.6408642001305565E-2</v>
      </c>
      <c r="BB16" s="65"/>
      <c r="BO16" s="338">
        <f t="shared" si="0"/>
        <v>3.6408642001305565E-2</v>
      </c>
      <c r="BP16" s="339"/>
      <c r="BR16" s="330">
        <v>2006</v>
      </c>
      <c r="BS16" s="534">
        <f t="shared" si="8"/>
        <v>17290.099999999999</v>
      </c>
      <c r="BT16" s="535">
        <f t="shared" si="9"/>
        <v>11985.905000000001</v>
      </c>
      <c r="BU16" s="474">
        <f t="shared" si="10"/>
        <v>1.4425360454634004</v>
      </c>
      <c r="BV16" s="485"/>
      <c r="CL16" s="338">
        <f t="shared" si="1"/>
        <v>1.4425360454634004</v>
      </c>
      <c r="CY16" s="554"/>
      <c r="CZ16" s="554"/>
      <c r="DA16" s="554"/>
      <c r="DB16" s="554"/>
      <c r="DC16" s="554"/>
      <c r="DD16" s="554"/>
      <c r="DE16" s="554"/>
      <c r="DF16" s="554"/>
      <c r="DG16" s="554"/>
      <c r="DH16" s="554"/>
      <c r="DI16" s="554"/>
      <c r="DJ16" s="554"/>
      <c r="DK16" s="554"/>
      <c r="DL16" s="554"/>
      <c r="DM16" s="554"/>
      <c r="DN16" s="554"/>
      <c r="DO16" s="554"/>
      <c r="DP16" s="554"/>
      <c r="DQ16" s="554"/>
      <c r="DR16" s="554"/>
      <c r="DS16" s="554"/>
      <c r="DT16" s="554"/>
      <c r="DU16" s="554"/>
      <c r="DV16" s="554"/>
      <c r="DW16" s="554"/>
      <c r="DX16" s="554"/>
      <c r="DY16" s="554"/>
      <c r="DZ16" s="554"/>
      <c r="EA16" s="554"/>
      <c r="EB16" s="554"/>
      <c r="EC16" s="554"/>
      <c r="ED16" s="554"/>
      <c r="EE16" s="554"/>
      <c r="EF16" s="554"/>
      <c r="EG16" s="554"/>
      <c r="EH16" s="554"/>
    </row>
    <row r="17" spans="1:138" ht="18">
      <c r="I17" s="311">
        <f t="shared" si="11"/>
        <v>1486.8382204246714</v>
      </c>
      <c r="J17" s="109">
        <v>1996</v>
      </c>
      <c r="K17" s="300">
        <v>1357.1</v>
      </c>
      <c r="L17" s="311">
        <f t="shared" si="12"/>
        <v>1485.4111</v>
      </c>
      <c r="M17" s="326">
        <v>1022.64</v>
      </c>
      <c r="N17" s="327">
        <f t="shared" si="13"/>
        <v>184.56559999999999</v>
      </c>
      <c r="O17" s="327">
        <f t="shared" si="14"/>
        <v>189.99399999999997</v>
      </c>
      <c r="P17" s="327">
        <f t="shared" si="15"/>
        <v>73.2834</v>
      </c>
      <c r="Q17" s="322">
        <f t="shared" si="16"/>
        <v>14.928099999999999</v>
      </c>
      <c r="R17" s="137">
        <v>1.218</v>
      </c>
      <c r="S17" s="137">
        <v>1.3191577216179184</v>
      </c>
      <c r="T17" s="322">
        <v>42.749286899313503</v>
      </c>
      <c r="U17" s="322">
        <v>699.36699999999996</v>
      </c>
      <c r="V17" s="133">
        <v>652.70000000000005</v>
      </c>
      <c r="W17" s="323">
        <v>13072.378000000001</v>
      </c>
      <c r="X17" s="133">
        <f t="shared" si="17"/>
        <v>1.1000000000000001E-2</v>
      </c>
      <c r="Y17" s="137">
        <f t="shared" si="18"/>
        <v>0.26390378728192782</v>
      </c>
      <c r="Z17" s="137">
        <f t="shared" si="18"/>
        <v>0.29108932128083342</v>
      </c>
      <c r="AA17" s="116">
        <f t="shared" si="18"/>
        <v>5.6059731442894322E-3</v>
      </c>
      <c r="AD17" s="524">
        <v>2007</v>
      </c>
      <c r="AE17" s="525">
        <f t="shared" si="2"/>
        <v>0.18715506526272721</v>
      </c>
      <c r="AF17" s="355"/>
      <c r="AG17" s="525">
        <f t="shared" si="3"/>
        <v>0.21726212185740609</v>
      </c>
      <c r="AH17" s="355"/>
      <c r="AU17" s="329">
        <f t="shared" si="4"/>
        <v>0.18715506526272721</v>
      </c>
      <c r="AV17" s="65">
        <f t="shared" si="5"/>
        <v>0.21726212185740609</v>
      </c>
      <c r="AX17" s="330">
        <v>2007</v>
      </c>
      <c r="AY17" s="329">
        <f t="shared" si="6"/>
        <v>0.02</v>
      </c>
      <c r="AZ17" s="65"/>
      <c r="BA17" s="329">
        <f t="shared" si="7"/>
        <v>3.1407386862280805E-2</v>
      </c>
      <c r="BB17" s="65"/>
      <c r="BO17" s="338">
        <f t="shared" si="0"/>
        <v>3.1407386862280805E-2</v>
      </c>
      <c r="BP17" s="339"/>
      <c r="BR17" s="330">
        <v>2007</v>
      </c>
      <c r="BS17" s="534">
        <f t="shared" si="8"/>
        <v>21311.5</v>
      </c>
      <c r="BT17" s="535">
        <f t="shared" si="9"/>
        <v>15526.11</v>
      </c>
      <c r="BU17" s="474">
        <f t="shared" si="10"/>
        <v>1.3726232778203942</v>
      </c>
      <c r="BV17" s="485"/>
      <c r="CL17" s="338">
        <f t="shared" si="1"/>
        <v>1.3726232778203942</v>
      </c>
      <c r="CY17" s="572" t="s">
        <v>1099</v>
      </c>
      <c r="CZ17" s="554"/>
      <c r="DA17" s="554"/>
      <c r="DB17" s="554"/>
      <c r="DC17" s="554"/>
      <c r="DD17" s="554"/>
      <c r="DE17" s="554"/>
      <c r="DF17" s="554"/>
      <c r="DG17" s="554"/>
      <c r="DH17" s="554"/>
      <c r="DI17" s="554"/>
      <c r="DJ17" s="554"/>
      <c r="DK17" s="554"/>
      <c r="DL17" s="554"/>
      <c r="DM17" s="554"/>
      <c r="DN17" s="554"/>
      <c r="DO17" s="554"/>
      <c r="DP17" s="554"/>
      <c r="DQ17" s="554"/>
      <c r="DR17" s="554"/>
      <c r="DS17" s="554"/>
      <c r="DT17" s="554"/>
      <c r="DU17" s="554"/>
      <c r="DV17" s="554"/>
      <c r="DW17" s="554"/>
      <c r="DX17" s="554"/>
      <c r="DY17" s="554"/>
      <c r="DZ17" s="554"/>
      <c r="EA17" s="554"/>
      <c r="EB17" s="554"/>
      <c r="EC17" s="554"/>
      <c r="ED17" s="554"/>
      <c r="EE17" s="554"/>
      <c r="EF17" s="554"/>
      <c r="EG17" s="554"/>
      <c r="EH17" s="554"/>
    </row>
    <row r="18" spans="1:138" ht="18">
      <c r="I18" s="311">
        <f t="shared" si="11"/>
        <v>1773.7578203834514</v>
      </c>
      <c r="J18" s="109">
        <v>1997</v>
      </c>
      <c r="K18" s="300">
        <v>1656.4</v>
      </c>
      <c r="L18" s="311">
        <f t="shared" si="12"/>
        <v>1772.7015999999999</v>
      </c>
      <c r="M18" s="326">
        <v>1202.9000000000001</v>
      </c>
      <c r="N18" s="327">
        <f t="shared" si="13"/>
        <v>215.33199999999999</v>
      </c>
      <c r="O18" s="327">
        <f t="shared" si="14"/>
        <v>245.1472</v>
      </c>
      <c r="P18" s="327">
        <f t="shared" si="15"/>
        <v>94.414800000000014</v>
      </c>
      <c r="Q18" s="322">
        <f t="shared" si="16"/>
        <v>14.907600000000002</v>
      </c>
      <c r="R18" s="137">
        <v>1.3519800000000002</v>
      </c>
      <c r="S18" s="137">
        <v>1.465619370714605</v>
      </c>
      <c r="T18" s="322">
        <v>45.447241894736841</v>
      </c>
      <c r="U18" s="322">
        <v>783.34370000000001</v>
      </c>
      <c r="V18" s="133">
        <v>839.5</v>
      </c>
      <c r="W18" s="323">
        <v>13286.272000000001</v>
      </c>
      <c r="X18" s="133">
        <f t="shared" si="17"/>
        <v>9.0000000000000011E-3</v>
      </c>
      <c r="Y18" s="137">
        <f t="shared" ref="Y18:Y30" si="19">N18/U18</f>
        <v>0.2748882770104617</v>
      </c>
      <c r="Z18" s="137">
        <f t="shared" ref="Z18:Z30" si="20">O18/V18</f>
        <v>0.29201572364502681</v>
      </c>
      <c r="AA18" s="116">
        <f t="shared" ref="AA18:AA30" si="21">P18/W18</f>
        <v>7.1061920153373355E-3</v>
      </c>
      <c r="AD18" s="524">
        <v>2008</v>
      </c>
      <c r="AE18" s="525">
        <f t="shared" si="2"/>
        <v>0.1907508130412558</v>
      </c>
      <c r="AF18" s="355">
        <f>AE18</f>
        <v>0.1907508130412558</v>
      </c>
      <c r="AG18" s="525">
        <f t="shared" si="3"/>
        <v>0.2381545517985264</v>
      </c>
      <c r="AH18" s="355">
        <f>AG18</f>
        <v>0.2381545517985264</v>
      </c>
      <c r="AU18" s="329">
        <f t="shared" si="4"/>
        <v>0.1907508130412558</v>
      </c>
      <c r="AV18" s="65">
        <f t="shared" si="5"/>
        <v>0.2381545517985264</v>
      </c>
      <c r="AX18" s="330">
        <v>2008</v>
      </c>
      <c r="AY18" s="329">
        <f t="shared" si="6"/>
        <v>0.02</v>
      </c>
      <c r="AZ18" s="332"/>
      <c r="BA18" s="329">
        <f t="shared" si="7"/>
        <v>2.1023385764369285E-2</v>
      </c>
      <c r="BB18" s="332">
        <f>BA18</f>
        <v>2.1023385764369285E-2</v>
      </c>
      <c r="BO18" s="338">
        <f t="shared" si="0"/>
        <v>2.1023385764369285E-2</v>
      </c>
      <c r="BP18" s="339"/>
      <c r="BR18" s="330">
        <v>2008</v>
      </c>
      <c r="BS18" s="534">
        <f t="shared" si="8"/>
        <v>25244</v>
      </c>
      <c r="BT18" s="535">
        <f t="shared" si="9"/>
        <v>19559.759999999998</v>
      </c>
      <c r="BU18" s="474">
        <f t="shared" si="10"/>
        <v>1.2906088827265776</v>
      </c>
      <c r="BV18" s="485"/>
      <c r="CL18" s="338">
        <f t="shared" si="1"/>
        <v>1.2906088827265776</v>
      </c>
      <c r="CY18" s="554"/>
      <c r="CZ18" s="554"/>
      <c r="DA18" s="554"/>
      <c r="DB18" s="554"/>
      <c r="DC18" s="554"/>
      <c r="DD18" s="554"/>
      <c r="DE18" s="554"/>
      <c r="DF18" s="554"/>
      <c r="DG18" s="554"/>
      <c r="DH18" s="554"/>
      <c r="DI18" s="554"/>
      <c r="DJ18" s="554"/>
      <c r="DK18" s="554"/>
      <c r="DL18" s="554"/>
      <c r="DM18" s="554"/>
      <c r="DN18" s="554"/>
      <c r="DO18" s="554"/>
      <c r="DP18" s="554"/>
      <c r="DQ18" s="554"/>
      <c r="DR18" s="554"/>
      <c r="DS18" s="554"/>
      <c r="DT18" s="554"/>
      <c r="DU18" s="554"/>
      <c r="DV18" s="554"/>
      <c r="DW18" s="554"/>
      <c r="DX18" s="554"/>
      <c r="DY18" s="554"/>
      <c r="DZ18" s="554"/>
      <c r="EA18" s="554"/>
      <c r="EB18" s="554"/>
      <c r="EC18" s="554"/>
      <c r="ED18" s="554"/>
      <c r="EE18" s="554"/>
      <c r="EF18" s="554"/>
      <c r="EG18" s="554"/>
      <c r="EH18" s="554"/>
    </row>
    <row r="19" spans="1:138" ht="18">
      <c r="I19" s="311">
        <f t="shared" si="11"/>
        <v>1871.2966700302727</v>
      </c>
      <c r="J19" s="109">
        <v>1998</v>
      </c>
      <c r="K19" s="300">
        <v>1776</v>
      </c>
      <c r="L19" s="311">
        <f t="shared" si="12"/>
        <v>1870.4390000000001</v>
      </c>
      <c r="M19" s="326">
        <v>1263.047</v>
      </c>
      <c r="N19" s="327">
        <f t="shared" si="13"/>
        <v>255.74400000000003</v>
      </c>
      <c r="O19" s="327">
        <f t="shared" si="14"/>
        <v>237.98400000000001</v>
      </c>
      <c r="P19" s="327">
        <f t="shared" si="15"/>
        <v>97.68</v>
      </c>
      <c r="Q19" s="322">
        <f t="shared" si="16"/>
        <v>15.984000000000002</v>
      </c>
      <c r="R19" s="137">
        <v>2.4930511200000005</v>
      </c>
      <c r="S19" s="137">
        <v>0.85716727254299341</v>
      </c>
      <c r="T19" s="322">
        <v>44.298503885723704</v>
      </c>
      <c r="U19" s="322">
        <v>946.6884</v>
      </c>
      <c r="V19" s="133">
        <v>842.1</v>
      </c>
      <c r="W19" s="323">
        <v>14125.67</v>
      </c>
      <c r="X19" s="133">
        <f t="shared" si="17"/>
        <v>9.0000000000000011E-3</v>
      </c>
      <c r="Y19" s="137">
        <f t="shared" si="19"/>
        <v>0.27014591073472544</v>
      </c>
      <c r="Z19" s="137">
        <f t="shared" si="20"/>
        <v>0.28260776629853934</v>
      </c>
      <c r="AA19" s="116">
        <f t="shared" si="21"/>
        <v>6.9150702232177313E-3</v>
      </c>
      <c r="AD19" s="524">
        <v>2009</v>
      </c>
      <c r="AE19" s="525">
        <f t="shared" si="2"/>
        <v>0.23350703954320939</v>
      </c>
      <c r="AF19" s="355">
        <f>AE19</f>
        <v>0.23350703954320939</v>
      </c>
      <c r="AG19" s="525">
        <f t="shared" si="3"/>
        <v>0.26644114952985676</v>
      </c>
      <c r="AH19" s="355">
        <f>AG19</f>
        <v>0.26644114952985676</v>
      </c>
      <c r="AU19" s="329">
        <f t="shared" si="4"/>
        <v>0.23350703954320939</v>
      </c>
      <c r="AV19" s="65">
        <f t="shared" si="5"/>
        <v>0.26644114952985676</v>
      </c>
      <c r="AX19" s="330">
        <v>2009</v>
      </c>
      <c r="AY19" s="329">
        <f t="shared" si="6"/>
        <v>0.02</v>
      </c>
      <c r="AZ19" s="332">
        <f>AY19</f>
        <v>0.02</v>
      </c>
      <c r="BA19" s="329">
        <f t="shared" si="7"/>
        <v>2.2664279583887188E-2</v>
      </c>
      <c r="BB19" s="332">
        <f>BA19</f>
        <v>2.2664279583887188E-2</v>
      </c>
      <c r="BO19" s="338">
        <f t="shared" si="0"/>
        <v>2.2664279583887188E-2</v>
      </c>
      <c r="BP19" s="339"/>
      <c r="BR19" s="330">
        <v>2009</v>
      </c>
      <c r="BS19" s="534">
        <f t="shared" si="8"/>
        <v>28697.5</v>
      </c>
      <c r="BT19" s="535">
        <f t="shared" si="9"/>
        <v>20411.61</v>
      </c>
      <c r="BU19" s="474">
        <f t="shared" si="10"/>
        <v>1.405940050784823</v>
      </c>
      <c r="BV19" s="485"/>
      <c r="CL19" s="338">
        <f t="shared" si="1"/>
        <v>1.405940050784823</v>
      </c>
      <c r="CY19" s="574" t="s">
        <v>1100</v>
      </c>
      <c r="CZ19" s="573"/>
      <c r="DA19" s="573"/>
      <c r="DB19" s="573"/>
      <c r="DC19" s="573"/>
      <c r="DD19" s="573"/>
      <c r="DE19" s="554"/>
      <c r="DF19" s="554"/>
      <c r="DG19" s="554"/>
      <c r="DH19" s="554"/>
      <c r="DI19" s="554"/>
      <c r="DJ19" s="554"/>
      <c r="DK19" s="554"/>
      <c r="DL19" s="554"/>
      <c r="DM19" s="554"/>
      <c r="DN19" s="554"/>
      <c r="DO19" s="554"/>
      <c r="DP19" s="554"/>
      <c r="DQ19" s="554"/>
      <c r="DR19" s="554"/>
      <c r="DS19" s="554"/>
      <c r="DT19" s="554"/>
      <c r="DU19" s="554"/>
      <c r="DV19" s="554"/>
      <c r="DW19" s="554"/>
      <c r="DX19" s="554"/>
      <c r="DY19" s="554"/>
      <c r="DZ19" s="554"/>
      <c r="EA19" s="554"/>
      <c r="EB19" s="554"/>
      <c r="EC19" s="554"/>
      <c r="ED19" s="554"/>
      <c r="EE19" s="554"/>
      <c r="EF19" s="554"/>
      <c r="EG19" s="554"/>
      <c r="EH19" s="554"/>
    </row>
    <row r="20" spans="1:138" ht="18">
      <c r="A20" s="344"/>
      <c r="B20" s="41" t="s">
        <v>74</v>
      </c>
      <c r="C20" s="41"/>
      <c r="D20" s="41"/>
      <c r="E20" s="41"/>
      <c r="F20" s="122"/>
      <c r="G20" s="77" t="s">
        <v>45</v>
      </c>
      <c r="I20" s="311">
        <f t="shared" si="11"/>
        <v>2907.8169525731587</v>
      </c>
      <c r="J20" s="109">
        <v>1999</v>
      </c>
      <c r="K20" s="300">
        <v>2908.1</v>
      </c>
      <c r="L20" s="311">
        <f t="shared" si="12"/>
        <v>2907.8195000000001</v>
      </c>
      <c r="M20" s="326">
        <v>1933.606</v>
      </c>
      <c r="N20" s="327">
        <f t="shared" si="13"/>
        <v>360.6044</v>
      </c>
      <c r="O20" s="327">
        <f t="shared" si="14"/>
        <v>380.96109999999999</v>
      </c>
      <c r="P20" s="327">
        <f t="shared" si="15"/>
        <v>206.4751</v>
      </c>
      <c r="Q20" s="322">
        <f t="shared" si="16"/>
        <v>26.172899999999998</v>
      </c>
      <c r="R20" s="137">
        <v>3.4030147788000007</v>
      </c>
      <c r="S20" s="137">
        <v>0.8905613871995075</v>
      </c>
      <c r="T20" s="322">
        <v>43.416737397690277</v>
      </c>
      <c r="U20" s="322">
        <v>2131.5119</v>
      </c>
      <c r="V20" s="322">
        <v>1258</v>
      </c>
      <c r="W20" s="323">
        <v>14246.427</v>
      </c>
      <c r="X20" s="133">
        <f t="shared" si="17"/>
        <v>9.0000000000000011E-3</v>
      </c>
      <c r="Y20" s="137">
        <f t="shared" si="19"/>
        <v>0.16917775593934054</v>
      </c>
      <c r="Z20" s="137">
        <f t="shared" si="20"/>
        <v>0.30283076311605722</v>
      </c>
      <c r="AA20" s="116">
        <f t="shared" si="21"/>
        <v>1.4493114659556394E-2</v>
      </c>
      <c r="AD20" s="524">
        <v>2010</v>
      </c>
      <c r="AE20" s="526"/>
      <c r="AF20" s="355">
        <v>0.23</v>
      </c>
      <c r="AG20" s="526"/>
      <c r="AH20" s="355">
        <f>AH19+0.6*(AH19-AH18)</f>
        <v>0.28341310816865495</v>
      </c>
      <c r="AU20" s="329">
        <f>AF20</f>
        <v>0.23</v>
      </c>
      <c r="AV20" s="65">
        <f>AH20</f>
        <v>0.28341310816865495</v>
      </c>
      <c r="AX20" s="330">
        <v>2010</v>
      </c>
      <c r="AY20" s="282"/>
      <c r="AZ20" s="332">
        <f>AZ19</f>
        <v>0.02</v>
      </c>
      <c r="BA20" s="282"/>
      <c r="BB20" s="332">
        <f>0.03</f>
        <v>0.03</v>
      </c>
      <c r="BO20" s="338">
        <f t="shared" ref="BO20:BO40" si="22">BB20</f>
        <v>0.03</v>
      </c>
      <c r="BP20" s="339"/>
      <c r="BR20" s="330">
        <v>2010</v>
      </c>
      <c r="BS20" s="534">
        <f t="shared" si="8"/>
        <v>32498.3</v>
      </c>
      <c r="BT20" s="535">
        <f t="shared" si="9"/>
        <v>22995.63</v>
      </c>
      <c r="BU20" s="474">
        <f t="shared" si="10"/>
        <v>1.4132380804526772</v>
      </c>
      <c r="BV20" s="485">
        <f>BU20</f>
        <v>1.4132380804526772</v>
      </c>
      <c r="CL20" s="338">
        <f t="shared" ref="CL20:CL40" si="23">BV20</f>
        <v>1.4132380804526772</v>
      </c>
      <c r="CY20" s="554"/>
      <c r="CZ20" s="554"/>
      <c r="DA20" s="554"/>
      <c r="DB20" s="554"/>
      <c r="DC20" s="554"/>
      <c r="DD20" s="554"/>
      <c r="DE20" s="554"/>
      <c r="DF20" s="554"/>
      <c r="DG20" s="554"/>
      <c r="DH20" s="554"/>
      <c r="DI20" s="554"/>
      <c r="DJ20" s="554"/>
      <c r="DK20" s="554"/>
      <c r="DL20" s="554"/>
      <c r="DM20" s="554"/>
      <c r="DN20" s="554"/>
      <c r="DO20" s="554"/>
      <c r="DP20" s="554"/>
      <c r="DQ20" s="554"/>
      <c r="DR20" s="554"/>
      <c r="DS20" s="554"/>
      <c r="DT20" s="554"/>
      <c r="DU20" s="554"/>
      <c r="DV20" s="554"/>
      <c r="DW20" s="554"/>
      <c r="DX20" s="554"/>
      <c r="DY20" s="554"/>
      <c r="DZ20" s="554"/>
      <c r="EA20" s="554"/>
      <c r="EB20" s="554"/>
      <c r="EC20" s="554"/>
      <c r="ED20" s="554"/>
      <c r="EE20" s="554"/>
      <c r="EF20" s="554"/>
      <c r="EG20" s="554"/>
      <c r="EH20" s="554"/>
    </row>
    <row r="21" spans="1:138" ht="18">
      <c r="A21" s="295" t="s">
        <v>122</v>
      </c>
      <c r="B21" s="314" t="s">
        <v>123</v>
      </c>
      <c r="C21" s="314" t="s">
        <v>124</v>
      </c>
      <c r="D21" s="314" t="s">
        <v>125</v>
      </c>
      <c r="E21" s="314" t="s">
        <v>126</v>
      </c>
      <c r="F21" s="314" t="s">
        <v>127</v>
      </c>
      <c r="G21" s="317" t="s">
        <v>46</v>
      </c>
      <c r="I21" s="311">
        <f t="shared" si="11"/>
        <v>4424.5283400809722</v>
      </c>
      <c r="J21" s="109">
        <v>2000</v>
      </c>
      <c r="K21" s="300">
        <v>3983.9</v>
      </c>
      <c r="L21" s="311">
        <f t="shared" si="12"/>
        <v>4419.2408000000005</v>
      </c>
      <c r="M21" s="326">
        <v>2937.23</v>
      </c>
      <c r="N21" s="327">
        <f t="shared" si="13"/>
        <v>613.52060000000006</v>
      </c>
      <c r="O21" s="327">
        <f t="shared" si="14"/>
        <v>549.77820000000008</v>
      </c>
      <c r="P21" s="327">
        <f t="shared" si="15"/>
        <v>270.90519999999998</v>
      </c>
      <c r="Q21" s="322">
        <f t="shared" si="16"/>
        <v>47.806800000000003</v>
      </c>
      <c r="R21" s="137">
        <v>4.0904237641176007</v>
      </c>
      <c r="S21" s="137">
        <v>1.0910735084339893</v>
      </c>
      <c r="T21" s="322">
        <v>46.046768151253758</v>
      </c>
      <c r="U21" s="322">
        <v>3119.9324000000001</v>
      </c>
      <c r="V21" s="133">
        <v>1960.1</v>
      </c>
      <c r="W21" s="133">
        <v>17464</v>
      </c>
      <c r="X21" s="133">
        <f t="shared" si="17"/>
        <v>1.2E-2</v>
      </c>
      <c r="Y21" s="137">
        <f t="shared" si="19"/>
        <v>0.19664547860075432</v>
      </c>
      <c r="Z21" s="137">
        <f t="shared" si="20"/>
        <v>0.28048477118514364</v>
      </c>
      <c r="AA21" s="116">
        <f t="shared" si="21"/>
        <v>1.5512207970682547E-2</v>
      </c>
      <c r="AD21" s="524">
        <v>2011</v>
      </c>
      <c r="AE21" s="526"/>
      <c r="AF21" s="355">
        <v>0.215</v>
      </c>
      <c r="AG21" s="526"/>
      <c r="AH21" s="355">
        <f t="shared" ref="AH21:AH40" si="24">AH20+0.6*(AH20-AH19)</f>
        <v>0.29359628335193388</v>
      </c>
      <c r="AU21" s="329">
        <f t="shared" ref="AU21:AU40" si="25">AF21</f>
        <v>0.215</v>
      </c>
      <c r="AV21" s="65">
        <f t="shared" ref="AV21:AV40" si="26">AH21</f>
        <v>0.29359628335193388</v>
      </c>
      <c r="AX21" s="330">
        <v>2011</v>
      </c>
      <c r="AY21" s="282"/>
      <c r="AZ21" s="332">
        <f t="shared" ref="AZ21:AZ40" si="27">AZ20</f>
        <v>0.02</v>
      </c>
      <c r="BA21" s="282"/>
      <c r="BB21" s="332">
        <f>BB20+0.75*(BB20-BB19)</f>
        <v>3.5501790312084607E-2</v>
      </c>
      <c r="BO21" s="338">
        <f t="shared" si="22"/>
        <v>3.5501790312084607E-2</v>
      </c>
      <c r="BP21" s="339"/>
      <c r="BR21" s="330">
        <v>2011</v>
      </c>
      <c r="BS21" s="534">
        <f t="shared" si="8"/>
        <v>35648.699999999997</v>
      </c>
      <c r="BT21" s="535">
        <f t="shared" si="9"/>
        <v>26386.6754</v>
      </c>
      <c r="BU21" s="474">
        <f t="shared" si="10"/>
        <v>1.3510114275328524</v>
      </c>
      <c r="BV21" s="485">
        <f>BU21</f>
        <v>1.3510114275328524</v>
      </c>
      <c r="CL21" s="338">
        <f t="shared" si="23"/>
        <v>1.3510114275328524</v>
      </c>
      <c r="CY21" s="572" t="s">
        <v>1101</v>
      </c>
      <c r="CZ21" s="554"/>
      <c r="DA21" s="554"/>
      <c r="DB21" s="554"/>
      <c r="DC21" s="554"/>
      <c r="DD21" s="554"/>
      <c r="DE21" s="554"/>
      <c r="DF21" s="554"/>
      <c r="DG21" s="554"/>
      <c r="DH21" s="554"/>
      <c r="DI21" s="554"/>
      <c r="DJ21" s="554"/>
      <c r="DK21" s="554"/>
      <c r="DL21" s="554"/>
      <c r="DM21" s="554"/>
      <c r="DN21" s="554"/>
      <c r="DO21" s="554"/>
      <c r="DP21" s="554"/>
      <c r="DQ21" s="554"/>
      <c r="DR21" s="554"/>
      <c r="DS21" s="554"/>
      <c r="DT21" s="554"/>
      <c r="DU21" s="554"/>
      <c r="DV21" s="554"/>
      <c r="DW21" s="554"/>
      <c r="DX21" s="554"/>
      <c r="DY21" s="554"/>
      <c r="DZ21" s="554"/>
      <c r="EA21" s="554"/>
      <c r="EB21" s="554"/>
      <c r="EC21" s="554"/>
      <c r="ED21" s="554"/>
      <c r="EE21" s="554"/>
      <c r="EF21" s="554"/>
      <c r="EG21" s="554"/>
      <c r="EH21" s="554"/>
    </row>
    <row r="22" spans="1:138" ht="18">
      <c r="A22" s="108">
        <v>1995</v>
      </c>
      <c r="B22" s="346">
        <v>62.8</v>
      </c>
      <c r="C22" s="347">
        <v>16.399999999999999</v>
      </c>
      <c r="D22" s="346">
        <v>13.1</v>
      </c>
      <c r="E22" s="346">
        <v>6.5</v>
      </c>
      <c r="F22" s="346">
        <v>1.2</v>
      </c>
      <c r="G22" s="310">
        <v>910.9</v>
      </c>
      <c r="I22" s="311">
        <f t="shared" si="11"/>
        <v>5741.6340468909284</v>
      </c>
      <c r="J22" s="109">
        <v>2001</v>
      </c>
      <c r="K22" s="300">
        <v>5325.8</v>
      </c>
      <c r="L22" s="311">
        <f t="shared" si="12"/>
        <v>5733.7332000000006</v>
      </c>
      <c r="M22" s="326">
        <v>3848.4</v>
      </c>
      <c r="N22" s="327">
        <f t="shared" si="13"/>
        <v>671.05079999999998</v>
      </c>
      <c r="O22" s="327">
        <f t="shared" si="14"/>
        <v>809.52160000000003</v>
      </c>
      <c r="P22" s="327">
        <f t="shared" si="15"/>
        <v>303.57060000000001</v>
      </c>
      <c r="Q22" s="322">
        <f t="shared" si="16"/>
        <v>101.1902</v>
      </c>
      <c r="R22" s="137">
        <v>4.8512425842434741</v>
      </c>
      <c r="S22" s="137">
        <v>1.2043645968535897</v>
      </c>
      <c r="T22" s="322">
        <v>48.263748607689806</v>
      </c>
      <c r="U22" s="322">
        <v>3692.6014</v>
      </c>
      <c r="V22" s="133">
        <v>2419.4</v>
      </c>
      <c r="W22" s="323">
        <v>20241.428</v>
      </c>
      <c r="X22" s="133">
        <f t="shared" si="17"/>
        <v>1.9E-2</v>
      </c>
      <c r="Y22" s="137">
        <f t="shared" si="19"/>
        <v>0.18172846925747252</v>
      </c>
      <c r="Z22" s="137">
        <f t="shared" si="20"/>
        <v>0.33459601554104323</v>
      </c>
      <c r="AA22" s="116">
        <f t="shared" si="21"/>
        <v>1.4997489307572569E-2</v>
      </c>
      <c r="AD22" s="524">
        <v>2012</v>
      </c>
      <c r="AE22" s="526"/>
      <c r="AF22" s="355">
        <f>AF21</f>
        <v>0.215</v>
      </c>
      <c r="AG22" s="526"/>
      <c r="AH22" s="355">
        <f t="shared" si="24"/>
        <v>0.29970618846190122</v>
      </c>
      <c r="AU22" s="329">
        <f t="shared" si="25"/>
        <v>0.215</v>
      </c>
      <c r="AV22" s="65">
        <f t="shared" si="26"/>
        <v>0.29970618846190122</v>
      </c>
      <c r="AX22" s="330">
        <v>2012</v>
      </c>
      <c r="AY22" s="282"/>
      <c r="AZ22" s="332">
        <f t="shared" si="27"/>
        <v>0.02</v>
      </c>
      <c r="BA22" s="282"/>
      <c r="BB22" s="332">
        <f t="shared" ref="BB22:BB40" si="28">BB21+0.75*(BB21-BB20)</f>
        <v>3.962813304614806E-2</v>
      </c>
      <c r="BO22" s="338">
        <f t="shared" si="22"/>
        <v>3.962813304614806E-2</v>
      </c>
      <c r="BP22" s="339"/>
      <c r="BR22" s="330">
        <v>2012</v>
      </c>
      <c r="BS22" s="502"/>
      <c r="BT22" s="485"/>
      <c r="BU22" s="502"/>
      <c r="BV22" s="485">
        <f>BV21+0.3*(BV21-BV20)</f>
        <v>1.3323434316569049</v>
      </c>
      <c r="CL22" s="338">
        <f t="shared" si="23"/>
        <v>1.3323434316569049</v>
      </c>
      <c r="CY22" s="554"/>
      <c r="CZ22" s="554"/>
      <c r="DA22" s="554"/>
      <c r="DB22" s="554"/>
      <c r="DC22" s="554"/>
      <c r="DD22" s="554"/>
      <c r="DE22" s="554"/>
      <c r="DF22" s="554"/>
      <c r="DG22" s="554"/>
      <c r="DH22" s="554"/>
      <c r="DI22" s="554"/>
      <c r="DJ22" s="554"/>
      <c r="DK22" s="554"/>
      <c r="DL22" s="554"/>
      <c r="DM22" s="554"/>
      <c r="DN22" s="554"/>
      <c r="DO22" s="554"/>
      <c r="DP22" s="554"/>
      <c r="DQ22" s="554"/>
      <c r="DR22" s="554"/>
      <c r="DS22" s="554"/>
      <c r="DT22" s="554"/>
      <c r="DU22" s="554"/>
      <c r="DV22" s="554"/>
      <c r="DW22" s="554"/>
      <c r="DX22" s="554"/>
      <c r="DY22" s="554"/>
      <c r="DZ22" s="554"/>
      <c r="EA22" s="554"/>
      <c r="EB22" s="554"/>
      <c r="EC22" s="554"/>
      <c r="ED22" s="554"/>
      <c r="EE22" s="554"/>
      <c r="EF22" s="554"/>
      <c r="EG22" s="554"/>
      <c r="EH22" s="554"/>
    </row>
    <row r="23" spans="1:138" ht="18">
      <c r="A23" s="109">
        <v>1996</v>
      </c>
      <c r="B23" s="346">
        <v>65.900000000000006</v>
      </c>
      <c r="C23" s="348">
        <v>13.6</v>
      </c>
      <c r="D23" s="346">
        <v>14</v>
      </c>
      <c r="E23" s="346">
        <v>5.4</v>
      </c>
      <c r="F23" s="346">
        <v>1.1000000000000001</v>
      </c>
      <c r="G23" s="311">
        <v>1357.1</v>
      </c>
      <c r="I23" s="311">
        <f t="shared" si="11"/>
        <v>7412.3476044852205</v>
      </c>
      <c r="J23" s="109">
        <v>2002</v>
      </c>
      <c r="K23" s="300">
        <v>6831</v>
      </c>
      <c r="L23" s="311">
        <f t="shared" si="12"/>
        <v>7401.3020000000006</v>
      </c>
      <c r="M23" s="326">
        <v>5065.1000000000004</v>
      </c>
      <c r="N23" s="327">
        <f t="shared" si="13"/>
        <v>812.88900000000012</v>
      </c>
      <c r="O23" s="327">
        <f t="shared" si="14"/>
        <v>1038.3119999999999</v>
      </c>
      <c r="P23" s="327">
        <f t="shared" si="15"/>
        <v>355.21200000000005</v>
      </c>
      <c r="Q23" s="322">
        <f t="shared" si="16"/>
        <v>129.78899999999999</v>
      </c>
      <c r="R23" s="137">
        <v>5.5837802144642392</v>
      </c>
      <c r="S23" s="137">
        <v>1.3454454046567674</v>
      </c>
      <c r="T23" s="322">
        <v>49.226295399031507</v>
      </c>
      <c r="U23" s="322">
        <v>3906.8679000000002</v>
      </c>
      <c r="V23" s="133">
        <v>3422.3</v>
      </c>
      <c r="W23" s="133">
        <v>24431</v>
      </c>
      <c r="X23" s="133">
        <f t="shared" si="17"/>
        <v>1.9E-2</v>
      </c>
      <c r="Y23" s="137">
        <f t="shared" si="19"/>
        <v>0.20806667151453984</v>
      </c>
      <c r="Z23" s="137">
        <f t="shared" si="20"/>
        <v>0.30339596178008937</v>
      </c>
      <c r="AA23" s="116">
        <f t="shared" si="21"/>
        <v>1.4539396668167495E-2</v>
      </c>
      <c r="AD23" s="524">
        <v>2013</v>
      </c>
      <c r="AE23" s="526"/>
      <c r="AF23" s="355">
        <f t="shared" ref="AF23:AF40" si="29">AF22</f>
        <v>0.215</v>
      </c>
      <c r="AG23" s="526"/>
      <c r="AH23" s="355">
        <f t="shared" si="24"/>
        <v>0.30337213152788162</v>
      </c>
      <c r="AU23" s="329">
        <f t="shared" si="25"/>
        <v>0.215</v>
      </c>
      <c r="AV23" s="65">
        <f t="shared" si="26"/>
        <v>0.30337213152788162</v>
      </c>
      <c r="AX23" s="330">
        <v>2013</v>
      </c>
      <c r="AY23" s="282"/>
      <c r="AZ23" s="332">
        <f t="shared" si="27"/>
        <v>0.02</v>
      </c>
      <c r="BA23" s="282"/>
      <c r="BB23" s="332">
        <f t="shared" si="28"/>
        <v>4.2722890096695651E-2</v>
      </c>
      <c r="BO23" s="338">
        <f t="shared" si="22"/>
        <v>4.2722890096695651E-2</v>
      </c>
      <c r="BP23" s="339"/>
      <c r="BR23" s="330">
        <v>2013</v>
      </c>
      <c r="BS23" s="502"/>
      <c r="BT23" s="485"/>
      <c r="BU23" s="502"/>
      <c r="BV23" s="485">
        <f t="shared" ref="BV23:BV40" si="30">BV22+0.3*(BV22-BV21)</f>
        <v>1.3267430328941208</v>
      </c>
      <c r="CL23" s="338">
        <f t="shared" si="23"/>
        <v>1.3267430328941208</v>
      </c>
      <c r="CY23" s="554" t="s">
        <v>1102</v>
      </c>
      <c r="CZ23" s="554"/>
      <c r="DA23" s="554"/>
      <c r="DB23" s="554"/>
      <c r="DC23" s="554"/>
      <c r="DD23" s="554"/>
      <c r="DE23" s="554"/>
      <c r="DF23" s="554"/>
      <c r="DG23" s="554"/>
      <c r="DH23" s="554"/>
      <c r="DI23" s="554"/>
      <c r="DJ23" s="554"/>
      <c r="DK23" s="554"/>
      <c r="DL23" s="554"/>
      <c r="DM23" s="554"/>
      <c r="DN23" s="554"/>
      <c r="DO23" s="554"/>
      <c r="DP23" s="554"/>
      <c r="DQ23" s="554"/>
      <c r="DR23" s="554"/>
      <c r="DS23" s="554"/>
      <c r="DT23" s="554"/>
      <c r="DU23" s="554"/>
      <c r="DV23" s="554"/>
      <c r="DW23" s="554"/>
      <c r="DX23" s="554"/>
      <c r="DY23" s="554"/>
      <c r="DZ23" s="554"/>
      <c r="EA23" s="554"/>
      <c r="EB23" s="554"/>
      <c r="EC23" s="554"/>
      <c r="ED23" s="554"/>
      <c r="EE23" s="554"/>
      <c r="EF23" s="554"/>
      <c r="EG23" s="554"/>
      <c r="EH23" s="554"/>
    </row>
    <row r="24" spans="1:138" ht="18">
      <c r="A24" s="109">
        <v>1997</v>
      </c>
      <c r="B24" s="346">
        <v>65.599999999999994</v>
      </c>
      <c r="C24" s="346">
        <v>13</v>
      </c>
      <c r="D24" s="348">
        <v>14.8</v>
      </c>
      <c r="E24" s="346">
        <v>5.7</v>
      </c>
      <c r="F24" s="346">
        <v>0.9</v>
      </c>
      <c r="G24" s="311">
        <v>1656.4</v>
      </c>
      <c r="I24" s="311">
        <f t="shared" si="11"/>
        <v>9456.7039877300613</v>
      </c>
      <c r="J24" s="109">
        <v>2003</v>
      </c>
      <c r="K24" s="300">
        <v>8900.5</v>
      </c>
      <c r="L24" s="311">
        <f t="shared" si="12"/>
        <v>9444.4674999999988</v>
      </c>
      <c r="M24" s="326">
        <v>6231.3869999999997</v>
      </c>
      <c r="N24" s="327">
        <f t="shared" si="13"/>
        <v>1068.06</v>
      </c>
      <c r="O24" s="327">
        <f t="shared" si="14"/>
        <v>1254.9705000000001</v>
      </c>
      <c r="P24" s="327">
        <f t="shared" si="15"/>
        <v>694.23899999999992</v>
      </c>
      <c r="Q24" s="322">
        <f t="shared" si="16"/>
        <v>195.81100000000004</v>
      </c>
      <c r="R24" s="137">
        <v>6.2538338401999489</v>
      </c>
      <c r="S24" s="137">
        <v>1.4850279596592788</v>
      </c>
      <c r="T24" s="322">
        <v>53.222993601114709</v>
      </c>
      <c r="U24" s="322">
        <v>4864.3283000000001</v>
      </c>
      <c r="V24" s="133">
        <v>3964.9</v>
      </c>
      <c r="W24" s="323">
        <v>30329.1</v>
      </c>
      <c r="X24" s="133">
        <f t="shared" si="17"/>
        <v>2.2000000000000002E-2</v>
      </c>
      <c r="Y24" s="137">
        <f t="shared" si="19"/>
        <v>0.21956988388304299</v>
      </c>
      <c r="Z24" s="137">
        <f t="shared" si="20"/>
        <v>0.31652008877903609</v>
      </c>
      <c r="AA24" s="116">
        <f t="shared" si="21"/>
        <v>2.28901945656152E-2</v>
      </c>
      <c r="AD24" s="524">
        <v>2014</v>
      </c>
      <c r="AE24" s="526"/>
      <c r="AF24" s="355">
        <f t="shared" si="29"/>
        <v>0.215</v>
      </c>
      <c r="AG24" s="526"/>
      <c r="AH24" s="355">
        <f t="shared" si="24"/>
        <v>0.30557169736746986</v>
      </c>
      <c r="AU24" s="329">
        <f t="shared" si="25"/>
        <v>0.215</v>
      </c>
      <c r="AV24" s="65">
        <f t="shared" si="26"/>
        <v>0.30557169736746986</v>
      </c>
      <c r="AX24" s="330">
        <v>2014</v>
      </c>
      <c r="AY24" s="282"/>
      <c r="AZ24" s="332">
        <f t="shared" si="27"/>
        <v>0.02</v>
      </c>
      <c r="BA24" s="282"/>
      <c r="BB24" s="332">
        <f t="shared" si="28"/>
        <v>4.5043957884606342E-2</v>
      </c>
      <c r="BO24" s="338">
        <f t="shared" si="22"/>
        <v>4.5043957884606342E-2</v>
      </c>
      <c r="BP24" s="339"/>
      <c r="BR24" s="330">
        <v>2014</v>
      </c>
      <c r="BS24" s="502"/>
      <c r="BT24" s="485"/>
      <c r="BU24" s="502"/>
      <c r="BV24" s="485">
        <f t="shared" si="30"/>
        <v>1.3250629132652856</v>
      </c>
      <c r="CL24" s="338">
        <f t="shared" si="23"/>
        <v>1.3250629132652856</v>
      </c>
      <c r="CY24" s="554"/>
      <c r="CZ24" s="554"/>
      <c r="DA24" s="554"/>
      <c r="DB24" s="554"/>
      <c r="DC24" s="554"/>
      <c r="DD24" s="554"/>
      <c r="DE24" s="554"/>
      <c r="DF24" s="554"/>
      <c r="DG24" s="554"/>
      <c r="DH24" s="554"/>
      <c r="DI24" s="554"/>
      <c r="DJ24" s="554"/>
      <c r="DK24" s="554"/>
      <c r="DL24" s="554"/>
      <c r="DM24" s="554"/>
      <c r="DN24" s="554"/>
      <c r="DO24" s="554"/>
      <c r="DP24" s="554"/>
      <c r="DQ24" s="554"/>
      <c r="DR24" s="554"/>
      <c r="DS24" s="554"/>
      <c r="DT24" s="554"/>
      <c r="DU24" s="554"/>
      <c r="DV24" s="554"/>
      <c r="DW24" s="554"/>
      <c r="DX24" s="554"/>
      <c r="DY24" s="554"/>
      <c r="DZ24" s="554"/>
      <c r="EA24" s="554"/>
      <c r="EB24" s="554"/>
      <c r="EC24" s="554"/>
      <c r="ED24" s="554"/>
      <c r="EE24" s="554"/>
      <c r="EF24" s="554"/>
      <c r="EG24" s="554"/>
      <c r="EH24" s="554"/>
    </row>
    <row r="25" spans="1:138" ht="18">
      <c r="A25" s="109">
        <v>1998</v>
      </c>
      <c r="B25" s="346">
        <v>65.8</v>
      </c>
      <c r="C25" s="346">
        <v>14.4</v>
      </c>
      <c r="D25" s="348">
        <v>13.4</v>
      </c>
      <c r="E25" s="346">
        <v>5.5</v>
      </c>
      <c r="F25" s="346">
        <v>0.9</v>
      </c>
      <c r="G25" s="311">
        <v>1776</v>
      </c>
      <c r="I25" s="311">
        <f t="shared" si="11"/>
        <v>11702.723312883436</v>
      </c>
      <c r="J25" s="109">
        <v>2004</v>
      </c>
      <c r="K25" s="300">
        <v>10976.3</v>
      </c>
      <c r="L25" s="311">
        <f t="shared" si="12"/>
        <v>11686.742</v>
      </c>
      <c r="M25" s="326">
        <v>7845.0370000000003</v>
      </c>
      <c r="N25" s="327">
        <f t="shared" si="13"/>
        <v>1284.2270999999998</v>
      </c>
      <c r="O25" s="327">
        <f t="shared" si="14"/>
        <v>1404.9663999999998</v>
      </c>
      <c r="P25" s="327">
        <f t="shared" si="15"/>
        <v>911.03290000000004</v>
      </c>
      <c r="Q25" s="322">
        <f t="shared" si="16"/>
        <v>241.4786</v>
      </c>
      <c r="R25" s="137">
        <v>6.9855323995033425</v>
      </c>
      <c r="S25" s="137">
        <v>1.6493886216432383</v>
      </c>
      <c r="T25" s="322">
        <v>56.644052738523989</v>
      </c>
      <c r="U25" s="322">
        <v>6306.7037</v>
      </c>
      <c r="V25" s="133">
        <v>4669.7</v>
      </c>
      <c r="W25" s="133">
        <v>34874</v>
      </c>
      <c r="X25" s="133">
        <f t="shared" si="17"/>
        <v>2.2000000000000002E-2</v>
      </c>
      <c r="Y25" s="137">
        <f t="shared" si="19"/>
        <v>0.20362889412419991</v>
      </c>
      <c r="Z25" s="137">
        <f t="shared" si="20"/>
        <v>0.30086866393986761</v>
      </c>
      <c r="AA25" s="116">
        <f t="shared" si="21"/>
        <v>2.6123556231003042E-2</v>
      </c>
      <c r="AD25" s="524">
        <v>2015</v>
      </c>
      <c r="AE25" s="526"/>
      <c r="AF25" s="355">
        <f t="shared" si="29"/>
        <v>0.215</v>
      </c>
      <c r="AG25" s="526"/>
      <c r="AH25" s="355">
        <f t="shared" si="24"/>
        <v>0.30689143687122283</v>
      </c>
      <c r="AU25" s="329">
        <f t="shared" si="25"/>
        <v>0.215</v>
      </c>
      <c r="AV25" s="65">
        <f t="shared" si="26"/>
        <v>0.30689143687122283</v>
      </c>
      <c r="AX25" s="330">
        <v>2015</v>
      </c>
      <c r="AY25" s="282"/>
      <c r="AZ25" s="332">
        <f t="shared" si="27"/>
        <v>0.02</v>
      </c>
      <c r="BA25" s="282"/>
      <c r="BB25" s="332">
        <f t="shared" si="28"/>
        <v>4.678475872553936E-2</v>
      </c>
      <c r="BO25" s="338">
        <f t="shared" si="22"/>
        <v>4.678475872553936E-2</v>
      </c>
      <c r="BP25" s="339"/>
      <c r="BR25" s="330">
        <v>2015</v>
      </c>
      <c r="BS25" s="502"/>
      <c r="BT25" s="485"/>
      <c r="BU25" s="502"/>
      <c r="BV25" s="485">
        <f t="shared" si="30"/>
        <v>1.324558877376635</v>
      </c>
      <c r="CL25" s="338">
        <f t="shared" si="23"/>
        <v>1.324558877376635</v>
      </c>
      <c r="CY25" s="554" t="s">
        <v>1092</v>
      </c>
      <c r="CZ25" s="554"/>
      <c r="DA25" s="554"/>
      <c r="DB25" s="554"/>
      <c r="DC25" s="554"/>
      <c r="DD25" s="554"/>
      <c r="DE25" s="554"/>
      <c r="DF25" s="554"/>
      <c r="DG25" s="554"/>
      <c r="DH25" s="554"/>
      <c r="DI25" s="554"/>
      <c r="DJ25" s="554"/>
      <c r="DK25" s="554"/>
      <c r="DL25" s="554"/>
      <c r="DM25" s="554"/>
      <c r="DN25" s="554"/>
      <c r="DO25" s="554"/>
      <c r="DP25" s="554"/>
      <c r="DQ25" s="554"/>
      <c r="DR25" s="554"/>
      <c r="DS25" s="554"/>
      <c r="DT25" s="554"/>
      <c r="DU25" s="554"/>
      <c r="DV25" s="554"/>
      <c r="DW25" s="554"/>
      <c r="DX25" s="554"/>
      <c r="DY25" s="554"/>
      <c r="DZ25" s="554"/>
      <c r="EA25" s="554"/>
      <c r="EB25" s="554"/>
      <c r="EC25" s="554"/>
      <c r="ED25" s="554"/>
      <c r="EE25" s="554"/>
      <c r="EF25" s="554"/>
      <c r="EG25" s="554"/>
      <c r="EH25" s="554"/>
    </row>
    <row r="26" spans="1:138" ht="18">
      <c r="A26" s="109">
        <v>1999</v>
      </c>
      <c r="B26" s="347">
        <v>66.5</v>
      </c>
      <c r="C26" s="347">
        <v>12.4</v>
      </c>
      <c r="D26" s="347">
        <v>13.1</v>
      </c>
      <c r="E26" s="347">
        <v>7.1</v>
      </c>
      <c r="F26" s="347">
        <v>0.9</v>
      </c>
      <c r="G26" s="311">
        <v>2908.1</v>
      </c>
      <c r="I26" s="311">
        <f t="shared" si="11"/>
        <v>14483.227551020407</v>
      </c>
      <c r="J26" s="109">
        <v>2005</v>
      </c>
      <c r="K26" s="300">
        <v>13819</v>
      </c>
      <c r="L26" s="311">
        <f t="shared" si="12"/>
        <v>14469.942999999997</v>
      </c>
      <c r="M26" s="326">
        <v>9439.8269999999993</v>
      </c>
      <c r="N26" s="327">
        <f t="shared" si="13"/>
        <v>1575.366</v>
      </c>
      <c r="O26" s="327">
        <f t="shared" si="14"/>
        <v>1755.0129999999999</v>
      </c>
      <c r="P26" s="327">
        <f t="shared" si="15"/>
        <v>1423.3570000000002</v>
      </c>
      <c r="Q26" s="322">
        <f t="shared" si="16"/>
        <v>276.38</v>
      </c>
      <c r="R26" s="137">
        <v>7.7469554310492068</v>
      </c>
      <c r="S26" s="137">
        <v>1.7629074929087367</v>
      </c>
      <c r="T26" s="322">
        <v>58.979127328817569</v>
      </c>
      <c r="U26" s="322">
        <v>7887.1394</v>
      </c>
      <c r="V26" s="133">
        <v>6820.6</v>
      </c>
      <c r="W26" s="133">
        <v>41494</v>
      </c>
      <c r="X26" s="116">
        <f t="shared" si="17"/>
        <v>0.02</v>
      </c>
      <c r="Y26" s="137">
        <f t="shared" si="19"/>
        <v>0.19973857695478286</v>
      </c>
      <c r="Z26" s="137">
        <f t="shared" si="20"/>
        <v>0.25731064715714158</v>
      </c>
      <c r="AA26" s="116">
        <f t="shared" si="21"/>
        <v>3.4302718465320292E-2</v>
      </c>
      <c r="AD26" s="524">
        <v>2016</v>
      </c>
      <c r="AE26" s="526"/>
      <c r="AF26" s="355">
        <f t="shared" si="29"/>
        <v>0.215</v>
      </c>
      <c r="AG26" s="526"/>
      <c r="AH26" s="355">
        <f t="shared" si="24"/>
        <v>0.3076832805734746</v>
      </c>
      <c r="AU26" s="329">
        <f t="shared" si="25"/>
        <v>0.215</v>
      </c>
      <c r="AV26" s="65">
        <f t="shared" si="26"/>
        <v>0.3076832805734746</v>
      </c>
      <c r="AX26" s="330">
        <v>2016</v>
      </c>
      <c r="AY26" s="282"/>
      <c r="AZ26" s="332">
        <f t="shared" si="27"/>
        <v>0.02</v>
      </c>
      <c r="BA26" s="282"/>
      <c r="BB26" s="332">
        <f t="shared" si="28"/>
        <v>4.8090359356239121E-2</v>
      </c>
      <c r="BO26" s="338">
        <f t="shared" si="22"/>
        <v>4.8090359356239121E-2</v>
      </c>
      <c r="BP26" s="339"/>
      <c r="BR26" s="330">
        <v>2016</v>
      </c>
      <c r="BS26" s="502"/>
      <c r="BT26" s="485"/>
      <c r="BU26" s="502"/>
      <c r="BV26" s="485">
        <f t="shared" si="30"/>
        <v>1.3244076666100399</v>
      </c>
      <c r="CL26" s="338">
        <f t="shared" si="23"/>
        <v>1.3244076666100399</v>
      </c>
      <c r="CY26" s="554"/>
      <c r="CZ26" s="554"/>
      <c r="DA26" s="554"/>
      <c r="DB26" s="554"/>
      <c r="DC26" s="554"/>
      <c r="DD26" s="554"/>
      <c r="DE26" s="554"/>
      <c r="DF26" s="554"/>
      <c r="DG26" s="554"/>
      <c r="DH26" s="554"/>
      <c r="DI26" s="554"/>
      <c r="DJ26" s="554"/>
      <c r="DK26" s="554"/>
      <c r="DL26" s="554"/>
      <c r="DM26" s="554"/>
      <c r="DN26" s="554"/>
      <c r="DO26" s="554"/>
      <c r="DP26" s="554"/>
      <c r="DQ26" s="554"/>
      <c r="DR26" s="554"/>
      <c r="DS26" s="554"/>
      <c r="DT26" s="554"/>
      <c r="DU26" s="554"/>
      <c r="DV26" s="554"/>
      <c r="DW26" s="554"/>
      <c r="DX26" s="554"/>
      <c r="DY26" s="554"/>
      <c r="DZ26" s="554"/>
      <c r="EA26" s="554"/>
      <c r="EB26" s="554"/>
      <c r="EC26" s="554"/>
      <c r="ED26" s="554"/>
      <c r="EE26" s="554"/>
      <c r="EF26" s="554"/>
      <c r="EG26" s="554"/>
      <c r="EH26" s="554"/>
    </row>
    <row r="27" spans="1:138" ht="18">
      <c r="A27" s="109">
        <v>2000</v>
      </c>
      <c r="B27" s="346">
        <v>62.8</v>
      </c>
      <c r="C27" s="346">
        <v>15.4</v>
      </c>
      <c r="D27" s="346">
        <v>13.8</v>
      </c>
      <c r="E27" s="346">
        <v>6.8</v>
      </c>
      <c r="F27" s="346">
        <v>1.2</v>
      </c>
      <c r="G27" s="311">
        <v>3983.9</v>
      </c>
      <c r="I27" s="311">
        <f t="shared" si="11"/>
        <v>18051.914475025485</v>
      </c>
      <c r="J27" s="109">
        <v>2006</v>
      </c>
      <c r="K27" s="300">
        <v>17290.099999999999</v>
      </c>
      <c r="L27" s="311">
        <f t="shared" si="12"/>
        <v>18037.440000000002</v>
      </c>
      <c r="M27" s="326">
        <v>11985.905000000001</v>
      </c>
      <c r="N27" s="327">
        <f t="shared" si="13"/>
        <v>1919.2010999999998</v>
      </c>
      <c r="O27" s="327">
        <f t="shared" si="14"/>
        <v>2074.8119999999999</v>
      </c>
      <c r="P27" s="327">
        <f t="shared" si="15"/>
        <v>1729.01</v>
      </c>
      <c r="Q27" s="322">
        <f t="shared" si="16"/>
        <v>328.51189999999997</v>
      </c>
      <c r="R27" s="137">
        <v>8.4441814198436358</v>
      </c>
      <c r="S27" s="137">
        <v>2.0289294415498413</v>
      </c>
      <c r="T27" s="322">
        <v>63.457556425113935</v>
      </c>
      <c r="U27" s="322">
        <v>9544.5843000000004</v>
      </c>
      <c r="V27" s="133">
        <v>8375.2000000000007</v>
      </c>
      <c r="W27" s="133">
        <v>47489</v>
      </c>
      <c r="X27" s="133">
        <f t="shared" si="17"/>
        <v>1.9E-2</v>
      </c>
      <c r="Y27" s="137">
        <f t="shared" si="19"/>
        <v>0.20107749480509063</v>
      </c>
      <c r="Z27" s="137">
        <f t="shared" si="20"/>
        <v>0.24773283026076987</v>
      </c>
      <c r="AA27" s="116">
        <f t="shared" si="21"/>
        <v>3.6408642001305565E-2</v>
      </c>
      <c r="AD27" s="524">
        <v>2017</v>
      </c>
      <c r="AE27" s="526"/>
      <c r="AF27" s="355">
        <f t="shared" si="29"/>
        <v>0.215</v>
      </c>
      <c r="AG27" s="526"/>
      <c r="AH27" s="355">
        <f t="shared" si="24"/>
        <v>0.30815838679482566</v>
      </c>
      <c r="AU27" s="329">
        <f t="shared" si="25"/>
        <v>0.215</v>
      </c>
      <c r="AV27" s="65">
        <f t="shared" si="26"/>
        <v>0.30815838679482566</v>
      </c>
      <c r="AX27" s="330">
        <v>2017</v>
      </c>
      <c r="AY27" s="282"/>
      <c r="AZ27" s="332">
        <f t="shared" si="27"/>
        <v>0.02</v>
      </c>
      <c r="BA27" s="282"/>
      <c r="BB27" s="332">
        <f t="shared" si="28"/>
        <v>4.9069559829263941E-2</v>
      </c>
      <c r="BO27" s="338">
        <f t="shared" si="22"/>
        <v>4.9069559829263941E-2</v>
      </c>
      <c r="BP27" s="339"/>
      <c r="BR27" s="330">
        <v>2017</v>
      </c>
      <c r="BS27" s="502"/>
      <c r="BT27" s="485"/>
      <c r="BU27" s="502"/>
      <c r="BV27" s="485">
        <f t="shared" si="30"/>
        <v>1.3243623033800613</v>
      </c>
      <c r="CL27" s="338">
        <f t="shared" si="23"/>
        <v>1.3243623033800613</v>
      </c>
      <c r="CY27" s="554" t="s">
        <v>1093</v>
      </c>
      <c r="CZ27" s="554"/>
      <c r="DA27" s="554"/>
      <c r="DB27" s="554"/>
      <c r="DC27" s="554"/>
      <c r="DD27" s="554"/>
      <c r="DE27" s="554"/>
      <c r="DF27" s="554"/>
      <c r="DG27" s="554"/>
      <c r="DH27" s="554"/>
      <c r="DI27" s="554"/>
      <c r="DJ27" s="554"/>
      <c r="DK27" s="554"/>
      <c r="DL27" s="554"/>
      <c r="DM27" s="554"/>
      <c r="DN27" s="554"/>
      <c r="DO27" s="554"/>
      <c r="DP27" s="554"/>
      <c r="DQ27" s="554"/>
      <c r="DR27" s="554"/>
      <c r="DS27" s="554"/>
      <c r="DT27" s="554"/>
      <c r="DU27" s="554"/>
      <c r="DV27" s="554"/>
      <c r="DW27" s="554"/>
      <c r="DX27" s="554"/>
      <c r="DY27" s="554"/>
      <c r="DZ27" s="554"/>
      <c r="EA27" s="554"/>
      <c r="EB27" s="554"/>
      <c r="EC27" s="554"/>
      <c r="ED27" s="554"/>
      <c r="EE27" s="554"/>
      <c r="EF27" s="554"/>
      <c r="EG27" s="554"/>
      <c r="EH27" s="554"/>
    </row>
    <row r="28" spans="1:138" ht="18">
      <c r="A28" s="109">
        <v>2001</v>
      </c>
      <c r="B28" s="346">
        <v>64.599999999999994</v>
      </c>
      <c r="C28" s="346">
        <v>12.6</v>
      </c>
      <c r="D28" s="346">
        <v>15.2</v>
      </c>
      <c r="E28" s="346">
        <v>5.7</v>
      </c>
      <c r="F28" s="346">
        <v>1.9</v>
      </c>
      <c r="G28" s="311">
        <v>5325.8</v>
      </c>
      <c r="I28" s="311">
        <f t="shared" si="11"/>
        <v>22475.630102040817</v>
      </c>
      <c r="J28" s="109">
        <v>2007</v>
      </c>
      <c r="K28" s="300">
        <v>21311.5</v>
      </c>
      <c r="L28" s="311">
        <f t="shared" si="12"/>
        <v>22452.3475</v>
      </c>
      <c r="M28" s="326">
        <v>15526.11</v>
      </c>
      <c r="N28" s="327">
        <f t="shared" si="13"/>
        <v>2131.15</v>
      </c>
      <c r="O28" s="327">
        <f t="shared" si="14"/>
        <v>2472.134</v>
      </c>
      <c r="P28" s="327">
        <f t="shared" si="15"/>
        <v>1896.7235000000001</v>
      </c>
      <c r="Q28" s="322">
        <f t="shared" si="16"/>
        <v>426.23</v>
      </c>
      <c r="R28" s="137">
        <v>9.4465057543790749</v>
      </c>
      <c r="S28" s="137">
        <v>2.2961879581752398</v>
      </c>
      <c r="T28" s="322">
        <v>67.479917249698346</v>
      </c>
      <c r="U28" s="322">
        <v>11387.0816</v>
      </c>
      <c r="V28" s="322">
        <v>11378.578</v>
      </c>
      <c r="W28" s="133">
        <v>60391</v>
      </c>
      <c r="X28" s="116">
        <f t="shared" si="17"/>
        <v>0.02</v>
      </c>
      <c r="Y28" s="137">
        <f t="shared" si="19"/>
        <v>0.18715506526272721</v>
      </c>
      <c r="Z28" s="137">
        <f t="shared" si="20"/>
        <v>0.21726212185740609</v>
      </c>
      <c r="AA28" s="116">
        <f t="shared" si="21"/>
        <v>3.1407386862280805E-2</v>
      </c>
      <c r="AD28" s="524">
        <v>2018</v>
      </c>
      <c r="AE28" s="526"/>
      <c r="AF28" s="355">
        <f t="shared" si="29"/>
        <v>0.215</v>
      </c>
      <c r="AG28" s="526"/>
      <c r="AH28" s="355">
        <f t="shared" si="24"/>
        <v>0.30844345052763628</v>
      </c>
      <c r="AU28" s="329">
        <f t="shared" si="25"/>
        <v>0.215</v>
      </c>
      <c r="AV28" s="65">
        <f t="shared" si="26"/>
        <v>0.30844345052763628</v>
      </c>
      <c r="AX28" s="330">
        <v>2018</v>
      </c>
      <c r="AY28" s="282"/>
      <c r="AZ28" s="332">
        <f t="shared" si="27"/>
        <v>0.02</v>
      </c>
      <c r="BA28" s="282"/>
      <c r="BB28" s="332">
        <f t="shared" si="28"/>
        <v>4.9803960184032554E-2</v>
      </c>
      <c r="BO28" s="338">
        <f t="shared" si="22"/>
        <v>4.9803960184032554E-2</v>
      </c>
      <c r="BP28" s="339"/>
      <c r="BR28" s="330">
        <v>2018</v>
      </c>
      <c r="BS28" s="502"/>
      <c r="BT28" s="485"/>
      <c r="BU28" s="502"/>
      <c r="BV28" s="485">
        <f t="shared" si="30"/>
        <v>1.3243486944110678</v>
      </c>
      <c r="CL28" s="338">
        <f t="shared" si="23"/>
        <v>1.3243486944110678</v>
      </c>
      <c r="CY28" s="554"/>
      <c r="CZ28" s="554"/>
      <c r="DA28" s="554"/>
      <c r="DB28" s="554"/>
      <c r="DC28" s="554"/>
      <c r="DD28" s="554"/>
      <c r="DE28" s="554"/>
      <c r="DF28" s="554"/>
      <c r="DG28" s="554"/>
      <c r="DH28" s="554"/>
      <c r="DI28" s="554"/>
      <c r="DJ28" s="554"/>
      <c r="DK28" s="554"/>
      <c r="DL28" s="554"/>
      <c r="DM28" s="554"/>
      <c r="DN28" s="554"/>
      <c r="DO28" s="554"/>
      <c r="DP28" s="554"/>
      <c r="DQ28" s="554"/>
      <c r="DR28" s="554"/>
      <c r="DS28" s="554"/>
      <c r="DT28" s="554"/>
      <c r="DU28" s="554"/>
      <c r="DV28" s="554"/>
      <c r="DW28" s="554"/>
      <c r="DX28" s="554"/>
      <c r="DY28" s="554"/>
      <c r="DZ28" s="554"/>
      <c r="EA28" s="554"/>
      <c r="EB28" s="554"/>
      <c r="EC28" s="554"/>
      <c r="ED28" s="554"/>
      <c r="EE28" s="554"/>
      <c r="EF28" s="554"/>
      <c r="EG28" s="554"/>
      <c r="EH28" s="554"/>
    </row>
    <row r="29" spans="1:138" ht="18">
      <c r="A29" s="109">
        <v>2002</v>
      </c>
      <c r="B29" s="346">
        <v>65.8</v>
      </c>
      <c r="C29" s="346">
        <v>11.9</v>
      </c>
      <c r="D29" s="346">
        <v>15.2</v>
      </c>
      <c r="E29" s="346">
        <v>5.2</v>
      </c>
      <c r="F29" s="346">
        <v>1.9</v>
      </c>
      <c r="G29" s="311">
        <v>6831</v>
      </c>
      <c r="I29" s="311">
        <f t="shared" si="11"/>
        <v>27583.657142857141</v>
      </c>
      <c r="J29" s="109">
        <v>2008</v>
      </c>
      <c r="K29" s="300">
        <v>25244</v>
      </c>
      <c r="L29" s="311">
        <f t="shared" si="12"/>
        <v>27536.863999999998</v>
      </c>
      <c r="M29" s="326">
        <v>19559.759999999998</v>
      </c>
      <c r="N29" s="327">
        <f t="shared" si="13"/>
        <v>2574.8879999999999</v>
      </c>
      <c r="O29" s="327">
        <f t="shared" si="14"/>
        <v>3332.2080000000001</v>
      </c>
      <c r="P29" s="327">
        <f t="shared" si="15"/>
        <v>1565.1280000000002</v>
      </c>
      <c r="Q29" s="322">
        <f t="shared" si="16"/>
        <v>504.88</v>
      </c>
      <c r="R29" s="137">
        <v>10.701001718560617</v>
      </c>
      <c r="S29" s="137">
        <v>2.5452330528232636</v>
      </c>
      <c r="T29" s="322">
        <v>70.621402348481183</v>
      </c>
      <c r="U29" s="322">
        <v>13498.7</v>
      </c>
      <c r="V29" s="322">
        <v>13991.788</v>
      </c>
      <c r="W29" s="323">
        <v>74447</v>
      </c>
      <c r="X29" s="116">
        <f t="shared" si="17"/>
        <v>0.02</v>
      </c>
      <c r="Y29" s="137">
        <f t="shared" si="19"/>
        <v>0.1907508130412558</v>
      </c>
      <c r="Z29" s="137">
        <f t="shared" si="20"/>
        <v>0.2381545517985264</v>
      </c>
      <c r="AA29" s="116">
        <f t="shared" si="21"/>
        <v>2.1023385764369285E-2</v>
      </c>
      <c r="AD29" s="524">
        <v>2019</v>
      </c>
      <c r="AE29" s="526"/>
      <c r="AF29" s="355">
        <f t="shared" si="29"/>
        <v>0.215</v>
      </c>
      <c r="AG29" s="526"/>
      <c r="AH29" s="355">
        <f t="shared" si="24"/>
        <v>0.30861448876732267</v>
      </c>
      <c r="AU29" s="329">
        <f t="shared" si="25"/>
        <v>0.215</v>
      </c>
      <c r="AV29" s="65">
        <f t="shared" si="26"/>
        <v>0.30861448876732267</v>
      </c>
      <c r="AX29" s="330">
        <v>2019</v>
      </c>
      <c r="AY29" s="282"/>
      <c r="AZ29" s="332">
        <f t="shared" si="27"/>
        <v>0.02</v>
      </c>
      <c r="BA29" s="282"/>
      <c r="BB29" s="332">
        <f t="shared" si="28"/>
        <v>5.0354760450109018E-2</v>
      </c>
      <c r="BO29" s="338">
        <f t="shared" si="22"/>
        <v>5.0354760450109018E-2</v>
      </c>
      <c r="BP29" s="339"/>
      <c r="BR29" s="330">
        <v>2019</v>
      </c>
      <c r="BS29" s="502"/>
      <c r="BT29" s="485"/>
      <c r="BU29" s="502"/>
      <c r="BV29" s="485">
        <f t="shared" si="30"/>
        <v>1.3243446117203699</v>
      </c>
      <c r="CL29" s="338">
        <f t="shared" si="23"/>
        <v>1.3243446117203699</v>
      </c>
      <c r="CY29" s="554" t="s">
        <v>1094</v>
      </c>
      <c r="CZ29" s="554"/>
      <c r="DA29" s="554"/>
      <c r="DB29" s="554"/>
      <c r="DC29" s="554"/>
      <c r="DD29" s="554"/>
      <c r="DE29" s="554"/>
      <c r="DF29" s="554"/>
      <c r="DG29" s="554"/>
      <c r="DH29" s="554"/>
      <c r="DI29" s="554"/>
      <c r="DJ29" s="554"/>
      <c r="DK29" s="554"/>
      <c r="DL29" s="554"/>
      <c r="DM29" s="554"/>
      <c r="DN29" s="554"/>
      <c r="DO29" s="554"/>
      <c r="DP29" s="554"/>
      <c r="DQ29" s="554"/>
      <c r="DR29" s="554"/>
      <c r="DS29" s="554"/>
      <c r="DT29" s="554"/>
      <c r="DU29" s="554"/>
      <c r="DV29" s="554"/>
      <c r="DW29" s="554"/>
      <c r="DX29" s="554"/>
      <c r="DY29" s="554"/>
      <c r="DZ29" s="554"/>
      <c r="EA29" s="554"/>
      <c r="EB29" s="554"/>
      <c r="EC29" s="554"/>
      <c r="ED29" s="554"/>
      <c r="EE29" s="554"/>
      <c r="EF29" s="554"/>
      <c r="EG29" s="554"/>
      <c r="EH29" s="554"/>
    </row>
    <row r="30" spans="1:138" ht="18">
      <c r="A30" s="109">
        <v>2003</v>
      </c>
      <c r="B30" s="346">
        <v>63.9</v>
      </c>
      <c r="C30" s="346">
        <v>12</v>
      </c>
      <c r="D30" s="346">
        <v>14.1</v>
      </c>
      <c r="E30" s="346">
        <v>7.8</v>
      </c>
      <c r="F30" s="346">
        <v>2.2000000000000002</v>
      </c>
      <c r="G30" s="311">
        <v>8900.5</v>
      </c>
      <c r="I30" s="311">
        <f t="shared" si="11"/>
        <v>29935.237244897962</v>
      </c>
      <c r="J30" s="109">
        <v>2009</v>
      </c>
      <c r="K30" s="300">
        <v>28697.5</v>
      </c>
      <c r="L30" s="311">
        <f t="shared" si="12"/>
        <v>29910.482500000002</v>
      </c>
      <c r="M30" s="326">
        <v>20411.61</v>
      </c>
      <c r="N30" s="327">
        <f t="shared" si="13"/>
        <v>2783.6574999999998</v>
      </c>
      <c r="O30" s="327">
        <f t="shared" si="14"/>
        <v>4275.9274999999998</v>
      </c>
      <c r="P30" s="327">
        <f t="shared" si="15"/>
        <v>1865.3375000000001</v>
      </c>
      <c r="Q30" s="322">
        <f t="shared" si="16"/>
        <v>573.95000000000005</v>
      </c>
      <c r="R30" s="137">
        <v>11.642689869793951</v>
      </c>
      <c r="S30" s="137">
        <v>2.4972789335593348</v>
      </c>
      <c r="T30" s="322">
        <v>66.896281588517056</v>
      </c>
      <c r="U30" s="322">
        <v>11921.085999999999</v>
      </c>
      <c r="V30" s="133">
        <v>16048.3</v>
      </c>
      <c r="W30" s="133">
        <v>82302.968999999997</v>
      </c>
      <c r="X30" s="116">
        <f t="shared" si="17"/>
        <v>0.02</v>
      </c>
      <c r="Y30" s="137">
        <f t="shared" si="19"/>
        <v>0.23350703954320939</v>
      </c>
      <c r="Z30" s="137">
        <f t="shared" si="20"/>
        <v>0.26644114952985676</v>
      </c>
      <c r="AA30" s="116">
        <f t="shared" si="21"/>
        <v>2.2664279583887188E-2</v>
      </c>
      <c r="AD30" s="524">
        <v>2020</v>
      </c>
      <c r="AE30" s="526"/>
      <c r="AF30" s="355">
        <f t="shared" si="29"/>
        <v>0.215</v>
      </c>
      <c r="AG30" s="526"/>
      <c r="AH30" s="355">
        <f t="shared" si="24"/>
        <v>0.30871711171113453</v>
      </c>
      <c r="AU30" s="329">
        <f t="shared" si="25"/>
        <v>0.215</v>
      </c>
      <c r="AV30" s="65">
        <f t="shared" si="26"/>
        <v>0.30871711171113453</v>
      </c>
      <c r="AX30" s="330">
        <v>2020</v>
      </c>
      <c r="AY30" s="282"/>
      <c r="AZ30" s="332">
        <f t="shared" si="27"/>
        <v>0.02</v>
      </c>
      <c r="BA30" s="282"/>
      <c r="BB30" s="332">
        <f t="shared" si="28"/>
        <v>5.0767860649666367E-2</v>
      </c>
      <c r="BO30" s="338">
        <f t="shared" si="22"/>
        <v>5.0767860649666367E-2</v>
      </c>
      <c r="BP30" s="339"/>
      <c r="BR30" s="330">
        <v>2020</v>
      </c>
      <c r="BS30" s="502"/>
      <c r="BT30" s="485"/>
      <c r="BU30" s="502"/>
      <c r="BV30" s="485">
        <f t="shared" si="30"/>
        <v>1.3243433869131604</v>
      </c>
      <c r="CL30" s="338">
        <f t="shared" si="23"/>
        <v>1.3243433869131604</v>
      </c>
    </row>
    <row r="31" spans="1:138" ht="18">
      <c r="A31" s="109">
        <v>2004</v>
      </c>
      <c r="B31" s="346">
        <v>65</v>
      </c>
      <c r="C31" s="346">
        <v>11.7</v>
      </c>
      <c r="D31" s="346">
        <v>12.8</v>
      </c>
      <c r="E31" s="346">
        <v>8.3000000000000007</v>
      </c>
      <c r="F31" s="346">
        <v>2.2000000000000002</v>
      </c>
      <c r="G31" s="311">
        <v>10976.3</v>
      </c>
      <c r="I31" s="311">
        <f t="shared" si="11"/>
        <v>22995.63</v>
      </c>
      <c r="J31" s="109">
        <v>2010</v>
      </c>
      <c r="K31" s="282">
        <v>32498.3</v>
      </c>
      <c r="L31" s="312"/>
      <c r="M31" s="120">
        <v>22995.63</v>
      </c>
      <c r="N31" s="13"/>
      <c r="O31" s="13"/>
      <c r="P31" s="13"/>
      <c r="Q31" s="14"/>
      <c r="R31" s="94">
        <v>12.664918040361862</v>
      </c>
      <c r="S31" s="94"/>
      <c r="T31" s="94">
        <v>69.715085293922698</v>
      </c>
      <c r="U31" s="367">
        <v>15093.736999999999</v>
      </c>
      <c r="V31" s="367">
        <v>17616.7</v>
      </c>
      <c r="W31" s="94"/>
      <c r="X31" s="94"/>
      <c r="Y31" s="94"/>
      <c r="Z31" s="94"/>
      <c r="AA31" s="94"/>
      <c r="AD31" s="524">
        <v>2021</v>
      </c>
      <c r="AE31" s="526"/>
      <c r="AF31" s="355">
        <f t="shared" si="29"/>
        <v>0.215</v>
      </c>
      <c r="AG31" s="526"/>
      <c r="AH31" s="355">
        <f t="shared" si="24"/>
        <v>0.30877868547742165</v>
      </c>
      <c r="AU31" s="329">
        <f t="shared" si="25"/>
        <v>0.215</v>
      </c>
      <c r="AV31" s="65">
        <f t="shared" si="26"/>
        <v>0.30877868547742165</v>
      </c>
      <c r="AX31" s="330">
        <v>2021</v>
      </c>
      <c r="AY31" s="282"/>
      <c r="AZ31" s="332">
        <f t="shared" si="27"/>
        <v>0.02</v>
      </c>
      <c r="BA31" s="282"/>
      <c r="BB31" s="332">
        <f t="shared" si="28"/>
        <v>5.1077685799334381E-2</v>
      </c>
      <c r="BO31" s="338">
        <f t="shared" si="22"/>
        <v>5.1077685799334381E-2</v>
      </c>
      <c r="BP31" s="339"/>
      <c r="BR31" s="330">
        <v>2021</v>
      </c>
      <c r="BS31" s="502"/>
      <c r="BT31" s="485"/>
      <c r="BU31" s="502"/>
      <c r="BV31" s="485">
        <f t="shared" si="30"/>
        <v>1.3243430194709975</v>
      </c>
      <c r="CL31" s="338">
        <f t="shared" si="23"/>
        <v>1.3243430194709975</v>
      </c>
    </row>
    <row r="32" spans="1:138" ht="18">
      <c r="A32" s="109">
        <v>2005</v>
      </c>
      <c r="B32" s="346">
        <v>63.6</v>
      </c>
      <c r="C32" s="346">
        <v>11.4</v>
      </c>
      <c r="D32" s="346">
        <v>12.7</v>
      </c>
      <c r="E32" s="346">
        <v>10.3</v>
      </c>
      <c r="F32" s="346">
        <v>2</v>
      </c>
      <c r="G32" s="311">
        <v>13819</v>
      </c>
      <c r="I32" s="311">
        <f t="shared" si="11"/>
        <v>26386.6754</v>
      </c>
      <c r="J32" s="109">
        <v>2011</v>
      </c>
      <c r="K32" s="282">
        <v>35648.699999999997</v>
      </c>
      <c r="L32" s="312"/>
      <c r="M32" s="120">
        <v>26386.6754</v>
      </c>
      <c r="N32" s="13"/>
      <c r="O32" s="13"/>
      <c r="P32" s="13"/>
      <c r="Q32" s="14"/>
      <c r="R32" s="94">
        <v>13.437478040823935</v>
      </c>
      <c r="S32" s="94"/>
      <c r="T32" s="94">
        <v>71.765752104766392</v>
      </c>
      <c r="U32" s="94">
        <v>25148.861699999998</v>
      </c>
      <c r="V32" s="94">
        <v>19995</v>
      </c>
      <c r="W32" s="94"/>
      <c r="X32" s="94"/>
      <c r="Y32" s="94"/>
      <c r="Z32" s="94"/>
      <c r="AA32" s="94"/>
      <c r="AD32" s="524">
        <v>2022</v>
      </c>
      <c r="AE32" s="526"/>
      <c r="AF32" s="355">
        <f t="shared" si="29"/>
        <v>0.215</v>
      </c>
      <c r="AG32" s="526"/>
      <c r="AH32" s="355">
        <f t="shared" si="24"/>
        <v>0.30881562973719395</v>
      </c>
      <c r="AU32" s="329">
        <f t="shared" si="25"/>
        <v>0.215</v>
      </c>
      <c r="AV32" s="65">
        <f t="shared" si="26"/>
        <v>0.30881562973719395</v>
      </c>
      <c r="AX32" s="330">
        <v>2022</v>
      </c>
      <c r="AY32" s="282"/>
      <c r="AZ32" s="332">
        <f t="shared" si="27"/>
        <v>0.02</v>
      </c>
      <c r="BA32" s="282"/>
      <c r="BB32" s="332">
        <f t="shared" si="28"/>
        <v>5.1310054661585391E-2</v>
      </c>
      <c r="BO32" s="338">
        <f t="shared" si="22"/>
        <v>5.1310054661585391E-2</v>
      </c>
      <c r="BP32" s="339"/>
      <c r="BR32" s="330">
        <v>2022</v>
      </c>
      <c r="BS32" s="502"/>
      <c r="BT32" s="485"/>
      <c r="BU32" s="502"/>
      <c r="BV32" s="485">
        <f t="shared" si="30"/>
        <v>1.3243429092383487</v>
      </c>
      <c r="CL32" s="338">
        <f t="shared" si="23"/>
        <v>1.3243429092383487</v>
      </c>
    </row>
    <row r="33" spans="1:90" ht="18">
      <c r="A33" s="109">
        <v>2006</v>
      </c>
      <c r="B33" s="346">
        <v>65</v>
      </c>
      <c r="C33" s="346">
        <v>11.1</v>
      </c>
      <c r="D33" s="346">
        <v>12</v>
      </c>
      <c r="E33" s="346">
        <v>10</v>
      </c>
      <c r="F33" s="346">
        <v>1.9</v>
      </c>
      <c r="G33" s="311">
        <v>17290</v>
      </c>
      <c r="I33" s="311">
        <f t="shared" si="11"/>
        <v>0</v>
      </c>
      <c r="J33" s="109">
        <v>2012</v>
      </c>
      <c r="K33" s="282"/>
      <c r="L33" s="312"/>
      <c r="M33" s="120"/>
      <c r="N33" s="13"/>
      <c r="O33" s="13"/>
      <c r="P33" s="13"/>
      <c r="Q33" s="14"/>
      <c r="R33" s="94">
        <v>14.321664095910151</v>
      </c>
      <c r="S33" s="94"/>
      <c r="T33" s="94">
        <v>73.846746364363511</v>
      </c>
      <c r="U33" s="94">
        <v>28132.032800000001</v>
      </c>
      <c r="V33" s="94">
        <v>23175</v>
      </c>
      <c r="W33" s="94"/>
      <c r="X33" s="94"/>
      <c r="Y33" s="94"/>
      <c r="Z33" s="94"/>
      <c r="AA33" s="94"/>
      <c r="AD33" s="524">
        <v>2023</v>
      </c>
      <c r="AE33" s="526"/>
      <c r="AF33" s="355">
        <f t="shared" si="29"/>
        <v>0.215</v>
      </c>
      <c r="AG33" s="526"/>
      <c r="AH33" s="355">
        <f t="shared" si="24"/>
        <v>0.30883779629305735</v>
      </c>
      <c r="AU33" s="329">
        <f t="shared" si="25"/>
        <v>0.215</v>
      </c>
      <c r="AV33" s="65">
        <f t="shared" si="26"/>
        <v>0.30883779629305735</v>
      </c>
      <c r="AX33" s="330">
        <v>2023</v>
      </c>
      <c r="AY33" s="282"/>
      <c r="AZ33" s="332">
        <f t="shared" si="27"/>
        <v>0.02</v>
      </c>
      <c r="BA33" s="282"/>
      <c r="BB33" s="332">
        <f t="shared" si="28"/>
        <v>5.1484331308273651E-2</v>
      </c>
      <c r="BO33" s="338">
        <f t="shared" si="22"/>
        <v>5.1484331308273651E-2</v>
      </c>
      <c r="BP33" s="339"/>
      <c r="BR33" s="330">
        <v>2023</v>
      </c>
      <c r="BS33" s="502"/>
      <c r="BT33" s="485"/>
      <c r="BU33" s="502"/>
      <c r="BV33" s="485">
        <f t="shared" si="30"/>
        <v>1.3243428761685541</v>
      </c>
      <c r="CL33" s="338">
        <f t="shared" si="23"/>
        <v>1.3243428761685541</v>
      </c>
    </row>
    <row r="34" spans="1:90" ht="18">
      <c r="A34" s="109">
        <v>2007</v>
      </c>
      <c r="B34" s="346">
        <v>67.5</v>
      </c>
      <c r="C34" s="346">
        <v>10</v>
      </c>
      <c r="D34" s="346">
        <v>11.6</v>
      </c>
      <c r="E34" s="346">
        <v>8.9</v>
      </c>
      <c r="F34" s="346">
        <v>2</v>
      </c>
      <c r="G34" s="311">
        <v>21312</v>
      </c>
      <c r="I34" s="311">
        <f t="shared" si="11"/>
        <v>0</v>
      </c>
      <c r="J34" s="109">
        <v>2013</v>
      </c>
      <c r="K34" s="282"/>
      <c r="L34" s="312"/>
      <c r="M34" s="120"/>
      <c r="N34" s="13"/>
      <c r="O34" s="13"/>
      <c r="P34" s="13"/>
      <c r="Q34" s="14"/>
      <c r="R34" s="94">
        <v>15.245411430096356</v>
      </c>
      <c r="S34" s="94"/>
      <c r="T34" s="94">
        <v>75.560123440531513</v>
      </c>
      <c r="U34" s="94">
        <v>29279.293399999999</v>
      </c>
      <c r="V34" s="94">
        <v>25290</v>
      </c>
      <c r="W34" s="94"/>
      <c r="X34" s="94"/>
      <c r="Y34" s="94"/>
      <c r="Z34" s="94"/>
      <c r="AA34" s="94"/>
      <c r="AD34" s="527">
        <v>2024</v>
      </c>
      <c r="AE34" s="528"/>
      <c r="AF34" s="355">
        <f t="shared" si="29"/>
        <v>0.215</v>
      </c>
      <c r="AG34" s="528"/>
      <c r="AH34" s="355">
        <f t="shared" si="24"/>
        <v>0.30885109622657542</v>
      </c>
      <c r="AU34" s="329">
        <f t="shared" si="25"/>
        <v>0.215</v>
      </c>
      <c r="AV34" s="65">
        <f t="shared" si="26"/>
        <v>0.30885109622657542</v>
      </c>
      <c r="AX34" s="114">
        <v>2024</v>
      </c>
      <c r="AY34" s="102"/>
      <c r="AZ34" s="332">
        <f t="shared" si="27"/>
        <v>0.02</v>
      </c>
      <c r="BA34" s="102"/>
      <c r="BB34" s="332">
        <f t="shared" si="28"/>
        <v>5.1615038793289846E-2</v>
      </c>
      <c r="BO34" s="338">
        <f t="shared" si="22"/>
        <v>5.1615038793289846E-2</v>
      </c>
      <c r="BP34" s="339"/>
      <c r="BR34" s="114">
        <v>2024</v>
      </c>
      <c r="BS34" s="531"/>
      <c r="BT34" s="485"/>
      <c r="BU34" s="531"/>
      <c r="BV34" s="485">
        <f t="shared" si="30"/>
        <v>1.3243428662476155</v>
      </c>
      <c r="CL34" s="338">
        <f t="shared" si="23"/>
        <v>1.3243428662476155</v>
      </c>
    </row>
    <row r="35" spans="1:90" ht="18">
      <c r="A35" s="109">
        <v>2008</v>
      </c>
      <c r="B35" s="346">
        <v>68.400000000000006</v>
      </c>
      <c r="C35" s="346">
        <v>10.199999999999999</v>
      </c>
      <c r="D35" s="346">
        <v>13.2</v>
      </c>
      <c r="E35" s="346">
        <v>6.2</v>
      </c>
      <c r="F35" s="346">
        <v>2</v>
      </c>
      <c r="G35" s="311">
        <v>25235</v>
      </c>
      <c r="I35" s="311">
        <f t="shared" si="11"/>
        <v>0</v>
      </c>
      <c r="J35" s="109">
        <v>2014</v>
      </c>
      <c r="K35" s="282"/>
      <c r="L35" s="312"/>
      <c r="M35" s="120"/>
      <c r="N35" s="13"/>
      <c r="O35" s="13"/>
      <c r="P35" s="13"/>
      <c r="Q35" s="14"/>
      <c r="R35" s="94">
        <v>17.318787384589459</v>
      </c>
      <c r="S35" s="94"/>
      <c r="T35" s="94">
        <v>76.007477976215441</v>
      </c>
      <c r="U35" s="94">
        <v>30623.78</v>
      </c>
      <c r="V35" s="94">
        <v>27612</v>
      </c>
      <c r="W35" s="94"/>
      <c r="X35" s="94"/>
      <c r="Y35" s="94"/>
      <c r="Z35" s="94"/>
      <c r="AA35" s="94"/>
      <c r="AD35" s="524">
        <v>2025</v>
      </c>
      <c r="AE35" s="526"/>
      <c r="AF35" s="355">
        <f t="shared" si="29"/>
        <v>0.215</v>
      </c>
      <c r="AG35" s="526"/>
      <c r="AH35" s="355">
        <f t="shared" si="24"/>
        <v>0.30885907618668623</v>
      </c>
      <c r="AU35" s="329">
        <f t="shared" si="25"/>
        <v>0.215</v>
      </c>
      <c r="AV35" s="65">
        <f t="shared" si="26"/>
        <v>0.30885907618668623</v>
      </c>
      <c r="AX35" s="330">
        <v>2025</v>
      </c>
      <c r="AY35" s="282"/>
      <c r="AZ35" s="332">
        <f t="shared" si="27"/>
        <v>0.02</v>
      </c>
      <c r="BA35" s="282"/>
      <c r="BB35" s="332">
        <f t="shared" si="28"/>
        <v>5.171306940705199E-2</v>
      </c>
      <c r="BO35" s="338">
        <f t="shared" si="22"/>
        <v>5.171306940705199E-2</v>
      </c>
      <c r="BP35" s="339"/>
      <c r="BR35" s="330">
        <v>2025</v>
      </c>
      <c r="BS35" s="502"/>
      <c r="BT35" s="485"/>
      <c r="BU35" s="502"/>
      <c r="BV35" s="485">
        <f t="shared" si="30"/>
        <v>1.3243428632713341</v>
      </c>
      <c r="CL35" s="338">
        <f t="shared" si="23"/>
        <v>1.3243428632713341</v>
      </c>
    </row>
    <row r="36" spans="1:90" ht="18">
      <c r="A36" s="110">
        <v>2009</v>
      </c>
      <c r="B36" s="346">
        <v>66.900000000000006</v>
      </c>
      <c r="C36" s="346">
        <v>9.6999999999999993</v>
      </c>
      <c r="D36" s="346">
        <v>14.9</v>
      </c>
      <c r="E36" s="346">
        <v>6.5</v>
      </c>
      <c r="F36" s="346">
        <v>2</v>
      </c>
      <c r="G36" s="345">
        <v>28502</v>
      </c>
      <c r="I36" s="311">
        <f t="shared" si="11"/>
        <v>0</v>
      </c>
      <c r="J36" s="110">
        <v>2015</v>
      </c>
      <c r="K36" s="283"/>
      <c r="L36" s="313"/>
      <c r="M36" s="121"/>
      <c r="N36" s="25"/>
      <c r="O36" s="25"/>
      <c r="P36" s="25"/>
      <c r="Q36" s="315"/>
      <c r="R36" s="309">
        <v>19.552910957201501</v>
      </c>
      <c r="S36" s="309"/>
      <c r="T36" s="309">
        <v>74.205557755695821</v>
      </c>
      <c r="U36" s="309">
        <v>34077.79</v>
      </c>
      <c r="V36" s="309">
        <v>29742</v>
      </c>
      <c r="W36" s="309"/>
      <c r="X36" s="309"/>
      <c r="Y36" s="309"/>
      <c r="Z36" s="309"/>
      <c r="AA36" s="309"/>
      <c r="AD36" s="527">
        <v>2026</v>
      </c>
      <c r="AE36" s="528"/>
      <c r="AF36" s="355">
        <f t="shared" si="29"/>
        <v>0.215</v>
      </c>
      <c r="AG36" s="528"/>
      <c r="AH36" s="355">
        <f t="shared" si="24"/>
        <v>0.30886386416275274</v>
      </c>
      <c r="AU36" s="329">
        <f t="shared" si="25"/>
        <v>0.215</v>
      </c>
      <c r="AV36" s="65">
        <f t="shared" si="26"/>
        <v>0.30886386416275274</v>
      </c>
      <c r="AX36" s="114">
        <v>2026</v>
      </c>
      <c r="AY36" s="102"/>
      <c r="AZ36" s="332">
        <f t="shared" si="27"/>
        <v>0.02</v>
      </c>
      <c r="BA36" s="102"/>
      <c r="BB36" s="332">
        <f t="shared" si="28"/>
        <v>5.1786592367373596E-2</v>
      </c>
      <c r="BO36" s="338">
        <f t="shared" si="22"/>
        <v>5.1786592367373596E-2</v>
      </c>
      <c r="BP36" s="339"/>
      <c r="BR36" s="114">
        <v>2026</v>
      </c>
      <c r="BS36" s="531"/>
      <c r="BT36" s="485"/>
      <c r="BU36" s="531"/>
      <c r="BV36" s="485">
        <f t="shared" si="30"/>
        <v>1.3243428623784497</v>
      </c>
      <c r="CL36" s="338">
        <f t="shared" si="23"/>
        <v>1.3243428623784497</v>
      </c>
    </row>
    <row r="37" spans="1:90" ht="18">
      <c r="AD37" s="524">
        <v>2027</v>
      </c>
      <c r="AE37" s="526"/>
      <c r="AF37" s="355">
        <f t="shared" si="29"/>
        <v>0.215</v>
      </c>
      <c r="AG37" s="526"/>
      <c r="AH37" s="355">
        <f t="shared" si="24"/>
        <v>0.30886673694839267</v>
      </c>
      <c r="AU37" s="329">
        <f t="shared" si="25"/>
        <v>0.215</v>
      </c>
      <c r="AV37" s="65">
        <f t="shared" si="26"/>
        <v>0.30886673694839267</v>
      </c>
      <c r="AX37" s="330">
        <v>2027</v>
      </c>
      <c r="AY37" s="282"/>
      <c r="AZ37" s="332">
        <f t="shared" si="27"/>
        <v>0.02</v>
      </c>
      <c r="BA37" s="282"/>
      <c r="BB37" s="332">
        <f t="shared" si="28"/>
        <v>5.1841734587614804E-2</v>
      </c>
      <c r="BO37" s="338">
        <f t="shared" si="22"/>
        <v>5.1841734587614804E-2</v>
      </c>
      <c r="BP37" s="339"/>
      <c r="BR37" s="330">
        <v>2027</v>
      </c>
      <c r="BS37" s="502"/>
      <c r="BT37" s="485"/>
      <c r="BU37" s="502"/>
      <c r="BV37" s="485">
        <f t="shared" si="30"/>
        <v>1.3243428621105844</v>
      </c>
      <c r="CL37" s="338">
        <f t="shared" si="23"/>
        <v>1.3243428621105844</v>
      </c>
    </row>
    <row r="38" spans="1:90" ht="18">
      <c r="E38" s="86"/>
      <c r="F38" s="248"/>
      <c r="H38" s="70"/>
      <c r="I38" s="70"/>
      <c r="J38" s="70"/>
      <c r="K38" s="70"/>
      <c r="L38" s="70"/>
      <c r="M38" s="245"/>
      <c r="AD38" s="527">
        <v>2028</v>
      </c>
      <c r="AE38" s="528"/>
      <c r="AF38" s="355">
        <f t="shared" si="29"/>
        <v>0.215</v>
      </c>
      <c r="AG38" s="528"/>
      <c r="AH38" s="355">
        <f t="shared" si="24"/>
        <v>0.30886846061977663</v>
      </c>
      <c r="AU38" s="329">
        <f t="shared" si="25"/>
        <v>0.215</v>
      </c>
      <c r="AV38" s="65">
        <f t="shared" si="26"/>
        <v>0.30886846061977663</v>
      </c>
      <c r="AX38" s="114">
        <v>2028</v>
      </c>
      <c r="AY38" s="102"/>
      <c r="AZ38" s="332">
        <f t="shared" si="27"/>
        <v>0.02</v>
      </c>
      <c r="BA38" s="102"/>
      <c r="BB38" s="332">
        <f t="shared" si="28"/>
        <v>5.1883091252795707E-2</v>
      </c>
      <c r="BO38" s="338">
        <f t="shared" si="22"/>
        <v>5.1883091252795707E-2</v>
      </c>
      <c r="BP38" s="339"/>
      <c r="BR38" s="114">
        <v>2028</v>
      </c>
      <c r="BS38" s="531"/>
      <c r="BT38" s="485"/>
      <c r="BU38" s="531"/>
      <c r="BV38" s="485">
        <f t="shared" si="30"/>
        <v>1.3243428620302249</v>
      </c>
      <c r="CL38" s="338">
        <f t="shared" si="23"/>
        <v>1.3243428620302249</v>
      </c>
    </row>
    <row r="39" spans="1:90" ht="18">
      <c r="E39" s="86"/>
      <c r="F39" s="248"/>
      <c r="G39" s="70"/>
      <c r="H39" s="70"/>
      <c r="I39" s="70"/>
      <c r="J39" s="70"/>
      <c r="K39" s="70"/>
      <c r="L39" s="245"/>
      <c r="AD39" s="524">
        <v>2029</v>
      </c>
      <c r="AE39" s="526"/>
      <c r="AF39" s="355">
        <f t="shared" si="29"/>
        <v>0.215</v>
      </c>
      <c r="AG39" s="526"/>
      <c r="AH39" s="355">
        <f t="shared" si="24"/>
        <v>0.308869494822607</v>
      </c>
      <c r="AU39" s="329">
        <f t="shared" si="25"/>
        <v>0.215</v>
      </c>
      <c r="AV39" s="65">
        <f t="shared" si="26"/>
        <v>0.308869494822607</v>
      </c>
      <c r="AX39" s="330">
        <v>2029</v>
      </c>
      <c r="AY39" s="282"/>
      <c r="AZ39" s="332">
        <f t="shared" si="27"/>
        <v>0.02</v>
      </c>
      <c r="BA39" s="282"/>
      <c r="BB39" s="332">
        <f t="shared" si="28"/>
        <v>5.1914108751681384E-2</v>
      </c>
      <c r="BO39" s="338">
        <f t="shared" si="22"/>
        <v>5.1914108751681384E-2</v>
      </c>
      <c r="BP39" s="339"/>
      <c r="BR39" s="330">
        <v>2029</v>
      </c>
      <c r="BS39" s="502"/>
      <c r="BT39" s="485"/>
      <c r="BU39" s="502"/>
      <c r="BV39" s="485">
        <f t="shared" si="30"/>
        <v>1.3243428620061171</v>
      </c>
      <c r="CL39" s="338">
        <f t="shared" si="23"/>
        <v>1.3243428620061171</v>
      </c>
    </row>
    <row r="40" spans="1:90" ht="18">
      <c r="E40" s="86"/>
      <c r="F40" s="248"/>
      <c r="G40" s="70"/>
      <c r="H40" s="70"/>
      <c r="I40" s="70"/>
      <c r="J40" s="70"/>
      <c r="K40" s="70"/>
      <c r="L40" s="245"/>
      <c r="AD40" s="529">
        <v>2030</v>
      </c>
      <c r="AE40" s="530"/>
      <c r="AF40" s="357">
        <f t="shared" si="29"/>
        <v>0.215</v>
      </c>
      <c r="AG40" s="530"/>
      <c r="AH40" s="357">
        <f t="shared" si="24"/>
        <v>0.30887011534430525</v>
      </c>
      <c r="AU40" s="334">
        <f t="shared" si="25"/>
        <v>0.215</v>
      </c>
      <c r="AV40" s="67">
        <f t="shared" si="26"/>
        <v>0.30887011534430525</v>
      </c>
      <c r="AX40" s="115">
        <v>2030</v>
      </c>
      <c r="AY40" s="103"/>
      <c r="AZ40" s="333">
        <f t="shared" si="27"/>
        <v>0.02</v>
      </c>
      <c r="BA40" s="103"/>
      <c r="BB40" s="333">
        <f t="shared" si="28"/>
        <v>5.1937371875845642E-2</v>
      </c>
      <c r="BO40" s="340">
        <f t="shared" si="22"/>
        <v>5.1937371875845642E-2</v>
      </c>
      <c r="BP40" s="341"/>
      <c r="BR40" s="115">
        <v>2030</v>
      </c>
      <c r="BS40" s="532"/>
      <c r="BT40" s="486"/>
      <c r="BU40" s="532"/>
      <c r="BV40" s="485">
        <f t="shared" si="30"/>
        <v>1.3243428619988846</v>
      </c>
      <c r="CL40" s="340">
        <f t="shared" si="23"/>
        <v>1.3243428619988846</v>
      </c>
    </row>
    <row r="41" spans="1:90">
      <c r="E41" s="86"/>
      <c r="F41" s="248"/>
      <c r="G41" s="70"/>
      <c r="H41" s="70"/>
      <c r="I41" s="70"/>
      <c r="J41" s="70"/>
      <c r="K41" s="70"/>
      <c r="L41" s="245"/>
    </row>
    <row r="42" spans="1:90">
      <c r="E42" s="86"/>
      <c r="F42" s="248"/>
      <c r="G42" s="70"/>
      <c r="H42" s="70"/>
      <c r="I42" s="70"/>
      <c r="J42" s="70"/>
      <c r="K42" s="70"/>
      <c r="L42" s="245"/>
    </row>
    <row r="43" spans="1:90">
      <c r="E43" s="86"/>
      <c r="F43" s="248"/>
      <c r="G43" s="70"/>
      <c r="H43" s="70"/>
      <c r="I43" s="70"/>
      <c r="J43" s="70"/>
      <c r="K43" s="70"/>
      <c r="L43" s="245"/>
    </row>
    <row r="44" spans="1:90">
      <c r="E44" s="86"/>
      <c r="F44" s="248"/>
      <c r="G44" s="70"/>
      <c r="H44" s="70"/>
      <c r="I44" s="70"/>
      <c r="J44" s="70"/>
      <c r="K44" s="70"/>
      <c r="L44" s="245"/>
    </row>
    <row r="45" spans="1:90">
      <c r="E45" s="86"/>
      <c r="F45" s="248"/>
      <c r="G45" s="70"/>
      <c r="H45" s="70"/>
      <c r="I45" s="70"/>
      <c r="J45" s="70"/>
      <c r="K45" s="70"/>
      <c r="L45" s="245"/>
    </row>
    <row r="46" spans="1:90" ht="17.399999999999999">
      <c r="E46" s="70"/>
      <c r="F46" s="33"/>
      <c r="G46" s="70"/>
      <c r="H46" s="70"/>
      <c r="I46" s="70"/>
      <c r="J46" s="70"/>
      <c r="K46" s="70"/>
      <c r="L46" s="71"/>
      <c r="BD46" s="839"/>
      <c r="BE46" s="840" t="s">
        <v>1262</v>
      </c>
      <c r="BF46" s="840"/>
      <c r="BG46" s="840"/>
      <c r="BH46" s="840"/>
      <c r="BI46" s="840"/>
      <c r="BJ46" s="840"/>
      <c r="BK46" s="841"/>
      <c r="BL46" s="842"/>
    </row>
    <row r="47" spans="1:90" ht="17.399999999999999">
      <c r="E47" s="86"/>
      <c r="F47" s="248"/>
      <c r="G47" s="70"/>
      <c r="H47" s="70"/>
      <c r="I47" s="70"/>
      <c r="J47" s="70"/>
      <c r="K47" s="70"/>
      <c r="L47" s="245"/>
      <c r="BD47" s="792"/>
      <c r="BE47" s="837"/>
      <c r="BF47" s="837"/>
      <c r="BG47" s="837"/>
      <c r="BH47" s="837"/>
      <c r="BI47" s="837"/>
      <c r="BJ47" s="837"/>
      <c r="BK47" s="774"/>
      <c r="BL47" s="776"/>
    </row>
    <row r="48" spans="1:90" ht="17.399999999999999">
      <c r="BD48" s="782"/>
      <c r="BE48" s="838" t="s">
        <v>1263</v>
      </c>
      <c r="BF48" s="838"/>
      <c r="BG48" s="765"/>
      <c r="BH48" s="765"/>
      <c r="BI48" s="765"/>
      <c r="BJ48" s="765"/>
      <c r="BK48" s="765"/>
      <c r="BL48" s="777"/>
    </row>
    <row r="49" spans="2:139">
      <c r="B49" s="307"/>
      <c r="C49" s="308">
        <v>1970</v>
      </c>
      <c r="D49" s="308">
        <v>1975</v>
      </c>
      <c r="E49" s="308">
        <v>1980</v>
      </c>
      <c r="F49" s="308">
        <v>1985</v>
      </c>
      <c r="G49" s="308">
        <v>1990</v>
      </c>
      <c r="H49" s="308">
        <v>1991</v>
      </c>
      <c r="I49" s="308">
        <v>1992</v>
      </c>
      <c r="J49" s="308">
        <v>1993</v>
      </c>
      <c r="K49" s="308">
        <v>1994</v>
      </c>
      <c r="L49" s="308">
        <v>1995</v>
      </c>
      <c r="M49" s="308">
        <v>1996</v>
      </c>
      <c r="N49" s="308">
        <v>1997</v>
      </c>
      <c r="O49" s="308">
        <v>1998</v>
      </c>
      <c r="P49" s="747">
        <v>1999</v>
      </c>
      <c r="Q49" s="747">
        <v>2000</v>
      </c>
      <c r="R49" s="747">
        <v>2001</v>
      </c>
      <c r="S49" s="747">
        <v>2002</v>
      </c>
      <c r="T49" s="747">
        <v>2003</v>
      </c>
      <c r="U49" s="747">
        <v>2004</v>
      </c>
      <c r="V49" s="747">
        <v>2005</v>
      </c>
      <c r="W49" s="747">
        <v>2006</v>
      </c>
      <c r="X49" s="747">
        <v>2007</v>
      </c>
      <c r="Y49" s="747">
        <v>2008</v>
      </c>
      <c r="Z49" s="747">
        <v>2009</v>
      </c>
      <c r="BD49" s="782"/>
      <c r="BE49" s="765"/>
      <c r="BF49" s="765"/>
      <c r="BG49" s="765"/>
      <c r="BH49" s="765"/>
      <c r="BI49" s="765"/>
      <c r="BJ49" s="765"/>
      <c r="BK49" s="765"/>
      <c r="BL49" s="777"/>
    </row>
    <row r="50" spans="2:139" ht="25.5" customHeight="1">
      <c r="B50" s="744" t="s">
        <v>63</v>
      </c>
      <c r="C50" s="740">
        <v>115.6</v>
      </c>
      <c r="D50" s="740">
        <v>160.19999999999999</v>
      </c>
      <c r="E50" s="740">
        <v>201.8</v>
      </c>
      <c r="F50" s="740">
        <v>244.7</v>
      </c>
      <c r="G50" s="740">
        <v>383.2</v>
      </c>
      <c r="H50" s="740">
        <v>830.5</v>
      </c>
      <c r="I50" s="740">
        <v>7099.9</v>
      </c>
      <c r="J50" s="740">
        <v>79949</v>
      </c>
      <c r="K50" s="740">
        <v>364834.1</v>
      </c>
      <c r="L50" s="740">
        <v>910921.63500000001</v>
      </c>
      <c r="M50" s="740">
        <v>1357073.433</v>
      </c>
      <c r="N50" s="740">
        <v>1656405.0719999999</v>
      </c>
      <c r="O50" s="740">
        <v>1776032.351</v>
      </c>
      <c r="P50" s="740">
        <v>2908.1</v>
      </c>
      <c r="Q50" s="740">
        <v>3983.9</v>
      </c>
      <c r="R50" s="740">
        <v>5325.8</v>
      </c>
      <c r="S50" s="740">
        <v>6831</v>
      </c>
      <c r="T50" s="740">
        <v>8900.5</v>
      </c>
      <c r="U50" s="740">
        <v>10976.3</v>
      </c>
      <c r="V50" s="740">
        <v>13819</v>
      </c>
      <c r="W50" s="740">
        <v>17290.099999999999</v>
      </c>
      <c r="X50" s="740">
        <v>21311.5</v>
      </c>
      <c r="Y50" s="740">
        <v>25231.599999999999</v>
      </c>
      <c r="Z50" s="740">
        <v>28452.3</v>
      </c>
      <c r="BD50" s="782"/>
      <c r="BE50" s="838" t="s">
        <v>1388</v>
      </c>
      <c r="BF50" s="765"/>
      <c r="BG50" s="765"/>
      <c r="BH50" s="765"/>
      <c r="BI50" s="765"/>
      <c r="BJ50" s="765"/>
      <c r="BK50" s="765"/>
      <c r="BL50" s="777"/>
      <c r="CS50" t="s">
        <v>1378</v>
      </c>
    </row>
    <row r="51" spans="2:139" ht="22.5" customHeight="1">
      <c r="B51" s="745" t="s">
        <v>64</v>
      </c>
      <c r="C51" s="741"/>
      <c r="D51" s="741"/>
      <c r="E51" s="741"/>
      <c r="F51" s="741"/>
      <c r="G51" s="741"/>
      <c r="H51" s="741"/>
      <c r="I51" s="741"/>
      <c r="J51" s="741"/>
      <c r="K51" s="741"/>
      <c r="L51" s="741"/>
      <c r="M51" s="741"/>
      <c r="N51" s="741"/>
      <c r="O51" s="741"/>
      <c r="P51" s="741"/>
      <c r="Q51" s="741"/>
      <c r="R51" s="741"/>
      <c r="S51" s="741"/>
      <c r="T51" s="741"/>
      <c r="U51" s="741"/>
      <c r="V51" s="741"/>
      <c r="W51" s="741"/>
      <c r="X51" s="741"/>
      <c r="Y51" s="740"/>
      <c r="Z51" s="740"/>
      <c r="BD51" s="782"/>
      <c r="BE51" s="765"/>
      <c r="BF51" s="765"/>
      <c r="BG51" s="765"/>
      <c r="BH51" s="765"/>
      <c r="BI51" s="765"/>
      <c r="BJ51" s="765"/>
      <c r="BK51" s="765"/>
      <c r="BL51" s="777"/>
    </row>
    <row r="52" spans="2:139" ht="22.5" customHeight="1">
      <c r="B52" s="746" t="s">
        <v>65</v>
      </c>
      <c r="C52" s="740">
        <v>83.3</v>
      </c>
      <c r="D52" s="740">
        <v>80.7</v>
      </c>
      <c r="E52" s="740">
        <v>79.8</v>
      </c>
      <c r="F52" s="740">
        <v>77.2</v>
      </c>
      <c r="G52" s="740">
        <v>76.400000000000006</v>
      </c>
      <c r="H52" s="742">
        <v>62.5</v>
      </c>
      <c r="I52" s="742">
        <v>73.599999999999994</v>
      </c>
      <c r="J52" s="743">
        <v>61.1</v>
      </c>
      <c r="K52" s="743">
        <v>64.5</v>
      </c>
      <c r="L52" s="740">
        <v>62.8</v>
      </c>
      <c r="M52" s="740">
        <v>65.900000000000006</v>
      </c>
      <c r="N52" s="740">
        <v>65.599999999999994</v>
      </c>
      <c r="O52" s="740">
        <v>65.8</v>
      </c>
      <c r="P52" s="743">
        <v>66.5</v>
      </c>
      <c r="Q52" s="740">
        <v>62.8</v>
      </c>
      <c r="R52" s="740">
        <v>64.599999999999994</v>
      </c>
      <c r="S52" s="740">
        <v>65.8</v>
      </c>
      <c r="T52" s="740">
        <v>63.9</v>
      </c>
      <c r="U52" s="740">
        <v>65</v>
      </c>
      <c r="V52" s="740">
        <v>63.6</v>
      </c>
      <c r="W52" s="740">
        <v>65</v>
      </c>
      <c r="X52" s="740">
        <v>67.5</v>
      </c>
      <c r="Y52" s="740">
        <v>68.400000000000006</v>
      </c>
      <c r="Z52" s="740">
        <v>66.900000000000006</v>
      </c>
      <c r="BD52" s="782"/>
      <c r="BE52" s="838" t="s">
        <v>1264</v>
      </c>
      <c r="BF52" s="765"/>
      <c r="BG52" s="765"/>
      <c r="BH52" s="765"/>
      <c r="BI52" s="765"/>
      <c r="BJ52" s="765"/>
      <c r="BK52" s="765"/>
      <c r="BL52" s="777"/>
    </row>
    <row r="53" spans="2:139" ht="24.75" customHeight="1">
      <c r="B53" s="746" t="s">
        <v>66</v>
      </c>
      <c r="C53" s="740">
        <v>2.5</v>
      </c>
      <c r="D53" s="740">
        <v>2.7</v>
      </c>
      <c r="E53" s="740">
        <v>2.2000000000000002</v>
      </c>
      <c r="F53" s="740">
        <v>2.7</v>
      </c>
      <c r="G53" s="740">
        <v>3.7</v>
      </c>
      <c r="H53" s="740">
        <v>4.0999999999999996</v>
      </c>
      <c r="I53" s="740">
        <v>8.4</v>
      </c>
      <c r="J53" s="743">
        <v>18.600000000000001</v>
      </c>
      <c r="K53" s="743">
        <v>16</v>
      </c>
      <c r="L53" s="742">
        <v>16.399999999999999</v>
      </c>
      <c r="M53" s="742">
        <v>13.6</v>
      </c>
      <c r="N53" s="740">
        <v>13</v>
      </c>
      <c r="O53" s="740">
        <v>14.4</v>
      </c>
      <c r="P53" s="743">
        <v>12.4</v>
      </c>
      <c r="Q53" s="740">
        <v>15.4</v>
      </c>
      <c r="R53" s="740">
        <v>12.6</v>
      </c>
      <c r="S53" s="740">
        <v>11.9</v>
      </c>
      <c r="T53" s="740">
        <v>12</v>
      </c>
      <c r="U53" s="740">
        <v>11.7</v>
      </c>
      <c r="V53" s="740">
        <v>11.4</v>
      </c>
      <c r="W53" s="740">
        <v>11.1</v>
      </c>
      <c r="X53" s="740">
        <v>10</v>
      </c>
      <c r="Y53" s="740">
        <v>10.199999999999999</v>
      </c>
      <c r="Z53" s="740">
        <v>9.6999999999999993</v>
      </c>
      <c r="BD53" s="782"/>
      <c r="BE53" s="838"/>
      <c r="BF53" s="765"/>
      <c r="BG53" s="765"/>
      <c r="BH53" s="765"/>
      <c r="BI53" s="765"/>
      <c r="BJ53" s="765"/>
      <c r="BK53" s="765"/>
      <c r="BL53" s="777"/>
      <c r="BM53" s="1013" t="s">
        <v>106</v>
      </c>
    </row>
    <row r="54" spans="2:139" ht="21" customHeight="1">
      <c r="B54" s="746" t="s">
        <v>67</v>
      </c>
      <c r="C54" s="740">
        <v>12.6</v>
      </c>
      <c r="D54" s="740">
        <v>14</v>
      </c>
      <c r="E54" s="740">
        <v>15.1</v>
      </c>
      <c r="F54" s="740">
        <v>16.3</v>
      </c>
      <c r="G54" s="740">
        <v>14.7</v>
      </c>
      <c r="H54" s="740">
        <v>16.399999999999999</v>
      </c>
      <c r="I54" s="740">
        <v>14.3</v>
      </c>
      <c r="J54" s="740">
        <v>15</v>
      </c>
      <c r="K54" s="740">
        <v>13.5</v>
      </c>
      <c r="L54" s="740">
        <v>13.1</v>
      </c>
      <c r="M54" s="740">
        <v>14</v>
      </c>
      <c r="N54" s="742">
        <v>14.8</v>
      </c>
      <c r="O54" s="742">
        <v>13.4</v>
      </c>
      <c r="P54" s="743">
        <v>13.1</v>
      </c>
      <c r="Q54" s="740">
        <v>13.8</v>
      </c>
      <c r="R54" s="740">
        <v>15.2</v>
      </c>
      <c r="S54" s="740">
        <v>15.2</v>
      </c>
      <c r="T54" s="740">
        <v>14.1</v>
      </c>
      <c r="U54" s="740">
        <v>12.8</v>
      </c>
      <c r="V54" s="740">
        <v>12.7</v>
      </c>
      <c r="W54" s="740">
        <v>12</v>
      </c>
      <c r="X54" s="740">
        <v>11.6</v>
      </c>
      <c r="Y54" s="740">
        <v>13.2</v>
      </c>
      <c r="Z54" s="740">
        <v>14.9</v>
      </c>
      <c r="BD54" s="782"/>
      <c r="BE54" s="838" t="s">
        <v>1267</v>
      </c>
      <c r="BF54" s="765"/>
      <c r="BG54" s="765"/>
      <c r="BH54" s="765"/>
      <c r="BI54" s="765"/>
      <c r="BJ54" s="765"/>
      <c r="BK54" s="765"/>
      <c r="BL54" s="777"/>
    </row>
    <row r="55" spans="2:139" ht="23.25" customHeight="1">
      <c r="B55" s="746" t="s">
        <v>68</v>
      </c>
      <c r="C55" s="740">
        <v>0.6</v>
      </c>
      <c r="D55" s="740">
        <v>1.2</v>
      </c>
      <c r="E55" s="740">
        <v>1.3</v>
      </c>
      <c r="F55" s="740">
        <v>1.6</v>
      </c>
      <c r="G55" s="740">
        <v>2.5</v>
      </c>
      <c r="H55" s="740">
        <v>12.8</v>
      </c>
      <c r="I55" s="740">
        <v>1</v>
      </c>
      <c r="J55" s="740">
        <v>3</v>
      </c>
      <c r="K55" s="740">
        <v>4.5</v>
      </c>
      <c r="L55" s="740">
        <v>6.5</v>
      </c>
      <c r="M55" s="740">
        <v>5.4</v>
      </c>
      <c r="N55" s="740">
        <v>5.7</v>
      </c>
      <c r="O55" s="740">
        <v>5.5</v>
      </c>
      <c r="P55" s="743">
        <v>7.1</v>
      </c>
      <c r="Q55" s="740">
        <v>6.8</v>
      </c>
      <c r="R55" s="740">
        <v>5.7</v>
      </c>
      <c r="S55" s="740">
        <v>5.2</v>
      </c>
      <c r="T55" s="740">
        <v>7.8</v>
      </c>
      <c r="U55" s="740">
        <v>8.3000000000000007</v>
      </c>
      <c r="V55" s="740">
        <v>10.3</v>
      </c>
      <c r="W55" s="740">
        <v>10</v>
      </c>
      <c r="X55" s="740">
        <v>8.9</v>
      </c>
      <c r="Y55" s="740">
        <v>6.2</v>
      </c>
      <c r="Z55" s="740">
        <v>6.5</v>
      </c>
      <c r="BD55" s="782"/>
      <c r="BE55" s="838"/>
      <c r="BF55" s="765"/>
      <c r="BG55" s="765"/>
      <c r="BH55" s="765"/>
      <c r="BI55" s="765"/>
      <c r="BJ55" s="765"/>
      <c r="BK55" s="765"/>
      <c r="BL55" s="777"/>
      <c r="BU55" s="1038"/>
    </row>
    <row r="56" spans="2:139" ht="20.399999999999999">
      <c r="B56" s="746" t="s">
        <v>69</v>
      </c>
      <c r="C56" s="740">
        <v>1</v>
      </c>
      <c r="D56" s="740">
        <v>1.4</v>
      </c>
      <c r="E56" s="740">
        <v>1.6</v>
      </c>
      <c r="F56" s="740">
        <v>2.2000000000000002</v>
      </c>
      <c r="G56" s="740">
        <v>2.7</v>
      </c>
      <c r="H56" s="740">
        <v>4.2</v>
      </c>
      <c r="I56" s="740">
        <v>2.7</v>
      </c>
      <c r="J56" s="740">
        <v>2.2999999999999998</v>
      </c>
      <c r="K56" s="740">
        <v>1.5</v>
      </c>
      <c r="L56" s="740">
        <v>1.2</v>
      </c>
      <c r="M56" s="740">
        <v>1.1000000000000001</v>
      </c>
      <c r="N56" s="740">
        <v>0.9</v>
      </c>
      <c r="O56" s="740">
        <v>0.9</v>
      </c>
      <c r="P56" s="743">
        <v>0.9</v>
      </c>
      <c r="Q56" s="740">
        <v>1.2</v>
      </c>
      <c r="R56" s="740">
        <v>1.9</v>
      </c>
      <c r="S56" s="740">
        <v>1.9</v>
      </c>
      <c r="T56" s="740">
        <v>2.2000000000000002</v>
      </c>
      <c r="U56" s="740">
        <v>2.2000000000000002</v>
      </c>
      <c r="V56" s="740">
        <v>2</v>
      </c>
      <c r="W56" s="740">
        <v>1.9</v>
      </c>
      <c r="X56" s="740">
        <v>2</v>
      </c>
      <c r="Y56" s="740">
        <v>2</v>
      </c>
      <c r="Z56" s="740">
        <v>2</v>
      </c>
      <c r="BD56" s="783"/>
      <c r="BE56" s="843"/>
      <c r="BF56" s="557"/>
      <c r="BG56" s="557"/>
      <c r="BH56" s="557"/>
      <c r="BI56" s="557"/>
      <c r="BJ56" s="557"/>
      <c r="BK56" s="557"/>
      <c r="BL56" s="796"/>
      <c r="BU56" s="943"/>
      <c r="BY56" s="943"/>
    </row>
    <row r="57" spans="2:139" ht="15" thickBot="1"/>
    <row r="58" spans="2:139" ht="23.4" thickBot="1">
      <c r="AD58" s="833" t="s">
        <v>1258</v>
      </c>
      <c r="AE58" s="836" t="s">
        <v>1260</v>
      </c>
      <c r="AF58" s="833" t="s">
        <v>1258</v>
      </c>
      <c r="AG58" s="836" t="s">
        <v>1260</v>
      </c>
      <c r="AZ58" s="833" t="s">
        <v>1258</v>
      </c>
      <c r="BA58" s="836" t="s">
        <v>1260</v>
      </c>
      <c r="BB58" s="833" t="s">
        <v>1258</v>
      </c>
      <c r="BC58" s="836" t="s">
        <v>1260</v>
      </c>
      <c r="BV58" s="1010" t="s">
        <v>1258</v>
      </c>
      <c r="BW58" s="1011" t="s">
        <v>1407</v>
      </c>
      <c r="BX58" s="1010" t="s">
        <v>1258</v>
      </c>
      <c r="BY58" s="1011" t="s">
        <v>1407</v>
      </c>
      <c r="CP58" s="1094" t="s">
        <v>1258</v>
      </c>
      <c r="CQ58" s="1007" t="s">
        <v>1361</v>
      </c>
      <c r="CR58" s="1094" t="s">
        <v>1258</v>
      </c>
      <c r="CS58" s="1007" t="s">
        <v>1361</v>
      </c>
      <c r="CT58" s="987" t="s">
        <v>1397</v>
      </c>
      <c r="CU58" s="1007" t="s">
        <v>1361</v>
      </c>
      <c r="DK58" s="984" t="s">
        <v>823</v>
      </c>
      <c r="DN58" s="1809"/>
      <c r="DO58" s="739"/>
      <c r="DP58" s="1602" t="s">
        <v>351</v>
      </c>
      <c r="DQ58" s="1592" t="s">
        <v>1638</v>
      </c>
      <c r="DR58" s="1779" t="s">
        <v>1616</v>
      </c>
      <c r="DS58" s="739"/>
      <c r="DT58" s="739"/>
      <c r="DU58" s="739"/>
      <c r="DV58" s="739"/>
      <c r="DW58" s="739"/>
      <c r="DX58" s="739"/>
      <c r="DY58" s="739"/>
      <c r="DZ58" s="739"/>
      <c r="EA58" s="739"/>
      <c r="EB58" s="739"/>
      <c r="EC58" s="739"/>
      <c r="ED58" s="739"/>
      <c r="EH58" s="2096" t="s">
        <v>1818</v>
      </c>
    </row>
    <row r="59" spans="2:139" ht="18.600000000000001" thickBot="1">
      <c r="J59" s="117" t="s">
        <v>351</v>
      </c>
      <c r="K59" s="820" t="s">
        <v>102</v>
      </c>
      <c r="L59" s="814" t="s">
        <v>687</v>
      </c>
      <c r="Y59" s="107" t="s">
        <v>782</v>
      </c>
      <c r="AC59" s="1049" t="s">
        <v>351</v>
      </c>
      <c r="AD59" s="814" t="s">
        <v>80</v>
      </c>
      <c r="AE59" s="814" t="s">
        <v>80</v>
      </c>
      <c r="AF59" s="826" t="s">
        <v>825</v>
      </c>
      <c r="AG59" s="826" t="s">
        <v>825</v>
      </c>
      <c r="AY59" s="1046" t="s">
        <v>695</v>
      </c>
      <c r="AZ59" s="826" t="s">
        <v>80</v>
      </c>
      <c r="BA59" s="814" t="s">
        <v>80</v>
      </c>
      <c r="BB59" s="826" t="s">
        <v>1265</v>
      </c>
      <c r="BC59" s="826" t="s">
        <v>1265</v>
      </c>
      <c r="BU59" s="1014" t="s">
        <v>695</v>
      </c>
      <c r="BV59" s="826" t="s">
        <v>44</v>
      </c>
      <c r="BW59" s="826" t="s">
        <v>44</v>
      </c>
      <c r="BX59" s="826" t="s">
        <v>1268</v>
      </c>
      <c r="BY59" s="826" t="s">
        <v>1268</v>
      </c>
      <c r="CO59" s="43" t="s">
        <v>695</v>
      </c>
      <c r="CP59" s="826" t="s">
        <v>160</v>
      </c>
      <c r="CQ59" s="826" t="s">
        <v>160</v>
      </c>
      <c r="CR59" s="826" t="s">
        <v>1396</v>
      </c>
      <c r="CS59" s="826" t="s">
        <v>1240</v>
      </c>
      <c r="CT59" s="826" t="s">
        <v>1360</v>
      </c>
      <c r="CU59" s="826" t="s">
        <v>1360</v>
      </c>
      <c r="DK59" s="985" t="s">
        <v>1360</v>
      </c>
      <c r="DN59" s="739"/>
      <c r="DO59" s="739"/>
      <c r="DP59" s="1561">
        <v>43664</v>
      </c>
      <c r="DQ59" s="1593" t="s">
        <v>32</v>
      </c>
      <c r="DR59" s="1807" t="s">
        <v>1677</v>
      </c>
      <c r="DS59" s="739"/>
      <c r="DT59" s="739"/>
      <c r="DU59" s="739"/>
      <c r="DV59" s="739"/>
      <c r="DW59" s="739"/>
      <c r="DX59" s="739"/>
      <c r="DY59" s="739"/>
      <c r="DZ59" s="739"/>
      <c r="EA59" s="739"/>
      <c r="EB59" s="739"/>
      <c r="EC59" s="739"/>
      <c r="ED59" s="739"/>
    </row>
    <row r="60" spans="2:139" ht="23.4" thickBot="1">
      <c r="J60" s="59">
        <f>ОТЧЁТ!J49</f>
        <v>43898</v>
      </c>
      <c r="K60" s="62" t="s">
        <v>688</v>
      </c>
      <c r="L60" s="62" t="s">
        <v>688</v>
      </c>
      <c r="Y60" s="59">
        <f>J60</f>
        <v>43898</v>
      </c>
      <c r="AC60" s="1050">
        <v>42452</v>
      </c>
      <c r="AD60" s="834" t="s">
        <v>693</v>
      </c>
      <c r="AE60" s="834" t="s">
        <v>693</v>
      </c>
      <c r="AF60" s="827" t="s">
        <v>693</v>
      </c>
      <c r="AG60" s="827" t="s">
        <v>693</v>
      </c>
      <c r="AY60" s="1045">
        <v>42460</v>
      </c>
      <c r="AZ60" s="827" t="s">
        <v>693</v>
      </c>
      <c r="BA60" s="834" t="s">
        <v>693</v>
      </c>
      <c r="BB60" s="827" t="s">
        <v>693</v>
      </c>
      <c r="BC60" s="827" t="s">
        <v>693</v>
      </c>
      <c r="BU60" s="1015">
        <f>ОТЧЁТ!J49</f>
        <v>43898</v>
      </c>
      <c r="BV60" s="1012" t="s">
        <v>46</v>
      </c>
      <c r="BW60" s="1012" t="s">
        <v>46</v>
      </c>
      <c r="BX60" s="1012" t="s">
        <v>46</v>
      </c>
      <c r="BY60" s="1012" t="s">
        <v>46</v>
      </c>
      <c r="CO60" s="844">
        <f>ОТЧЁТ!J49</f>
        <v>43898</v>
      </c>
      <c r="CP60" s="845" t="s">
        <v>46</v>
      </c>
      <c r="CQ60" s="845" t="s">
        <v>46</v>
      </c>
      <c r="CR60" s="845" t="s">
        <v>46</v>
      </c>
      <c r="CS60" s="845" t="s">
        <v>46</v>
      </c>
      <c r="CT60" s="62" t="s">
        <v>688</v>
      </c>
      <c r="CU60" s="62" t="s">
        <v>688</v>
      </c>
      <c r="DK60" s="986">
        <f>CO60</f>
        <v>43898</v>
      </c>
      <c r="DN60" s="739">
        <v>1</v>
      </c>
      <c r="DO60" s="1621">
        <v>220.8</v>
      </c>
      <c r="DP60" s="1806">
        <v>1995</v>
      </c>
      <c r="DQ60" s="1799">
        <v>0.22080000000000002</v>
      </c>
      <c r="DR60" s="1804"/>
      <c r="DS60" s="739"/>
      <c r="DT60" s="739"/>
      <c r="DU60" s="739"/>
      <c r="DV60" s="739"/>
      <c r="DW60" s="739"/>
      <c r="DX60" s="739"/>
      <c r="DY60" s="739"/>
      <c r="DZ60" s="739"/>
      <c r="EA60" s="739"/>
      <c r="EB60" s="739"/>
      <c r="EC60" s="739"/>
      <c r="ED60" s="739"/>
      <c r="EH60" s="943">
        <v>2008</v>
      </c>
      <c r="EI60" s="1038">
        <v>12869</v>
      </c>
    </row>
    <row r="61" spans="2:139" ht="20.399999999999999">
      <c r="J61" s="814">
        <v>1995</v>
      </c>
      <c r="K61" s="361">
        <f t="shared" ref="K61:K81" si="31">G65</f>
        <v>0.18412751259012031</v>
      </c>
      <c r="L61" s="127"/>
      <c r="Y61" s="821">
        <f>K61</f>
        <v>0.18412751259012031</v>
      </c>
      <c r="AC61" s="835">
        <v>1995</v>
      </c>
      <c r="AD61" s="806">
        <f t="array" ref="AD61:AD80">TRANSPOSE(ОТЧЁТ!U151:AN151)</f>
        <v>1</v>
      </c>
      <c r="AE61" s="806"/>
      <c r="AF61" s="566">
        <f t="array" ref="AF61:AF81">TRANSPOSE(ОТЧЁТ!U184:AO184)</f>
        <v>1</v>
      </c>
      <c r="AG61" s="566"/>
      <c r="AX61" s="947">
        <f t="array" ref="AX61:AX81">TRANSPOSE(ОТЧЁТ!U126:AO126)</f>
        <v>2.3130000000000002</v>
      </c>
      <c r="AY61" s="835">
        <v>1995</v>
      </c>
      <c r="AZ61" s="851">
        <f t="array" ref="AZ61:AZ80">TRANSPOSE(ОТЧЁТ!U151:AN151)</f>
        <v>1</v>
      </c>
      <c r="BA61" s="806"/>
      <c r="BB61" s="1047">
        <f t="array" ref="BB61:BB81">TRANSPOSE(ОТЧЁТ!U179:AO179)</f>
        <v>1</v>
      </c>
      <c r="BC61" s="851"/>
      <c r="BU61" s="813">
        <v>1995</v>
      </c>
      <c r="BV61" s="766">
        <v>910.9</v>
      </c>
      <c r="BW61" s="779"/>
      <c r="BX61" s="768">
        <f t="array" ref="BX61:BX82">TRANSPOSE(ОТЧЁТ!U69:AP69)</f>
        <v>719.79349999999999</v>
      </c>
      <c r="BY61" s="779"/>
      <c r="CO61" s="835">
        <v>1995</v>
      </c>
      <c r="CP61" s="1088">
        <f t="array" ref="CP61:CP80">TRANSPOSE(ОТЧЁТ!U88:AN88)</f>
        <v>647.87</v>
      </c>
      <c r="CQ61" s="779"/>
      <c r="CR61" s="768">
        <f t="array" ref="CR61:CR81">TRANSPOSE(ОТЧЁТ!U65:AO65)</f>
        <v>1428.5209000000002</v>
      </c>
      <c r="CS61" s="775"/>
      <c r="CT61" s="361"/>
      <c r="CU61" s="1089">
        <f>CP61/CR61</f>
        <v>0.45352504118070652</v>
      </c>
      <c r="DK61" s="988">
        <f>CU61</f>
        <v>0.45352504118070652</v>
      </c>
      <c r="DN61" s="739">
        <v>2</v>
      </c>
      <c r="DO61" s="1621">
        <v>282.3</v>
      </c>
      <c r="DP61" s="1806">
        <v>1996</v>
      </c>
      <c r="DQ61" s="1616">
        <v>0.2823</v>
      </c>
      <c r="DR61" s="1035">
        <v>-7.9199999999999937E-2</v>
      </c>
      <c r="DS61" s="739"/>
      <c r="DT61" s="739"/>
      <c r="DU61" s="739"/>
      <c r="DV61" s="739"/>
      <c r="DW61" s="739"/>
      <c r="DX61" s="739"/>
      <c r="DY61" s="739"/>
      <c r="DZ61" s="739"/>
      <c r="EA61" s="739"/>
      <c r="EB61" s="739"/>
      <c r="EC61" s="739"/>
      <c r="ED61" s="739"/>
      <c r="EH61" s="943">
        <v>2009</v>
      </c>
      <c r="EI61" s="2095">
        <v>12975.9</v>
      </c>
    </row>
    <row r="62" spans="2:139" ht="20.399999999999999">
      <c r="C62" s="89" t="s">
        <v>159</v>
      </c>
      <c r="D62" s="89"/>
      <c r="E62" s="89"/>
      <c r="F62" s="89"/>
      <c r="J62" s="817">
        <v>1996</v>
      </c>
      <c r="K62" s="362">
        <f t="shared" si="31"/>
        <v>0.16657824595487689</v>
      </c>
      <c r="L62" s="14"/>
      <c r="Y62" s="822">
        <f>K62</f>
        <v>0.16657824595487689</v>
      </c>
      <c r="AC62" s="835">
        <v>1996</v>
      </c>
      <c r="AD62" s="807">
        <v>1.218</v>
      </c>
      <c r="AE62" s="807"/>
      <c r="AF62" s="567">
        <v>1.4723042021668387</v>
      </c>
      <c r="AG62" s="567"/>
      <c r="AX62" s="947">
        <v>1.218</v>
      </c>
      <c r="AY62" s="835">
        <v>1996</v>
      </c>
      <c r="AZ62" s="808">
        <v>1.218</v>
      </c>
      <c r="BA62" s="807"/>
      <c r="BB62" s="802">
        <v>1.458015926869807</v>
      </c>
      <c r="BC62" s="808"/>
      <c r="BU62" s="820">
        <v>1996</v>
      </c>
      <c r="BV62" s="767">
        <v>1357.1</v>
      </c>
      <c r="BW62" s="780"/>
      <c r="BX62" s="769">
        <v>1007.827</v>
      </c>
      <c r="BY62" s="780"/>
      <c r="CO62" s="835">
        <v>1996</v>
      </c>
      <c r="CP62" s="1090">
        <v>1022.64</v>
      </c>
      <c r="CQ62" s="780"/>
      <c r="CR62" s="769">
        <v>2007.8252000000007</v>
      </c>
      <c r="CS62" s="763"/>
      <c r="CT62" s="362">
        <f>CP62/CR62</f>
        <v>0.50932720637234741</v>
      </c>
      <c r="CU62" s="1089">
        <f>CP62/CR62</f>
        <v>0.50932720637234741</v>
      </c>
      <c r="DK62" s="989">
        <f>CU62</f>
        <v>0.50932720637234741</v>
      </c>
      <c r="DN62" s="739">
        <v>3</v>
      </c>
      <c r="DO62" s="1621">
        <v>357.4</v>
      </c>
      <c r="DP62" s="1806">
        <v>1997</v>
      </c>
      <c r="DQ62" s="1616">
        <v>0.3574</v>
      </c>
      <c r="DR62" s="1035">
        <v>-0.23229999999999995</v>
      </c>
      <c r="DS62" s="739"/>
      <c r="DT62" s="739"/>
      <c r="DU62" s="739"/>
      <c r="DV62" s="739"/>
      <c r="DW62" s="739"/>
      <c r="DX62" s="739"/>
      <c r="DY62" s="739"/>
      <c r="DZ62" s="739"/>
      <c r="EA62" s="739"/>
      <c r="EB62" s="739"/>
      <c r="EC62" s="739"/>
      <c r="ED62" s="739"/>
      <c r="EH62" s="943">
        <v>2010</v>
      </c>
      <c r="EI62" s="2095">
        <v>15267.6</v>
      </c>
    </row>
    <row r="63" spans="2:139" ht="20.399999999999999">
      <c r="C63" s="350" t="s">
        <v>695</v>
      </c>
      <c r="D63" s="823" t="s">
        <v>45</v>
      </c>
      <c r="E63" s="823" t="s">
        <v>160</v>
      </c>
      <c r="F63" s="823" t="s">
        <v>1191</v>
      </c>
      <c r="G63" s="823" t="s">
        <v>102</v>
      </c>
      <c r="H63" s="823" t="s">
        <v>87</v>
      </c>
      <c r="J63" s="817">
        <v>1997</v>
      </c>
      <c r="K63" s="362">
        <f t="shared" si="31"/>
        <v>0.19359545261144043</v>
      </c>
      <c r="L63" s="14"/>
      <c r="Y63" s="822">
        <f t="shared" ref="Y63:Y81" si="32">K63</f>
        <v>0.19359545261144043</v>
      </c>
      <c r="AC63" s="835">
        <v>1997</v>
      </c>
      <c r="AD63" s="807">
        <v>1.3519800000000002</v>
      </c>
      <c r="AE63" s="807"/>
      <c r="AF63" s="567">
        <v>1.718558670886825</v>
      </c>
      <c r="AG63" s="567"/>
      <c r="AX63" s="947">
        <v>1.1100000000000001</v>
      </c>
      <c r="AY63" s="835">
        <v>1997</v>
      </c>
      <c r="AZ63" s="808">
        <v>1.3519800000000002</v>
      </c>
      <c r="BA63" s="807"/>
      <c r="BB63" s="802">
        <v>1.6775696170093486</v>
      </c>
      <c r="BC63" s="808"/>
      <c r="BU63" s="820">
        <v>1997</v>
      </c>
      <c r="BV63" s="767">
        <v>1656.4</v>
      </c>
      <c r="BW63" s="780"/>
      <c r="BX63" s="769">
        <v>1235.2137</v>
      </c>
      <c r="BY63" s="780"/>
      <c r="CO63" s="835">
        <v>1997</v>
      </c>
      <c r="CP63" s="1090">
        <v>1202.9000000000001</v>
      </c>
      <c r="CQ63" s="780"/>
      <c r="CR63" s="769">
        <v>2342.5136999999995</v>
      </c>
      <c r="CS63" s="763"/>
      <c r="CT63" s="362">
        <f t="shared" ref="CT63:CT81" si="33">CP63/CR63</f>
        <v>0.51350820274818476</v>
      </c>
      <c r="CU63" s="1089">
        <f t="shared" ref="CU63:CU80" si="34">CP63/CR63</f>
        <v>0.51350820274818476</v>
      </c>
      <c r="DK63" s="989">
        <f t="shared" ref="DK63:DK80" si="35">CU63</f>
        <v>0.51350820274818476</v>
      </c>
      <c r="DN63" s="739">
        <v>4</v>
      </c>
      <c r="DO63" s="1621">
        <v>396.9</v>
      </c>
      <c r="DP63" s="1806">
        <v>1998</v>
      </c>
      <c r="DQ63" s="1616">
        <v>0.39689999999999998</v>
      </c>
      <c r="DR63" s="1035">
        <v>-0.18159999999999976</v>
      </c>
      <c r="DS63" s="739"/>
      <c r="DT63" s="739"/>
      <c r="DU63" s="739"/>
      <c r="DV63" s="739"/>
      <c r="DW63" s="739"/>
      <c r="DX63" s="739"/>
      <c r="DY63" s="739"/>
      <c r="DZ63" s="739"/>
      <c r="EA63" s="739"/>
      <c r="EB63" s="739"/>
      <c r="EC63" s="739"/>
      <c r="ED63" s="739"/>
      <c r="EH63" s="943">
        <v>2011</v>
      </c>
      <c r="EI63" s="2095">
        <v>20011.900000000001</v>
      </c>
    </row>
    <row r="64" spans="2:139" ht="20.399999999999999">
      <c r="C64" s="59">
        <f>ОТЧЁТ!J49</f>
        <v>43898</v>
      </c>
      <c r="D64" s="317" t="s">
        <v>46</v>
      </c>
      <c r="E64" s="317" t="s">
        <v>46</v>
      </c>
      <c r="F64" s="317" t="s">
        <v>46</v>
      </c>
      <c r="G64" s="62" t="s">
        <v>688</v>
      </c>
      <c r="H64" s="62" t="s">
        <v>687</v>
      </c>
      <c r="J64" s="817">
        <v>1998</v>
      </c>
      <c r="K64" s="362">
        <f t="shared" si="31"/>
        <v>0.19506713300983194</v>
      </c>
      <c r="L64" s="14"/>
      <c r="Y64" s="822">
        <f t="shared" si="32"/>
        <v>0.19506713300983194</v>
      </c>
      <c r="AC64" s="835">
        <v>1998</v>
      </c>
      <c r="AD64" s="807">
        <v>2.4930511200000005</v>
      </c>
      <c r="AE64" s="807"/>
      <c r="AF64" s="567">
        <v>2.1060897046594418</v>
      </c>
      <c r="AG64" s="567"/>
      <c r="AX64" s="947">
        <v>1.8440000000000001</v>
      </c>
      <c r="AY64" s="835">
        <v>1998</v>
      </c>
      <c r="AZ64" s="808">
        <v>2.4930511200000005</v>
      </c>
      <c r="BA64" s="807"/>
      <c r="BB64" s="802">
        <v>1.988574685283935</v>
      </c>
      <c r="BC64" s="808"/>
      <c r="BU64" s="820">
        <v>1998</v>
      </c>
      <c r="BV64" s="767">
        <v>1776</v>
      </c>
      <c r="BW64" s="780"/>
      <c r="BX64" s="769">
        <v>1462.2840000000001</v>
      </c>
      <c r="BY64" s="780"/>
      <c r="CO64" s="835">
        <v>1998</v>
      </c>
      <c r="CP64" s="1090">
        <v>1263.047</v>
      </c>
      <c r="CQ64" s="780"/>
      <c r="CR64" s="769">
        <v>2629.6228999999998</v>
      </c>
      <c r="CS64" s="763"/>
      <c r="CT64" s="362">
        <f t="shared" si="33"/>
        <v>0.48031487708750942</v>
      </c>
      <c r="CU64" s="1089">
        <f t="shared" si="34"/>
        <v>0.48031487708750942</v>
      </c>
      <c r="DK64" s="989">
        <f t="shared" si="35"/>
        <v>0.48031487708750942</v>
      </c>
      <c r="DN64" s="739">
        <v>5</v>
      </c>
      <c r="DO64" s="1621">
        <v>625.1</v>
      </c>
      <c r="DP64" s="1806">
        <v>1999</v>
      </c>
      <c r="DQ64" s="1616">
        <v>0.62509999999999999</v>
      </c>
      <c r="DR64" s="1035">
        <v>7.2900000000000631E-2</v>
      </c>
      <c r="DS64" s="739"/>
      <c r="DT64" s="739"/>
      <c r="DU64" s="739"/>
      <c r="DV64" s="739"/>
      <c r="DW64" s="739"/>
      <c r="DX64" s="739"/>
      <c r="DY64" s="739"/>
      <c r="DZ64" s="739"/>
      <c r="EA64" s="739"/>
      <c r="EB64" s="739"/>
      <c r="EC64" s="739"/>
      <c r="ED64" s="739"/>
      <c r="EH64" s="943">
        <v>2012</v>
      </c>
      <c r="EI64" s="2095">
        <v>24204.799999999999</v>
      </c>
    </row>
    <row r="65" spans="2:139" ht="20.399999999999999">
      <c r="C65" s="814">
        <v>1995</v>
      </c>
      <c r="D65" s="290">
        <f t="array" ref="D65:D85">TRANSPOSE(ОТЧЁТ!U89:AO89)</f>
        <v>910.9</v>
      </c>
      <c r="E65" s="755">
        <f t="array" ref="E65:E85">TRANSPOSE(ОТЧЁТ!U88:AO88)</f>
        <v>647.87</v>
      </c>
      <c r="F65" s="753">
        <f t="array" ref="F65:F85">TRANSPOSE(ОТЧЁТ!U67:AO67)</f>
        <v>1428.5209</v>
      </c>
      <c r="G65" s="549">
        <f>(D65-E65)/F65</f>
        <v>0.18412751259012031</v>
      </c>
      <c r="H65" s="751"/>
      <c r="J65" s="817">
        <v>1999</v>
      </c>
      <c r="K65" s="362">
        <f t="shared" si="31"/>
        <v>0.2020416637977403</v>
      </c>
      <c r="L65" s="14"/>
      <c r="Y65" s="822">
        <f t="shared" si="32"/>
        <v>0.2020416637977403</v>
      </c>
      <c r="AC65" s="835">
        <v>1999</v>
      </c>
      <c r="AD65" s="807">
        <v>3.4030147788000007</v>
      </c>
      <c r="AE65" s="807"/>
      <c r="AF65" s="567">
        <v>3.7278422973468679</v>
      </c>
      <c r="AG65" s="567"/>
      <c r="AX65" s="947">
        <v>1.365</v>
      </c>
      <c r="AY65" s="835">
        <v>1999</v>
      </c>
      <c r="AZ65" s="808">
        <v>3.4030147788000007</v>
      </c>
      <c r="BA65" s="807"/>
      <c r="BB65" s="802">
        <v>3.4280333525379545</v>
      </c>
      <c r="BC65" s="808"/>
      <c r="BU65" s="820">
        <v>1999</v>
      </c>
      <c r="BV65" s="767">
        <v>2908.1</v>
      </c>
      <c r="BW65" s="780"/>
      <c r="BX65" s="769">
        <v>2526.1678999999999</v>
      </c>
      <c r="BY65" s="780"/>
      <c r="CO65" s="835">
        <v>1999</v>
      </c>
      <c r="CP65" s="1090">
        <v>1933.606</v>
      </c>
      <c r="CQ65" s="780"/>
      <c r="CR65" s="769">
        <v>4823.2329000000009</v>
      </c>
      <c r="CS65" s="763"/>
      <c r="CT65" s="362">
        <f t="shared" si="33"/>
        <v>0.40089418033286339</v>
      </c>
      <c r="CU65" s="1089">
        <f t="shared" si="34"/>
        <v>0.40089418033286339</v>
      </c>
      <c r="DK65" s="989">
        <f t="shared" si="35"/>
        <v>0.40089418033286339</v>
      </c>
      <c r="DN65" s="739">
        <v>6</v>
      </c>
      <c r="DO65" s="1621">
        <v>714.6</v>
      </c>
      <c r="DP65" s="1806">
        <v>2000</v>
      </c>
      <c r="DQ65" s="1616">
        <v>0.71460000000000001</v>
      </c>
      <c r="DR65" s="1035">
        <v>0.53120000000000012</v>
      </c>
      <c r="DS65" s="739"/>
      <c r="DT65" s="739"/>
      <c r="DU65" s="739"/>
      <c r="DV65" s="739"/>
      <c r="DW65" s="739"/>
      <c r="DX65" s="739"/>
      <c r="DY65" s="739"/>
      <c r="DZ65" s="739"/>
      <c r="EA65" s="739"/>
      <c r="EB65" s="739"/>
      <c r="EC65" s="739"/>
      <c r="ED65" s="739"/>
      <c r="EH65" s="943">
        <v>2013</v>
      </c>
      <c r="EI65" s="2095">
        <v>27164.6</v>
      </c>
    </row>
    <row r="66" spans="2:139" ht="20.399999999999999">
      <c r="C66" s="817">
        <v>1996</v>
      </c>
      <c r="D66" s="291">
        <v>1357.1</v>
      </c>
      <c r="E66" s="756">
        <v>1022.64</v>
      </c>
      <c r="F66" s="754">
        <v>2007.8252000000002</v>
      </c>
      <c r="G66" s="366">
        <f>(D66-E66)/F66</f>
        <v>0.16657824595487689</v>
      </c>
      <c r="H66" s="751"/>
      <c r="J66" s="817">
        <v>2000</v>
      </c>
      <c r="K66" s="362">
        <f t="shared" si="31"/>
        <v>0.14326863278604252</v>
      </c>
      <c r="L66" s="14"/>
      <c r="Y66" s="822">
        <f t="shared" si="32"/>
        <v>0.14326863278604252</v>
      </c>
      <c r="AC66" s="835">
        <v>2000</v>
      </c>
      <c r="AD66" s="807">
        <v>4.0904237641176007</v>
      </c>
      <c r="AE66" s="807"/>
      <c r="AF66" s="567">
        <v>4.5918326760987345</v>
      </c>
      <c r="AG66" s="567"/>
      <c r="AX66" s="947">
        <v>1.202</v>
      </c>
      <c r="AY66" s="835">
        <v>2000</v>
      </c>
      <c r="AZ66" s="808">
        <v>4.0904237641176007</v>
      </c>
      <c r="BA66" s="807"/>
      <c r="BB66" s="802">
        <v>4.7203345530217637</v>
      </c>
      <c r="BC66" s="808"/>
      <c r="BU66" s="820">
        <v>2000</v>
      </c>
      <c r="BV66" s="767">
        <v>3983.9</v>
      </c>
      <c r="BW66" s="780"/>
      <c r="BX66" s="769">
        <v>3295.2372999999998</v>
      </c>
      <c r="BY66" s="780"/>
      <c r="CO66" s="835">
        <v>2000</v>
      </c>
      <c r="CP66" s="1090">
        <v>2937.23</v>
      </c>
      <c r="CQ66" s="780"/>
      <c r="CR66" s="769">
        <v>7305.6466</v>
      </c>
      <c r="CS66" s="763"/>
      <c r="CT66" s="362">
        <f t="shared" si="33"/>
        <v>0.40204928609604523</v>
      </c>
      <c r="CU66" s="1089">
        <f t="shared" si="34"/>
        <v>0.40204928609604523</v>
      </c>
      <c r="DK66" s="989">
        <f t="shared" si="35"/>
        <v>0.40204928609604523</v>
      </c>
      <c r="DN66" s="739">
        <v>7</v>
      </c>
      <c r="DO66" s="1621">
        <v>1150.5999999999999</v>
      </c>
      <c r="DP66" s="1806">
        <v>2001</v>
      </c>
      <c r="DQ66" s="1616">
        <v>1.1505999999999998</v>
      </c>
      <c r="DR66" s="1035">
        <v>1.1933000000000007</v>
      </c>
      <c r="DS66" s="739"/>
      <c r="DT66" s="739"/>
      <c r="DU66" s="739"/>
      <c r="DV66" s="739"/>
      <c r="DW66" s="739"/>
      <c r="DX66" s="739"/>
      <c r="DY66" s="739"/>
      <c r="DZ66" s="739"/>
      <c r="EA66" s="739"/>
      <c r="EB66" s="739"/>
      <c r="EC66" s="739"/>
      <c r="ED66" s="739"/>
      <c r="EH66" s="943">
        <v>2014</v>
      </c>
      <c r="EI66" s="2095">
        <v>31155.599999999999</v>
      </c>
    </row>
    <row r="67" spans="2:139" ht="20.399999999999999">
      <c r="C67" s="817">
        <v>1997</v>
      </c>
      <c r="D67" s="291">
        <v>1656.4</v>
      </c>
      <c r="E67" s="756">
        <v>1202.9000000000001</v>
      </c>
      <c r="F67" s="754">
        <v>2342.5137</v>
      </c>
      <c r="G67" s="366">
        <f t="shared" ref="G67:G85" si="36">(D67-E67)/F67</f>
        <v>0.19359545261144043</v>
      </c>
      <c r="H67" s="751"/>
      <c r="J67" s="817">
        <v>2001</v>
      </c>
      <c r="K67" s="362">
        <f t="shared" si="31"/>
        <v>0.16519107231144711</v>
      </c>
      <c r="L67" s="14"/>
      <c r="Y67" s="822">
        <f t="shared" si="32"/>
        <v>0.16519107231144711</v>
      </c>
      <c r="AC67" s="835">
        <v>2001</v>
      </c>
      <c r="AD67" s="807">
        <v>4.8512425842434741</v>
      </c>
      <c r="AE67" s="807"/>
      <c r="AF67" s="567">
        <v>5.5611795404054956</v>
      </c>
      <c r="AG67" s="567"/>
      <c r="AX67" s="947">
        <v>1.1859999999999999</v>
      </c>
      <c r="AY67" s="835">
        <v>2001</v>
      </c>
      <c r="AZ67" s="808">
        <v>4.8512425842434741</v>
      </c>
      <c r="BA67" s="807"/>
      <c r="BB67" s="802">
        <v>5.4982302967459242</v>
      </c>
      <c r="BC67" s="808"/>
      <c r="BU67" s="820">
        <v>2001</v>
      </c>
      <c r="BV67" s="767">
        <v>5325.8</v>
      </c>
      <c r="BW67" s="780"/>
      <c r="BX67" s="769">
        <v>4318.1211000000003</v>
      </c>
      <c r="BY67" s="780"/>
      <c r="CO67" s="835">
        <v>2001</v>
      </c>
      <c r="CP67" s="1090">
        <v>3848.4</v>
      </c>
      <c r="CQ67" s="780"/>
      <c r="CR67" s="769">
        <v>8943.5826000000015</v>
      </c>
      <c r="CS67" s="763"/>
      <c r="CT67" s="362">
        <f t="shared" si="33"/>
        <v>0.43029736204370711</v>
      </c>
      <c r="CU67" s="1089">
        <f t="shared" si="34"/>
        <v>0.43029736204370711</v>
      </c>
      <c r="DK67" s="989">
        <f t="shared" si="35"/>
        <v>0.43029736204370711</v>
      </c>
      <c r="DN67" s="739">
        <v>8</v>
      </c>
      <c r="DO67" s="1621">
        <v>1609.4</v>
      </c>
      <c r="DP67" s="1806">
        <v>2002</v>
      </c>
      <c r="DQ67" s="1616">
        <v>1.6094000000000002</v>
      </c>
      <c r="DR67" s="1035">
        <v>2.0592000000000006</v>
      </c>
      <c r="DS67" s="739"/>
      <c r="DT67" s="739"/>
      <c r="DU67" s="739"/>
      <c r="DV67" s="739"/>
      <c r="DW67" s="739"/>
      <c r="DX67" s="739"/>
      <c r="DY67" s="739"/>
      <c r="DZ67" s="739"/>
      <c r="EA67" s="739"/>
      <c r="EB67" s="739"/>
      <c r="EC67" s="739"/>
      <c r="ED67" s="739"/>
      <c r="EH67" s="943">
        <v>2015</v>
      </c>
      <c r="EI67" s="2095">
        <v>31615.7</v>
      </c>
    </row>
    <row r="68" spans="2:139" ht="20.399999999999999">
      <c r="C68" s="817">
        <v>1998</v>
      </c>
      <c r="D68" s="291">
        <v>1776</v>
      </c>
      <c r="E68" s="756">
        <v>1263.047</v>
      </c>
      <c r="F68" s="754">
        <v>2629.6228999999998</v>
      </c>
      <c r="G68" s="366">
        <f t="shared" si="36"/>
        <v>0.19506713300983194</v>
      </c>
      <c r="H68" s="751"/>
      <c r="J68" s="817">
        <v>2002</v>
      </c>
      <c r="K68" s="362">
        <f t="shared" si="31"/>
        <v>0.16321802239003</v>
      </c>
      <c r="L68" s="14"/>
      <c r="Y68" s="822">
        <f t="shared" si="32"/>
        <v>0.16321802239003</v>
      </c>
      <c r="AC68" s="835">
        <v>2002</v>
      </c>
      <c r="AD68" s="807">
        <v>5.5837802144642392</v>
      </c>
      <c r="AE68" s="807"/>
      <c r="AF68" s="567">
        <v>6.4682386989177063</v>
      </c>
      <c r="AG68" s="567"/>
      <c r="AX68" s="947">
        <v>1.151</v>
      </c>
      <c r="AY68" s="835">
        <v>2002</v>
      </c>
      <c r="AZ68" s="808">
        <v>5.5837802144642392</v>
      </c>
      <c r="BA68" s="807"/>
      <c r="BB68" s="802">
        <v>6.3527295286418424</v>
      </c>
      <c r="BC68" s="808"/>
      <c r="BU68" s="820">
        <v>2002</v>
      </c>
      <c r="BV68" s="767">
        <v>6831</v>
      </c>
      <c r="BW68" s="780"/>
      <c r="BX68" s="769">
        <v>5409.1576999999997</v>
      </c>
      <c r="BY68" s="780"/>
      <c r="CO68" s="835">
        <v>2002</v>
      </c>
      <c r="CP68" s="1090">
        <v>5065.1000000000004</v>
      </c>
      <c r="CQ68" s="780"/>
      <c r="CR68" s="769">
        <v>10819.212299999999</v>
      </c>
      <c r="CS68" s="763"/>
      <c r="CT68" s="362">
        <f t="shared" si="33"/>
        <v>0.46815792680212043</v>
      </c>
      <c r="CU68" s="1089">
        <f t="shared" si="34"/>
        <v>0.46815792680212043</v>
      </c>
      <c r="DK68" s="989">
        <f t="shared" si="35"/>
        <v>0.46815792680212043</v>
      </c>
      <c r="DN68" s="739">
        <v>9</v>
      </c>
      <c r="DO68" s="1621">
        <v>2130.5</v>
      </c>
      <c r="DP68" s="1806">
        <v>2003</v>
      </c>
      <c r="DQ68" s="1616">
        <v>2.1305000000000001</v>
      </c>
      <c r="DR68" s="1035">
        <v>3.1288999999999998</v>
      </c>
      <c r="DS68" s="739"/>
      <c r="DT68" s="739"/>
      <c r="DU68" s="739"/>
      <c r="DV68" s="739"/>
      <c r="DW68" s="739"/>
      <c r="DX68" s="739"/>
      <c r="DY68" s="739"/>
      <c r="DZ68" s="739"/>
      <c r="EA68" s="739"/>
      <c r="EB68" s="739"/>
      <c r="EC68" s="739"/>
      <c r="ED68" s="739"/>
      <c r="EH68" s="943">
        <v>2016</v>
      </c>
      <c r="EI68" s="2095">
        <v>35179.699999999997</v>
      </c>
    </row>
    <row r="69" spans="2:139" ht="20.399999999999999">
      <c r="C69" s="817">
        <v>1999</v>
      </c>
      <c r="D69" s="291">
        <v>2908.1</v>
      </c>
      <c r="E69" s="756">
        <v>1933.606</v>
      </c>
      <c r="F69" s="754">
        <v>4823.2329</v>
      </c>
      <c r="G69" s="366">
        <f t="shared" si="36"/>
        <v>0.2020416637977403</v>
      </c>
      <c r="H69" s="751"/>
      <c r="J69" s="817">
        <v>2003</v>
      </c>
      <c r="K69" s="362">
        <f t="shared" si="31"/>
        <v>0.20207922619394944</v>
      </c>
      <c r="L69" s="14"/>
      <c r="Y69" s="822">
        <f t="shared" si="32"/>
        <v>0.20207922619394944</v>
      </c>
      <c r="AC69" s="835">
        <v>2003</v>
      </c>
      <c r="AD69" s="807">
        <v>6.2538338401999489</v>
      </c>
      <c r="AE69" s="807"/>
      <c r="AF69" s="567">
        <v>7.2584827706254744</v>
      </c>
      <c r="AG69" s="567"/>
      <c r="AX69" s="947">
        <v>1.1200000000000001</v>
      </c>
      <c r="AY69" s="835">
        <v>2003</v>
      </c>
      <c r="AZ69" s="808">
        <v>6.2538338401999489</v>
      </c>
      <c r="BA69" s="807"/>
      <c r="BB69" s="802">
        <v>7.2278602743829534</v>
      </c>
      <c r="BC69" s="808"/>
      <c r="BU69" s="820">
        <v>2003</v>
      </c>
      <c r="BV69" s="767">
        <v>8900.5</v>
      </c>
      <c r="BW69" s="780"/>
      <c r="BX69" s="769">
        <v>6537.4014999999999</v>
      </c>
      <c r="BY69" s="780"/>
      <c r="CO69" s="835">
        <v>2003</v>
      </c>
      <c r="CP69" s="1090">
        <v>6231.3869999999997</v>
      </c>
      <c r="CQ69" s="780"/>
      <c r="CR69" s="769">
        <v>13208.2338</v>
      </c>
      <c r="CS69" s="763"/>
      <c r="CT69" s="362">
        <f t="shared" si="33"/>
        <v>0.47178048892502189</v>
      </c>
      <c r="CU69" s="1089">
        <f t="shared" si="34"/>
        <v>0.47178048892502189</v>
      </c>
      <c r="DK69" s="989">
        <f t="shared" si="35"/>
        <v>0.47178048892502189</v>
      </c>
      <c r="DN69" s="739">
        <v>10</v>
      </c>
      <c r="DO69" s="1621">
        <v>3205.2</v>
      </c>
      <c r="DP69" s="1806">
        <v>2004</v>
      </c>
      <c r="DQ69" s="1616">
        <v>3.2051999999999996</v>
      </c>
      <c r="DR69" s="1035">
        <v>4.4024000000000019</v>
      </c>
      <c r="DS69" s="739"/>
      <c r="DT69" s="739"/>
      <c r="DU69" s="739"/>
      <c r="DV69" s="739"/>
      <c r="DW69" s="739"/>
      <c r="DX69" s="739"/>
      <c r="DY69" s="739"/>
      <c r="DZ69" s="739"/>
      <c r="EA69" s="739"/>
      <c r="EB69" s="739"/>
      <c r="EC69" s="739"/>
      <c r="ED69" s="739"/>
      <c r="EH69" s="943">
        <v>2017</v>
      </c>
      <c r="EI69" s="2095">
        <v>38418</v>
      </c>
    </row>
    <row r="70" spans="2:139" ht="20.399999999999999">
      <c r="B70" s="554">
        <v>3814.6</v>
      </c>
      <c r="C70" s="817">
        <v>2000</v>
      </c>
      <c r="D70" s="758">
        <v>3983.9</v>
      </c>
      <c r="E70" s="756">
        <v>2937.23</v>
      </c>
      <c r="F70" s="754">
        <v>7305.6466</v>
      </c>
      <c r="G70" s="366">
        <f t="shared" si="36"/>
        <v>0.14326863278604252</v>
      </c>
      <c r="H70" s="751"/>
      <c r="J70" s="817">
        <v>2004</v>
      </c>
      <c r="K70" s="362">
        <f t="shared" si="31"/>
        <v>0.18389806125704877</v>
      </c>
      <c r="L70" s="14"/>
      <c r="Y70" s="822">
        <f t="shared" si="32"/>
        <v>0.18389806125704877</v>
      </c>
      <c r="AC70" s="835">
        <v>2004</v>
      </c>
      <c r="AD70" s="807">
        <v>6.9855323995033425</v>
      </c>
      <c r="AE70" s="807"/>
      <c r="AF70" s="567">
        <v>8.3282279936178867</v>
      </c>
      <c r="AG70" s="567"/>
      <c r="AX70" s="947">
        <v>1.117</v>
      </c>
      <c r="AY70" s="835">
        <v>2004</v>
      </c>
      <c r="AZ70" s="808">
        <v>6.9855323995033425</v>
      </c>
      <c r="BA70" s="807"/>
      <c r="BB70" s="802">
        <v>8.6918699640274202</v>
      </c>
      <c r="BC70" s="808"/>
      <c r="BU70" s="820">
        <v>2004</v>
      </c>
      <c r="BV70" s="767">
        <v>10976.3</v>
      </c>
      <c r="BW70" s="780"/>
      <c r="BX70" s="769">
        <v>8438.4840999999997</v>
      </c>
      <c r="BY70" s="780"/>
      <c r="CO70" s="835">
        <v>2004</v>
      </c>
      <c r="CP70" s="1090">
        <v>7845.0370000000003</v>
      </c>
      <c r="CQ70" s="780"/>
      <c r="CR70" s="769">
        <v>17027.190900000001</v>
      </c>
      <c r="CS70" s="763"/>
      <c r="CT70" s="362">
        <f t="shared" si="33"/>
        <v>0.46073583400066298</v>
      </c>
      <c r="CU70" s="1089">
        <f t="shared" si="34"/>
        <v>0.46073583400066298</v>
      </c>
      <c r="DK70" s="989">
        <f t="shared" si="35"/>
        <v>0.46073583400066298</v>
      </c>
      <c r="DN70" s="739">
        <v>11</v>
      </c>
      <c r="DO70" s="1621">
        <v>4353.8999999999996</v>
      </c>
      <c r="DP70" s="1806">
        <v>2005</v>
      </c>
      <c r="DQ70" s="1616">
        <v>4.3538999999999994</v>
      </c>
      <c r="DR70" s="1035">
        <v>5.8797000000000006</v>
      </c>
      <c r="DS70" s="739"/>
      <c r="DT70" s="739"/>
      <c r="DU70" s="739"/>
      <c r="DV70" s="739"/>
      <c r="DW70" s="739"/>
      <c r="DX70" s="739"/>
      <c r="DY70" s="739"/>
      <c r="DZ70" s="739"/>
      <c r="EA70" s="739"/>
      <c r="EB70" s="739"/>
      <c r="EC70" s="739"/>
      <c r="ED70" s="739"/>
      <c r="EH70" s="943">
        <v>2018</v>
      </c>
      <c r="EI70" s="2095">
        <v>42442.2</v>
      </c>
    </row>
    <row r="71" spans="2:139" ht="20.399999999999999">
      <c r="B71" s="554">
        <v>5325.8</v>
      </c>
      <c r="C71" s="817">
        <v>2001</v>
      </c>
      <c r="D71" s="758">
        <v>5325.8</v>
      </c>
      <c r="E71" s="756">
        <v>3848.4</v>
      </c>
      <c r="F71" s="754">
        <v>8943.5825999999997</v>
      </c>
      <c r="G71" s="366">
        <f t="shared" si="36"/>
        <v>0.16519107231144711</v>
      </c>
      <c r="H71" s="751"/>
      <c r="J71" s="817">
        <v>2005</v>
      </c>
      <c r="K71" s="362">
        <f t="shared" si="31"/>
        <v>0.20264786951092276</v>
      </c>
      <c r="L71" s="14"/>
      <c r="Y71" s="822">
        <f t="shared" si="32"/>
        <v>0.20264786951092276</v>
      </c>
      <c r="AC71" s="835">
        <v>2005</v>
      </c>
      <c r="AD71" s="807">
        <v>7.7469554310492068</v>
      </c>
      <c r="AE71" s="807"/>
      <c r="AF71" s="567">
        <v>9.3704714639566831</v>
      </c>
      <c r="AG71" s="567"/>
      <c r="AX71" s="947">
        <v>1.109</v>
      </c>
      <c r="AY71" s="835">
        <v>2005</v>
      </c>
      <c r="AZ71" s="808">
        <v>7.7469554310492068</v>
      </c>
      <c r="BA71" s="807"/>
      <c r="BB71" s="802">
        <v>10.367609749128871</v>
      </c>
      <c r="BC71" s="808"/>
      <c r="BU71" s="820">
        <v>2005</v>
      </c>
      <c r="BV71" s="767">
        <v>13819</v>
      </c>
      <c r="BW71" s="780"/>
      <c r="BX71" s="769">
        <v>10652.8578</v>
      </c>
      <c r="BY71" s="780"/>
      <c r="CO71" s="835">
        <v>2005</v>
      </c>
      <c r="CP71" s="1090">
        <v>9439.8269999999993</v>
      </c>
      <c r="CQ71" s="780"/>
      <c r="CR71" s="769">
        <v>21609.765500000001</v>
      </c>
      <c r="CS71" s="763"/>
      <c r="CT71" s="362">
        <f t="shared" si="33"/>
        <v>0.43683153341020747</v>
      </c>
      <c r="CU71" s="1089">
        <f t="shared" si="34"/>
        <v>0.43683153341020747</v>
      </c>
      <c r="DK71" s="989">
        <f t="shared" si="35"/>
        <v>0.43683153341020747</v>
      </c>
      <c r="DN71" s="739">
        <v>12</v>
      </c>
      <c r="DO71" s="1621">
        <v>6032.1</v>
      </c>
      <c r="DP71" s="1806">
        <v>2006</v>
      </c>
      <c r="DQ71" s="1616">
        <v>6.0321000000000007</v>
      </c>
      <c r="DR71" s="1035">
        <v>7.5608000000000004</v>
      </c>
      <c r="DS71" s="739"/>
      <c r="DT71" s="739"/>
      <c r="DU71" s="739"/>
      <c r="DV71" s="739"/>
      <c r="DW71" s="739"/>
      <c r="DX71" s="739"/>
      <c r="DY71" s="739"/>
      <c r="DZ71" s="739"/>
      <c r="EA71" s="739"/>
      <c r="EB71" s="739"/>
      <c r="EC71" s="739"/>
      <c r="ED71" s="739"/>
      <c r="EH71" s="943">
        <v>2019</v>
      </c>
      <c r="EI71" s="2095">
        <v>47109.3</v>
      </c>
    </row>
    <row r="72" spans="2:139" ht="18">
      <c r="B72" s="554">
        <v>6831</v>
      </c>
      <c r="C72" s="817">
        <v>2002</v>
      </c>
      <c r="D72" s="758">
        <v>6831</v>
      </c>
      <c r="E72" s="756">
        <v>5065.1000000000004</v>
      </c>
      <c r="F72" s="754">
        <v>10819.270899999998</v>
      </c>
      <c r="G72" s="366">
        <f t="shared" si="36"/>
        <v>0.16321802239003</v>
      </c>
      <c r="H72" s="751"/>
      <c r="J72" s="817">
        <v>2006</v>
      </c>
      <c r="K72" s="362">
        <f t="shared" si="31"/>
        <v>0.19705594455935252</v>
      </c>
      <c r="L72" s="104"/>
      <c r="Y72" s="822">
        <f t="shared" si="32"/>
        <v>0.19705594455935252</v>
      </c>
      <c r="AC72" s="835">
        <v>2006</v>
      </c>
      <c r="AD72" s="807">
        <v>8.4441814198436358</v>
      </c>
      <c r="AE72" s="807"/>
      <c r="AF72" s="567">
        <v>10.171880121895711</v>
      </c>
      <c r="AG72" s="567"/>
      <c r="AX72" s="947">
        <v>1.0900000000000001</v>
      </c>
      <c r="AY72" s="835">
        <v>2006</v>
      </c>
      <c r="AZ72" s="808">
        <v>8.4441814198436358</v>
      </c>
      <c r="BA72" s="807"/>
      <c r="BB72" s="802">
        <v>11.935242035159135</v>
      </c>
      <c r="BC72" s="808"/>
      <c r="BU72" s="820">
        <v>2006</v>
      </c>
      <c r="BV72" s="767">
        <v>17290.099999999999</v>
      </c>
      <c r="BW72" s="780"/>
      <c r="BX72" s="769">
        <v>12974.743399999999</v>
      </c>
      <c r="BY72" s="780"/>
      <c r="CO72" s="835">
        <v>2006</v>
      </c>
      <c r="CP72" s="1090">
        <v>11985.905000000001</v>
      </c>
      <c r="CQ72" s="780"/>
      <c r="CR72" s="769">
        <v>26917.201400000002</v>
      </c>
      <c r="CS72" s="763"/>
      <c r="CT72" s="362">
        <f t="shared" si="33"/>
        <v>0.44528793398261679</v>
      </c>
      <c r="CU72" s="1089">
        <f t="shared" si="34"/>
        <v>0.44528793398261679</v>
      </c>
      <c r="DK72" s="989">
        <f t="shared" si="35"/>
        <v>0.44528793398261679</v>
      </c>
      <c r="DN72" s="739">
        <v>13</v>
      </c>
      <c r="DO72" s="1621">
        <v>8970.7000000000007</v>
      </c>
      <c r="DP72" s="1806">
        <v>2007</v>
      </c>
      <c r="DQ72" s="1616">
        <v>8.9707000000000008</v>
      </c>
      <c r="DR72" s="1035">
        <v>9.4457000000000004</v>
      </c>
      <c r="DS72" s="739"/>
      <c r="DT72" s="739"/>
      <c r="DU72" s="739"/>
      <c r="DV72" s="739"/>
      <c r="DW72" s="739"/>
      <c r="DX72" s="739"/>
      <c r="DY72" s="739"/>
      <c r="DZ72" s="739"/>
      <c r="EA72" s="739"/>
      <c r="EB72" s="739"/>
      <c r="EC72" s="739"/>
      <c r="ED72" s="739"/>
    </row>
    <row r="73" spans="2:139" ht="18">
      <c r="B73" s="554">
        <v>8900.5</v>
      </c>
      <c r="C73" s="817">
        <v>2003</v>
      </c>
      <c r="D73" s="758">
        <v>8900.5</v>
      </c>
      <c r="E73" s="756">
        <v>6231.3869999999997</v>
      </c>
      <c r="F73" s="754">
        <v>13208.250299999998</v>
      </c>
      <c r="G73" s="366">
        <f t="shared" si="36"/>
        <v>0.20207922619394944</v>
      </c>
      <c r="H73" s="751"/>
      <c r="J73" s="817">
        <v>2007</v>
      </c>
      <c r="K73" s="362">
        <f t="shared" si="31"/>
        <v>0.17400970608532609</v>
      </c>
      <c r="L73" s="119"/>
      <c r="Y73" s="822">
        <f t="shared" si="32"/>
        <v>0.17400970608532609</v>
      </c>
      <c r="AC73" s="835">
        <v>2007</v>
      </c>
      <c r="AD73" s="807">
        <v>9.4465057543790749</v>
      </c>
      <c r="AE73" s="807"/>
      <c r="AF73" s="567">
        <v>10.996054426330467</v>
      </c>
      <c r="AG73" s="567"/>
      <c r="AX73" s="947">
        <v>1.1187</v>
      </c>
      <c r="AY73" s="835">
        <v>2007</v>
      </c>
      <c r="AZ73" s="808">
        <v>9.4465057543790749</v>
      </c>
      <c r="BA73" s="807"/>
      <c r="BB73" s="802">
        <v>13.587224630705832</v>
      </c>
      <c r="BC73" s="808"/>
      <c r="BU73" s="820">
        <v>2007</v>
      </c>
      <c r="BV73" s="767">
        <v>21311.5</v>
      </c>
      <c r="BW73" s="780"/>
      <c r="BX73" s="769">
        <v>16031.739799999999</v>
      </c>
      <c r="BY73" s="780"/>
      <c r="CO73" s="835">
        <v>2007</v>
      </c>
      <c r="CP73" s="1090">
        <v>15526.11</v>
      </c>
      <c r="CQ73" s="780"/>
      <c r="CR73" s="769">
        <v>33247.513200000001</v>
      </c>
      <c r="CS73" s="763"/>
      <c r="CT73" s="362">
        <f t="shared" si="33"/>
        <v>0.46698560300142988</v>
      </c>
      <c r="CU73" s="1089">
        <f t="shared" si="34"/>
        <v>0.46698560300142988</v>
      </c>
      <c r="DK73" s="989">
        <f t="shared" si="35"/>
        <v>0.46698560300142988</v>
      </c>
      <c r="DN73" s="739">
        <v>14</v>
      </c>
      <c r="DO73" s="1621">
        <v>12869</v>
      </c>
      <c r="DP73" s="1806">
        <v>2008</v>
      </c>
      <c r="DQ73" s="1616">
        <v>12.869</v>
      </c>
      <c r="DR73" s="1035">
        <v>11.534400000000002</v>
      </c>
      <c r="DS73" s="739"/>
      <c r="DT73" s="739"/>
      <c r="DU73" s="739"/>
      <c r="DV73" s="739"/>
      <c r="DW73" s="739"/>
      <c r="DX73" s="739"/>
      <c r="DY73" s="739"/>
      <c r="DZ73" s="739"/>
      <c r="EA73" s="739"/>
      <c r="EB73" s="739"/>
      <c r="EC73" s="739"/>
      <c r="ED73" s="739"/>
    </row>
    <row r="74" spans="2:139" ht="18">
      <c r="B74" s="554">
        <v>10976.3</v>
      </c>
      <c r="C74" s="817">
        <v>2004</v>
      </c>
      <c r="D74" s="758">
        <v>10976.3</v>
      </c>
      <c r="E74" s="756">
        <v>7845.0370000000003</v>
      </c>
      <c r="F74" s="754">
        <v>17027.166999999998</v>
      </c>
      <c r="G74" s="366">
        <f t="shared" si="36"/>
        <v>0.18389806125704877</v>
      </c>
      <c r="H74" s="751"/>
      <c r="J74" s="817">
        <v>2008</v>
      </c>
      <c r="K74" s="362">
        <f t="shared" si="31"/>
        <v>0.13771012347521919</v>
      </c>
      <c r="L74" s="119"/>
      <c r="Y74" s="822">
        <f t="shared" si="32"/>
        <v>0.13771012347521919</v>
      </c>
      <c r="AC74" s="835">
        <v>2008</v>
      </c>
      <c r="AD74" s="807">
        <v>10.701001718560617</v>
      </c>
      <c r="AE74" s="807"/>
      <c r="AF74" s="567">
        <v>12.382630991276981</v>
      </c>
      <c r="AG74" s="567"/>
      <c r="AX74" s="947">
        <v>1.1328</v>
      </c>
      <c r="AY74" s="835">
        <v>2008</v>
      </c>
      <c r="AZ74" s="808">
        <v>10.701001718560617</v>
      </c>
      <c r="BA74" s="807"/>
      <c r="BB74" s="802">
        <v>16.03475716499792</v>
      </c>
      <c r="BC74" s="808"/>
      <c r="BU74" s="820">
        <v>2008</v>
      </c>
      <c r="BV74" s="767">
        <v>25244</v>
      </c>
      <c r="BW74" s="780"/>
      <c r="BX74" s="769">
        <v>19966.954699999998</v>
      </c>
      <c r="BY74" s="780"/>
      <c r="CO74" s="835">
        <v>2008</v>
      </c>
      <c r="CP74" s="1090">
        <v>19559.759999999998</v>
      </c>
      <c r="CQ74" s="780"/>
      <c r="CR74" s="769">
        <v>41276.849199999997</v>
      </c>
      <c r="CS74" s="763"/>
      <c r="CT74" s="362">
        <f t="shared" si="33"/>
        <v>0.47386756448454886</v>
      </c>
      <c r="CU74" s="1089">
        <f t="shared" si="34"/>
        <v>0.47386756448454886</v>
      </c>
      <c r="DK74" s="989">
        <f t="shared" si="35"/>
        <v>0.47386756448454886</v>
      </c>
      <c r="DN74" s="739">
        <v>15</v>
      </c>
      <c r="DO74" s="1621">
        <v>12975.9</v>
      </c>
      <c r="DP74" s="1806">
        <v>2009</v>
      </c>
      <c r="DQ74" s="1616">
        <v>12.975899999999999</v>
      </c>
      <c r="DR74" s="1035">
        <v>13.826899999999998</v>
      </c>
      <c r="DS74" s="739"/>
      <c r="DT74" s="739"/>
      <c r="DU74" s="739"/>
      <c r="DV74" s="739"/>
      <c r="DW74" s="739"/>
      <c r="DX74" s="739"/>
      <c r="DY74" s="739"/>
      <c r="DZ74" s="739"/>
      <c r="EA74" s="739"/>
      <c r="EB74" s="739"/>
      <c r="EC74" s="739"/>
      <c r="ED74" s="739"/>
    </row>
    <row r="75" spans="2:139" ht="18">
      <c r="B75" s="554">
        <v>13819</v>
      </c>
      <c r="C75" s="817">
        <v>2005</v>
      </c>
      <c r="D75" s="758">
        <v>13819</v>
      </c>
      <c r="E75" s="756">
        <v>9439.8269999999993</v>
      </c>
      <c r="F75" s="754">
        <v>21609.765799999997</v>
      </c>
      <c r="G75" s="366">
        <f t="shared" si="36"/>
        <v>0.20264786951092276</v>
      </c>
      <c r="H75" s="751"/>
      <c r="J75" s="817">
        <v>2009</v>
      </c>
      <c r="K75" s="362">
        <f t="shared" si="31"/>
        <v>0.21351385469365744</v>
      </c>
      <c r="L75" s="119"/>
      <c r="Y75" s="822">
        <f t="shared" si="32"/>
        <v>0.21351385469365744</v>
      </c>
      <c r="AC75" s="835">
        <v>2009</v>
      </c>
      <c r="AD75" s="807">
        <v>11.642689869793951</v>
      </c>
      <c r="AE75" s="807"/>
      <c r="AF75" s="567">
        <v>13.714036448863869</v>
      </c>
      <c r="AG75" s="567"/>
      <c r="AX75" s="947">
        <v>1.0880000000000001</v>
      </c>
      <c r="AY75" s="835">
        <v>2009</v>
      </c>
      <c r="AZ75" s="808">
        <v>11.642689869793951</v>
      </c>
      <c r="BA75" s="807"/>
      <c r="BB75" s="802">
        <v>16.368494611949213</v>
      </c>
      <c r="BC75" s="808"/>
      <c r="BU75" s="820">
        <v>2009</v>
      </c>
      <c r="BV75" s="767">
        <v>28697.5</v>
      </c>
      <c r="BW75" s="780"/>
      <c r="BX75" s="769">
        <v>20986.036</v>
      </c>
      <c r="BY75" s="780"/>
      <c r="CO75" s="835">
        <v>2009</v>
      </c>
      <c r="CP75" s="1090">
        <v>20411.61</v>
      </c>
      <c r="CQ75" s="780"/>
      <c r="CR75" s="769">
        <v>38807.218999999997</v>
      </c>
      <c r="CS75" s="763"/>
      <c r="CT75" s="362">
        <f t="shared" si="33"/>
        <v>0.52597456158865707</v>
      </c>
      <c r="CU75" s="1089">
        <f t="shared" si="34"/>
        <v>0.52597456158865707</v>
      </c>
      <c r="DK75" s="989">
        <f t="shared" si="35"/>
        <v>0.52597456158865707</v>
      </c>
      <c r="DN75" s="739">
        <v>16</v>
      </c>
      <c r="DO75" s="1621">
        <v>15267.6</v>
      </c>
      <c r="DP75" s="1806">
        <v>2010</v>
      </c>
      <c r="DQ75" s="1616">
        <v>15.2676</v>
      </c>
      <c r="DR75" s="1035">
        <v>16.3232</v>
      </c>
      <c r="DS75" s="739"/>
      <c r="DT75" s="739"/>
      <c r="DU75" s="739"/>
      <c r="DV75" s="739"/>
      <c r="DW75" s="739"/>
      <c r="DX75" s="739"/>
      <c r="DY75" s="739"/>
      <c r="DZ75" s="739"/>
      <c r="EA75" s="739"/>
      <c r="EB75" s="739"/>
      <c r="EC75" s="739"/>
      <c r="ED75" s="739"/>
    </row>
    <row r="76" spans="2:139" ht="18">
      <c r="B76" s="554">
        <v>17290.099999999999</v>
      </c>
      <c r="C76" s="817">
        <v>2006</v>
      </c>
      <c r="D76" s="758">
        <v>17290.099999999999</v>
      </c>
      <c r="E76" s="756">
        <v>11985.905000000001</v>
      </c>
      <c r="F76" s="754">
        <v>26917.203699999998</v>
      </c>
      <c r="G76" s="366">
        <f t="shared" si="36"/>
        <v>0.19705594455935252</v>
      </c>
      <c r="H76" s="751"/>
      <c r="J76" s="817">
        <v>2010</v>
      </c>
      <c r="K76" s="362">
        <f t="shared" si="31"/>
        <v>0.20520344296820808</v>
      </c>
      <c r="L76" s="119"/>
      <c r="Y76" s="822">
        <f t="shared" si="32"/>
        <v>0.20520344296820808</v>
      </c>
      <c r="AC76" s="835">
        <v>2010</v>
      </c>
      <c r="AD76" s="807">
        <v>12.664918040361862</v>
      </c>
      <c r="AE76" s="807"/>
      <c r="AF76" s="567">
        <v>14.629133800462956</v>
      </c>
      <c r="AG76" s="567"/>
      <c r="AX76" s="947">
        <v>1.0878000000000001</v>
      </c>
      <c r="AY76" s="835">
        <v>2010</v>
      </c>
      <c r="AZ76" s="808">
        <v>12.664918040361862</v>
      </c>
      <c r="BA76" s="807"/>
      <c r="BB76" s="802">
        <v>18.691365335566658</v>
      </c>
      <c r="BC76" s="808"/>
      <c r="BU76" s="820">
        <v>2010</v>
      </c>
      <c r="BV76" s="767">
        <v>32498.3</v>
      </c>
      <c r="BW76" s="780"/>
      <c r="BX76" s="769">
        <v>23617.623</v>
      </c>
      <c r="BY76" s="780"/>
      <c r="CO76" s="835">
        <v>2010</v>
      </c>
      <c r="CP76" s="767">
        <v>22995.63</v>
      </c>
      <c r="CQ76" s="780"/>
      <c r="CR76" s="769">
        <v>46308.540999999997</v>
      </c>
      <c r="CS76" s="763"/>
      <c r="CT76" s="362">
        <f t="shared" si="33"/>
        <v>0.49657427125592235</v>
      </c>
      <c r="CU76" s="1089">
        <f t="shared" si="34"/>
        <v>0.49657427125592235</v>
      </c>
      <c r="DK76" s="989">
        <f t="shared" si="35"/>
        <v>0.49657427125592235</v>
      </c>
      <c r="DN76" s="739">
        <v>17</v>
      </c>
      <c r="DO76" s="1621">
        <v>20011.900000000001</v>
      </c>
      <c r="DP76" s="1806">
        <v>2011</v>
      </c>
      <c r="DQ76" s="1616">
        <v>20.011900000000001</v>
      </c>
      <c r="DR76" s="1035">
        <v>19.023300000000003</v>
      </c>
      <c r="DS76" s="739"/>
      <c r="DT76" s="739"/>
      <c r="DU76" s="739"/>
      <c r="DV76" s="739"/>
      <c r="DW76" s="739"/>
      <c r="DX76" s="739"/>
      <c r="DY76" s="739"/>
      <c r="DZ76" s="739"/>
      <c r="EA76" s="739"/>
      <c r="EB76" s="739"/>
      <c r="EC76" s="739"/>
      <c r="ED76" s="739"/>
    </row>
    <row r="77" spans="2:139" ht="18">
      <c r="B77" s="554">
        <v>21311.5</v>
      </c>
      <c r="C77" s="817">
        <v>2007</v>
      </c>
      <c r="D77" s="758">
        <v>21311.5</v>
      </c>
      <c r="E77" s="756">
        <v>15526.11</v>
      </c>
      <c r="F77" s="754">
        <v>33247.513200000001</v>
      </c>
      <c r="G77" s="366">
        <f t="shared" si="36"/>
        <v>0.17400970608532609</v>
      </c>
      <c r="H77" s="751"/>
      <c r="J77" s="817">
        <v>2011</v>
      </c>
      <c r="K77" s="362">
        <f t="shared" si="31"/>
        <v>0.15364356808028609</v>
      </c>
      <c r="L77" s="119"/>
      <c r="Y77" s="822">
        <f t="shared" si="32"/>
        <v>0.15364356808028609</v>
      </c>
      <c r="AC77" s="835">
        <v>2011</v>
      </c>
      <c r="AD77" s="807">
        <v>13.437478040823935</v>
      </c>
      <c r="AE77" s="807"/>
      <c r="AF77" s="567">
        <v>17.36421630879255</v>
      </c>
      <c r="AG77" s="567"/>
      <c r="AX77" s="947">
        <v>1.0609999999999999</v>
      </c>
      <c r="AY77" s="835">
        <v>2011</v>
      </c>
      <c r="AZ77" s="808">
        <v>13.437478040823935</v>
      </c>
      <c r="BA77" s="807"/>
      <c r="BB77" s="802">
        <v>23.328518818067689</v>
      </c>
      <c r="BC77" s="808"/>
      <c r="BS77" s="614">
        <v>0.14699999999999999</v>
      </c>
      <c r="BU77" s="820">
        <v>2011</v>
      </c>
      <c r="BV77" s="767">
        <v>35648.699999999997</v>
      </c>
      <c r="BW77" s="780"/>
      <c r="BX77" s="769">
        <v>29939.463500000002</v>
      </c>
      <c r="BY77" s="780"/>
      <c r="CO77" s="835">
        <v>2011</v>
      </c>
      <c r="CP77" s="767">
        <v>26386.6754</v>
      </c>
      <c r="CQ77" s="780"/>
      <c r="CR77" s="769">
        <v>60282.540399999998</v>
      </c>
      <c r="CS77" s="763"/>
      <c r="CT77" s="362">
        <f t="shared" si="33"/>
        <v>0.43771671241645288</v>
      </c>
      <c r="CU77" s="1089">
        <f t="shared" si="34"/>
        <v>0.43771671241645288</v>
      </c>
      <c r="DK77" s="989">
        <f t="shared" si="35"/>
        <v>0.43771671241645288</v>
      </c>
      <c r="DN77" s="739">
        <v>18</v>
      </c>
      <c r="DO77" s="1621">
        <v>24204.799999999999</v>
      </c>
      <c r="DP77" s="1806">
        <v>2012</v>
      </c>
      <c r="DQ77" s="1616">
        <v>24.204799999999999</v>
      </c>
      <c r="DR77" s="1035">
        <v>21.927199999999999</v>
      </c>
      <c r="DS77" s="739"/>
      <c r="DT77" s="739"/>
      <c r="DU77" s="739"/>
      <c r="DV77" s="739"/>
      <c r="DW77" s="739"/>
      <c r="DX77" s="739"/>
      <c r="DY77" s="739"/>
      <c r="DZ77" s="739"/>
      <c r="EA77" s="739"/>
      <c r="EB77" s="739"/>
      <c r="EC77" s="739"/>
      <c r="ED77" s="739"/>
    </row>
    <row r="78" spans="2:139" ht="18">
      <c r="B78" s="554">
        <v>25244</v>
      </c>
      <c r="C78" s="817">
        <v>2008</v>
      </c>
      <c r="D78" s="758">
        <v>25244</v>
      </c>
      <c r="E78" s="756">
        <v>19559.759999999998</v>
      </c>
      <c r="F78" s="754">
        <v>41276.849199999997</v>
      </c>
      <c r="G78" s="366">
        <f t="shared" si="36"/>
        <v>0.13771012347521919</v>
      </c>
      <c r="H78" s="752"/>
      <c r="J78" s="817">
        <v>2012</v>
      </c>
      <c r="K78" s="362">
        <f t="shared" si="31"/>
        <v>0.14234574174369477</v>
      </c>
      <c r="L78" s="119"/>
      <c r="Y78" s="822">
        <f t="shared" si="32"/>
        <v>0.14234574174369477</v>
      </c>
      <c r="AC78" s="835">
        <v>2012</v>
      </c>
      <c r="AD78" s="807">
        <v>14.321664095910151</v>
      </c>
      <c r="AE78" s="807"/>
      <c r="AF78" s="567">
        <v>18.540125110660799</v>
      </c>
      <c r="AG78" s="567"/>
      <c r="AX78" s="947">
        <v>1.0658000000000001</v>
      </c>
      <c r="AY78" s="835">
        <v>2012</v>
      </c>
      <c r="AZ78" s="808">
        <v>14.321664095910151</v>
      </c>
      <c r="BA78" s="807"/>
      <c r="BB78" s="802">
        <v>25.448132013167307</v>
      </c>
      <c r="BC78" s="808"/>
      <c r="BS78" s="1067">
        <v>80412.5</v>
      </c>
      <c r="BU78" s="820">
        <v>2012</v>
      </c>
      <c r="BV78" s="767">
        <v>39904</v>
      </c>
      <c r="BW78" s="780"/>
      <c r="BX78" s="769">
        <v>34492.361700000001</v>
      </c>
      <c r="BY78" s="780"/>
      <c r="CO78" s="835">
        <v>2012</v>
      </c>
      <c r="CP78" s="767">
        <v>30201.161499999998</v>
      </c>
      <c r="CQ78" s="780"/>
      <c r="CR78" s="769">
        <v>68163.883099999992</v>
      </c>
      <c r="CS78" s="763"/>
      <c r="CT78" s="362">
        <f t="shared" si="33"/>
        <v>0.44306691647383573</v>
      </c>
      <c r="CU78" s="1089">
        <f t="shared" si="34"/>
        <v>0.44306691647383573</v>
      </c>
      <c r="DK78" s="989">
        <f t="shared" si="35"/>
        <v>0.44306691647383573</v>
      </c>
      <c r="DN78" s="739">
        <v>19</v>
      </c>
      <c r="DO78" s="1621">
        <v>27164.6</v>
      </c>
      <c r="DP78" s="1806">
        <v>2013</v>
      </c>
      <c r="DQ78" s="1616">
        <v>27.1646</v>
      </c>
      <c r="DR78" s="1035">
        <v>25.034900000000007</v>
      </c>
      <c r="DS78" s="739"/>
      <c r="DT78" s="739"/>
      <c r="DU78" s="739"/>
      <c r="DV78" s="739"/>
      <c r="DW78" s="739"/>
      <c r="DX78" s="739"/>
      <c r="DY78" s="739"/>
      <c r="DZ78" s="739"/>
      <c r="EA78" s="739"/>
      <c r="EB78" s="739"/>
      <c r="EC78" s="739"/>
      <c r="ED78" s="739"/>
    </row>
    <row r="79" spans="2:139" ht="18.600000000000001" thickBot="1">
      <c r="B79" s="554">
        <v>28697.5</v>
      </c>
      <c r="C79" s="817">
        <v>2009</v>
      </c>
      <c r="D79" s="758">
        <v>28697.5</v>
      </c>
      <c r="E79" s="756">
        <v>20411.61</v>
      </c>
      <c r="F79" s="754">
        <v>38807.270899999996</v>
      </c>
      <c r="G79" s="366">
        <f t="shared" si="36"/>
        <v>0.21351385469365744</v>
      </c>
      <c r="H79" s="752"/>
      <c r="J79" s="817">
        <v>2013</v>
      </c>
      <c r="K79" s="362">
        <f t="shared" si="31"/>
        <v>0.14846355147847173</v>
      </c>
      <c r="L79" s="119"/>
      <c r="Y79" s="822">
        <f t="shared" si="32"/>
        <v>0.14846355147847173</v>
      </c>
      <c r="AC79" s="835">
        <v>2013</v>
      </c>
      <c r="AD79" s="807">
        <v>15.245411430096356</v>
      </c>
      <c r="AE79" s="807"/>
      <c r="AF79" s="567">
        <v>19.653563919076568</v>
      </c>
      <c r="AG79" s="567"/>
      <c r="AX79" s="947">
        <v>1.0645</v>
      </c>
      <c r="AY79" s="835">
        <v>2013</v>
      </c>
      <c r="AZ79" s="808">
        <v>15.245411430096356</v>
      </c>
      <c r="BA79" s="807"/>
      <c r="BB79" s="802">
        <v>26.82470761987901</v>
      </c>
      <c r="BC79" s="808"/>
      <c r="BS79" s="614">
        <f>BS77*BS78</f>
        <v>11820.637499999999</v>
      </c>
      <c r="BU79" s="820">
        <v>2013</v>
      </c>
      <c r="BV79" s="767">
        <v>44650</v>
      </c>
      <c r="BW79" s="780"/>
      <c r="BX79" s="769">
        <v>38465.140799999994</v>
      </c>
      <c r="BY79" s="1090"/>
      <c r="CO79" s="835">
        <v>2013</v>
      </c>
      <c r="CP79" s="767">
        <v>33792.282200000001</v>
      </c>
      <c r="CQ79" s="780"/>
      <c r="CR79" s="769">
        <v>73133.895099999994</v>
      </c>
      <c r="CS79" s="763"/>
      <c r="CT79" s="362">
        <f t="shared" si="33"/>
        <v>0.46206047351633545</v>
      </c>
      <c r="CU79" s="1089">
        <f t="shared" si="34"/>
        <v>0.46206047351633545</v>
      </c>
      <c r="DK79" s="989">
        <f t="shared" si="35"/>
        <v>0.46206047351633545</v>
      </c>
      <c r="DN79" s="739">
        <v>20</v>
      </c>
      <c r="DO79" s="1621">
        <v>31155.599999999999</v>
      </c>
      <c r="DP79" s="1806">
        <v>2014</v>
      </c>
      <c r="DQ79" s="1616">
        <v>31.1556</v>
      </c>
      <c r="DR79" s="1035">
        <v>28.346400000000006</v>
      </c>
      <c r="DS79" s="739"/>
      <c r="DT79" s="739"/>
      <c r="DU79" s="739"/>
      <c r="DV79" s="739"/>
      <c r="DW79" s="739"/>
      <c r="DX79" s="739"/>
      <c r="DY79" s="739"/>
      <c r="DZ79" s="739"/>
      <c r="EA79" s="739"/>
      <c r="EB79" s="739"/>
      <c r="EC79" s="739"/>
      <c r="ED79" s="739"/>
    </row>
    <row r="80" spans="2:139" ht="18">
      <c r="B80" s="554">
        <v>32498.3</v>
      </c>
      <c r="C80" s="817">
        <v>2010</v>
      </c>
      <c r="D80" s="758">
        <v>32498.3</v>
      </c>
      <c r="E80" s="756">
        <v>22995.63</v>
      </c>
      <c r="F80" s="754">
        <v>46308.53100000001</v>
      </c>
      <c r="G80" s="366">
        <f t="shared" si="36"/>
        <v>0.20520344296820808</v>
      </c>
      <c r="H80" s="752"/>
      <c r="J80" s="817">
        <v>2014</v>
      </c>
      <c r="K80" s="362">
        <f t="shared" si="31"/>
        <v>0.13269422449340992</v>
      </c>
      <c r="L80" s="119"/>
      <c r="Y80" s="822">
        <f t="shared" si="32"/>
        <v>0.13269422449340992</v>
      </c>
      <c r="AB80" s="848">
        <f t="array" ref="AB80:AB96">TRANSPOSE(СЧЁТ!AH15:AX15)</f>
        <v>1.1359999999999999</v>
      </c>
      <c r="AC80" s="835">
        <v>2014</v>
      </c>
      <c r="AD80" s="807">
        <v>17.318787384589459</v>
      </c>
      <c r="AE80" s="807"/>
      <c r="AF80" s="567">
        <v>21.016276952701091</v>
      </c>
      <c r="AG80" s="981">
        <f t="array" ref="AG80:AG96">TRANSPOSE(СЧЁТ!AH18:AX18)</f>
        <v>21.016276952701091</v>
      </c>
      <c r="AX80" s="947">
        <v>1.1359999999999999</v>
      </c>
      <c r="AY80" s="835">
        <v>2014</v>
      </c>
      <c r="AZ80" s="808">
        <v>17.318787384589459</v>
      </c>
      <c r="BA80" s="807"/>
      <c r="BB80" s="802">
        <v>28.785172632075849</v>
      </c>
      <c r="BC80" s="808"/>
      <c r="BU80" s="820">
        <v>2014</v>
      </c>
      <c r="BV80" s="767">
        <v>47921</v>
      </c>
      <c r="BW80" s="1090" t="e">
        <f t="array" ref="BW80:BW96">TRANSPOSE(СЧЁТ!#REF!)</f>
        <v>#REF!</v>
      </c>
      <c r="BX80" s="769">
        <v>41954.83</v>
      </c>
      <c r="BY80" s="1090">
        <f t="array" ref="BY80:BY96">TRANSPOSE(СЧЁТ!AH121:AX121)</f>
        <v>0</v>
      </c>
      <c r="CO80" s="835">
        <v>2014</v>
      </c>
      <c r="CP80" s="767">
        <v>37430.46</v>
      </c>
      <c r="CQ80" s="780"/>
      <c r="CR80" s="769">
        <v>79058.48</v>
      </c>
      <c r="CS80" s="763"/>
      <c r="CT80" s="362">
        <f t="shared" si="33"/>
        <v>0.47345281619378465</v>
      </c>
      <c r="CU80" s="1089">
        <f t="shared" si="34"/>
        <v>0.47345281619378465</v>
      </c>
      <c r="DK80" s="989">
        <f t="shared" si="35"/>
        <v>0.47345281619378465</v>
      </c>
      <c r="DN80" s="739">
        <v>21</v>
      </c>
      <c r="DO80" s="1621">
        <v>31615.7</v>
      </c>
      <c r="DP80" s="1806">
        <v>2015</v>
      </c>
      <c r="DQ80" s="1616">
        <v>31.6157</v>
      </c>
      <c r="DR80" s="1035">
        <v>31.861699999999999</v>
      </c>
      <c r="DS80" s="739"/>
      <c r="DT80" s="739"/>
      <c r="DU80" s="739"/>
      <c r="DV80" s="739"/>
      <c r="DW80" s="739"/>
      <c r="DX80" s="739"/>
      <c r="DY80" s="739"/>
      <c r="DZ80" s="739"/>
      <c r="EA80" s="739"/>
      <c r="EB80" s="739"/>
      <c r="EC80" s="739"/>
      <c r="ED80" s="739"/>
    </row>
    <row r="81" spans="2:134" ht="18">
      <c r="B81" s="554">
        <v>35648.699999999997</v>
      </c>
      <c r="C81" s="817">
        <v>2011</v>
      </c>
      <c r="D81" s="758">
        <v>35648.699999999997</v>
      </c>
      <c r="E81" s="757">
        <v>26386.6754</v>
      </c>
      <c r="F81" s="754">
        <v>60282.540400000005</v>
      </c>
      <c r="G81" s="366">
        <f t="shared" si="36"/>
        <v>0.15364356808028609</v>
      </c>
      <c r="H81" s="752"/>
      <c r="J81" s="817">
        <v>2015</v>
      </c>
      <c r="K81" s="362">
        <f t="shared" si="31"/>
        <v>0.18991154595999712</v>
      </c>
      <c r="L81" s="119"/>
      <c r="Y81" s="822">
        <f t="shared" si="32"/>
        <v>0.18991154595999712</v>
      </c>
      <c r="AB81" s="849">
        <v>1.129</v>
      </c>
      <c r="AC81" s="835">
        <v>2015</v>
      </c>
      <c r="AD81" s="807">
        <f>AD80*AB81</f>
        <v>19.552910957201501</v>
      </c>
      <c r="AE81" s="807"/>
      <c r="AF81" s="567">
        <v>23.908625308988828</v>
      </c>
      <c r="AG81" s="982">
        <v>23.908625308988828</v>
      </c>
      <c r="AX81" s="947">
        <v>1.129</v>
      </c>
      <c r="AY81" s="835">
        <v>2015</v>
      </c>
      <c r="AZ81" s="807">
        <f>AZ80*AX81</f>
        <v>19.552910957201501</v>
      </c>
      <c r="BA81" s="808">
        <f t="array" ref="BA81:BA96">TRANSPOSE(СЧЁТ!AI14:AX14)</f>
        <v>19.552910957201501</v>
      </c>
      <c r="BB81" s="802">
        <v>30.966851255246702</v>
      </c>
      <c r="BC81" s="808" t="e">
        <f t="array" ref="BC81:BC96">TRANSPOSE(СЧЁТ!#REF!)</f>
        <v>#REF!</v>
      </c>
      <c r="BS81" s="1067">
        <v>36547</v>
      </c>
      <c r="BT81">
        <f>BS81+BS79</f>
        <v>48367.637499999997</v>
      </c>
      <c r="BU81" s="820">
        <v>2015</v>
      </c>
      <c r="BV81" s="767">
        <v>53526</v>
      </c>
      <c r="BW81" s="1090" t="e">
        <v>#REF!</v>
      </c>
      <c r="BX81" s="767">
        <v>43242.32</v>
      </c>
      <c r="BY81" s="1090">
        <v>0</v>
      </c>
      <c r="CO81" s="835">
        <v>2015</v>
      </c>
      <c r="CP81" s="767">
        <v>36547.4</v>
      </c>
      <c r="CQ81" s="1091" t="e">
        <f t="array" ref="CQ81:CQ96">TRANSPOSE(СЧЁТ!#REF!)</f>
        <v>#REF!</v>
      </c>
      <c r="CR81" s="769">
        <v>83094.3</v>
      </c>
      <c r="CS81" s="1091" t="e">
        <f t="array" ref="CS81:CS96">TRANSPOSE(СЧЁТ!#REF!)</f>
        <v>#REF!</v>
      </c>
      <c r="CT81" s="362">
        <f t="shared" si="33"/>
        <v>0.43983040954674391</v>
      </c>
      <c r="CU81" s="1089" t="e">
        <f>CQ81/CS81</f>
        <v>#REF!</v>
      </c>
      <c r="DK81" s="989">
        <f>CT81</f>
        <v>0.43983040954674391</v>
      </c>
      <c r="DN81" s="739">
        <v>22</v>
      </c>
      <c r="DO81" s="1621">
        <v>35179.699999999997</v>
      </c>
      <c r="DP81" s="1806">
        <v>2016</v>
      </c>
      <c r="DQ81" s="1616">
        <v>35.179699999999997</v>
      </c>
      <c r="DR81" s="1035">
        <v>35.580800000000004</v>
      </c>
      <c r="DS81" s="739"/>
      <c r="DT81" s="739"/>
      <c r="DU81" s="739"/>
      <c r="DV81" s="739"/>
      <c r="DW81" s="739"/>
      <c r="DX81" s="739"/>
      <c r="DY81" s="739"/>
      <c r="DZ81" s="739"/>
      <c r="EA81" s="739"/>
      <c r="EB81" s="739"/>
      <c r="EC81" s="739"/>
      <c r="ED81" s="739"/>
    </row>
    <row r="82" spans="2:134" ht="18">
      <c r="B82" s="554">
        <v>39623.4</v>
      </c>
      <c r="C82" s="817">
        <v>2012</v>
      </c>
      <c r="D82" s="758">
        <v>39904</v>
      </c>
      <c r="E82" s="757">
        <v>30201.161499999998</v>
      </c>
      <c r="F82" s="754">
        <v>68163.883100000006</v>
      </c>
      <c r="G82" s="366">
        <f t="shared" si="36"/>
        <v>0.14234574174369477</v>
      </c>
      <c r="H82" s="752"/>
      <c r="J82" s="817">
        <v>2016</v>
      </c>
      <c r="K82" s="120"/>
      <c r="L82" s="364">
        <f>0.19</f>
        <v>0.19</v>
      </c>
      <c r="Y82" s="822">
        <f t="shared" ref="Y82:Y96" si="37">L82</f>
        <v>0.19</v>
      </c>
      <c r="AB82" s="849">
        <v>1.0539000000000001</v>
      </c>
      <c r="AC82" s="835">
        <v>2016</v>
      </c>
      <c r="AD82" s="807">
        <f t="shared" ref="AD82:AD96" si="38">AD81*AB82</f>
        <v>20.606812857794662</v>
      </c>
      <c r="AE82" s="807"/>
      <c r="AF82" s="567"/>
      <c r="AG82" s="982">
        <v>25.541020349632802</v>
      </c>
      <c r="AW82" s="1064" t="e">
        <f>AZ82/AZ81</f>
        <v>#REF!</v>
      </c>
      <c r="AX82" s="784" t="e">
        <f>НАСТРОЙКА!#REF!</f>
        <v>#REF!</v>
      </c>
      <c r="AY82" s="835">
        <v>2016</v>
      </c>
      <c r="AZ82" s="1063" t="e">
        <f>AZ81+0.5934*(BC82-BC81)</f>
        <v>#REF!</v>
      </c>
      <c r="BA82" s="808">
        <v>20.606812857794662</v>
      </c>
      <c r="BB82" s="802"/>
      <c r="BC82" s="808" t="e">
        <v>#REF!</v>
      </c>
      <c r="BU82" s="820">
        <v>2016</v>
      </c>
      <c r="BV82" s="767">
        <v>54102</v>
      </c>
      <c r="BW82" s="1090" t="e">
        <v>#REF!</v>
      </c>
      <c r="BX82" s="769">
        <v>45317.05</v>
      </c>
      <c r="BY82" s="1090">
        <v>0</v>
      </c>
      <c r="CO82" s="835">
        <v>2016</v>
      </c>
      <c r="CP82" s="762"/>
      <c r="CQ82" s="1091" t="e">
        <v>#REF!</v>
      </c>
      <c r="CR82" s="763"/>
      <c r="CS82" s="1091" t="e">
        <v>#REF!</v>
      </c>
      <c r="CT82" s="1089" t="e">
        <f>CQ82/CS82</f>
        <v>#REF!</v>
      </c>
      <c r="CU82" s="1089" t="e">
        <f t="shared" ref="CU82:CU96" si="39">CQ82/CS82</f>
        <v>#REF!</v>
      </c>
      <c r="DK82" s="989" t="e">
        <f t="shared" ref="DK82:DK96" si="40">CT82</f>
        <v>#REF!</v>
      </c>
      <c r="DN82" s="739">
        <v>23</v>
      </c>
      <c r="DO82" s="1621">
        <v>38418</v>
      </c>
      <c r="DP82" s="1806">
        <v>2017</v>
      </c>
      <c r="DQ82" s="1616">
        <v>38.417999999999999</v>
      </c>
      <c r="DR82" s="1035">
        <v>39.503700000000002</v>
      </c>
      <c r="DS82" s="739"/>
      <c r="DT82" s="739"/>
      <c r="DU82" s="739"/>
      <c r="DV82" s="739"/>
      <c r="DW82" s="739"/>
      <c r="DX82" s="739"/>
      <c r="DY82" s="739"/>
      <c r="DZ82" s="739"/>
      <c r="EA82" s="739"/>
      <c r="EB82" s="739"/>
      <c r="EC82" s="739"/>
      <c r="ED82" s="739"/>
    </row>
    <row r="83" spans="2:134" ht="18">
      <c r="C83" s="817">
        <v>2013</v>
      </c>
      <c r="D83" s="758">
        <v>44650</v>
      </c>
      <c r="E83" s="757">
        <v>33792.282200000001</v>
      </c>
      <c r="F83" s="754">
        <v>73133.89509999998</v>
      </c>
      <c r="G83" s="366">
        <f t="shared" si="36"/>
        <v>0.14846355147847173</v>
      </c>
      <c r="H83" s="752"/>
      <c r="J83" s="817">
        <v>2017</v>
      </c>
      <c r="K83" s="120"/>
      <c r="L83" s="364">
        <f>0.19</f>
        <v>0.19</v>
      </c>
      <c r="Y83" s="822">
        <f t="shared" si="37"/>
        <v>0.19</v>
      </c>
      <c r="AB83" s="849">
        <v>1.0250999999999999</v>
      </c>
      <c r="AC83" s="835">
        <v>2017</v>
      </c>
      <c r="AD83" s="807">
        <f t="shared" si="38"/>
        <v>21.124043860525305</v>
      </c>
      <c r="AE83" s="807"/>
      <c r="AF83" s="567"/>
      <c r="AG83" s="982">
        <v>26.262932750374507</v>
      </c>
      <c r="AW83" s="1064" t="e">
        <f t="shared" ref="AW83:AW96" si="41">AZ83/AZ82</f>
        <v>#REF!</v>
      </c>
      <c r="AX83" s="784" t="e">
        <f>НАСТРОЙКА!#REF!</f>
        <v>#REF!</v>
      </c>
      <c r="AY83" s="835">
        <v>2017</v>
      </c>
      <c r="AZ83" s="1061" t="e">
        <f t="shared" ref="AZ83:AZ96" si="42">AZ82+0.5934*(BC83-BC82)</f>
        <v>#REF!</v>
      </c>
      <c r="BA83" s="808">
        <v>21.124043860525305</v>
      </c>
      <c r="BB83" s="802"/>
      <c r="BC83" s="808" t="e">
        <v>#REF!</v>
      </c>
      <c r="BU83" s="820">
        <v>2017</v>
      </c>
      <c r="BV83" s="762"/>
      <c r="BW83" s="1090" t="e">
        <v>#REF!</v>
      </c>
      <c r="BX83" s="763"/>
      <c r="BY83" s="1090">
        <v>0</v>
      </c>
      <c r="CO83" s="835">
        <v>2017</v>
      </c>
      <c r="CP83" s="762"/>
      <c r="CQ83" s="1091" t="e">
        <v>#REF!</v>
      </c>
      <c r="CR83" s="763"/>
      <c r="CS83" s="1091" t="e">
        <v>#REF!</v>
      </c>
      <c r="CT83" s="1089" t="e">
        <f t="shared" ref="CT83:CT96" si="43">CQ83/CS83</f>
        <v>#REF!</v>
      </c>
      <c r="CU83" s="1089" t="e">
        <f t="shared" si="39"/>
        <v>#REF!</v>
      </c>
      <c r="DK83" s="989" t="e">
        <f t="shared" si="40"/>
        <v>#REF!</v>
      </c>
      <c r="DN83" s="739">
        <v>24</v>
      </c>
      <c r="DO83" s="1621">
        <v>42442.2</v>
      </c>
      <c r="DP83" s="1806">
        <v>2018</v>
      </c>
      <c r="DQ83" s="1616">
        <v>42.4422</v>
      </c>
      <c r="DR83" s="1035">
        <v>43.630400000000002</v>
      </c>
      <c r="DS83" s="739"/>
      <c r="DT83" s="739"/>
      <c r="DU83" s="739"/>
      <c r="DV83" s="739"/>
      <c r="DW83" s="739"/>
      <c r="DX83" s="739"/>
      <c r="DY83" s="739"/>
      <c r="DZ83" s="739"/>
      <c r="EA83" s="739"/>
      <c r="EB83" s="739"/>
      <c r="EC83" s="739"/>
      <c r="ED83" s="739"/>
    </row>
    <row r="84" spans="2:134" ht="18">
      <c r="C84" s="817">
        <v>2014</v>
      </c>
      <c r="D84" s="758">
        <v>47921</v>
      </c>
      <c r="E84" s="749">
        <v>37430.46</v>
      </c>
      <c r="F84" s="754">
        <v>79058</v>
      </c>
      <c r="G84" s="366">
        <f t="shared" si="36"/>
        <v>0.13269422449340992</v>
      </c>
      <c r="H84" s="752"/>
      <c r="J84" s="817">
        <v>2018</v>
      </c>
      <c r="K84" s="120"/>
      <c r="L84" s="364">
        <f>L83</f>
        <v>0.19</v>
      </c>
      <c r="Y84" s="822">
        <f t="shared" si="37"/>
        <v>0.19</v>
      </c>
      <c r="AB84" s="849">
        <v>1.0426</v>
      </c>
      <c r="AC84" s="835">
        <v>2018</v>
      </c>
      <c r="AD84" s="807">
        <f t="shared" si="38"/>
        <v>22.02392812898368</v>
      </c>
      <c r="AE84" s="807"/>
      <c r="AF84" s="567"/>
      <c r="AG84" s="982">
        <v>27.120680464307846</v>
      </c>
      <c r="AW84" s="1064" t="e">
        <f t="shared" si="41"/>
        <v>#REF!</v>
      </c>
      <c r="AX84" s="784" t="e">
        <f>НАСТРОЙКА!#REF!</f>
        <v>#REF!</v>
      </c>
      <c r="AY84" s="835">
        <v>2018</v>
      </c>
      <c r="AZ84" s="1061" t="e">
        <f t="shared" si="42"/>
        <v>#REF!</v>
      </c>
      <c r="BA84" s="808">
        <v>22.02392812898368</v>
      </c>
      <c r="BB84" s="802"/>
      <c r="BC84" s="808" t="e">
        <v>#REF!</v>
      </c>
      <c r="BU84" s="820">
        <v>2018</v>
      </c>
      <c r="BV84" s="762"/>
      <c r="BW84" s="1090" t="e">
        <v>#REF!</v>
      </c>
      <c r="BX84" s="763"/>
      <c r="BY84" s="1090">
        <v>0</v>
      </c>
      <c r="CO84" s="835">
        <v>2018</v>
      </c>
      <c r="CP84" s="762"/>
      <c r="CQ84" s="1091" t="e">
        <v>#REF!</v>
      </c>
      <c r="CR84" s="763"/>
      <c r="CS84" s="1091" t="e">
        <v>#REF!</v>
      </c>
      <c r="CT84" s="1089" t="e">
        <f t="shared" si="43"/>
        <v>#REF!</v>
      </c>
      <c r="CU84" s="1089" t="e">
        <f t="shared" si="39"/>
        <v>#REF!</v>
      </c>
      <c r="DK84" s="989" t="e">
        <f t="shared" si="40"/>
        <v>#REF!</v>
      </c>
      <c r="DN84" s="739">
        <v>25</v>
      </c>
      <c r="DO84" s="1621">
        <v>47109.3</v>
      </c>
      <c r="DP84" s="1806">
        <v>2019</v>
      </c>
      <c r="DQ84" s="1616">
        <v>47.109300000000005</v>
      </c>
      <c r="DR84" s="1035">
        <v>47.960900000000009</v>
      </c>
      <c r="DS84" s="739"/>
      <c r="DT84" s="739"/>
      <c r="DU84" s="739"/>
      <c r="DV84" s="739"/>
      <c r="DW84" s="739"/>
      <c r="DX84" s="739"/>
      <c r="DY84" s="739"/>
      <c r="DZ84" s="739"/>
      <c r="EA84" s="739"/>
      <c r="EB84" s="739"/>
      <c r="EC84" s="739"/>
      <c r="ED84" s="739"/>
    </row>
    <row r="85" spans="2:134" ht="18">
      <c r="C85" s="819">
        <v>2015</v>
      </c>
      <c r="D85" s="758">
        <v>53526</v>
      </c>
      <c r="E85" s="750">
        <v>37745.49</v>
      </c>
      <c r="F85" s="1109">
        <v>83094</v>
      </c>
      <c r="G85" s="366">
        <f t="shared" si="36"/>
        <v>0.18991154595999712</v>
      </c>
      <c r="H85" s="748"/>
      <c r="J85" s="817">
        <v>2019</v>
      </c>
      <c r="K85" s="120"/>
      <c r="L85" s="364">
        <f t="shared" ref="L85:L96" si="44">L84</f>
        <v>0.19</v>
      </c>
      <c r="Y85" s="822">
        <f t="shared" si="37"/>
        <v>0.19</v>
      </c>
      <c r="AB85" s="849">
        <v>1.0304</v>
      </c>
      <c r="AC85" s="835">
        <v>2019</v>
      </c>
      <c r="AD85" s="807">
        <f t="shared" si="38"/>
        <v>22.693455544104783</v>
      </c>
      <c r="AE85" s="807"/>
      <c r="AF85" s="567"/>
      <c r="AG85" s="982">
        <v>28.12440071334408</v>
      </c>
      <c r="AW85" s="1064" t="e">
        <f t="shared" si="41"/>
        <v>#REF!</v>
      </c>
      <c r="AX85" s="784" t="e">
        <f>НАСТРОЙКА!#REF!</f>
        <v>#REF!</v>
      </c>
      <c r="AY85" s="835">
        <v>2019</v>
      </c>
      <c r="AZ85" s="1061" t="e">
        <f t="shared" si="42"/>
        <v>#REF!</v>
      </c>
      <c r="BA85" s="808">
        <v>22.693455544104783</v>
      </c>
      <c r="BB85" s="802"/>
      <c r="BC85" s="808" t="e">
        <v>#REF!</v>
      </c>
      <c r="BU85" s="820">
        <v>2019</v>
      </c>
      <c r="BV85" s="762"/>
      <c r="BW85" s="1090" t="e">
        <v>#REF!</v>
      </c>
      <c r="BX85" s="763"/>
      <c r="BY85" s="1090">
        <v>0</v>
      </c>
      <c r="CO85" s="835">
        <v>2019</v>
      </c>
      <c r="CP85" s="762"/>
      <c r="CQ85" s="1091" t="e">
        <v>#REF!</v>
      </c>
      <c r="CR85" s="763"/>
      <c r="CS85" s="1091" t="e">
        <v>#REF!</v>
      </c>
      <c r="CT85" s="1089" t="e">
        <f t="shared" si="43"/>
        <v>#REF!</v>
      </c>
      <c r="CU85" s="1089" t="e">
        <f t="shared" si="39"/>
        <v>#REF!</v>
      </c>
      <c r="DK85" s="989" t="e">
        <f t="shared" si="40"/>
        <v>#REF!</v>
      </c>
      <c r="DN85" s="739">
        <v>26</v>
      </c>
      <c r="DO85" s="739"/>
      <c r="DP85" s="1806">
        <v>2020</v>
      </c>
      <c r="DQ85" s="1188"/>
      <c r="DR85" s="1035">
        <v>52.495200000000004</v>
      </c>
      <c r="DS85" s="739"/>
      <c r="DT85" s="739"/>
      <c r="DU85" s="739"/>
      <c r="DV85" s="739"/>
      <c r="DW85" s="739"/>
      <c r="DX85" s="739"/>
      <c r="DY85" s="739"/>
      <c r="DZ85" s="739"/>
      <c r="EA85" s="739"/>
      <c r="EB85" s="739"/>
      <c r="EC85" s="739"/>
      <c r="ED85" s="739"/>
    </row>
    <row r="86" spans="2:134" ht="17.399999999999999">
      <c r="J86" s="817">
        <v>2020</v>
      </c>
      <c r="K86" s="120"/>
      <c r="L86" s="364">
        <f t="shared" si="44"/>
        <v>0.19</v>
      </c>
      <c r="Y86" s="822">
        <f t="shared" si="37"/>
        <v>0.19</v>
      </c>
      <c r="AB86" s="849">
        <v>1.0490999999999999</v>
      </c>
      <c r="AC86" s="835">
        <v>2020</v>
      </c>
      <c r="AD86" s="807">
        <f t="shared" si="38"/>
        <v>23.807704211320324</v>
      </c>
      <c r="AE86" s="807"/>
      <c r="AF86" s="567"/>
      <c r="AG86" s="982">
        <v>28.998911158369268</v>
      </c>
      <c r="AW86" s="1064" t="e">
        <f t="shared" si="41"/>
        <v>#REF!</v>
      </c>
      <c r="AX86" s="784" t="e">
        <f>НАСТРОЙКА!#REF!</f>
        <v>#REF!</v>
      </c>
      <c r="AY86" s="835">
        <v>2020</v>
      </c>
      <c r="AZ86" s="1061" t="e">
        <f t="shared" si="42"/>
        <v>#REF!</v>
      </c>
      <c r="BA86" s="808">
        <v>23.807704211320324</v>
      </c>
      <c r="BB86" s="802"/>
      <c r="BC86" s="808" t="e">
        <v>#REF!</v>
      </c>
      <c r="BU86" s="820">
        <v>2020</v>
      </c>
      <c r="BV86" s="762"/>
      <c r="BW86" s="1090" t="e">
        <v>#REF!</v>
      </c>
      <c r="BX86" s="763"/>
      <c r="BY86" s="1090">
        <v>0</v>
      </c>
      <c r="CO86" s="835">
        <v>2020</v>
      </c>
      <c r="CP86" s="762"/>
      <c r="CQ86" s="1091" t="e">
        <v>#REF!</v>
      </c>
      <c r="CR86" s="763"/>
      <c r="CS86" s="1091" t="e">
        <v>#REF!</v>
      </c>
      <c r="CT86" s="1089" t="e">
        <f t="shared" si="43"/>
        <v>#REF!</v>
      </c>
      <c r="CU86" s="1089" t="e">
        <f t="shared" si="39"/>
        <v>#REF!</v>
      </c>
      <c r="DK86" s="989" t="e">
        <f t="shared" si="40"/>
        <v>#REF!</v>
      </c>
      <c r="DN86" s="739">
        <v>27</v>
      </c>
      <c r="DO86" s="739"/>
      <c r="DP86" s="1806">
        <v>2021</v>
      </c>
      <c r="DQ86" s="1188"/>
      <c r="DR86" s="1035">
        <v>57.2333</v>
      </c>
      <c r="DS86" s="739"/>
      <c r="DT86" s="739"/>
      <c r="DU86" s="739"/>
      <c r="DV86" s="739"/>
      <c r="DW86" s="739"/>
      <c r="DX86" s="739"/>
      <c r="DY86" s="739"/>
      <c r="DZ86" s="739"/>
      <c r="EA86" s="739"/>
      <c r="EB86" s="739"/>
      <c r="EC86" s="739"/>
      <c r="ED86" s="739"/>
    </row>
    <row r="87" spans="2:134" ht="17.399999999999999">
      <c r="J87" s="817">
        <v>2021</v>
      </c>
      <c r="K87" s="120"/>
      <c r="L87" s="364">
        <f t="shared" si="44"/>
        <v>0.19</v>
      </c>
      <c r="Y87" s="822">
        <f t="shared" si="37"/>
        <v>0.19</v>
      </c>
      <c r="AB87" s="849">
        <v>1.05</v>
      </c>
      <c r="AC87" s="835">
        <v>2021</v>
      </c>
      <c r="AD87" s="807">
        <f t="shared" si="38"/>
        <v>24.998089421886341</v>
      </c>
      <c r="AE87" s="807"/>
      <c r="AF87" s="567"/>
      <c r="AG87" s="982">
        <v>31.029391716287734</v>
      </c>
      <c r="AW87" s="1064" t="e">
        <f t="shared" si="41"/>
        <v>#REF!</v>
      </c>
      <c r="AX87" s="784" t="e">
        <f>НАСТРОЙКА!#REF!</f>
        <v>#REF!</v>
      </c>
      <c r="AY87" s="835">
        <v>2021</v>
      </c>
      <c r="AZ87" s="1061" t="e">
        <f t="shared" si="42"/>
        <v>#REF!</v>
      </c>
      <c r="BA87" s="808">
        <v>24.998089421886341</v>
      </c>
      <c r="BB87" s="802"/>
      <c r="BC87" s="808" t="e">
        <v>#REF!</v>
      </c>
      <c r="BU87" s="820">
        <v>2021</v>
      </c>
      <c r="BV87" s="762"/>
      <c r="BW87" s="1090" t="e">
        <v>#REF!</v>
      </c>
      <c r="BX87" s="763"/>
      <c r="BY87" s="1090">
        <v>0</v>
      </c>
      <c r="CO87" s="835">
        <v>2021</v>
      </c>
      <c r="CP87" s="762"/>
      <c r="CQ87" s="1091" t="e">
        <v>#REF!</v>
      </c>
      <c r="CR87" s="763"/>
      <c r="CS87" s="1091" t="e">
        <v>#REF!</v>
      </c>
      <c r="CT87" s="1089" t="e">
        <f t="shared" si="43"/>
        <v>#REF!</v>
      </c>
      <c r="CU87" s="1089" t="e">
        <f t="shared" si="39"/>
        <v>#REF!</v>
      </c>
      <c r="DK87" s="989" t="e">
        <f t="shared" si="40"/>
        <v>#REF!</v>
      </c>
      <c r="DN87" s="739">
        <v>28</v>
      </c>
      <c r="DO87" s="739"/>
      <c r="DP87" s="1806">
        <v>2022</v>
      </c>
      <c r="DQ87" s="1188"/>
      <c r="DR87" s="1035">
        <v>62.175200000000004</v>
      </c>
      <c r="DS87" s="739"/>
      <c r="DT87" s="739"/>
      <c r="DU87" s="739"/>
      <c r="DV87" s="739"/>
      <c r="DW87" s="739"/>
      <c r="DX87" s="739"/>
      <c r="DY87" s="739"/>
      <c r="DZ87" s="739"/>
      <c r="EA87" s="739"/>
      <c r="EB87" s="739"/>
      <c r="EC87" s="739"/>
      <c r="ED87" s="739"/>
    </row>
    <row r="88" spans="2:134" ht="17.399999999999999">
      <c r="J88" s="817">
        <v>2022</v>
      </c>
      <c r="K88" s="120"/>
      <c r="L88" s="364">
        <f t="shared" si="44"/>
        <v>0.19</v>
      </c>
      <c r="Y88" s="822">
        <f t="shared" si="37"/>
        <v>0.19</v>
      </c>
      <c r="AB88" s="849">
        <v>1.05</v>
      </c>
      <c r="AC88" s="835">
        <v>2022</v>
      </c>
      <c r="AD88" s="807">
        <f t="shared" si="38"/>
        <v>26.247993892980659</v>
      </c>
      <c r="AE88" s="807"/>
      <c r="AF88" s="567"/>
      <c r="AG88" s="982">
        <v>32.604896302102119</v>
      </c>
      <c r="AW88" s="1064" t="e">
        <f t="shared" si="41"/>
        <v>#REF!</v>
      </c>
      <c r="AX88" s="784" t="e">
        <f>НАСТРОЙКА!#REF!</f>
        <v>#REF!</v>
      </c>
      <c r="AY88" s="835">
        <v>2022</v>
      </c>
      <c r="AZ88" s="1061" t="e">
        <f t="shared" si="42"/>
        <v>#REF!</v>
      </c>
      <c r="BA88" s="808">
        <v>26.247993892980659</v>
      </c>
      <c r="BB88" s="802"/>
      <c r="BC88" s="808" t="e">
        <v>#REF!</v>
      </c>
      <c r="BU88" s="820">
        <v>2022</v>
      </c>
      <c r="BV88" s="762"/>
      <c r="BW88" s="1090" t="e">
        <v>#REF!</v>
      </c>
      <c r="BX88" s="763"/>
      <c r="BY88" s="1090">
        <v>0</v>
      </c>
      <c r="CO88" s="835">
        <v>2022</v>
      </c>
      <c r="CP88" s="762"/>
      <c r="CQ88" s="1091" t="e">
        <v>#REF!</v>
      </c>
      <c r="CR88" s="763"/>
      <c r="CS88" s="1091" t="e">
        <v>#REF!</v>
      </c>
      <c r="CT88" s="1089" t="e">
        <f t="shared" si="43"/>
        <v>#REF!</v>
      </c>
      <c r="CU88" s="1089" t="e">
        <f t="shared" si="39"/>
        <v>#REF!</v>
      </c>
      <c r="DK88" s="989" t="e">
        <f t="shared" si="40"/>
        <v>#REF!</v>
      </c>
      <c r="DN88" s="739">
        <v>29</v>
      </c>
      <c r="DO88" s="739"/>
      <c r="DP88" s="1806">
        <v>2023</v>
      </c>
      <c r="DQ88" s="1188"/>
      <c r="DR88" s="1035">
        <v>67.320899999999995</v>
      </c>
      <c r="DS88" s="739"/>
      <c r="DT88" s="739"/>
      <c r="DU88" s="739"/>
      <c r="DV88" s="739"/>
      <c r="DW88" s="739"/>
      <c r="DX88" s="739"/>
      <c r="DY88" s="739"/>
      <c r="DZ88" s="739"/>
      <c r="EA88" s="739"/>
      <c r="EB88" s="739"/>
      <c r="EC88" s="739"/>
      <c r="ED88" s="739"/>
    </row>
    <row r="89" spans="2:134" ht="17.399999999999999">
      <c r="J89" s="817">
        <v>2023</v>
      </c>
      <c r="K89" s="120"/>
      <c r="L89" s="364">
        <f t="shared" si="44"/>
        <v>0.19</v>
      </c>
      <c r="Y89" s="822">
        <f t="shared" si="37"/>
        <v>0.19</v>
      </c>
      <c r="AB89" s="849">
        <v>1.05</v>
      </c>
      <c r="AC89" s="835">
        <v>2023</v>
      </c>
      <c r="AD89" s="807">
        <f t="shared" si="38"/>
        <v>27.560393587629694</v>
      </c>
      <c r="AE89" s="807"/>
      <c r="AF89" s="567"/>
      <c r="AG89" s="982">
        <v>34.259176117207225</v>
      </c>
      <c r="AW89" s="1064" t="e">
        <f t="shared" si="41"/>
        <v>#REF!</v>
      </c>
      <c r="AX89" s="784" t="e">
        <f>НАСТРОЙКА!#REF!</f>
        <v>#REF!</v>
      </c>
      <c r="AY89" s="835">
        <v>2023</v>
      </c>
      <c r="AZ89" s="1061" t="e">
        <f t="shared" si="42"/>
        <v>#REF!</v>
      </c>
      <c r="BA89" s="808">
        <v>27.560393587629694</v>
      </c>
      <c r="BB89" s="802"/>
      <c r="BC89" s="808" t="e">
        <v>#REF!</v>
      </c>
      <c r="BU89" s="820">
        <v>2023</v>
      </c>
      <c r="BV89" s="762"/>
      <c r="BW89" s="1090" t="e">
        <v>#REF!</v>
      </c>
      <c r="BX89" s="763"/>
      <c r="BY89" s="1090">
        <v>0</v>
      </c>
      <c r="CO89" s="835">
        <v>2023</v>
      </c>
      <c r="CP89" s="762"/>
      <c r="CQ89" s="1091" t="e">
        <v>#REF!</v>
      </c>
      <c r="CR89" s="763"/>
      <c r="CS89" s="1091" t="e">
        <v>#REF!</v>
      </c>
      <c r="CT89" s="1089" t="e">
        <f t="shared" si="43"/>
        <v>#REF!</v>
      </c>
      <c r="CU89" s="1089" t="e">
        <f t="shared" si="39"/>
        <v>#REF!</v>
      </c>
      <c r="DK89" s="989" t="e">
        <f t="shared" si="40"/>
        <v>#REF!</v>
      </c>
      <c r="DN89" s="739">
        <v>30</v>
      </c>
      <c r="DO89" s="739"/>
      <c r="DP89" s="1185">
        <v>2024</v>
      </c>
      <c r="DQ89" s="1188"/>
      <c r="DR89" s="1035">
        <v>72.670400000000001</v>
      </c>
      <c r="DS89" s="739"/>
      <c r="DT89" s="739"/>
      <c r="DU89" s="739"/>
      <c r="DV89" s="739"/>
      <c r="DW89" s="739"/>
      <c r="DX89" s="739"/>
      <c r="DY89" s="739"/>
      <c r="DZ89" s="739"/>
      <c r="EA89" s="739"/>
      <c r="EB89" s="739"/>
      <c r="EC89" s="739"/>
      <c r="ED89" s="739"/>
    </row>
    <row r="90" spans="2:134" ht="17.399999999999999">
      <c r="J90" s="817">
        <v>2024</v>
      </c>
      <c r="K90" s="120"/>
      <c r="L90" s="364">
        <f t="shared" si="44"/>
        <v>0.19</v>
      </c>
      <c r="Y90" s="822">
        <f t="shared" si="37"/>
        <v>0.19</v>
      </c>
      <c r="AB90" s="849">
        <v>1.05</v>
      </c>
      <c r="AC90" s="835">
        <v>2024</v>
      </c>
      <c r="AD90" s="807">
        <f t="shared" si="38"/>
        <v>28.938413267011178</v>
      </c>
      <c r="AE90" s="807"/>
      <c r="AF90" s="567"/>
      <c r="AG90" s="982">
        <v>35.99616992306759</v>
      </c>
      <c r="AW90" s="1064" t="e">
        <f t="shared" si="41"/>
        <v>#REF!</v>
      </c>
      <c r="AX90" s="784" t="e">
        <f>НАСТРОЙКА!#REF!</f>
        <v>#REF!</v>
      </c>
      <c r="AY90" s="835">
        <v>2024</v>
      </c>
      <c r="AZ90" s="1061" t="e">
        <f t="shared" si="42"/>
        <v>#REF!</v>
      </c>
      <c r="BA90" s="808">
        <v>28.938413267011178</v>
      </c>
      <c r="BB90" s="802"/>
      <c r="BC90" s="808" t="e">
        <v>#REF!</v>
      </c>
      <c r="BU90" s="820">
        <v>2024</v>
      </c>
      <c r="BV90" s="762"/>
      <c r="BW90" s="1090" t="e">
        <v>#REF!</v>
      </c>
      <c r="BX90" s="763"/>
      <c r="BY90" s="1090">
        <v>0</v>
      </c>
      <c r="CO90" s="835">
        <v>2024</v>
      </c>
      <c r="CP90" s="762"/>
      <c r="CQ90" s="1091" t="e">
        <v>#REF!</v>
      </c>
      <c r="CR90" s="763"/>
      <c r="CS90" s="1091" t="e">
        <v>#REF!</v>
      </c>
      <c r="CT90" s="1089" t="e">
        <f t="shared" si="43"/>
        <v>#REF!</v>
      </c>
      <c r="CU90" s="1089" t="e">
        <f t="shared" si="39"/>
        <v>#REF!</v>
      </c>
      <c r="DK90" s="989" t="e">
        <f t="shared" si="40"/>
        <v>#REF!</v>
      </c>
      <c r="DN90" s="739">
        <v>31</v>
      </c>
      <c r="DO90" s="739"/>
      <c r="DP90" s="1806">
        <v>2025</v>
      </c>
      <c r="DQ90" s="1188"/>
      <c r="DR90" s="1035">
        <v>78.223700000000008</v>
      </c>
      <c r="DS90" s="739"/>
      <c r="DT90" s="739"/>
      <c r="DU90" s="739"/>
      <c r="DV90" s="739"/>
      <c r="DW90" s="739"/>
      <c r="DX90" s="739"/>
      <c r="DY90" s="739"/>
      <c r="DZ90" s="739"/>
      <c r="EA90" s="739"/>
      <c r="EB90" s="739"/>
      <c r="EC90" s="739"/>
      <c r="ED90" s="739"/>
    </row>
    <row r="91" spans="2:134" ht="17.399999999999999">
      <c r="J91" s="818">
        <v>2025</v>
      </c>
      <c r="K91" s="120"/>
      <c r="L91" s="364">
        <f t="shared" si="44"/>
        <v>0.19</v>
      </c>
      <c r="Y91" s="822">
        <f t="shared" si="37"/>
        <v>0.19</v>
      </c>
      <c r="AB91" s="849">
        <v>1.05</v>
      </c>
      <c r="AC91" s="835">
        <v>2025</v>
      </c>
      <c r="AD91" s="807">
        <f t="shared" si="38"/>
        <v>30.385333930361739</v>
      </c>
      <c r="AE91" s="807"/>
      <c r="AF91" s="567"/>
      <c r="AG91" s="982">
        <v>37.82001341922097</v>
      </c>
      <c r="AW91" s="1064" t="e">
        <f t="shared" si="41"/>
        <v>#REF!</v>
      </c>
      <c r="AX91" s="784" t="e">
        <f>НАСТРОЙКА!#REF!</f>
        <v>#REF!</v>
      </c>
      <c r="AY91" s="835">
        <v>2025</v>
      </c>
      <c r="AZ91" s="1061" t="e">
        <f t="shared" si="42"/>
        <v>#REF!</v>
      </c>
      <c r="BA91" s="808">
        <v>30.385333930361739</v>
      </c>
      <c r="BB91" s="802"/>
      <c r="BC91" s="808" t="e">
        <v>#REF!</v>
      </c>
      <c r="BU91" s="820">
        <v>2025</v>
      </c>
      <c r="BV91" s="762"/>
      <c r="BW91" s="1090" t="e">
        <v>#REF!</v>
      </c>
      <c r="BX91" s="763"/>
      <c r="BY91" s="1090">
        <v>0</v>
      </c>
      <c r="CO91" s="835">
        <v>2025</v>
      </c>
      <c r="CP91" s="762"/>
      <c r="CQ91" s="1091" t="e">
        <v>#REF!</v>
      </c>
      <c r="CR91" s="763"/>
      <c r="CS91" s="1091" t="e">
        <v>#REF!</v>
      </c>
      <c r="CT91" s="1089" t="e">
        <f t="shared" si="43"/>
        <v>#REF!</v>
      </c>
      <c r="CU91" s="1089" t="e">
        <f t="shared" si="39"/>
        <v>#REF!</v>
      </c>
      <c r="DK91" s="989" t="e">
        <f t="shared" si="40"/>
        <v>#REF!</v>
      </c>
      <c r="DN91" s="739">
        <v>32</v>
      </c>
      <c r="DO91" s="739"/>
      <c r="DP91" s="1185">
        <v>2026</v>
      </c>
      <c r="DQ91" s="1188"/>
      <c r="DR91" s="1035">
        <v>83.980800000000016</v>
      </c>
      <c r="DS91" s="739"/>
      <c r="DT91" s="739"/>
      <c r="DU91" s="739"/>
      <c r="DV91" s="739"/>
      <c r="DW91" s="739"/>
      <c r="DX91" s="739"/>
      <c r="DY91" s="739"/>
      <c r="DZ91" s="739"/>
      <c r="EA91" s="739"/>
      <c r="EB91" s="739"/>
      <c r="EC91" s="739"/>
      <c r="ED91" s="739"/>
    </row>
    <row r="92" spans="2:134" ht="17.399999999999999">
      <c r="J92" s="818">
        <v>2026</v>
      </c>
      <c r="K92" s="120"/>
      <c r="L92" s="364">
        <f t="shared" si="44"/>
        <v>0.19</v>
      </c>
      <c r="Y92" s="822">
        <f t="shared" si="37"/>
        <v>0.19</v>
      </c>
      <c r="AB92" s="849">
        <v>1.05</v>
      </c>
      <c r="AC92" s="835">
        <v>2026</v>
      </c>
      <c r="AD92" s="807">
        <f t="shared" si="38"/>
        <v>31.904600626879827</v>
      </c>
      <c r="AE92" s="807"/>
      <c r="AF92" s="567"/>
      <c r="AG92" s="982">
        <v>39.735049090182024</v>
      </c>
      <c r="AW92" s="1064" t="e">
        <f t="shared" si="41"/>
        <v>#REF!</v>
      </c>
      <c r="AX92" s="784" t="e">
        <f>НАСТРОЙКА!#REF!</f>
        <v>#REF!</v>
      </c>
      <c r="AY92" s="835">
        <v>2026</v>
      </c>
      <c r="AZ92" s="1061" t="e">
        <f t="shared" si="42"/>
        <v>#REF!</v>
      </c>
      <c r="BA92" s="808">
        <v>31.904600626879827</v>
      </c>
      <c r="BB92" s="802"/>
      <c r="BC92" s="808" t="e">
        <v>#REF!</v>
      </c>
      <c r="BU92" s="820">
        <v>2026</v>
      </c>
      <c r="BV92" s="762"/>
      <c r="BW92" s="1090" t="e">
        <v>#REF!</v>
      </c>
      <c r="BX92" s="763"/>
      <c r="BY92" s="1090">
        <v>0</v>
      </c>
      <c r="CO92" s="835">
        <v>2026</v>
      </c>
      <c r="CP92" s="762"/>
      <c r="CQ92" s="1091" t="e">
        <v>#REF!</v>
      </c>
      <c r="CR92" s="763"/>
      <c r="CS92" s="1091" t="e">
        <v>#REF!</v>
      </c>
      <c r="CT92" s="1089" t="e">
        <f t="shared" si="43"/>
        <v>#REF!</v>
      </c>
      <c r="CU92" s="1089" t="e">
        <f t="shared" si="39"/>
        <v>#REF!</v>
      </c>
      <c r="DK92" s="989" t="e">
        <f t="shared" si="40"/>
        <v>#REF!</v>
      </c>
      <c r="DN92" s="739">
        <v>33</v>
      </c>
      <c r="DO92" s="739"/>
      <c r="DP92" s="1806">
        <v>2027</v>
      </c>
      <c r="DQ92" s="1188"/>
      <c r="DR92" s="1035">
        <v>89.941700000000026</v>
      </c>
      <c r="DS92" s="739"/>
      <c r="DT92" s="739"/>
      <c r="DU92" s="739"/>
      <c r="DV92" s="739"/>
      <c r="DW92" s="739"/>
      <c r="DX92" s="739"/>
      <c r="DY92" s="739"/>
      <c r="DZ92" s="739"/>
      <c r="EA92" s="739"/>
      <c r="EB92" s="739"/>
      <c r="EC92" s="739"/>
      <c r="ED92" s="739"/>
    </row>
    <row r="93" spans="2:134" ht="17.399999999999999">
      <c r="J93" s="817">
        <v>2027</v>
      </c>
      <c r="K93" s="120"/>
      <c r="L93" s="364">
        <f t="shared" si="44"/>
        <v>0.19</v>
      </c>
      <c r="Y93" s="822">
        <f t="shared" si="37"/>
        <v>0.19</v>
      </c>
      <c r="AB93" s="849">
        <v>1.05</v>
      </c>
      <c r="AC93" s="835">
        <v>2027</v>
      </c>
      <c r="AD93" s="807">
        <f t="shared" si="38"/>
        <v>33.499830658223821</v>
      </c>
      <c r="AE93" s="807"/>
      <c r="AF93" s="567"/>
      <c r="AG93" s="982">
        <v>41.745836544691123</v>
      </c>
      <c r="AW93" s="1064" t="e">
        <f t="shared" si="41"/>
        <v>#REF!</v>
      </c>
      <c r="AX93" s="784" t="e">
        <f>НАСТРОЙКА!#REF!</f>
        <v>#REF!</v>
      </c>
      <c r="AY93" s="835">
        <v>2027</v>
      </c>
      <c r="AZ93" s="1061" t="e">
        <f t="shared" si="42"/>
        <v>#REF!</v>
      </c>
      <c r="BA93" s="808">
        <v>33.499830658223821</v>
      </c>
      <c r="BB93" s="802"/>
      <c r="BC93" s="808" t="e">
        <v>#REF!</v>
      </c>
      <c r="BU93" s="820">
        <v>2027</v>
      </c>
      <c r="BV93" s="762"/>
      <c r="BW93" s="1090" t="e">
        <v>#REF!</v>
      </c>
      <c r="BX93" s="763"/>
      <c r="BY93" s="1090">
        <v>0</v>
      </c>
      <c r="CO93" s="835">
        <v>2027</v>
      </c>
      <c r="CP93" s="762"/>
      <c r="CQ93" s="1091" t="e">
        <v>#REF!</v>
      </c>
      <c r="CR93" s="763"/>
      <c r="CS93" s="1091" t="e">
        <v>#REF!</v>
      </c>
      <c r="CT93" s="1089" t="e">
        <f t="shared" si="43"/>
        <v>#REF!</v>
      </c>
      <c r="CU93" s="1089" t="e">
        <f t="shared" si="39"/>
        <v>#REF!</v>
      </c>
      <c r="DK93" s="989" t="e">
        <f t="shared" si="40"/>
        <v>#REF!</v>
      </c>
      <c r="DN93" s="739">
        <v>34</v>
      </c>
      <c r="DO93" s="739"/>
      <c r="DP93" s="1185">
        <v>2028</v>
      </c>
      <c r="DQ93" s="1188"/>
      <c r="DR93" s="1035">
        <v>96.106400000000008</v>
      </c>
      <c r="DS93" s="739"/>
      <c r="DT93" s="739"/>
      <c r="DU93" s="739"/>
      <c r="DV93" s="739"/>
      <c r="DW93" s="739"/>
      <c r="DX93" s="739"/>
      <c r="DY93" s="739"/>
      <c r="DZ93" s="739"/>
      <c r="EA93" s="739"/>
      <c r="EB93" s="739"/>
      <c r="EC93" s="739"/>
      <c r="ED93" s="739"/>
    </row>
    <row r="94" spans="2:134" ht="17.399999999999999">
      <c r="J94" s="817">
        <v>2028</v>
      </c>
      <c r="K94" s="120"/>
      <c r="L94" s="364">
        <f t="shared" si="44"/>
        <v>0.19</v>
      </c>
      <c r="Y94" s="822">
        <f t="shared" si="37"/>
        <v>0.19</v>
      </c>
      <c r="AB94" s="849">
        <v>1.05</v>
      </c>
      <c r="AC94" s="835">
        <v>2028</v>
      </c>
      <c r="AD94" s="807">
        <f t="shared" si="38"/>
        <v>35.174822191135014</v>
      </c>
      <c r="AE94" s="807"/>
      <c r="AF94" s="567"/>
      <c r="AG94" s="982">
        <v>43.857163371925687</v>
      </c>
      <c r="AW94" s="1064" t="e">
        <f t="shared" si="41"/>
        <v>#REF!</v>
      </c>
      <c r="AX94" s="784" t="e">
        <f>НАСТРОЙКА!#REF!</f>
        <v>#REF!</v>
      </c>
      <c r="AY94" s="835">
        <v>2028</v>
      </c>
      <c r="AZ94" s="1061" t="e">
        <f t="shared" si="42"/>
        <v>#REF!</v>
      </c>
      <c r="BA94" s="808">
        <v>35.174822191135014</v>
      </c>
      <c r="BB94" s="802"/>
      <c r="BC94" s="808" t="e">
        <v>#REF!</v>
      </c>
      <c r="BU94" s="820">
        <v>2028</v>
      </c>
      <c r="BV94" s="762"/>
      <c r="BW94" s="1090" t="e">
        <v>#REF!</v>
      </c>
      <c r="BX94" s="763"/>
      <c r="BY94" s="1090">
        <v>0</v>
      </c>
      <c r="CO94" s="835">
        <v>2028</v>
      </c>
      <c r="CP94" s="762"/>
      <c r="CQ94" s="1091" t="e">
        <v>#REF!</v>
      </c>
      <c r="CR94" s="763"/>
      <c r="CS94" s="1091" t="e">
        <v>#REF!</v>
      </c>
      <c r="CT94" s="1089" t="e">
        <f t="shared" si="43"/>
        <v>#REF!</v>
      </c>
      <c r="CU94" s="1089" t="e">
        <f t="shared" si="39"/>
        <v>#REF!</v>
      </c>
      <c r="DK94" s="989" t="e">
        <f t="shared" si="40"/>
        <v>#REF!</v>
      </c>
      <c r="DN94" s="739">
        <v>35</v>
      </c>
      <c r="DO94" s="739"/>
      <c r="DP94" s="1806">
        <v>2029</v>
      </c>
      <c r="DQ94" s="1188"/>
      <c r="DR94" s="1035">
        <v>102.47489999999999</v>
      </c>
      <c r="DS94" s="739"/>
      <c r="DT94" s="739"/>
      <c r="DU94" s="739"/>
      <c r="DV94" s="739"/>
      <c r="DW94" s="739"/>
      <c r="DX94" s="739"/>
      <c r="DY94" s="739"/>
      <c r="DZ94" s="739"/>
      <c r="EA94" s="739"/>
      <c r="EB94" s="739"/>
      <c r="EC94" s="739"/>
      <c r="ED94" s="739"/>
    </row>
    <row r="95" spans="2:134" ht="17.399999999999999">
      <c r="J95" s="817">
        <v>2029</v>
      </c>
      <c r="K95" s="120"/>
      <c r="L95" s="364">
        <f t="shared" si="44"/>
        <v>0.19</v>
      </c>
      <c r="Y95" s="822">
        <f t="shared" si="37"/>
        <v>0.19</v>
      </c>
      <c r="AB95" s="849">
        <v>1.05</v>
      </c>
      <c r="AC95" s="835">
        <v>2029</v>
      </c>
      <c r="AD95" s="807">
        <f t="shared" si="38"/>
        <v>36.933563300691766</v>
      </c>
      <c r="AE95" s="807"/>
      <c r="AF95" s="567"/>
      <c r="AG95" s="982">
        <v>46.074056540521973</v>
      </c>
      <c r="AW95" s="1064" t="e">
        <f t="shared" si="41"/>
        <v>#REF!</v>
      </c>
      <c r="AX95" s="784" t="e">
        <f>НАСТРОЙКА!#REF!</f>
        <v>#REF!</v>
      </c>
      <c r="AY95" s="835">
        <v>2029</v>
      </c>
      <c r="AZ95" s="1061" t="e">
        <f t="shared" si="42"/>
        <v>#REF!</v>
      </c>
      <c r="BA95" s="808">
        <v>36.933563300691766</v>
      </c>
      <c r="BB95" s="802"/>
      <c r="BC95" s="808" t="e">
        <v>#REF!</v>
      </c>
      <c r="BU95" s="820">
        <v>2029</v>
      </c>
      <c r="BV95" s="762"/>
      <c r="BW95" s="1090" t="e">
        <v>#REF!</v>
      </c>
      <c r="BX95" s="763"/>
      <c r="BY95" s="1090">
        <v>0</v>
      </c>
      <c r="CO95" s="835">
        <v>2029</v>
      </c>
      <c r="CP95" s="762"/>
      <c r="CQ95" s="1091" t="e">
        <v>#REF!</v>
      </c>
      <c r="CR95" s="763"/>
      <c r="CS95" s="1091" t="e">
        <v>#REF!</v>
      </c>
      <c r="CT95" s="1089" t="e">
        <f t="shared" si="43"/>
        <v>#REF!</v>
      </c>
      <c r="CU95" s="1089" t="e">
        <f t="shared" si="39"/>
        <v>#REF!</v>
      </c>
      <c r="DK95" s="989" t="e">
        <f t="shared" si="40"/>
        <v>#REF!</v>
      </c>
      <c r="DN95" s="739">
        <v>36</v>
      </c>
      <c r="DO95" s="739"/>
      <c r="DP95" s="1499">
        <v>2030</v>
      </c>
      <c r="DQ95" s="1408"/>
      <c r="DR95" s="1808">
        <v>109.0472</v>
      </c>
      <c r="DS95" s="739"/>
      <c r="DT95" s="739"/>
      <c r="DU95" s="739"/>
      <c r="DV95" s="739"/>
      <c r="DW95" s="739"/>
      <c r="DX95" s="739"/>
      <c r="DY95" s="739"/>
      <c r="DZ95" s="739"/>
      <c r="EA95" s="739"/>
      <c r="EB95" s="739"/>
      <c r="EC95" s="739"/>
      <c r="ED95" s="739"/>
    </row>
    <row r="96" spans="2:134" ht="18" thickBot="1">
      <c r="J96" s="819">
        <v>2030</v>
      </c>
      <c r="K96" s="121"/>
      <c r="L96" s="478">
        <f t="shared" si="44"/>
        <v>0.19</v>
      </c>
      <c r="Y96" s="1113">
        <f t="shared" si="37"/>
        <v>0.19</v>
      </c>
      <c r="AB96" s="850">
        <v>1.05</v>
      </c>
      <c r="AC96" s="980">
        <v>2030</v>
      </c>
      <c r="AD96" s="832">
        <f t="shared" si="38"/>
        <v>38.780241465726355</v>
      </c>
      <c r="AE96" s="832"/>
      <c r="AF96" s="803"/>
      <c r="AG96" s="983">
        <v>48.401794367548071</v>
      </c>
      <c r="AW96" s="1064" t="e">
        <f t="shared" si="41"/>
        <v>#REF!</v>
      </c>
      <c r="AX96" s="784" t="e">
        <f>НАСТРОЙКА!#REF!</f>
        <v>#REF!</v>
      </c>
      <c r="AY96" s="845">
        <v>2030</v>
      </c>
      <c r="AZ96" s="1062" t="e">
        <f t="shared" si="42"/>
        <v>#REF!</v>
      </c>
      <c r="BA96" s="809">
        <v>38.780241465726355</v>
      </c>
      <c r="BB96" s="809"/>
      <c r="BC96" s="809" t="e">
        <v>#REF!</v>
      </c>
      <c r="BU96" s="853">
        <v>2030</v>
      </c>
      <c r="BV96" s="764"/>
      <c r="BW96" s="1112" t="e">
        <v>#REF!</v>
      </c>
      <c r="BX96" s="781"/>
      <c r="BY96" s="1112">
        <v>0</v>
      </c>
      <c r="CO96" s="835">
        <v>2030</v>
      </c>
      <c r="CP96" s="764"/>
      <c r="CQ96" s="1092" t="e">
        <v>#REF!</v>
      </c>
      <c r="CR96" s="1093"/>
      <c r="CS96" s="1092" t="e">
        <v>#REF!</v>
      </c>
      <c r="CT96" s="1089" t="e">
        <f t="shared" si="43"/>
        <v>#REF!</v>
      </c>
      <c r="CU96" s="1089" t="e">
        <f t="shared" si="39"/>
        <v>#REF!</v>
      </c>
      <c r="DK96" s="989" t="e">
        <f t="shared" si="40"/>
        <v>#REF!</v>
      </c>
    </row>
    <row r="99" spans="3:117" ht="15" thickBot="1"/>
    <row r="100" spans="3:117" ht="16.2" thickBot="1">
      <c r="BW100" s="833" t="s">
        <v>1258</v>
      </c>
      <c r="BX100" s="1007" t="s">
        <v>1368</v>
      </c>
      <c r="CN100" s="1048" t="s">
        <v>823</v>
      </c>
      <c r="CT100" s="833" t="s">
        <v>1258</v>
      </c>
      <c r="CU100" s="1007" t="s">
        <v>1607</v>
      </c>
    </row>
    <row r="101" spans="3:117" ht="18.600000000000001" thickBot="1">
      <c r="AS101" s="833" t="s">
        <v>1258</v>
      </c>
      <c r="AT101" s="1007" t="s">
        <v>190</v>
      </c>
      <c r="BV101" s="1008" t="s">
        <v>695</v>
      </c>
      <c r="BW101" s="990" t="s">
        <v>1387</v>
      </c>
      <c r="BX101" s="990" t="s">
        <v>1387</v>
      </c>
      <c r="CN101" s="985" t="str">
        <f>BW101</f>
        <v xml:space="preserve">   kRU</v>
      </c>
      <c r="CS101" s="1008" t="s">
        <v>695</v>
      </c>
      <c r="CT101" s="990" t="s">
        <v>1360</v>
      </c>
      <c r="CU101" s="826" t="s">
        <v>1360</v>
      </c>
      <c r="DM101" s="1043" t="s">
        <v>695</v>
      </c>
    </row>
    <row r="102" spans="3:117" ht="15.6">
      <c r="AR102" s="1008" t="s">
        <v>695</v>
      </c>
      <c r="AS102" s="990" t="s">
        <v>1387</v>
      </c>
      <c r="AT102" s="990" t="s">
        <v>1387</v>
      </c>
      <c r="BV102" s="1044">
        <v>43188</v>
      </c>
      <c r="BW102" s="62" t="s">
        <v>688</v>
      </c>
      <c r="BX102" s="62" t="s">
        <v>688</v>
      </c>
      <c r="CN102" s="62" t="s">
        <v>688</v>
      </c>
      <c r="CS102" s="1044">
        <v>43188</v>
      </c>
      <c r="CT102" s="62" t="s">
        <v>688</v>
      </c>
      <c r="CU102" s="62" t="s">
        <v>688</v>
      </c>
      <c r="DM102" s="1110">
        <v>43676</v>
      </c>
    </row>
    <row r="103" spans="3:117" ht="17.399999999999999">
      <c r="AR103" s="1009">
        <v>42458</v>
      </c>
      <c r="AS103" s="62" t="s">
        <v>688</v>
      </c>
      <c r="AT103" s="62" t="s">
        <v>688</v>
      </c>
      <c r="BV103" s="814">
        <v>1995</v>
      </c>
      <c r="BW103" s="779">
        <v>1</v>
      </c>
      <c r="BX103" s="434"/>
      <c r="CN103" s="989">
        <f t="shared" ref="CN103:CN123" si="45">BW103</f>
        <v>1</v>
      </c>
      <c r="CS103" s="813">
        <v>1995</v>
      </c>
      <c r="CT103" s="779">
        <v>0.45352504118070658</v>
      </c>
      <c r="CU103" s="434">
        <v>0.45352504118070658</v>
      </c>
      <c r="DM103" s="813">
        <v>1995</v>
      </c>
    </row>
    <row r="104" spans="3:117" ht="18" thickBot="1">
      <c r="C104" s="732" t="s">
        <v>1183</v>
      </c>
      <c r="AR104" s="814">
        <v>2014</v>
      </c>
      <c r="AS104" s="779"/>
      <c r="AT104" s="434"/>
      <c r="BV104" s="817">
        <v>1996</v>
      </c>
      <c r="BW104" s="1081">
        <v>1.3191577216179184</v>
      </c>
      <c r="BX104" s="364"/>
      <c r="CN104" s="989">
        <f t="shared" si="45"/>
        <v>1.3191577216179184</v>
      </c>
      <c r="CS104" s="820">
        <v>1996</v>
      </c>
      <c r="CT104" s="975">
        <v>0.50932720637234752</v>
      </c>
      <c r="CU104" s="364">
        <v>0.50932720637234752</v>
      </c>
      <c r="DM104" s="820">
        <v>1996</v>
      </c>
    </row>
    <row r="105" spans="3:117" ht="15" customHeight="1" thickBot="1">
      <c r="C105" s="733" t="s">
        <v>1184</v>
      </c>
      <c r="D105" s="734" t="s">
        <v>1185</v>
      </c>
      <c r="E105" s="734" t="s">
        <v>1184</v>
      </c>
      <c r="F105" s="734" t="s">
        <v>1186</v>
      </c>
      <c r="AR105" s="817">
        <v>1996</v>
      </c>
      <c r="AS105" s="1081"/>
      <c r="AT105" s="364"/>
      <c r="BV105" s="817">
        <v>1997</v>
      </c>
      <c r="BW105" s="1081">
        <v>1.465619370714605</v>
      </c>
      <c r="BX105" s="364"/>
      <c r="CN105" s="989">
        <f t="shared" si="45"/>
        <v>1.465619370714605</v>
      </c>
      <c r="CS105" s="820">
        <v>1997</v>
      </c>
      <c r="CT105" s="975">
        <v>0.51350820274818465</v>
      </c>
      <c r="CU105" s="364">
        <v>0.51350820274818476</v>
      </c>
      <c r="DM105" s="820">
        <v>1997</v>
      </c>
    </row>
    <row r="106" spans="3:117" ht="18" thickBot="1">
      <c r="C106" s="736">
        <v>1970</v>
      </c>
      <c r="D106" s="737">
        <v>115.6</v>
      </c>
      <c r="E106" s="737">
        <v>2000</v>
      </c>
      <c r="F106" s="737">
        <v>3814.6</v>
      </c>
      <c r="AR106" s="817">
        <v>1997</v>
      </c>
      <c r="AS106" s="1081"/>
      <c r="AT106" s="364"/>
      <c r="BV106" s="817">
        <v>1998</v>
      </c>
      <c r="BW106" s="1081">
        <v>0.85716727254299341</v>
      </c>
      <c r="BX106" s="364"/>
      <c r="CN106" s="989">
        <f t="shared" si="45"/>
        <v>0.85716727254299341</v>
      </c>
      <c r="CS106" s="820">
        <v>1998</v>
      </c>
      <c r="CT106" s="975">
        <v>0.48031487708750942</v>
      </c>
      <c r="CU106" s="364">
        <v>0.48031487708750936</v>
      </c>
      <c r="DM106" s="820">
        <v>1998</v>
      </c>
    </row>
    <row r="107" spans="3:117" ht="18" thickBot="1">
      <c r="C107" s="736">
        <v>1980</v>
      </c>
      <c r="D107" s="737">
        <v>201.8</v>
      </c>
      <c r="E107" s="737">
        <v>2001</v>
      </c>
      <c r="F107" s="737">
        <v>5325.8</v>
      </c>
      <c r="AR107" s="817">
        <v>1998</v>
      </c>
      <c r="AS107" s="1081"/>
      <c r="AT107" s="364"/>
      <c r="BV107" s="817">
        <v>1999</v>
      </c>
      <c r="BW107" s="1081">
        <v>0.8905613871995075</v>
      </c>
      <c r="BX107" s="364"/>
      <c r="CN107" s="989">
        <f t="shared" si="45"/>
        <v>0.8905613871995075</v>
      </c>
      <c r="CS107" s="820">
        <v>1999</v>
      </c>
      <c r="CT107" s="975">
        <v>0.40089418033286345</v>
      </c>
      <c r="CU107" s="364">
        <v>0.40089418033286356</v>
      </c>
      <c r="DM107" s="820">
        <v>1999</v>
      </c>
    </row>
    <row r="108" spans="3:117" ht="18" thickBot="1">
      <c r="C108" s="736">
        <v>1985</v>
      </c>
      <c r="D108" s="737">
        <v>244.7</v>
      </c>
      <c r="E108" s="737">
        <v>2002</v>
      </c>
      <c r="F108" s="737">
        <v>6831</v>
      </c>
      <c r="AR108" s="817">
        <v>1999</v>
      </c>
      <c r="AS108" s="1081"/>
      <c r="AT108" s="364"/>
      <c r="BM108" s="1024"/>
      <c r="BV108" s="817">
        <v>2000</v>
      </c>
      <c r="BW108" s="1081">
        <v>1.0910735084339893</v>
      </c>
      <c r="BX108" s="364"/>
      <c r="CN108" s="989">
        <f t="shared" si="45"/>
        <v>1.0910735084339893</v>
      </c>
      <c r="CS108" s="820">
        <v>2000</v>
      </c>
      <c r="CT108" s="975">
        <v>0.40204928609604523</v>
      </c>
      <c r="CU108" s="364">
        <v>0.40204928609604523</v>
      </c>
      <c r="DM108" s="820">
        <v>2000</v>
      </c>
    </row>
    <row r="109" spans="3:117" ht="21" customHeight="1" thickBot="1">
      <c r="C109" s="736">
        <v>1990</v>
      </c>
      <c r="D109" s="737">
        <v>388.2</v>
      </c>
      <c r="E109" s="737">
        <v>2003</v>
      </c>
      <c r="F109" s="737">
        <v>8900.5</v>
      </c>
      <c r="AR109" s="817">
        <v>2000</v>
      </c>
      <c r="AS109" s="1081"/>
      <c r="AT109" s="364"/>
      <c r="BV109" s="817">
        <v>2001</v>
      </c>
      <c r="BW109" s="1081">
        <v>1.2043645968535897</v>
      </c>
      <c r="BX109" s="364"/>
      <c r="CN109" s="989">
        <f t="shared" si="45"/>
        <v>1.2043645968535897</v>
      </c>
      <c r="CS109" s="820">
        <v>2001</v>
      </c>
      <c r="CT109" s="975">
        <v>0.43029736204370722</v>
      </c>
      <c r="CU109" s="364">
        <v>0.43029736204370722</v>
      </c>
      <c r="DM109" s="820">
        <v>2001</v>
      </c>
    </row>
    <row r="110" spans="3:117" ht="18" thickBot="1">
      <c r="C110" s="736">
        <v>1991</v>
      </c>
      <c r="D110" s="737">
        <v>830.5</v>
      </c>
      <c r="E110" s="737">
        <v>2004</v>
      </c>
      <c r="F110" s="737">
        <v>10976.3</v>
      </c>
      <c r="AR110" s="817">
        <v>2001</v>
      </c>
      <c r="AS110" s="1081"/>
      <c r="AT110" s="364"/>
      <c r="BV110" s="817">
        <v>2002</v>
      </c>
      <c r="BW110" s="1081">
        <v>1.3454454046567674</v>
      </c>
      <c r="BX110" s="364"/>
      <c r="CN110" s="989">
        <f t="shared" si="45"/>
        <v>1.3454454046567674</v>
      </c>
      <c r="CS110" s="820">
        <v>2002</v>
      </c>
      <c r="CT110" s="975">
        <v>0.46815539113638438</v>
      </c>
      <c r="CU110" s="364">
        <v>0.46815539113638444</v>
      </c>
      <c r="DM110" s="820">
        <v>2002</v>
      </c>
    </row>
    <row r="111" spans="3:117" ht="18" thickBot="1">
      <c r="C111" s="736">
        <v>1992</v>
      </c>
      <c r="D111" s="737">
        <v>7099.9</v>
      </c>
      <c r="E111" s="737">
        <v>2005</v>
      </c>
      <c r="F111" s="737">
        <v>13819</v>
      </c>
      <c r="AR111" s="817">
        <v>2002</v>
      </c>
      <c r="AS111" s="1081"/>
      <c r="AT111" s="364"/>
      <c r="BV111" s="817">
        <v>2003</v>
      </c>
      <c r="BW111" s="1081">
        <v>1.4850279596592788</v>
      </c>
      <c r="BX111" s="364"/>
      <c r="CN111" s="989">
        <f t="shared" si="45"/>
        <v>1.4850279596592788</v>
      </c>
      <c r="CS111" s="820">
        <v>2003</v>
      </c>
      <c r="CT111" s="975">
        <v>0.4717798995677725</v>
      </c>
      <c r="CU111" s="364">
        <v>0.4717798995677725</v>
      </c>
      <c r="DM111" s="820">
        <v>2003</v>
      </c>
    </row>
    <row r="112" spans="3:117" ht="18" thickBot="1">
      <c r="C112" s="736">
        <v>1993</v>
      </c>
      <c r="D112" s="737">
        <v>79949</v>
      </c>
      <c r="E112" s="737">
        <v>2006</v>
      </c>
      <c r="F112" s="737">
        <v>17290.099999999999</v>
      </c>
      <c r="AR112" s="817">
        <v>2003</v>
      </c>
      <c r="AS112" s="1081"/>
      <c r="AT112" s="364"/>
      <c r="BV112" s="817">
        <v>2004</v>
      </c>
      <c r="BW112" s="1081">
        <v>1.6493886216432383</v>
      </c>
      <c r="BX112" s="364"/>
      <c r="CN112" s="989">
        <f t="shared" si="45"/>
        <v>1.6493886216432383</v>
      </c>
      <c r="CS112" s="820">
        <v>2004</v>
      </c>
      <c r="CT112" s="975">
        <v>0.46073648070756584</v>
      </c>
      <c r="CU112" s="364">
        <v>0.46073648070756584</v>
      </c>
      <c r="DM112" s="820">
        <v>2004</v>
      </c>
    </row>
    <row r="113" spans="3:117" ht="18" thickBot="1">
      <c r="C113" s="736">
        <v>1994</v>
      </c>
      <c r="D113" s="737">
        <v>364834.1</v>
      </c>
      <c r="E113" s="737">
        <v>2007</v>
      </c>
      <c r="F113" s="737">
        <v>21311.5</v>
      </c>
      <c r="AR113" s="817">
        <v>2004</v>
      </c>
      <c r="AS113" s="1081"/>
      <c r="AT113" s="364"/>
      <c r="BV113" s="817">
        <v>2005</v>
      </c>
      <c r="BW113" s="1081">
        <v>1.7629074929087367</v>
      </c>
      <c r="BX113" s="364"/>
      <c r="CN113" s="989">
        <f t="shared" si="45"/>
        <v>1.7629074929087367</v>
      </c>
      <c r="CS113" s="820">
        <v>2005</v>
      </c>
      <c r="CT113" s="975">
        <v>0.43683152734584474</v>
      </c>
      <c r="CU113" s="364">
        <v>0.43683152734584474</v>
      </c>
      <c r="DM113" s="820">
        <v>2005</v>
      </c>
    </row>
    <row r="114" spans="3:117" ht="18" thickBot="1">
      <c r="C114" s="736">
        <v>1995</v>
      </c>
      <c r="D114" s="737">
        <v>910921.6</v>
      </c>
      <c r="E114" s="737">
        <v>2008</v>
      </c>
      <c r="F114" s="737">
        <v>25244</v>
      </c>
      <c r="AR114" s="817">
        <v>2005</v>
      </c>
      <c r="AS114" s="1081"/>
      <c r="AT114" s="364"/>
      <c r="BV114" s="817">
        <v>2006</v>
      </c>
      <c r="BW114" s="1081">
        <v>2.0289294415498413</v>
      </c>
      <c r="BX114" s="364"/>
      <c r="CN114" s="989">
        <f t="shared" si="45"/>
        <v>2.0289294415498413</v>
      </c>
      <c r="CS114" s="820">
        <v>2006</v>
      </c>
      <c r="CT114" s="975">
        <v>0.44528789593400453</v>
      </c>
      <c r="CU114" s="364">
        <v>0.44528789593400459</v>
      </c>
      <c r="DM114" s="820">
        <v>2006</v>
      </c>
    </row>
    <row r="115" spans="3:117" ht="18" thickBot="1">
      <c r="C115" s="736">
        <v>1996</v>
      </c>
      <c r="D115" s="737">
        <v>1357073.4</v>
      </c>
      <c r="E115" s="737">
        <v>2009</v>
      </c>
      <c r="F115" s="737">
        <v>28697.5</v>
      </c>
      <c r="AR115" s="817">
        <v>2006</v>
      </c>
      <c r="AS115" s="1081"/>
      <c r="AT115" s="364"/>
      <c r="BV115" s="817">
        <v>2007</v>
      </c>
      <c r="BW115" s="1081">
        <v>2.2961879581752398</v>
      </c>
      <c r="BX115" s="364"/>
      <c r="CN115" s="989">
        <f t="shared" si="45"/>
        <v>2.2961879581752398</v>
      </c>
      <c r="CS115" s="820">
        <v>2007</v>
      </c>
      <c r="CT115" s="975">
        <v>0.46698560300142988</v>
      </c>
      <c r="CU115" s="364">
        <v>0.46698560300142988</v>
      </c>
      <c r="DM115" s="820">
        <v>2007</v>
      </c>
    </row>
    <row r="116" spans="3:117" ht="18" thickBot="1">
      <c r="C116" s="736">
        <v>1997</v>
      </c>
      <c r="D116" s="737">
        <v>1656405.1</v>
      </c>
      <c r="E116" s="737">
        <v>2010</v>
      </c>
      <c r="F116" s="737">
        <v>32498.3</v>
      </c>
      <c r="AR116" s="817">
        <v>2007</v>
      </c>
      <c r="AS116" s="1081"/>
      <c r="AT116" s="364"/>
      <c r="BV116" s="817">
        <v>2008</v>
      </c>
      <c r="BW116" s="1081">
        <v>2.5452330528232636</v>
      </c>
      <c r="BX116" s="364"/>
      <c r="CN116" s="989">
        <f t="shared" si="45"/>
        <v>2.5452330528232636</v>
      </c>
      <c r="CS116" s="820">
        <v>2008</v>
      </c>
      <c r="CT116" s="975">
        <v>0.47386756448454886</v>
      </c>
      <c r="CU116" s="364">
        <v>0.47386756448454898</v>
      </c>
      <c r="DM116" s="820">
        <v>2008</v>
      </c>
    </row>
    <row r="117" spans="3:117" ht="18" thickBot="1">
      <c r="C117" s="736">
        <v>1998</v>
      </c>
      <c r="D117" s="737">
        <v>1776032.4</v>
      </c>
      <c r="E117" s="737">
        <v>2011</v>
      </c>
      <c r="F117" s="737">
        <v>35648.699999999997</v>
      </c>
      <c r="AR117" s="817">
        <v>2008</v>
      </c>
      <c r="AS117" s="1081"/>
      <c r="AT117" s="364"/>
      <c r="BV117" s="817">
        <v>2009</v>
      </c>
      <c r="BW117" s="1081">
        <v>2.4972789335593348</v>
      </c>
      <c r="BX117" s="364"/>
      <c r="CN117" s="989">
        <f t="shared" si="45"/>
        <v>2.4972789335593348</v>
      </c>
      <c r="CS117" s="820">
        <v>2009</v>
      </c>
      <c r="CT117" s="975">
        <v>0.52597385816171893</v>
      </c>
      <c r="CU117" s="364">
        <v>0.52597385816171893</v>
      </c>
      <c r="DM117" s="820">
        <v>2009</v>
      </c>
    </row>
    <row r="118" spans="3:117" ht="18" thickBot="1">
      <c r="C118" s="736">
        <v>1999</v>
      </c>
      <c r="D118" s="737">
        <v>2908.1</v>
      </c>
      <c r="E118" s="737" t="s">
        <v>1187</v>
      </c>
      <c r="F118" s="737">
        <v>39623.4</v>
      </c>
      <c r="AR118" s="817">
        <v>2009</v>
      </c>
      <c r="AS118" s="1081"/>
      <c r="AT118" s="364"/>
      <c r="BV118" s="817">
        <v>2010</v>
      </c>
      <c r="BW118" s="1081">
        <v>2.5669743863224377</v>
      </c>
      <c r="BX118" s="364"/>
      <c r="CN118" s="989">
        <f t="shared" si="45"/>
        <v>2.5669743863224377</v>
      </c>
      <c r="CS118" s="820">
        <v>2010</v>
      </c>
      <c r="CT118" s="975">
        <v>0.49657437848762676</v>
      </c>
      <c r="CU118" s="364">
        <v>0.49657437848762676</v>
      </c>
      <c r="DM118" s="820">
        <v>2010</v>
      </c>
    </row>
    <row r="119" spans="3:117" ht="17.399999999999999">
      <c r="C119" s="735" t="s">
        <v>1188</v>
      </c>
      <c r="AR119" s="817">
        <v>2010</v>
      </c>
      <c r="AS119" s="1081"/>
      <c r="AT119" s="364"/>
      <c r="BV119" s="817">
        <v>2011</v>
      </c>
      <c r="BW119" s="1081">
        <v>2.7400070660747096</v>
      </c>
      <c r="BX119" s="364"/>
      <c r="CN119" s="989">
        <f t="shared" si="45"/>
        <v>2.7400070660747096</v>
      </c>
      <c r="CS119" s="820">
        <v>2011</v>
      </c>
      <c r="CT119" s="975">
        <v>0.43771671241645282</v>
      </c>
      <c r="CU119" s="364">
        <v>0.43771671241645282</v>
      </c>
      <c r="DM119" s="820">
        <v>2011</v>
      </c>
    </row>
    <row r="120" spans="3:117" ht="17.399999999999999">
      <c r="C120" s="738" t="s">
        <v>1189</v>
      </c>
      <c r="D120" s="739"/>
      <c r="E120" s="739"/>
      <c r="F120" s="739"/>
      <c r="G120" s="739"/>
      <c r="H120" s="739"/>
      <c r="AR120" s="817">
        <v>2011</v>
      </c>
      <c r="AS120" s="1081"/>
      <c r="AT120" s="364"/>
      <c r="BV120" s="817">
        <v>2012</v>
      </c>
      <c r="BW120" s="1081">
        <v>2.9136140751903352</v>
      </c>
      <c r="BX120" s="364"/>
      <c r="CN120" s="989">
        <f t="shared" si="45"/>
        <v>2.9136140751903352</v>
      </c>
      <c r="CS120" s="820">
        <v>2012</v>
      </c>
      <c r="CT120" s="975">
        <v>0.44306691647383561</v>
      </c>
      <c r="CU120" s="364">
        <v>0.44306691647383561</v>
      </c>
      <c r="DM120" s="820">
        <v>2012</v>
      </c>
    </row>
    <row r="121" spans="3:117" ht="17.399999999999999">
      <c r="AR121" s="817">
        <v>2012</v>
      </c>
      <c r="AS121" s="1081"/>
      <c r="AT121" s="364"/>
      <c r="BV121" s="817">
        <v>2013</v>
      </c>
      <c r="BW121" s="1081">
        <v>3.0676926627762775</v>
      </c>
      <c r="BX121" s="364"/>
      <c r="CN121" s="989">
        <f t="shared" si="45"/>
        <v>3.0676926627762775</v>
      </c>
      <c r="CS121" s="820">
        <v>2013</v>
      </c>
      <c r="CT121" s="975">
        <v>0.46206047351633556</v>
      </c>
      <c r="CU121" s="364">
        <v>0.46206047351633545</v>
      </c>
      <c r="DM121" s="820">
        <v>2013</v>
      </c>
    </row>
    <row r="122" spans="3:117" ht="17.399999999999999">
      <c r="AR122" s="817">
        <v>2013</v>
      </c>
      <c r="AS122" s="1081"/>
      <c r="AT122" s="364"/>
      <c r="BV122" s="817">
        <v>2014</v>
      </c>
      <c r="BW122" s="1081">
        <v>3.0404294602847233</v>
      </c>
      <c r="BX122" s="364"/>
      <c r="CN122" s="989">
        <f t="shared" si="45"/>
        <v>3.0404294602847233</v>
      </c>
      <c r="CS122" s="820">
        <v>2014</v>
      </c>
      <c r="CT122" s="975">
        <v>0.47206234355164539</v>
      </c>
      <c r="CU122" s="364">
        <v>0.4720623435516455</v>
      </c>
      <c r="DM122" s="820">
        <v>2014</v>
      </c>
    </row>
    <row r="123" spans="3:117" ht="17.399999999999999">
      <c r="AR123" s="817">
        <v>2014</v>
      </c>
      <c r="AS123" s="1081"/>
      <c r="AT123" s="364"/>
      <c r="BV123" s="817">
        <v>2015</v>
      </c>
      <c r="BW123" s="1081">
        <v>2.7139935535586104</v>
      </c>
      <c r="BX123" s="364">
        <f>BW123</f>
        <v>2.7139935535586104</v>
      </c>
      <c r="CN123" s="989">
        <f t="shared" si="45"/>
        <v>2.7139935535586104</v>
      </c>
      <c r="CS123" s="820">
        <v>2015</v>
      </c>
      <c r="CT123" s="975">
        <v>0.45765053331543393</v>
      </c>
      <c r="CU123" s="364">
        <v>0.45765053331543382</v>
      </c>
      <c r="DM123" s="820">
        <v>2015</v>
      </c>
    </row>
    <row r="124" spans="3:117" ht="18">
      <c r="AR124" s="817">
        <v>2015</v>
      </c>
      <c r="AS124" s="1081"/>
      <c r="AT124" s="364"/>
      <c r="BV124" s="817">
        <v>2016</v>
      </c>
      <c r="BW124" s="780">
        <v>2.7539998517348616</v>
      </c>
      <c r="BX124" s="364">
        <f>BW124</f>
        <v>2.7539998517348616</v>
      </c>
      <c r="CN124" s="989">
        <f>BX124</f>
        <v>2.7539998517348616</v>
      </c>
      <c r="CS124" s="820">
        <v>2016</v>
      </c>
      <c r="CT124" s="1560">
        <v>0.47393722978198793</v>
      </c>
      <c r="CU124" s="364">
        <v>0.47393722978198799</v>
      </c>
      <c r="DM124" s="820">
        <v>2016</v>
      </c>
    </row>
    <row r="125" spans="3:117" ht="18">
      <c r="AR125" s="817">
        <v>2016</v>
      </c>
      <c r="AS125" s="780"/>
      <c r="AT125" s="364"/>
      <c r="BV125" s="817">
        <v>2017</v>
      </c>
      <c r="BW125" s="780"/>
      <c r="BX125" s="364">
        <f>BX124+0.6*(BX124-BX123)</f>
        <v>2.7780036306406122</v>
      </c>
      <c r="CN125" s="989">
        <f t="shared" ref="CN125:CN138" si="46">BX125</f>
        <v>2.7780036306406122</v>
      </c>
      <c r="CS125" s="820">
        <v>2017</v>
      </c>
      <c r="CT125" s="976"/>
      <c r="CU125" s="364">
        <v>0.46447718007044975</v>
      </c>
      <c r="DM125" s="820">
        <v>2017</v>
      </c>
    </row>
    <row r="126" spans="3:117" ht="18">
      <c r="AR126" s="817">
        <v>2017</v>
      </c>
      <c r="AS126" s="780"/>
      <c r="AT126" s="364"/>
      <c r="BV126" s="817">
        <v>2018</v>
      </c>
      <c r="BW126" s="780"/>
      <c r="BX126" s="364">
        <f t="shared" ref="BX126:BX138" si="47">BX125+0.6*(BX125-BX124)</f>
        <v>2.7924058979840627</v>
      </c>
      <c r="CN126" s="989">
        <f t="shared" si="46"/>
        <v>2.7924058979840627</v>
      </c>
      <c r="CS126" s="820">
        <v>2018</v>
      </c>
      <c r="CT126" s="976"/>
      <c r="CU126" s="364">
        <v>0.45746679902044296</v>
      </c>
      <c r="DM126" s="820">
        <v>2018</v>
      </c>
    </row>
    <row r="127" spans="3:117" ht="18">
      <c r="AR127" s="817">
        <v>2018</v>
      </c>
      <c r="AS127" s="780"/>
      <c r="AT127" s="364"/>
      <c r="BV127" s="817">
        <v>2019</v>
      </c>
      <c r="BW127" s="780"/>
      <c r="BX127" s="364">
        <f t="shared" si="47"/>
        <v>2.8010472583901329</v>
      </c>
      <c r="CN127" s="989">
        <f t="shared" si="46"/>
        <v>2.8010472583901329</v>
      </c>
      <c r="CS127" s="820">
        <v>2019</v>
      </c>
      <c r="CT127" s="976"/>
      <c r="CU127" s="364">
        <v>0.4515429658125385</v>
      </c>
      <c r="DM127" s="820">
        <v>2019</v>
      </c>
    </row>
    <row r="128" spans="3:117" ht="18">
      <c r="AR128" s="817">
        <v>2019</v>
      </c>
      <c r="AS128" s="780"/>
      <c r="AT128" s="364"/>
      <c r="BV128" s="817">
        <v>2020</v>
      </c>
      <c r="BW128" s="780"/>
      <c r="BX128" s="364">
        <f t="shared" si="47"/>
        <v>2.8062320746337752</v>
      </c>
      <c r="CN128" s="989">
        <f t="shared" si="46"/>
        <v>2.8062320746337752</v>
      </c>
      <c r="CS128" s="820">
        <v>2020</v>
      </c>
      <c r="CT128" s="976"/>
      <c r="CU128" s="364">
        <v>0.44640571628978615</v>
      </c>
      <c r="DM128" s="820">
        <v>2020</v>
      </c>
    </row>
    <row r="129" spans="44:117" ht="18">
      <c r="AR129" s="817">
        <v>2020</v>
      </c>
      <c r="AS129" s="780"/>
      <c r="AT129" s="364"/>
      <c r="BV129" s="817">
        <v>2021</v>
      </c>
      <c r="BW129" s="780"/>
      <c r="BX129" s="364">
        <f t="shared" si="47"/>
        <v>2.8093429643799608</v>
      </c>
      <c r="CN129" s="989">
        <f t="shared" si="46"/>
        <v>2.8093429643799608</v>
      </c>
      <c r="CS129" s="820">
        <v>2021</v>
      </c>
      <c r="CT129" s="976"/>
      <c r="CU129" s="364">
        <v>0.44227857975470125</v>
      </c>
      <c r="DM129" s="820">
        <v>2021</v>
      </c>
    </row>
    <row r="130" spans="44:117" ht="18">
      <c r="AR130" s="817">
        <v>2021</v>
      </c>
      <c r="AS130" s="780"/>
      <c r="AT130" s="364"/>
      <c r="BV130" s="817">
        <v>2022</v>
      </c>
      <c r="BW130" s="780"/>
      <c r="BX130" s="364">
        <f t="shared" si="47"/>
        <v>2.8112094982276723</v>
      </c>
      <c r="CN130" s="989">
        <f t="shared" si="46"/>
        <v>2.8112094982276723</v>
      </c>
      <c r="CS130" s="820">
        <v>2022</v>
      </c>
      <c r="CT130" s="976"/>
      <c r="CU130" s="364">
        <v>0.43898575569248771</v>
      </c>
      <c r="DM130" s="820">
        <v>2022</v>
      </c>
    </row>
    <row r="131" spans="44:117" ht="18">
      <c r="AR131" s="817">
        <v>2022</v>
      </c>
      <c r="AS131" s="780"/>
      <c r="AT131" s="364"/>
      <c r="BV131" s="817">
        <v>2023</v>
      </c>
      <c r="BW131" s="780"/>
      <c r="BX131" s="364">
        <f t="shared" si="47"/>
        <v>2.812329418536299</v>
      </c>
      <c r="CN131" s="989">
        <f t="shared" si="46"/>
        <v>2.812329418536299</v>
      </c>
      <c r="CS131" s="820">
        <v>2023</v>
      </c>
      <c r="CT131" s="976"/>
      <c r="CU131" s="364">
        <v>0.43642517109221907</v>
      </c>
      <c r="DM131" s="820">
        <v>2023</v>
      </c>
    </row>
    <row r="132" spans="44:117" ht="18">
      <c r="AR132" s="817">
        <v>2023</v>
      </c>
      <c r="AS132" s="780"/>
      <c r="AT132" s="364"/>
      <c r="BV132" s="817">
        <v>2024</v>
      </c>
      <c r="BW132" s="780"/>
      <c r="BX132" s="364">
        <f t="shared" si="47"/>
        <v>2.8130013707214752</v>
      </c>
      <c r="CN132" s="989">
        <f t="shared" si="46"/>
        <v>2.8130013707214752</v>
      </c>
      <c r="CS132" s="820">
        <v>2024</v>
      </c>
      <c r="CT132" s="976"/>
      <c r="CU132" s="364">
        <v>0.43452262986210832</v>
      </c>
      <c r="DM132" s="820">
        <v>2024</v>
      </c>
    </row>
    <row r="133" spans="44:117" ht="18">
      <c r="AR133" s="817">
        <v>2024</v>
      </c>
      <c r="AS133" s="780"/>
      <c r="AT133" s="364"/>
      <c r="BV133" s="817">
        <v>2025</v>
      </c>
      <c r="BW133" s="780"/>
      <c r="BX133" s="364">
        <f t="shared" si="47"/>
        <v>2.8134045420325808</v>
      </c>
      <c r="CN133" s="989">
        <f t="shared" si="46"/>
        <v>2.8134045420325808</v>
      </c>
      <c r="CS133" s="820">
        <v>2025</v>
      </c>
      <c r="CT133" s="976"/>
      <c r="CU133" s="364">
        <v>0.43302272061784747</v>
      </c>
      <c r="DM133" s="820">
        <v>2025</v>
      </c>
    </row>
    <row r="134" spans="44:117" ht="18">
      <c r="AR134" s="817">
        <v>2025</v>
      </c>
      <c r="AS134" s="780"/>
      <c r="AT134" s="364"/>
      <c r="BV134" s="817">
        <v>2026</v>
      </c>
      <c r="BW134" s="780"/>
      <c r="BX134" s="364">
        <f t="shared" si="47"/>
        <v>2.8136464448192444</v>
      </c>
      <c r="CN134" s="989">
        <f t="shared" si="46"/>
        <v>2.8136464448192444</v>
      </c>
      <c r="CS134" s="820">
        <v>2026</v>
      </c>
      <c r="CT134" s="976"/>
      <c r="CU134" s="364">
        <v>0.43212101853298102</v>
      </c>
      <c r="DM134" s="820">
        <v>2026</v>
      </c>
    </row>
    <row r="135" spans="44:117" ht="18">
      <c r="AR135" s="817">
        <v>2026</v>
      </c>
      <c r="AS135" s="780"/>
      <c r="AT135" s="364"/>
      <c r="BV135" s="817">
        <v>2027</v>
      </c>
      <c r="BW135" s="780"/>
      <c r="BX135" s="364">
        <f t="shared" si="47"/>
        <v>2.8137915864912424</v>
      </c>
      <c r="CN135" s="989">
        <f t="shared" si="46"/>
        <v>2.8137915864912424</v>
      </c>
      <c r="CS135" s="820">
        <v>2027</v>
      </c>
      <c r="CT135" s="976"/>
      <c r="CU135" s="364">
        <v>0.431332798333388</v>
      </c>
      <c r="DM135" s="820">
        <v>2027</v>
      </c>
    </row>
    <row r="136" spans="44:117" ht="18">
      <c r="AR136" s="817">
        <v>2027</v>
      </c>
      <c r="AS136" s="780"/>
      <c r="AT136" s="364"/>
      <c r="BV136" s="817">
        <v>2028</v>
      </c>
      <c r="BW136" s="780"/>
      <c r="BX136" s="364">
        <f t="shared" si="47"/>
        <v>2.8138786714944413</v>
      </c>
      <c r="CN136" s="989">
        <f t="shared" si="46"/>
        <v>2.8138786714944413</v>
      </c>
      <c r="CS136" s="820">
        <v>2028</v>
      </c>
      <c r="CT136" s="976"/>
      <c r="CU136" s="364">
        <v>0.43072890171652023</v>
      </c>
      <c r="DM136" s="820">
        <v>2028</v>
      </c>
    </row>
    <row r="137" spans="44:117" ht="18">
      <c r="AR137" s="817">
        <v>2028</v>
      </c>
      <c r="AS137" s="780"/>
      <c r="AT137" s="364"/>
      <c r="BV137" s="817">
        <v>2029</v>
      </c>
      <c r="BW137" s="780"/>
      <c r="BX137" s="364">
        <f t="shared" si="47"/>
        <v>2.8139309224963607</v>
      </c>
      <c r="CN137" s="989">
        <f t="shared" si="46"/>
        <v>2.8139309224963607</v>
      </c>
      <c r="CS137" s="820">
        <v>2029</v>
      </c>
      <c r="CT137" s="976"/>
      <c r="CU137" s="364">
        <v>0.43025228113786962</v>
      </c>
      <c r="DM137" s="820">
        <v>2029</v>
      </c>
    </row>
    <row r="138" spans="44:117" ht="18">
      <c r="AR138" s="817">
        <v>2029</v>
      </c>
      <c r="AS138" s="780"/>
      <c r="AT138" s="364"/>
      <c r="BV138" s="819">
        <v>2030</v>
      </c>
      <c r="BW138" s="781"/>
      <c r="BX138" s="1503">
        <f t="shared" si="47"/>
        <v>2.8139622730975122</v>
      </c>
      <c r="CN138" s="1108">
        <f t="shared" si="46"/>
        <v>2.8139622730975122</v>
      </c>
      <c r="CS138" s="853">
        <v>2030</v>
      </c>
      <c r="CT138" s="1096"/>
      <c r="CU138" s="1103">
        <v>0.42975949031518268</v>
      </c>
      <c r="DM138" s="853">
        <v>2030</v>
      </c>
    </row>
    <row r="139" spans="44:117" ht="17.399999999999999">
      <c r="AR139" s="819">
        <v>2030</v>
      </c>
      <c r="AS139" s="781"/>
      <c r="AT139" s="364"/>
      <c r="CU139" s="1068"/>
    </row>
    <row r="145" spans="39:67" ht="20.399999999999999">
      <c r="AQ145" s="1323" t="s">
        <v>1808</v>
      </c>
      <c r="AR145" s="1323"/>
      <c r="AS145" s="1323"/>
      <c r="AT145" s="1323"/>
      <c r="AU145" s="1323"/>
    </row>
    <row r="146" spans="39:67" ht="16.2" thickBot="1">
      <c r="AN146" s="2053" t="s">
        <v>1796</v>
      </c>
      <c r="AO146" s="2030" t="s">
        <v>1797</v>
      </c>
      <c r="AP146" s="2030" t="s">
        <v>1798</v>
      </c>
      <c r="AQ146" s="2030" t="s">
        <v>1799</v>
      </c>
      <c r="AR146" s="2030" t="s">
        <v>1800</v>
      </c>
      <c r="AS146" s="2030" t="s">
        <v>1801</v>
      </c>
      <c r="AT146" s="2030" t="s">
        <v>1802</v>
      </c>
      <c r="AU146" s="2030" t="s">
        <v>1803</v>
      </c>
      <c r="AV146" s="2030" t="s">
        <v>1804</v>
      </c>
      <c r="AW146" s="2030" t="s">
        <v>1805</v>
      </c>
      <c r="AX146" s="2030" t="s">
        <v>1806</v>
      </c>
      <c r="AY146" s="2030" t="s">
        <v>1807</v>
      </c>
      <c r="AZ146" s="1527" t="s">
        <v>1184</v>
      </c>
      <c r="BC146" s="2053" t="s">
        <v>1796</v>
      </c>
      <c r="BD146" s="2030" t="s">
        <v>1797</v>
      </c>
      <c r="BE146" s="2030" t="s">
        <v>1798</v>
      </c>
      <c r="BF146" s="2030" t="s">
        <v>1799</v>
      </c>
      <c r="BG146" s="2030" t="s">
        <v>1800</v>
      </c>
      <c r="BH146" s="2030" t="s">
        <v>1801</v>
      </c>
      <c r="BI146" s="2030" t="s">
        <v>1802</v>
      </c>
      <c r="BJ146" s="2030" t="s">
        <v>1803</v>
      </c>
      <c r="BK146" s="2030" t="s">
        <v>1804</v>
      </c>
      <c r="BL146" s="2030" t="s">
        <v>1805</v>
      </c>
      <c r="BM146" s="2030" t="s">
        <v>1806</v>
      </c>
      <c r="BN146" s="2030" t="s">
        <v>1807</v>
      </c>
      <c r="BO146" s="1527" t="s">
        <v>1184</v>
      </c>
    </row>
    <row r="147" spans="39:67" ht="18" thickBot="1">
      <c r="AM147" s="2054">
        <v>2019</v>
      </c>
      <c r="AN147" s="784">
        <v>1.01</v>
      </c>
      <c r="AO147" s="784">
        <v>0.44</v>
      </c>
      <c r="AP147" s="784">
        <v>0.32</v>
      </c>
      <c r="AQ147" s="784">
        <v>0.28999999999999998</v>
      </c>
      <c r="AR147" s="784">
        <v>0.34</v>
      </c>
      <c r="AS147" s="784">
        <v>0.04</v>
      </c>
      <c r="AT147" s="784">
        <v>0.2</v>
      </c>
      <c r="AU147" s="784"/>
      <c r="AV147" s="784"/>
      <c r="AW147" s="784"/>
      <c r="AX147" s="784"/>
      <c r="AY147" s="784"/>
      <c r="AZ147" s="2054">
        <v>2.67</v>
      </c>
      <c r="BB147" s="2064">
        <v>2019</v>
      </c>
    </row>
    <row r="148" spans="39:67" ht="17.399999999999999">
      <c r="AM148" s="2055">
        <v>2018</v>
      </c>
      <c r="AN148" s="784">
        <v>0.31</v>
      </c>
      <c r="AO148" s="784">
        <v>0.21</v>
      </c>
      <c r="AP148" s="784">
        <v>0.28999999999999998</v>
      </c>
      <c r="AQ148" s="784">
        <v>0.38</v>
      </c>
      <c r="AR148" s="784">
        <v>0.38</v>
      </c>
      <c r="AS148" s="784">
        <v>0.49</v>
      </c>
      <c r="AT148" s="784">
        <v>0.27</v>
      </c>
      <c r="AU148" s="784">
        <v>0.01</v>
      </c>
      <c r="AV148" s="784">
        <v>0.16</v>
      </c>
      <c r="AW148" s="784">
        <v>0.35</v>
      </c>
      <c r="AX148" s="784">
        <v>0.5</v>
      </c>
      <c r="AY148" s="784">
        <v>0.84</v>
      </c>
      <c r="AZ148" s="2055">
        <v>4.2699999999999996</v>
      </c>
      <c r="BB148" s="2065">
        <v>2018</v>
      </c>
      <c r="BC148" s="2059">
        <f t="shared" ref="BC148:BC175" si="48">1+AN148/100</f>
        <v>1.0031000000000001</v>
      </c>
      <c r="BD148" s="2059">
        <f t="shared" ref="BD148:BD175" si="49">1+AO148/100</f>
        <v>1.0021</v>
      </c>
      <c r="BE148" s="2059">
        <f t="shared" ref="BE148:BE175" si="50">1+AP148/100</f>
        <v>1.0028999999999999</v>
      </c>
      <c r="BF148" s="2059">
        <f t="shared" ref="BF148:BF175" si="51">1+AQ148/100</f>
        <v>1.0038</v>
      </c>
      <c r="BG148" s="2059">
        <f t="shared" ref="BG148:BG175" si="52">1+AR148/100</f>
        <v>1.0038</v>
      </c>
      <c r="BH148" s="2059">
        <f t="shared" ref="BH148:BH175" si="53">1+AS148/100</f>
        <v>1.0048999999999999</v>
      </c>
      <c r="BI148" s="2059">
        <f t="shared" ref="BI148:BI175" si="54">1+AT148/100</f>
        <v>1.0026999999999999</v>
      </c>
      <c r="BJ148" s="2059">
        <f t="shared" ref="BJ148:BJ175" si="55">1+AU148/100</f>
        <v>1.0001</v>
      </c>
      <c r="BK148" s="2059">
        <f t="shared" ref="BK148:BK175" si="56">1+AV148/100</f>
        <v>1.0016</v>
      </c>
      <c r="BL148" s="2059">
        <f t="shared" ref="BL148:BL175" si="57">1+AW148/100</f>
        <v>1.0035000000000001</v>
      </c>
      <c r="BM148" s="2059">
        <f t="shared" ref="BM148:BM175" si="58">1+AX148/100</f>
        <v>1.0049999999999999</v>
      </c>
      <c r="BN148" s="2060">
        <f t="shared" ref="BN148:BN175" si="59">1+AY148/100</f>
        <v>1.0084</v>
      </c>
      <c r="BO148" s="2058">
        <f t="shared" ref="BO148:BO175" si="60">PRODUCT(BC148:BN148)</f>
        <v>1.0426899472181514</v>
      </c>
    </row>
    <row r="149" spans="39:67" ht="17.399999999999999">
      <c r="AM149" s="2055">
        <v>2017</v>
      </c>
      <c r="AN149" s="784">
        <v>0.62</v>
      </c>
      <c r="AO149" s="784">
        <v>0.22</v>
      </c>
      <c r="AP149" s="784">
        <v>0.13</v>
      </c>
      <c r="AQ149" s="784">
        <v>0.33</v>
      </c>
      <c r="AR149" s="784">
        <v>0.37</v>
      </c>
      <c r="AS149" s="784">
        <v>0.61</v>
      </c>
      <c r="AT149" s="784">
        <v>7.0000000000000007E-2</v>
      </c>
      <c r="AU149" s="784">
        <v>-0.54</v>
      </c>
      <c r="AV149" s="784">
        <v>-0.15</v>
      </c>
      <c r="AW149" s="784">
        <v>0.2</v>
      </c>
      <c r="AX149" s="784">
        <v>0.22</v>
      </c>
      <c r="AY149" s="784">
        <v>0.42</v>
      </c>
      <c r="AZ149" s="2055">
        <v>2.52</v>
      </c>
      <c r="BB149" s="2065">
        <v>2017</v>
      </c>
      <c r="BC149" s="2057">
        <f t="shared" si="48"/>
        <v>1.0062</v>
      </c>
      <c r="BD149" s="2057">
        <f t="shared" si="49"/>
        <v>1.0022</v>
      </c>
      <c r="BE149" s="2057">
        <f t="shared" si="50"/>
        <v>1.0013000000000001</v>
      </c>
      <c r="BF149" s="2057">
        <f t="shared" si="51"/>
        <v>1.0033000000000001</v>
      </c>
      <c r="BG149" s="2057">
        <f t="shared" si="52"/>
        <v>1.0037</v>
      </c>
      <c r="BH149" s="2057">
        <f t="shared" si="53"/>
        <v>1.0061</v>
      </c>
      <c r="BI149" s="2057">
        <f t="shared" si="54"/>
        <v>1.0006999999999999</v>
      </c>
      <c r="BJ149" s="2057">
        <f t="shared" si="55"/>
        <v>0.99460000000000004</v>
      </c>
      <c r="BK149" s="2057">
        <f t="shared" si="56"/>
        <v>0.99850000000000005</v>
      </c>
      <c r="BL149" s="2057">
        <f t="shared" si="57"/>
        <v>1.002</v>
      </c>
      <c r="BM149" s="2057">
        <f t="shared" si="58"/>
        <v>1.0022</v>
      </c>
      <c r="BN149" s="2061">
        <f t="shared" si="59"/>
        <v>1.0042</v>
      </c>
      <c r="BO149" s="2058">
        <f t="shared" si="60"/>
        <v>1.0252306324663158</v>
      </c>
    </row>
    <row r="150" spans="39:67" ht="17.399999999999999">
      <c r="AM150" s="2055">
        <v>2016</v>
      </c>
      <c r="AN150" s="784">
        <v>0.96</v>
      </c>
      <c r="AO150" s="784">
        <v>0.63</v>
      </c>
      <c r="AP150" s="784">
        <v>0.46</v>
      </c>
      <c r="AQ150" s="784">
        <v>0.44</v>
      </c>
      <c r="AR150" s="784">
        <v>0.41</v>
      </c>
      <c r="AS150" s="784">
        <v>0.36</v>
      </c>
      <c r="AT150" s="784">
        <v>0.54</v>
      </c>
      <c r="AU150" s="784">
        <v>0.01</v>
      </c>
      <c r="AV150" s="784">
        <v>0.17</v>
      </c>
      <c r="AW150" s="784">
        <v>0.43</v>
      </c>
      <c r="AX150" s="784">
        <v>0.44</v>
      </c>
      <c r="AY150" s="784">
        <v>0.4</v>
      </c>
      <c r="AZ150" s="2055">
        <v>5.38</v>
      </c>
      <c r="BB150" s="2065">
        <v>2016</v>
      </c>
      <c r="BC150" s="2057">
        <f t="shared" si="48"/>
        <v>1.0096000000000001</v>
      </c>
      <c r="BD150" s="2057">
        <f t="shared" si="49"/>
        <v>1.0063</v>
      </c>
      <c r="BE150" s="2057">
        <f t="shared" si="50"/>
        <v>1.0045999999999999</v>
      </c>
      <c r="BF150" s="2057">
        <f t="shared" si="51"/>
        <v>1.0044</v>
      </c>
      <c r="BG150" s="2057">
        <f t="shared" si="52"/>
        <v>1.0041</v>
      </c>
      <c r="BH150" s="2057">
        <f t="shared" si="53"/>
        <v>1.0036</v>
      </c>
      <c r="BI150" s="2057">
        <f t="shared" si="54"/>
        <v>1.0054000000000001</v>
      </c>
      <c r="BJ150" s="2057">
        <f t="shared" si="55"/>
        <v>1.0001</v>
      </c>
      <c r="BK150" s="2057">
        <f t="shared" si="56"/>
        <v>1.0017</v>
      </c>
      <c r="BL150" s="2057">
        <f t="shared" si="57"/>
        <v>1.0043</v>
      </c>
      <c r="BM150" s="2057">
        <f t="shared" si="58"/>
        <v>1.0044</v>
      </c>
      <c r="BN150" s="2061">
        <f t="shared" si="59"/>
        <v>1.004</v>
      </c>
      <c r="BO150" s="2058">
        <f t="shared" si="60"/>
        <v>1.0537514219067174</v>
      </c>
    </row>
    <row r="151" spans="39:67" ht="17.399999999999999">
      <c r="AM151" s="2055">
        <v>2015</v>
      </c>
      <c r="AN151" s="784">
        <v>3.85</v>
      </c>
      <c r="AO151" s="784">
        <v>2.2200000000000002</v>
      </c>
      <c r="AP151" s="784">
        <v>1.21</v>
      </c>
      <c r="AQ151" s="784">
        <v>0.46</v>
      </c>
      <c r="AR151" s="784">
        <v>0.35</v>
      </c>
      <c r="AS151" s="784">
        <v>0.19</v>
      </c>
      <c r="AT151" s="784">
        <v>0.8</v>
      </c>
      <c r="AU151" s="784">
        <v>0.35</v>
      </c>
      <c r="AV151" s="784">
        <v>0.56999999999999995</v>
      </c>
      <c r="AW151" s="784">
        <v>0.74</v>
      </c>
      <c r="AX151" s="784">
        <v>0.75</v>
      </c>
      <c r="AY151" s="784">
        <v>0.77</v>
      </c>
      <c r="AZ151" s="2055">
        <v>12.91</v>
      </c>
      <c r="BB151" s="2065">
        <v>2015</v>
      </c>
      <c r="BC151" s="2057">
        <f t="shared" si="48"/>
        <v>1.0385</v>
      </c>
      <c r="BD151" s="2057">
        <f t="shared" si="49"/>
        <v>1.0222</v>
      </c>
      <c r="BE151" s="2057">
        <f t="shared" si="50"/>
        <v>1.0121</v>
      </c>
      <c r="BF151" s="2057">
        <f t="shared" si="51"/>
        <v>1.0045999999999999</v>
      </c>
      <c r="BG151" s="2057">
        <f t="shared" si="52"/>
        <v>1.0035000000000001</v>
      </c>
      <c r="BH151" s="2057">
        <f t="shared" si="53"/>
        <v>1.0019</v>
      </c>
      <c r="BI151" s="2057">
        <f t="shared" si="54"/>
        <v>1.008</v>
      </c>
      <c r="BJ151" s="2057">
        <f t="shared" si="55"/>
        <v>1.0035000000000001</v>
      </c>
      <c r="BK151" s="2057">
        <f t="shared" si="56"/>
        <v>1.0057</v>
      </c>
      <c r="BL151" s="2057">
        <f t="shared" si="57"/>
        <v>1.0074000000000001</v>
      </c>
      <c r="BM151" s="2057">
        <f t="shared" si="58"/>
        <v>1.0075000000000001</v>
      </c>
      <c r="BN151" s="2061">
        <f t="shared" si="59"/>
        <v>1.0077</v>
      </c>
      <c r="BO151" s="2058">
        <f t="shared" si="60"/>
        <v>1.1290816482202872</v>
      </c>
    </row>
    <row r="152" spans="39:67" ht="17.399999999999999">
      <c r="AM152" s="2055">
        <v>2014</v>
      </c>
      <c r="AN152" s="784">
        <v>0.59</v>
      </c>
      <c r="AO152" s="784">
        <v>0.7</v>
      </c>
      <c r="AP152" s="784">
        <v>1.02</v>
      </c>
      <c r="AQ152" s="784">
        <v>0.9</v>
      </c>
      <c r="AR152" s="784">
        <v>0.9</v>
      </c>
      <c r="AS152" s="784">
        <v>0.62</v>
      </c>
      <c r="AT152" s="784">
        <v>0.49</v>
      </c>
      <c r="AU152" s="784">
        <v>0.24</v>
      </c>
      <c r="AV152" s="784">
        <v>0.65</v>
      </c>
      <c r="AW152" s="784">
        <v>0.82</v>
      </c>
      <c r="AX152" s="784">
        <v>1.28</v>
      </c>
      <c r="AY152" s="784">
        <v>2.62</v>
      </c>
      <c r="AZ152" s="2055">
        <v>11.36</v>
      </c>
      <c r="BB152" s="2065">
        <v>2014</v>
      </c>
      <c r="BC152" s="2057">
        <f t="shared" si="48"/>
        <v>1.0059</v>
      </c>
      <c r="BD152" s="2057">
        <f t="shared" si="49"/>
        <v>1.0069999999999999</v>
      </c>
      <c r="BE152" s="2057">
        <f t="shared" si="50"/>
        <v>1.0102</v>
      </c>
      <c r="BF152" s="2057">
        <f t="shared" si="51"/>
        <v>1.0089999999999999</v>
      </c>
      <c r="BG152" s="2057">
        <f t="shared" si="52"/>
        <v>1.0089999999999999</v>
      </c>
      <c r="BH152" s="2057">
        <f t="shared" si="53"/>
        <v>1.0062</v>
      </c>
      <c r="BI152" s="2057">
        <f t="shared" si="54"/>
        <v>1.0048999999999999</v>
      </c>
      <c r="BJ152" s="2057">
        <f t="shared" si="55"/>
        <v>1.0024</v>
      </c>
      <c r="BK152" s="2057">
        <f t="shared" si="56"/>
        <v>1.0065</v>
      </c>
      <c r="BL152" s="2057">
        <f t="shared" si="57"/>
        <v>1.0082</v>
      </c>
      <c r="BM152" s="2057">
        <f t="shared" si="58"/>
        <v>1.0127999999999999</v>
      </c>
      <c r="BN152" s="2061">
        <f t="shared" si="59"/>
        <v>1.0262</v>
      </c>
      <c r="BO152" s="2058">
        <f t="shared" si="60"/>
        <v>1.1136234510331722</v>
      </c>
    </row>
    <row r="153" spans="39:67" ht="17.399999999999999">
      <c r="AM153" s="2055">
        <v>2013</v>
      </c>
      <c r="AN153" s="784">
        <v>0.97</v>
      </c>
      <c r="AO153" s="784">
        <v>0.56000000000000005</v>
      </c>
      <c r="AP153" s="784">
        <v>0.34</v>
      </c>
      <c r="AQ153" s="784">
        <v>0.51</v>
      </c>
      <c r="AR153" s="784">
        <v>0.66</v>
      </c>
      <c r="AS153" s="784">
        <v>0.42</v>
      </c>
      <c r="AT153" s="784">
        <v>0.82</v>
      </c>
      <c r="AU153" s="784">
        <v>0.14000000000000001</v>
      </c>
      <c r="AV153" s="784">
        <v>0.21</v>
      </c>
      <c r="AW153" s="784">
        <v>0.56999999999999995</v>
      </c>
      <c r="AX153" s="784">
        <v>0.56000000000000005</v>
      </c>
      <c r="AY153" s="784">
        <v>0.51</v>
      </c>
      <c r="AZ153" s="2055">
        <v>6.45</v>
      </c>
      <c r="BB153" s="2065">
        <v>2013</v>
      </c>
      <c r="BC153" s="2057">
        <f t="shared" si="48"/>
        <v>1.0097</v>
      </c>
      <c r="BD153" s="2057">
        <f t="shared" si="49"/>
        <v>1.0056</v>
      </c>
      <c r="BE153" s="2057">
        <f t="shared" si="50"/>
        <v>1.0034000000000001</v>
      </c>
      <c r="BF153" s="2057">
        <f t="shared" si="51"/>
        <v>1.0051000000000001</v>
      </c>
      <c r="BG153" s="2057">
        <f t="shared" si="52"/>
        <v>1.0065999999999999</v>
      </c>
      <c r="BH153" s="2057">
        <f t="shared" si="53"/>
        <v>1.0042</v>
      </c>
      <c r="BI153" s="2057">
        <f t="shared" si="54"/>
        <v>1.0082</v>
      </c>
      <c r="BJ153" s="2057">
        <f t="shared" si="55"/>
        <v>1.0014000000000001</v>
      </c>
      <c r="BK153" s="2057">
        <f t="shared" si="56"/>
        <v>1.0021</v>
      </c>
      <c r="BL153" s="2057">
        <f t="shared" si="57"/>
        <v>1.0057</v>
      </c>
      <c r="BM153" s="2057">
        <f t="shared" si="58"/>
        <v>1.0056</v>
      </c>
      <c r="BN153" s="2061">
        <f t="shared" si="59"/>
        <v>1.0051000000000001</v>
      </c>
      <c r="BO153" s="2058">
        <f t="shared" si="60"/>
        <v>1.0645019560618585</v>
      </c>
    </row>
    <row r="154" spans="39:67" ht="17.399999999999999">
      <c r="AM154" s="2055">
        <v>2012</v>
      </c>
      <c r="AN154" s="784">
        <v>0.5</v>
      </c>
      <c r="AO154" s="784">
        <v>0.37</v>
      </c>
      <c r="AP154" s="784">
        <v>0.57999999999999996</v>
      </c>
      <c r="AQ154" s="784">
        <v>0.31</v>
      </c>
      <c r="AR154" s="784">
        <v>0.52</v>
      </c>
      <c r="AS154" s="784">
        <v>0.89</v>
      </c>
      <c r="AT154" s="784">
        <v>1.23</v>
      </c>
      <c r="AU154" s="784">
        <v>0.1</v>
      </c>
      <c r="AV154" s="784">
        <v>0.55000000000000004</v>
      </c>
      <c r="AW154" s="784">
        <v>0.46</v>
      </c>
      <c r="AX154" s="784">
        <v>0.34</v>
      </c>
      <c r="AY154" s="784">
        <v>0.54</v>
      </c>
      <c r="AZ154" s="2055">
        <v>6.58</v>
      </c>
      <c r="BB154" s="2065">
        <v>2012</v>
      </c>
      <c r="BC154" s="2057">
        <f t="shared" si="48"/>
        <v>1.0049999999999999</v>
      </c>
      <c r="BD154" s="2057">
        <f t="shared" si="49"/>
        <v>1.0037</v>
      </c>
      <c r="BE154" s="2057">
        <f t="shared" si="50"/>
        <v>1.0058</v>
      </c>
      <c r="BF154" s="2057">
        <f t="shared" si="51"/>
        <v>1.0031000000000001</v>
      </c>
      <c r="BG154" s="2057">
        <f t="shared" si="52"/>
        <v>1.0052000000000001</v>
      </c>
      <c r="BH154" s="2057">
        <f t="shared" si="53"/>
        <v>1.0088999999999999</v>
      </c>
      <c r="BI154" s="2057">
        <f t="shared" si="54"/>
        <v>1.0123</v>
      </c>
      <c r="BJ154" s="2057">
        <f t="shared" si="55"/>
        <v>1.0009999999999999</v>
      </c>
      <c r="BK154" s="2057">
        <f t="shared" si="56"/>
        <v>1.0055000000000001</v>
      </c>
      <c r="BL154" s="2057">
        <f t="shared" si="57"/>
        <v>1.0045999999999999</v>
      </c>
      <c r="BM154" s="2057">
        <f t="shared" si="58"/>
        <v>1.0034000000000001</v>
      </c>
      <c r="BN154" s="2061">
        <f t="shared" si="59"/>
        <v>1.0054000000000001</v>
      </c>
      <c r="BO154" s="2058">
        <f t="shared" si="60"/>
        <v>1.0657565003833114</v>
      </c>
    </row>
    <row r="155" spans="39:67" ht="17.399999999999999">
      <c r="AM155" s="2055">
        <v>2011</v>
      </c>
      <c r="AN155" s="784">
        <v>2.37</v>
      </c>
      <c r="AO155" s="784">
        <v>0.78</v>
      </c>
      <c r="AP155" s="784">
        <v>0.62</v>
      </c>
      <c r="AQ155" s="784">
        <v>0.43</v>
      </c>
      <c r="AR155" s="784">
        <v>0.48</v>
      </c>
      <c r="AS155" s="784">
        <v>0.23</v>
      </c>
      <c r="AT155" s="784">
        <v>-0.01</v>
      </c>
      <c r="AU155" s="784">
        <v>-0.24</v>
      </c>
      <c r="AV155" s="784">
        <v>-0.04</v>
      </c>
      <c r="AW155" s="784">
        <v>0.48</v>
      </c>
      <c r="AX155" s="784">
        <v>0.42</v>
      </c>
      <c r="AY155" s="784">
        <v>0.44</v>
      </c>
      <c r="AZ155" s="2055">
        <v>6.1</v>
      </c>
      <c r="BB155" s="2065">
        <v>2011</v>
      </c>
      <c r="BC155" s="2057">
        <f t="shared" si="48"/>
        <v>1.0237000000000001</v>
      </c>
      <c r="BD155" s="2057">
        <f t="shared" si="49"/>
        <v>1.0078</v>
      </c>
      <c r="BE155" s="2057">
        <f t="shared" si="50"/>
        <v>1.0062</v>
      </c>
      <c r="BF155" s="2057">
        <f t="shared" si="51"/>
        <v>1.0043</v>
      </c>
      <c r="BG155" s="2057">
        <f t="shared" si="52"/>
        <v>1.0047999999999999</v>
      </c>
      <c r="BH155" s="2057">
        <f t="shared" si="53"/>
        <v>1.0023</v>
      </c>
      <c r="BI155" s="2057">
        <f t="shared" si="54"/>
        <v>0.99990000000000001</v>
      </c>
      <c r="BJ155" s="2057">
        <f t="shared" si="55"/>
        <v>0.99760000000000004</v>
      </c>
      <c r="BK155" s="2057">
        <f t="shared" si="56"/>
        <v>0.99960000000000004</v>
      </c>
      <c r="BL155" s="2057">
        <f t="shared" si="57"/>
        <v>1.0047999999999999</v>
      </c>
      <c r="BM155" s="2057">
        <f t="shared" si="58"/>
        <v>1.0042</v>
      </c>
      <c r="BN155" s="2061">
        <f t="shared" si="59"/>
        <v>1.0044</v>
      </c>
      <c r="BO155" s="2058">
        <f t="shared" si="60"/>
        <v>1.0610063754221557</v>
      </c>
    </row>
    <row r="156" spans="39:67" ht="17.399999999999999">
      <c r="AM156" s="2055">
        <v>2010</v>
      </c>
      <c r="AN156" s="784">
        <v>1.64</v>
      </c>
      <c r="AO156" s="784">
        <v>0.86</v>
      </c>
      <c r="AP156" s="784">
        <v>0.63</v>
      </c>
      <c r="AQ156" s="784">
        <v>0.28999999999999998</v>
      </c>
      <c r="AR156" s="784">
        <v>0.5</v>
      </c>
      <c r="AS156" s="784">
        <v>0.39</v>
      </c>
      <c r="AT156" s="784">
        <v>0.36</v>
      </c>
      <c r="AU156" s="784">
        <v>0.55000000000000004</v>
      </c>
      <c r="AV156" s="784">
        <v>0.84</v>
      </c>
      <c r="AW156" s="784">
        <v>0.5</v>
      </c>
      <c r="AX156" s="784">
        <v>0.81</v>
      </c>
      <c r="AY156" s="784">
        <v>1.08</v>
      </c>
      <c r="AZ156" s="2055">
        <v>8.7799999999999994</v>
      </c>
      <c r="BB156" s="2065">
        <v>2010</v>
      </c>
      <c r="BC156" s="2057">
        <f t="shared" si="48"/>
        <v>1.0164</v>
      </c>
      <c r="BD156" s="2057">
        <f t="shared" si="49"/>
        <v>1.0085999999999999</v>
      </c>
      <c r="BE156" s="2057">
        <f t="shared" si="50"/>
        <v>1.0063</v>
      </c>
      <c r="BF156" s="2057">
        <f t="shared" si="51"/>
        <v>1.0028999999999999</v>
      </c>
      <c r="BG156" s="2057">
        <f t="shared" si="52"/>
        <v>1.0049999999999999</v>
      </c>
      <c r="BH156" s="2057">
        <f t="shared" si="53"/>
        <v>1.0039</v>
      </c>
      <c r="BI156" s="2057">
        <f t="shared" si="54"/>
        <v>1.0036</v>
      </c>
      <c r="BJ156" s="2057">
        <f t="shared" si="55"/>
        <v>1.0055000000000001</v>
      </c>
      <c r="BK156" s="2057">
        <f t="shared" si="56"/>
        <v>1.0084</v>
      </c>
      <c r="BL156" s="2057">
        <f t="shared" si="57"/>
        <v>1.0049999999999999</v>
      </c>
      <c r="BM156" s="2057">
        <f t="shared" si="58"/>
        <v>1.0081</v>
      </c>
      <c r="BN156" s="2061">
        <f t="shared" si="59"/>
        <v>1.0107999999999999</v>
      </c>
      <c r="BO156" s="2058">
        <f t="shared" si="60"/>
        <v>1.087766587220012</v>
      </c>
    </row>
    <row r="157" spans="39:67" ht="17.399999999999999">
      <c r="AM157" s="2055">
        <v>2009</v>
      </c>
      <c r="AN157" s="784">
        <v>2.37</v>
      </c>
      <c r="AO157" s="784">
        <v>1.65</v>
      </c>
      <c r="AP157" s="784">
        <v>1.31</v>
      </c>
      <c r="AQ157" s="784">
        <v>0.69</v>
      </c>
      <c r="AR157" s="784">
        <v>0.56999999999999995</v>
      </c>
      <c r="AS157" s="784">
        <v>0.6</v>
      </c>
      <c r="AT157" s="784">
        <v>0.63</v>
      </c>
      <c r="AU157" s="784">
        <v>0</v>
      </c>
      <c r="AV157" s="784">
        <v>-0.03</v>
      </c>
      <c r="AW157" s="784">
        <v>0</v>
      </c>
      <c r="AX157" s="784">
        <v>0.28999999999999998</v>
      </c>
      <c r="AY157" s="784">
        <v>0.41</v>
      </c>
      <c r="AZ157" s="2055">
        <v>8.8000000000000007</v>
      </c>
      <c r="BB157" s="2065">
        <v>2009</v>
      </c>
      <c r="BC157" s="2057">
        <f t="shared" si="48"/>
        <v>1.0237000000000001</v>
      </c>
      <c r="BD157" s="2057">
        <f t="shared" si="49"/>
        <v>1.0165</v>
      </c>
      <c r="BE157" s="2057">
        <f t="shared" si="50"/>
        <v>1.0131000000000001</v>
      </c>
      <c r="BF157" s="2057">
        <f t="shared" si="51"/>
        <v>1.0068999999999999</v>
      </c>
      <c r="BG157" s="2057">
        <f t="shared" si="52"/>
        <v>1.0057</v>
      </c>
      <c r="BH157" s="2057">
        <f t="shared" si="53"/>
        <v>1.006</v>
      </c>
      <c r="BI157" s="2057">
        <f t="shared" si="54"/>
        <v>1.0063</v>
      </c>
      <c r="BJ157" s="2057">
        <f t="shared" si="55"/>
        <v>1</v>
      </c>
      <c r="BK157" s="2057">
        <f t="shared" si="56"/>
        <v>0.99970000000000003</v>
      </c>
      <c r="BL157" s="2057">
        <f t="shared" si="57"/>
        <v>1</v>
      </c>
      <c r="BM157" s="2057">
        <f t="shared" si="58"/>
        <v>1.0028999999999999</v>
      </c>
      <c r="BN157" s="2061">
        <f t="shared" si="59"/>
        <v>1.0041</v>
      </c>
      <c r="BO157" s="2058">
        <f t="shared" si="60"/>
        <v>1.0879700409423458</v>
      </c>
    </row>
    <row r="158" spans="39:67" ht="17.399999999999999">
      <c r="AM158" s="2055">
        <v>2008</v>
      </c>
      <c r="AN158" s="784">
        <v>2.31</v>
      </c>
      <c r="AO158" s="784">
        <v>1.2</v>
      </c>
      <c r="AP158" s="784">
        <v>1.2</v>
      </c>
      <c r="AQ158" s="784">
        <v>1.42</v>
      </c>
      <c r="AR158" s="784">
        <v>1.35</v>
      </c>
      <c r="AS158" s="784">
        <v>0.97</v>
      </c>
      <c r="AT158" s="784">
        <v>0.51</v>
      </c>
      <c r="AU158" s="784">
        <v>0.36</v>
      </c>
      <c r="AV158" s="784">
        <v>0.8</v>
      </c>
      <c r="AW158" s="784">
        <v>0.91</v>
      </c>
      <c r="AX158" s="784">
        <v>0.83</v>
      </c>
      <c r="AY158" s="784">
        <v>0.69</v>
      </c>
      <c r="AZ158" s="2055">
        <v>13.28</v>
      </c>
      <c r="BB158" s="2065">
        <v>2008</v>
      </c>
      <c r="BC158" s="2057">
        <f t="shared" si="48"/>
        <v>1.0230999999999999</v>
      </c>
      <c r="BD158" s="2057">
        <f t="shared" si="49"/>
        <v>1.012</v>
      </c>
      <c r="BE158" s="2057">
        <f t="shared" si="50"/>
        <v>1.012</v>
      </c>
      <c r="BF158" s="2057">
        <f t="shared" si="51"/>
        <v>1.0142</v>
      </c>
      <c r="BG158" s="2057">
        <f t="shared" si="52"/>
        <v>1.0135000000000001</v>
      </c>
      <c r="BH158" s="2057">
        <f t="shared" si="53"/>
        <v>1.0097</v>
      </c>
      <c r="BI158" s="2057">
        <f t="shared" si="54"/>
        <v>1.0051000000000001</v>
      </c>
      <c r="BJ158" s="2057">
        <f t="shared" si="55"/>
        <v>1.0036</v>
      </c>
      <c r="BK158" s="2057">
        <f t="shared" si="56"/>
        <v>1.008</v>
      </c>
      <c r="BL158" s="2057">
        <f t="shared" si="57"/>
        <v>1.0091000000000001</v>
      </c>
      <c r="BM158" s="2057">
        <f t="shared" si="58"/>
        <v>1.0083</v>
      </c>
      <c r="BN158" s="2061">
        <f t="shared" si="59"/>
        <v>1.0068999999999999</v>
      </c>
      <c r="BO158" s="2058">
        <f t="shared" si="60"/>
        <v>1.1328165809664892</v>
      </c>
    </row>
    <row r="159" spans="39:67" ht="17.399999999999999">
      <c r="AM159" s="2055">
        <v>2007</v>
      </c>
      <c r="AN159" s="784">
        <v>1.68</v>
      </c>
      <c r="AO159" s="784">
        <v>1.1100000000000001</v>
      </c>
      <c r="AP159" s="784">
        <v>0.59</v>
      </c>
      <c r="AQ159" s="784">
        <v>0.56999999999999995</v>
      </c>
      <c r="AR159" s="784">
        <v>0.63</v>
      </c>
      <c r="AS159" s="784">
        <v>0.95</v>
      </c>
      <c r="AT159" s="784">
        <v>0.87</v>
      </c>
      <c r="AU159" s="784">
        <v>0.09</v>
      </c>
      <c r="AV159" s="784">
        <v>0.79</v>
      </c>
      <c r="AW159" s="784">
        <v>1.64</v>
      </c>
      <c r="AX159" s="784">
        <v>1.23</v>
      </c>
      <c r="AY159" s="784">
        <v>1.1299999999999999</v>
      </c>
      <c r="AZ159" s="2055">
        <v>11.87</v>
      </c>
      <c r="BB159" s="2065">
        <v>2007</v>
      </c>
      <c r="BC159" s="2057">
        <f t="shared" si="48"/>
        <v>1.0167999999999999</v>
      </c>
      <c r="BD159" s="2057">
        <f t="shared" si="49"/>
        <v>1.0111000000000001</v>
      </c>
      <c r="BE159" s="2057">
        <f t="shared" si="50"/>
        <v>1.0059</v>
      </c>
      <c r="BF159" s="2057">
        <f t="shared" si="51"/>
        <v>1.0057</v>
      </c>
      <c r="BG159" s="2057">
        <f t="shared" si="52"/>
        <v>1.0063</v>
      </c>
      <c r="BH159" s="2057">
        <f t="shared" si="53"/>
        <v>1.0095000000000001</v>
      </c>
      <c r="BI159" s="2057">
        <f t="shared" si="54"/>
        <v>1.0086999999999999</v>
      </c>
      <c r="BJ159" s="2057">
        <f t="shared" si="55"/>
        <v>1.0008999999999999</v>
      </c>
      <c r="BK159" s="2057">
        <f t="shared" si="56"/>
        <v>1.0079</v>
      </c>
      <c r="BL159" s="2057">
        <f t="shared" si="57"/>
        <v>1.0164</v>
      </c>
      <c r="BM159" s="2057">
        <f t="shared" si="58"/>
        <v>1.0123</v>
      </c>
      <c r="BN159" s="2061">
        <f t="shared" si="59"/>
        <v>1.0113000000000001</v>
      </c>
      <c r="BO159" s="2058">
        <f t="shared" si="60"/>
        <v>1.1186925810350277</v>
      </c>
    </row>
    <row r="160" spans="39:67" ht="17.399999999999999">
      <c r="AM160" s="2055">
        <v>2006</v>
      </c>
      <c r="AN160" s="784">
        <v>2.4300000000000002</v>
      </c>
      <c r="AO160" s="784">
        <v>1.66</v>
      </c>
      <c r="AP160" s="784">
        <v>0.82</v>
      </c>
      <c r="AQ160" s="784">
        <v>0.35</v>
      </c>
      <c r="AR160" s="784">
        <v>0.48</v>
      </c>
      <c r="AS160" s="784">
        <v>0.28000000000000003</v>
      </c>
      <c r="AT160" s="784">
        <v>0.67</v>
      </c>
      <c r="AU160" s="784">
        <v>0.19</v>
      </c>
      <c r="AV160" s="784">
        <v>0.09</v>
      </c>
      <c r="AW160" s="784">
        <v>0.28000000000000003</v>
      </c>
      <c r="AX160" s="784">
        <v>0.63</v>
      </c>
      <c r="AY160" s="784">
        <v>0.79</v>
      </c>
      <c r="AZ160" s="2055">
        <v>9</v>
      </c>
      <c r="BB160" s="2065">
        <v>2006</v>
      </c>
      <c r="BC160" s="2057">
        <f t="shared" si="48"/>
        <v>1.0243</v>
      </c>
      <c r="BD160" s="2057">
        <f t="shared" si="49"/>
        <v>1.0165999999999999</v>
      </c>
      <c r="BE160" s="2057">
        <f t="shared" si="50"/>
        <v>1.0082</v>
      </c>
      <c r="BF160" s="2057">
        <f t="shared" si="51"/>
        <v>1.0035000000000001</v>
      </c>
      <c r="BG160" s="2057">
        <f t="shared" si="52"/>
        <v>1.0047999999999999</v>
      </c>
      <c r="BH160" s="2057">
        <f t="shared" si="53"/>
        <v>1.0027999999999999</v>
      </c>
      <c r="BI160" s="2057">
        <f t="shared" si="54"/>
        <v>1.0066999999999999</v>
      </c>
      <c r="BJ160" s="2057">
        <f t="shared" si="55"/>
        <v>1.0019</v>
      </c>
      <c r="BK160" s="2057">
        <f t="shared" si="56"/>
        <v>1.0008999999999999</v>
      </c>
      <c r="BL160" s="2057">
        <f t="shared" si="57"/>
        <v>1.0027999999999999</v>
      </c>
      <c r="BM160" s="2057">
        <f t="shared" si="58"/>
        <v>1.0063</v>
      </c>
      <c r="BN160" s="2061">
        <f t="shared" si="59"/>
        <v>1.0079</v>
      </c>
      <c r="BO160" s="2058">
        <f t="shared" si="60"/>
        <v>1.0899577841598771</v>
      </c>
    </row>
    <row r="161" spans="39:67" ht="17.399999999999999">
      <c r="AM161" s="2055">
        <v>2005</v>
      </c>
      <c r="AN161" s="784">
        <v>2.62</v>
      </c>
      <c r="AO161" s="784">
        <v>1.23</v>
      </c>
      <c r="AP161" s="784">
        <v>1.34</v>
      </c>
      <c r="AQ161" s="784">
        <v>1.1200000000000001</v>
      </c>
      <c r="AR161" s="784">
        <v>0.8</v>
      </c>
      <c r="AS161" s="784">
        <v>0.64</v>
      </c>
      <c r="AT161" s="784">
        <v>0.46</v>
      </c>
      <c r="AU161" s="784">
        <v>-0.14000000000000001</v>
      </c>
      <c r="AV161" s="784">
        <v>0.25</v>
      </c>
      <c r="AW161" s="784">
        <v>0.55000000000000004</v>
      </c>
      <c r="AX161" s="784">
        <v>0.74</v>
      </c>
      <c r="AY161" s="784">
        <v>0.82</v>
      </c>
      <c r="AZ161" s="2055">
        <v>10.91</v>
      </c>
      <c r="BB161" s="2065">
        <v>2005</v>
      </c>
      <c r="BC161" s="2057">
        <f t="shared" si="48"/>
        <v>1.0262</v>
      </c>
      <c r="BD161" s="2057">
        <f t="shared" si="49"/>
        <v>1.0123</v>
      </c>
      <c r="BE161" s="2057">
        <f t="shared" si="50"/>
        <v>1.0134000000000001</v>
      </c>
      <c r="BF161" s="2057">
        <f t="shared" si="51"/>
        <v>1.0112000000000001</v>
      </c>
      <c r="BG161" s="2057">
        <f t="shared" si="52"/>
        <v>1.008</v>
      </c>
      <c r="BH161" s="2057">
        <f t="shared" si="53"/>
        <v>1.0064</v>
      </c>
      <c r="BI161" s="2057">
        <f t="shared" si="54"/>
        <v>1.0045999999999999</v>
      </c>
      <c r="BJ161" s="2057">
        <f t="shared" si="55"/>
        <v>0.99860000000000004</v>
      </c>
      <c r="BK161" s="2057">
        <f t="shared" si="56"/>
        <v>1.0024999999999999</v>
      </c>
      <c r="BL161" s="2057">
        <f t="shared" si="57"/>
        <v>1.0055000000000001</v>
      </c>
      <c r="BM161" s="2057">
        <f t="shared" si="58"/>
        <v>1.0074000000000001</v>
      </c>
      <c r="BN161" s="2061">
        <f t="shared" si="59"/>
        <v>1.0082</v>
      </c>
      <c r="BO161" s="2058">
        <f t="shared" si="60"/>
        <v>1.1091497857839778</v>
      </c>
    </row>
    <row r="162" spans="39:67" ht="17.399999999999999">
      <c r="AM162" s="2055">
        <v>2004</v>
      </c>
      <c r="AN162" s="784">
        <v>1.75</v>
      </c>
      <c r="AO162" s="784">
        <v>0.99</v>
      </c>
      <c r="AP162" s="784">
        <v>0.75</v>
      </c>
      <c r="AQ162" s="784">
        <v>0.99</v>
      </c>
      <c r="AR162" s="784">
        <v>0.74</v>
      </c>
      <c r="AS162" s="784">
        <v>0.78</v>
      </c>
      <c r="AT162" s="784">
        <v>0.92</v>
      </c>
      <c r="AU162" s="784">
        <v>0.42</v>
      </c>
      <c r="AV162" s="784">
        <v>0.43</v>
      </c>
      <c r="AW162" s="784">
        <v>1.1399999999999999</v>
      </c>
      <c r="AX162" s="784">
        <v>1.1100000000000001</v>
      </c>
      <c r="AY162" s="784">
        <v>1.1399999999999999</v>
      </c>
      <c r="AZ162" s="2055">
        <v>11.74</v>
      </c>
      <c r="BB162" s="2065">
        <v>2004</v>
      </c>
      <c r="BC162" s="2057">
        <f t="shared" si="48"/>
        <v>1.0175000000000001</v>
      </c>
      <c r="BD162" s="2057">
        <f t="shared" si="49"/>
        <v>1.0099</v>
      </c>
      <c r="BE162" s="2057">
        <f t="shared" si="50"/>
        <v>1.0075000000000001</v>
      </c>
      <c r="BF162" s="2057">
        <f t="shared" si="51"/>
        <v>1.0099</v>
      </c>
      <c r="BG162" s="2057">
        <f t="shared" si="52"/>
        <v>1.0074000000000001</v>
      </c>
      <c r="BH162" s="2057">
        <f t="shared" si="53"/>
        <v>1.0078</v>
      </c>
      <c r="BI162" s="2057">
        <f t="shared" si="54"/>
        <v>1.0092000000000001</v>
      </c>
      <c r="BJ162" s="2057">
        <f t="shared" si="55"/>
        <v>1.0042</v>
      </c>
      <c r="BK162" s="2057">
        <f t="shared" si="56"/>
        <v>1.0043</v>
      </c>
      <c r="BL162" s="2057">
        <f t="shared" si="57"/>
        <v>1.0114000000000001</v>
      </c>
      <c r="BM162" s="2057">
        <f t="shared" si="58"/>
        <v>1.0111000000000001</v>
      </c>
      <c r="BN162" s="2061">
        <f t="shared" si="59"/>
        <v>1.0114000000000001</v>
      </c>
      <c r="BO162" s="2058">
        <f t="shared" si="60"/>
        <v>1.1174123016226714</v>
      </c>
    </row>
    <row r="163" spans="39:67" ht="17.399999999999999">
      <c r="AM163" s="2055">
        <v>2003</v>
      </c>
      <c r="AN163" s="784">
        <v>2.4</v>
      </c>
      <c r="AO163" s="784">
        <v>1.63</v>
      </c>
      <c r="AP163" s="784">
        <v>1.05</v>
      </c>
      <c r="AQ163" s="784">
        <v>1.02</v>
      </c>
      <c r="AR163" s="784">
        <v>0.8</v>
      </c>
      <c r="AS163" s="784">
        <v>0.8</v>
      </c>
      <c r="AT163" s="784">
        <v>0.71</v>
      </c>
      <c r="AU163" s="784">
        <v>-0.41</v>
      </c>
      <c r="AV163" s="784">
        <v>0.34</v>
      </c>
      <c r="AW163" s="784">
        <v>1</v>
      </c>
      <c r="AX163" s="784">
        <v>0.96</v>
      </c>
      <c r="AY163" s="784">
        <v>1.1000000000000001</v>
      </c>
      <c r="AZ163" s="2055">
        <v>11.99</v>
      </c>
      <c r="BB163" s="2065">
        <v>2003</v>
      </c>
      <c r="BC163" s="2057">
        <f t="shared" si="48"/>
        <v>1.024</v>
      </c>
      <c r="BD163" s="2057">
        <f t="shared" si="49"/>
        <v>1.0163</v>
      </c>
      <c r="BE163" s="2057">
        <f t="shared" si="50"/>
        <v>1.0105</v>
      </c>
      <c r="BF163" s="2057">
        <f t="shared" si="51"/>
        <v>1.0102</v>
      </c>
      <c r="BG163" s="2057">
        <f t="shared" si="52"/>
        <v>1.008</v>
      </c>
      <c r="BH163" s="2057">
        <f t="shared" si="53"/>
        <v>1.008</v>
      </c>
      <c r="BI163" s="2057">
        <f t="shared" si="54"/>
        <v>1.0071000000000001</v>
      </c>
      <c r="BJ163" s="2057">
        <f t="shared" si="55"/>
        <v>0.99590000000000001</v>
      </c>
      <c r="BK163" s="2057">
        <f t="shared" si="56"/>
        <v>1.0034000000000001</v>
      </c>
      <c r="BL163" s="2057">
        <f t="shared" si="57"/>
        <v>1.01</v>
      </c>
      <c r="BM163" s="2057">
        <f t="shared" si="58"/>
        <v>1.0096000000000001</v>
      </c>
      <c r="BN163" s="2061">
        <f t="shared" si="59"/>
        <v>1.0109999999999999</v>
      </c>
      <c r="BO163" s="2058">
        <f t="shared" si="60"/>
        <v>1.1198785460301688</v>
      </c>
    </row>
    <row r="164" spans="39:67" ht="17.399999999999999">
      <c r="AM164" s="2055">
        <v>2002</v>
      </c>
      <c r="AN164" s="784">
        <v>3.09</v>
      </c>
      <c r="AO164" s="784">
        <v>1.1599999999999999</v>
      </c>
      <c r="AP164" s="784">
        <v>1.08</v>
      </c>
      <c r="AQ164" s="784">
        <v>1.1599999999999999</v>
      </c>
      <c r="AR164" s="784">
        <v>1.69</v>
      </c>
      <c r="AS164" s="784">
        <v>0.53</v>
      </c>
      <c r="AT164" s="784">
        <v>0.72</v>
      </c>
      <c r="AU164" s="784">
        <v>0.09</v>
      </c>
      <c r="AV164" s="784">
        <v>0.4</v>
      </c>
      <c r="AW164" s="784">
        <v>1.07</v>
      </c>
      <c r="AX164" s="784">
        <v>1.61</v>
      </c>
      <c r="AY164" s="784">
        <v>1.54</v>
      </c>
      <c r="AZ164" s="2055">
        <v>15.06</v>
      </c>
      <c r="BB164" s="2065">
        <v>2002</v>
      </c>
      <c r="BC164" s="2057">
        <f t="shared" si="48"/>
        <v>1.0308999999999999</v>
      </c>
      <c r="BD164" s="2057">
        <f t="shared" si="49"/>
        <v>1.0116000000000001</v>
      </c>
      <c r="BE164" s="2057">
        <f t="shared" si="50"/>
        <v>1.0107999999999999</v>
      </c>
      <c r="BF164" s="2057">
        <f t="shared" si="51"/>
        <v>1.0116000000000001</v>
      </c>
      <c r="BG164" s="2057">
        <f t="shared" si="52"/>
        <v>1.0168999999999999</v>
      </c>
      <c r="BH164" s="2057">
        <f t="shared" si="53"/>
        <v>1.0053000000000001</v>
      </c>
      <c r="BI164" s="2057">
        <f t="shared" si="54"/>
        <v>1.0072000000000001</v>
      </c>
      <c r="BJ164" s="2057">
        <f t="shared" si="55"/>
        <v>1.0008999999999999</v>
      </c>
      <c r="BK164" s="2057">
        <f t="shared" si="56"/>
        <v>1.004</v>
      </c>
      <c r="BL164" s="2057">
        <f t="shared" si="57"/>
        <v>1.0106999999999999</v>
      </c>
      <c r="BM164" s="2057">
        <f t="shared" si="58"/>
        <v>1.0161</v>
      </c>
      <c r="BN164" s="2061">
        <f t="shared" si="59"/>
        <v>1.0154000000000001</v>
      </c>
      <c r="BO164" s="2058">
        <f t="shared" si="60"/>
        <v>1.1505601801216834</v>
      </c>
    </row>
    <row r="165" spans="39:67" ht="17.399999999999999">
      <c r="AM165" s="2055">
        <v>2001</v>
      </c>
      <c r="AN165" s="784">
        <v>2.8</v>
      </c>
      <c r="AO165" s="784">
        <v>2.2999999999999998</v>
      </c>
      <c r="AP165" s="784">
        <v>1.9</v>
      </c>
      <c r="AQ165" s="784">
        <v>1.8</v>
      </c>
      <c r="AR165" s="784">
        <v>1.8</v>
      </c>
      <c r="AS165" s="784">
        <v>1.6</v>
      </c>
      <c r="AT165" s="784">
        <v>0.5</v>
      </c>
      <c r="AU165" s="784">
        <v>0</v>
      </c>
      <c r="AV165" s="784">
        <v>0.6</v>
      </c>
      <c r="AW165" s="784">
        <v>1.1000000000000001</v>
      </c>
      <c r="AX165" s="784">
        <v>1.4</v>
      </c>
      <c r="AY165" s="784">
        <v>1.6</v>
      </c>
      <c r="AZ165" s="2055">
        <v>18.8</v>
      </c>
      <c r="BB165" s="2065">
        <v>2001</v>
      </c>
      <c r="BC165" s="2057">
        <f t="shared" si="48"/>
        <v>1.028</v>
      </c>
      <c r="BD165" s="2057">
        <f t="shared" si="49"/>
        <v>1.0229999999999999</v>
      </c>
      <c r="BE165" s="2057">
        <f t="shared" si="50"/>
        <v>1.0189999999999999</v>
      </c>
      <c r="BF165" s="2057">
        <f t="shared" si="51"/>
        <v>1.018</v>
      </c>
      <c r="BG165" s="2057">
        <f t="shared" si="52"/>
        <v>1.018</v>
      </c>
      <c r="BH165" s="2057">
        <f t="shared" si="53"/>
        <v>1.016</v>
      </c>
      <c r="BI165" s="2057">
        <f t="shared" si="54"/>
        <v>1.0049999999999999</v>
      </c>
      <c r="BJ165" s="2057">
        <f t="shared" si="55"/>
        <v>1</v>
      </c>
      <c r="BK165" s="2057">
        <f t="shared" si="56"/>
        <v>1.006</v>
      </c>
      <c r="BL165" s="2057">
        <f t="shared" si="57"/>
        <v>1.0109999999999999</v>
      </c>
      <c r="BM165" s="2057">
        <f t="shared" si="58"/>
        <v>1.014</v>
      </c>
      <c r="BN165" s="2061">
        <f t="shared" si="59"/>
        <v>1.016</v>
      </c>
      <c r="BO165" s="2058">
        <f t="shared" si="60"/>
        <v>1.1881712985067243</v>
      </c>
    </row>
    <row r="166" spans="39:67" ht="17.399999999999999">
      <c r="AM166" s="2055">
        <v>2000</v>
      </c>
      <c r="AN166" s="784">
        <v>2.2999999999999998</v>
      </c>
      <c r="AO166" s="784">
        <v>1</v>
      </c>
      <c r="AP166" s="784">
        <v>0.6</v>
      </c>
      <c r="AQ166" s="784">
        <v>0.9</v>
      </c>
      <c r="AR166" s="784">
        <v>1.8</v>
      </c>
      <c r="AS166" s="784">
        <v>2.6</v>
      </c>
      <c r="AT166" s="784">
        <v>1.8</v>
      </c>
      <c r="AU166" s="784">
        <v>1</v>
      </c>
      <c r="AV166" s="784">
        <v>1.3</v>
      </c>
      <c r="AW166" s="784">
        <v>2.1</v>
      </c>
      <c r="AX166" s="784">
        <v>1.5</v>
      </c>
      <c r="AY166" s="784">
        <v>1.6</v>
      </c>
      <c r="AZ166" s="2055">
        <v>20.100000000000001</v>
      </c>
      <c r="BB166" s="2065">
        <v>2000</v>
      </c>
      <c r="BC166" s="2057">
        <f t="shared" si="48"/>
        <v>1.0229999999999999</v>
      </c>
      <c r="BD166" s="2057">
        <f t="shared" si="49"/>
        <v>1.01</v>
      </c>
      <c r="BE166" s="2057">
        <f t="shared" si="50"/>
        <v>1.006</v>
      </c>
      <c r="BF166" s="2057">
        <f t="shared" si="51"/>
        <v>1.0089999999999999</v>
      </c>
      <c r="BG166" s="2057">
        <f t="shared" si="52"/>
        <v>1.018</v>
      </c>
      <c r="BH166" s="2057">
        <f t="shared" si="53"/>
        <v>1.026</v>
      </c>
      <c r="BI166" s="2057">
        <f t="shared" si="54"/>
        <v>1.018</v>
      </c>
      <c r="BJ166" s="2057">
        <f t="shared" si="55"/>
        <v>1.01</v>
      </c>
      <c r="BK166" s="2057">
        <f t="shared" si="56"/>
        <v>1.0129999999999999</v>
      </c>
      <c r="BL166" s="2057">
        <f t="shared" si="57"/>
        <v>1.0209999999999999</v>
      </c>
      <c r="BM166" s="2057">
        <f t="shared" si="58"/>
        <v>1.0149999999999999</v>
      </c>
      <c r="BN166" s="2061">
        <f t="shared" si="59"/>
        <v>1.016</v>
      </c>
      <c r="BO166" s="2058">
        <f t="shared" si="60"/>
        <v>1.2012831423762991</v>
      </c>
    </row>
    <row r="167" spans="39:67" ht="17.399999999999999">
      <c r="AM167" s="2055">
        <v>1999</v>
      </c>
      <c r="AN167" s="784">
        <v>8.4</v>
      </c>
      <c r="AO167" s="784">
        <v>4.0999999999999996</v>
      </c>
      <c r="AP167" s="784">
        <v>2.8</v>
      </c>
      <c r="AQ167" s="784">
        <v>3</v>
      </c>
      <c r="AR167" s="784">
        <v>2.2000000000000002</v>
      </c>
      <c r="AS167" s="784">
        <v>1.9</v>
      </c>
      <c r="AT167" s="784">
        <v>2.8</v>
      </c>
      <c r="AU167" s="784">
        <v>1.2</v>
      </c>
      <c r="AV167" s="784">
        <v>1.5</v>
      </c>
      <c r="AW167" s="784">
        <v>1.4</v>
      </c>
      <c r="AX167" s="784">
        <v>1.2</v>
      </c>
      <c r="AY167" s="784">
        <v>1.3</v>
      </c>
      <c r="AZ167" s="2055">
        <v>36.6</v>
      </c>
      <c r="BB167" s="2065">
        <v>1999</v>
      </c>
      <c r="BC167" s="2057">
        <f t="shared" si="48"/>
        <v>1.0840000000000001</v>
      </c>
      <c r="BD167" s="2057">
        <f t="shared" si="49"/>
        <v>1.0409999999999999</v>
      </c>
      <c r="BE167" s="2057">
        <f t="shared" si="50"/>
        <v>1.028</v>
      </c>
      <c r="BF167" s="2057">
        <f t="shared" si="51"/>
        <v>1.03</v>
      </c>
      <c r="BG167" s="2057">
        <f t="shared" si="52"/>
        <v>1.022</v>
      </c>
      <c r="BH167" s="2057">
        <f t="shared" si="53"/>
        <v>1.0189999999999999</v>
      </c>
      <c r="BI167" s="2057">
        <f t="shared" si="54"/>
        <v>1.028</v>
      </c>
      <c r="BJ167" s="2057">
        <f t="shared" si="55"/>
        <v>1.012</v>
      </c>
      <c r="BK167" s="2057">
        <f t="shared" si="56"/>
        <v>1.0149999999999999</v>
      </c>
      <c r="BL167" s="2057">
        <f t="shared" si="57"/>
        <v>1.014</v>
      </c>
      <c r="BM167" s="2057">
        <f t="shared" si="58"/>
        <v>1.012</v>
      </c>
      <c r="BN167" s="2061">
        <f t="shared" si="59"/>
        <v>1.0129999999999999</v>
      </c>
      <c r="BO167" s="2058">
        <f t="shared" si="60"/>
        <v>1.3658500193730641</v>
      </c>
    </row>
    <row r="168" spans="39:67" ht="17.399999999999999">
      <c r="AM168" s="2055">
        <v>1998</v>
      </c>
      <c r="AN168" s="784">
        <v>1.5</v>
      </c>
      <c r="AO168" s="784">
        <v>0.9</v>
      </c>
      <c r="AP168" s="784">
        <v>0.6</v>
      </c>
      <c r="AQ168" s="784">
        <v>0.4</v>
      </c>
      <c r="AR168" s="784">
        <v>0.5</v>
      </c>
      <c r="AS168" s="784">
        <v>0.1</v>
      </c>
      <c r="AT168" s="784">
        <v>0.2</v>
      </c>
      <c r="AU168" s="784">
        <v>3.7</v>
      </c>
      <c r="AV168" s="784">
        <v>38.4</v>
      </c>
      <c r="AW168" s="784">
        <v>4.5</v>
      </c>
      <c r="AX168" s="784">
        <v>5.7</v>
      </c>
      <c r="AY168" s="784">
        <v>11.6</v>
      </c>
      <c r="AZ168" s="2055">
        <v>84.5</v>
      </c>
      <c r="BB168" s="2065">
        <v>1998</v>
      </c>
      <c r="BC168" s="2057">
        <f t="shared" si="48"/>
        <v>1.0149999999999999</v>
      </c>
      <c r="BD168" s="2057">
        <f t="shared" si="49"/>
        <v>1.0089999999999999</v>
      </c>
      <c r="BE168" s="2057">
        <f t="shared" si="50"/>
        <v>1.006</v>
      </c>
      <c r="BF168" s="2057">
        <f t="shared" si="51"/>
        <v>1.004</v>
      </c>
      <c r="BG168" s="2057">
        <f t="shared" si="52"/>
        <v>1.0049999999999999</v>
      </c>
      <c r="BH168" s="2057">
        <f t="shared" si="53"/>
        <v>1.0009999999999999</v>
      </c>
      <c r="BI168" s="2057">
        <f t="shared" si="54"/>
        <v>1.002</v>
      </c>
      <c r="BJ168" s="2057">
        <f t="shared" si="55"/>
        <v>1.0369999999999999</v>
      </c>
      <c r="BK168" s="2057">
        <f t="shared" si="56"/>
        <v>1.3839999999999999</v>
      </c>
      <c r="BL168" s="2057">
        <f t="shared" si="57"/>
        <v>1.0449999999999999</v>
      </c>
      <c r="BM168" s="2057">
        <f t="shared" si="58"/>
        <v>1.0569999999999999</v>
      </c>
      <c r="BN168" s="2061">
        <f t="shared" si="59"/>
        <v>1.1160000000000001</v>
      </c>
      <c r="BO168" s="2058">
        <f t="shared" si="60"/>
        <v>1.844705665784435</v>
      </c>
    </row>
    <row r="169" spans="39:67" ht="17.399999999999999">
      <c r="AM169" s="2055">
        <v>1997</v>
      </c>
      <c r="AN169" s="784">
        <v>2.2999999999999998</v>
      </c>
      <c r="AO169" s="784">
        <v>1.5</v>
      </c>
      <c r="AP169" s="784">
        <v>1.4</v>
      </c>
      <c r="AQ169" s="784">
        <v>1</v>
      </c>
      <c r="AR169" s="784">
        <v>0.9</v>
      </c>
      <c r="AS169" s="784">
        <v>1.1000000000000001</v>
      </c>
      <c r="AT169" s="784">
        <v>0.9</v>
      </c>
      <c r="AU169" s="784">
        <v>-0.1</v>
      </c>
      <c r="AV169" s="784">
        <v>-0.3</v>
      </c>
      <c r="AW169" s="784">
        <v>0.2</v>
      </c>
      <c r="AX169" s="784">
        <v>0.6</v>
      </c>
      <c r="AY169" s="784">
        <v>1</v>
      </c>
      <c r="AZ169" s="2055">
        <v>11</v>
      </c>
      <c r="BB169" s="2065">
        <v>1997</v>
      </c>
      <c r="BC169" s="2057">
        <f t="shared" si="48"/>
        <v>1.0229999999999999</v>
      </c>
      <c r="BD169" s="2057">
        <f t="shared" si="49"/>
        <v>1.0149999999999999</v>
      </c>
      <c r="BE169" s="2057">
        <f t="shared" si="50"/>
        <v>1.014</v>
      </c>
      <c r="BF169" s="2057">
        <f t="shared" si="51"/>
        <v>1.01</v>
      </c>
      <c r="BG169" s="2057">
        <f t="shared" si="52"/>
        <v>1.0089999999999999</v>
      </c>
      <c r="BH169" s="2057">
        <f t="shared" si="53"/>
        <v>1.0109999999999999</v>
      </c>
      <c r="BI169" s="2057">
        <f t="shared" si="54"/>
        <v>1.0089999999999999</v>
      </c>
      <c r="BJ169" s="2057">
        <f t="shared" si="55"/>
        <v>0.999</v>
      </c>
      <c r="BK169" s="2057">
        <f t="shared" si="56"/>
        <v>0.997</v>
      </c>
      <c r="BL169" s="2057">
        <f t="shared" si="57"/>
        <v>1.002</v>
      </c>
      <c r="BM169" s="2057">
        <f t="shared" si="58"/>
        <v>1.006</v>
      </c>
      <c r="BN169" s="2061">
        <f t="shared" si="59"/>
        <v>1.01</v>
      </c>
      <c r="BO169" s="2058">
        <f t="shared" si="60"/>
        <v>1.1098958189373116</v>
      </c>
    </row>
    <row r="170" spans="39:67" ht="17.399999999999999">
      <c r="AM170" s="2055">
        <v>1996</v>
      </c>
      <c r="AN170" s="784">
        <v>4.0999999999999996</v>
      </c>
      <c r="AO170" s="784">
        <v>2.8</v>
      </c>
      <c r="AP170" s="784">
        <v>2.8</v>
      </c>
      <c r="AQ170" s="784">
        <v>2.2000000000000002</v>
      </c>
      <c r="AR170" s="784">
        <v>1.6</v>
      </c>
      <c r="AS170" s="784">
        <v>1.2</v>
      </c>
      <c r="AT170" s="784">
        <v>0.7</v>
      </c>
      <c r="AU170" s="784">
        <v>-0.2</v>
      </c>
      <c r="AV170" s="784">
        <v>0.3</v>
      </c>
      <c r="AW170" s="784">
        <v>1.2</v>
      </c>
      <c r="AX170" s="784">
        <v>1.9</v>
      </c>
      <c r="AY170" s="784">
        <v>1.4</v>
      </c>
      <c r="AZ170" s="2055">
        <v>21.8</v>
      </c>
      <c r="BB170" s="2065">
        <v>1996</v>
      </c>
      <c r="BC170" s="2057">
        <f t="shared" si="48"/>
        <v>1.0409999999999999</v>
      </c>
      <c r="BD170" s="2057">
        <f t="shared" si="49"/>
        <v>1.028</v>
      </c>
      <c r="BE170" s="2057">
        <f t="shared" si="50"/>
        <v>1.028</v>
      </c>
      <c r="BF170" s="2057">
        <f t="shared" si="51"/>
        <v>1.022</v>
      </c>
      <c r="BG170" s="2057">
        <f t="shared" si="52"/>
        <v>1.016</v>
      </c>
      <c r="BH170" s="2057">
        <f t="shared" si="53"/>
        <v>1.012</v>
      </c>
      <c r="BI170" s="2057">
        <f t="shared" si="54"/>
        <v>1.0069999999999999</v>
      </c>
      <c r="BJ170" s="2057">
        <f t="shared" si="55"/>
        <v>0.998</v>
      </c>
      <c r="BK170" s="2057">
        <f t="shared" si="56"/>
        <v>1.0029999999999999</v>
      </c>
      <c r="BL170" s="2057">
        <f t="shared" si="57"/>
        <v>1.012</v>
      </c>
      <c r="BM170" s="2057">
        <f t="shared" si="58"/>
        <v>1.0189999999999999</v>
      </c>
      <c r="BN170" s="2061">
        <f t="shared" si="59"/>
        <v>1.014</v>
      </c>
      <c r="BO170" s="2058">
        <f t="shared" si="60"/>
        <v>1.218472330298302</v>
      </c>
    </row>
    <row r="171" spans="39:67" ht="17.399999999999999">
      <c r="AM171" s="2055">
        <v>1995</v>
      </c>
      <c r="AN171" s="784">
        <v>17.8</v>
      </c>
      <c r="AO171" s="784">
        <v>11</v>
      </c>
      <c r="AP171" s="784">
        <v>8.9</v>
      </c>
      <c r="AQ171" s="784">
        <v>8.5</v>
      </c>
      <c r="AR171" s="784">
        <v>7.9</v>
      </c>
      <c r="AS171" s="784">
        <v>6.7</v>
      </c>
      <c r="AT171" s="784">
        <v>5.4</v>
      </c>
      <c r="AU171" s="784">
        <v>4.5999999999999996</v>
      </c>
      <c r="AV171" s="784">
        <v>4.5</v>
      </c>
      <c r="AW171" s="784">
        <v>4.7</v>
      </c>
      <c r="AX171" s="784">
        <v>4.5999999999999996</v>
      </c>
      <c r="AY171" s="784">
        <v>3.2</v>
      </c>
      <c r="AZ171" s="2055">
        <v>131.6</v>
      </c>
      <c r="BB171" s="2065">
        <v>1995</v>
      </c>
      <c r="BC171" s="2057">
        <f t="shared" si="48"/>
        <v>1.1779999999999999</v>
      </c>
      <c r="BD171" s="2057">
        <f t="shared" si="49"/>
        <v>1.1100000000000001</v>
      </c>
      <c r="BE171" s="2057">
        <f t="shared" si="50"/>
        <v>1.089</v>
      </c>
      <c r="BF171" s="2057">
        <f t="shared" si="51"/>
        <v>1.085</v>
      </c>
      <c r="BG171" s="2057">
        <f t="shared" si="52"/>
        <v>1.079</v>
      </c>
      <c r="BH171" s="2057">
        <f t="shared" si="53"/>
        <v>1.0669999999999999</v>
      </c>
      <c r="BI171" s="2057">
        <f t="shared" si="54"/>
        <v>1.054</v>
      </c>
      <c r="BJ171" s="2057">
        <f t="shared" si="55"/>
        <v>1.046</v>
      </c>
      <c r="BK171" s="2057">
        <f t="shared" si="56"/>
        <v>1.0449999999999999</v>
      </c>
      <c r="BL171" s="2057">
        <f t="shared" si="57"/>
        <v>1.0469999999999999</v>
      </c>
      <c r="BM171" s="2057">
        <f t="shared" si="58"/>
        <v>1.046</v>
      </c>
      <c r="BN171" s="2061">
        <f t="shared" si="59"/>
        <v>1.032</v>
      </c>
      <c r="BO171" s="2058">
        <f t="shared" si="60"/>
        <v>2.3161058347036474</v>
      </c>
    </row>
    <row r="172" spans="39:67" ht="17.399999999999999">
      <c r="AM172" s="2055">
        <v>1994</v>
      </c>
      <c r="AN172" s="784">
        <v>17.899999999999999</v>
      </c>
      <c r="AO172" s="784">
        <v>10.8</v>
      </c>
      <c r="AP172" s="784">
        <v>7.4</v>
      </c>
      <c r="AQ172" s="784">
        <v>8.5</v>
      </c>
      <c r="AR172" s="784">
        <v>6.9</v>
      </c>
      <c r="AS172" s="784">
        <v>6</v>
      </c>
      <c r="AT172" s="784">
        <v>5.3</v>
      </c>
      <c r="AU172" s="784">
        <v>4.5999999999999996</v>
      </c>
      <c r="AV172" s="784">
        <v>8</v>
      </c>
      <c r="AW172" s="784">
        <v>15</v>
      </c>
      <c r="AX172" s="784">
        <v>14.6</v>
      </c>
      <c r="AY172" s="784">
        <v>16.399999999999999</v>
      </c>
      <c r="AZ172" s="2055">
        <v>214.8</v>
      </c>
      <c r="BB172" s="2065">
        <v>1994</v>
      </c>
      <c r="BC172" s="2057">
        <f t="shared" si="48"/>
        <v>1.179</v>
      </c>
      <c r="BD172" s="2057">
        <f t="shared" si="49"/>
        <v>1.1080000000000001</v>
      </c>
      <c r="BE172" s="2057">
        <f t="shared" si="50"/>
        <v>1.0740000000000001</v>
      </c>
      <c r="BF172" s="2057">
        <f t="shared" si="51"/>
        <v>1.085</v>
      </c>
      <c r="BG172" s="2057">
        <f t="shared" si="52"/>
        <v>1.069</v>
      </c>
      <c r="BH172" s="2057">
        <f t="shared" si="53"/>
        <v>1.06</v>
      </c>
      <c r="BI172" s="2057">
        <f t="shared" si="54"/>
        <v>1.0529999999999999</v>
      </c>
      <c r="BJ172" s="2057">
        <f t="shared" si="55"/>
        <v>1.046</v>
      </c>
      <c r="BK172" s="2057">
        <f t="shared" si="56"/>
        <v>1.08</v>
      </c>
      <c r="BL172" s="2057">
        <f t="shared" si="57"/>
        <v>1.1499999999999999</v>
      </c>
      <c r="BM172" s="2057">
        <f t="shared" si="58"/>
        <v>1.1459999999999999</v>
      </c>
      <c r="BN172" s="2061">
        <f t="shared" si="59"/>
        <v>1.1639999999999999</v>
      </c>
      <c r="BO172" s="2058">
        <f t="shared" si="60"/>
        <v>3.1476787707938612</v>
      </c>
    </row>
    <row r="173" spans="39:67" ht="17.399999999999999">
      <c r="AM173" s="2055">
        <v>1993</v>
      </c>
      <c r="AN173" s="784">
        <v>25.8</v>
      </c>
      <c r="AO173" s="784">
        <v>24.7</v>
      </c>
      <c r="AP173" s="784">
        <v>20.100000000000001</v>
      </c>
      <c r="AQ173" s="784">
        <v>18.7</v>
      </c>
      <c r="AR173" s="784">
        <v>18.100000000000001</v>
      </c>
      <c r="AS173" s="784">
        <v>19.899999999999999</v>
      </c>
      <c r="AT173" s="784">
        <v>22.4</v>
      </c>
      <c r="AU173" s="784">
        <v>26</v>
      </c>
      <c r="AV173" s="784">
        <v>23</v>
      </c>
      <c r="AW173" s="784">
        <v>19.5</v>
      </c>
      <c r="AX173" s="784">
        <v>16.399999999999999</v>
      </c>
      <c r="AY173" s="784">
        <v>12.5</v>
      </c>
      <c r="AZ173" s="2055">
        <v>840</v>
      </c>
      <c r="BB173" s="2065">
        <v>1993</v>
      </c>
      <c r="BC173" s="2057">
        <f t="shared" si="48"/>
        <v>1.258</v>
      </c>
      <c r="BD173" s="2057">
        <f t="shared" si="49"/>
        <v>1.2469999999999999</v>
      </c>
      <c r="BE173" s="2057">
        <f t="shared" si="50"/>
        <v>1.2010000000000001</v>
      </c>
      <c r="BF173" s="2057">
        <f t="shared" si="51"/>
        <v>1.1870000000000001</v>
      </c>
      <c r="BG173" s="2057">
        <f t="shared" si="52"/>
        <v>1.181</v>
      </c>
      <c r="BH173" s="2057">
        <f t="shared" si="53"/>
        <v>1.1990000000000001</v>
      </c>
      <c r="BI173" s="2057">
        <f t="shared" si="54"/>
        <v>1.224</v>
      </c>
      <c r="BJ173" s="2057">
        <f t="shared" si="55"/>
        <v>1.26</v>
      </c>
      <c r="BK173" s="2057">
        <f t="shared" si="56"/>
        <v>1.23</v>
      </c>
      <c r="BL173" s="2057">
        <f t="shared" si="57"/>
        <v>1.1950000000000001</v>
      </c>
      <c r="BM173" s="2057">
        <f t="shared" si="58"/>
        <v>1.1639999999999999</v>
      </c>
      <c r="BN173" s="2061">
        <f t="shared" si="59"/>
        <v>1.125</v>
      </c>
      <c r="BO173" s="2058">
        <f t="shared" si="60"/>
        <v>9.4002712171599558</v>
      </c>
    </row>
    <row r="174" spans="39:67" ht="17.399999999999999">
      <c r="AM174" s="2055">
        <v>1992</v>
      </c>
      <c r="AN174" s="784">
        <v>245.3</v>
      </c>
      <c r="AO174" s="784">
        <v>38</v>
      </c>
      <c r="AP174" s="784">
        <v>29.9</v>
      </c>
      <c r="AQ174" s="784">
        <v>21.7</v>
      </c>
      <c r="AR174" s="784">
        <v>11.9</v>
      </c>
      <c r="AS174" s="784">
        <v>19.100000000000001</v>
      </c>
      <c r="AT174" s="784">
        <v>10.6</v>
      </c>
      <c r="AU174" s="784">
        <v>8.6</v>
      </c>
      <c r="AV174" s="784">
        <v>11.5</v>
      </c>
      <c r="AW174" s="784">
        <v>22.9</v>
      </c>
      <c r="AX174" s="784">
        <v>26.1</v>
      </c>
      <c r="AY174" s="784">
        <v>25.2</v>
      </c>
      <c r="AZ174" s="2055">
        <v>2508.8000000000002</v>
      </c>
      <c r="BB174" s="2065">
        <v>1992</v>
      </c>
      <c r="BC174" s="2057">
        <f t="shared" si="48"/>
        <v>3.4530000000000003</v>
      </c>
      <c r="BD174" s="2057">
        <f t="shared" si="49"/>
        <v>1.38</v>
      </c>
      <c r="BE174" s="2057">
        <f t="shared" si="50"/>
        <v>1.2989999999999999</v>
      </c>
      <c r="BF174" s="2057">
        <f t="shared" si="51"/>
        <v>1.2170000000000001</v>
      </c>
      <c r="BG174" s="2057">
        <f t="shared" si="52"/>
        <v>1.119</v>
      </c>
      <c r="BH174" s="2057">
        <f t="shared" si="53"/>
        <v>1.1910000000000001</v>
      </c>
      <c r="BI174" s="2057">
        <f t="shared" si="54"/>
        <v>1.1060000000000001</v>
      </c>
      <c r="BJ174" s="2057">
        <f t="shared" si="55"/>
        <v>1.0860000000000001</v>
      </c>
      <c r="BK174" s="2057">
        <f t="shared" si="56"/>
        <v>1.115</v>
      </c>
      <c r="BL174" s="2057">
        <f t="shared" si="57"/>
        <v>1.2290000000000001</v>
      </c>
      <c r="BM174" s="2057">
        <f t="shared" si="58"/>
        <v>1.2610000000000001</v>
      </c>
      <c r="BN174" s="2061">
        <f t="shared" si="59"/>
        <v>1.252</v>
      </c>
      <c r="BO174" s="2058">
        <f t="shared" si="60"/>
        <v>26.088454985348069</v>
      </c>
    </row>
    <row r="175" spans="39:67" ht="18" thickBot="1">
      <c r="AM175" s="2056">
        <v>1991</v>
      </c>
      <c r="AN175" s="784">
        <v>6.2</v>
      </c>
      <c r="AO175" s="784">
        <v>4.8</v>
      </c>
      <c r="AP175" s="784">
        <v>6.3</v>
      </c>
      <c r="AQ175" s="784">
        <v>63.5</v>
      </c>
      <c r="AR175" s="784">
        <v>3</v>
      </c>
      <c r="AS175" s="784">
        <v>1.2</v>
      </c>
      <c r="AT175" s="784">
        <v>0.6</v>
      </c>
      <c r="AU175" s="784">
        <v>0.5</v>
      </c>
      <c r="AV175" s="784">
        <v>1.1000000000000001</v>
      </c>
      <c r="AW175" s="784">
        <v>3.5</v>
      </c>
      <c r="AX175" s="784">
        <v>8.9</v>
      </c>
      <c r="AY175" s="784">
        <v>12.1</v>
      </c>
      <c r="AZ175" s="2056">
        <v>160.4</v>
      </c>
      <c r="BB175" s="2066">
        <v>1991</v>
      </c>
      <c r="BC175" s="2062">
        <f t="shared" si="48"/>
        <v>1.0620000000000001</v>
      </c>
      <c r="BD175" s="2062">
        <f t="shared" si="49"/>
        <v>1.048</v>
      </c>
      <c r="BE175" s="2062">
        <f t="shared" si="50"/>
        <v>1.0629999999999999</v>
      </c>
      <c r="BF175" s="2062">
        <f t="shared" si="51"/>
        <v>1.635</v>
      </c>
      <c r="BG175" s="2062">
        <f t="shared" si="52"/>
        <v>1.03</v>
      </c>
      <c r="BH175" s="2062">
        <f t="shared" si="53"/>
        <v>1.012</v>
      </c>
      <c r="BI175" s="2062">
        <f t="shared" si="54"/>
        <v>1.006</v>
      </c>
      <c r="BJ175" s="2062">
        <f t="shared" si="55"/>
        <v>1.0049999999999999</v>
      </c>
      <c r="BK175" s="2062">
        <f t="shared" si="56"/>
        <v>1.0109999999999999</v>
      </c>
      <c r="BL175" s="2062">
        <f t="shared" si="57"/>
        <v>1.0349999999999999</v>
      </c>
      <c r="BM175" s="2062">
        <f t="shared" si="58"/>
        <v>1.089</v>
      </c>
      <c r="BN175" s="2063">
        <f t="shared" si="59"/>
        <v>1.121</v>
      </c>
      <c r="BO175" s="2067">
        <f t="shared" si="60"/>
        <v>2.6040157000143935</v>
      </c>
    </row>
    <row r="176" spans="39:67" ht="17.399999999999999">
      <c r="AR176" s="614"/>
      <c r="AS176" s="614"/>
      <c r="AT176" s="614"/>
      <c r="AU176" s="614"/>
      <c r="AV176" s="614"/>
      <c r="AW176" s="614"/>
      <c r="AX176" s="614"/>
      <c r="AY176" s="614"/>
      <c r="AZ176" s="614"/>
      <c r="BA176" s="614"/>
    </row>
    <row r="177" spans="39:53" ht="17.399999999999999">
      <c r="AM177" s="614" t="s">
        <v>1809</v>
      </c>
      <c r="AN177" s="614"/>
      <c r="AO177" s="614"/>
      <c r="AP177" s="614"/>
      <c r="AQ177" s="614"/>
      <c r="AR177" s="614"/>
      <c r="AS177" s="614"/>
      <c r="AT177" s="614"/>
      <c r="AU177" s="614"/>
      <c r="AV177" s="614"/>
      <c r="AW177" s="614"/>
      <c r="AX177" s="614"/>
      <c r="AY177" s="614"/>
      <c r="AZ177" s="614"/>
      <c r="BA177" s="614"/>
    </row>
    <row r="178" spans="39:53" ht="17.399999999999999">
      <c r="AM178" s="614" t="s">
        <v>1810</v>
      </c>
      <c r="AN178" s="614"/>
      <c r="AO178" s="614"/>
      <c r="AP178" s="614"/>
      <c r="AQ178" s="614"/>
      <c r="AR178" s="614"/>
      <c r="AS178" s="614"/>
      <c r="AT178" s="614"/>
      <c r="AU178" s="614"/>
      <c r="AV178" s="614"/>
      <c r="AW178" s="614"/>
      <c r="AX178" s="614"/>
      <c r="AY178" s="614"/>
      <c r="AZ178" s="614"/>
      <c r="BA178" s="614"/>
    </row>
    <row r="179" spans="39:53" ht="17.399999999999999">
      <c r="AM179" s="614" t="s">
        <v>1811</v>
      </c>
      <c r="AN179" s="614"/>
      <c r="AO179" s="614"/>
      <c r="AP179" s="614"/>
      <c r="AQ179" s="614"/>
      <c r="AR179" s="614"/>
      <c r="AS179" s="614"/>
      <c r="AT179" s="614"/>
      <c r="AU179" s="614"/>
      <c r="AV179" s="614"/>
      <c r="AW179" s="614"/>
      <c r="AX179" s="614"/>
      <c r="AY179" s="614"/>
      <c r="AZ179" s="614"/>
      <c r="BA179" s="614"/>
    </row>
    <row r="180" spans="39:53" ht="17.399999999999999">
      <c r="AM180" s="614" t="s">
        <v>1812</v>
      </c>
      <c r="AN180" s="614"/>
      <c r="AO180" s="614"/>
      <c r="AP180" s="614"/>
      <c r="AQ180" s="614"/>
      <c r="AR180" s="614"/>
      <c r="AS180" s="614"/>
      <c r="AT180" s="614"/>
      <c r="AU180" s="614"/>
      <c r="AV180" s="614"/>
      <c r="AW180" s="614"/>
      <c r="AX180" s="614"/>
      <c r="AY180" s="614"/>
      <c r="AZ180" s="614"/>
      <c r="BA180" s="614"/>
    </row>
    <row r="181" spans="39:53" ht="17.399999999999999">
      <c r="AM181" s="614" t="s">
        <v>1813</v>
      </c>
      <c r="AN181" s="614"/>
      <c r="AO181" s="614"/>
      <c r="AP181" s="614"/>
      <c r="AQ181" s="614"/>
      <c r="AR181" s="614"/>
      <c r="AS181" s="614"/>
      <c r="AT181" s="614"/>
      <c r="AU181" s="614"/>
      <c r="AV181" s="614"/>
      <c r="AW181" s="614"/>
      <c r="AX181" s="614"/>
      <c r="AY181" s="614"/>
      <c r="AZ181" s="614"/>
      <c r="BA181" s="614"/>
    </row>
    <row r="182" spans="39:53" ht="17.399999999999999">
      <c r="AM182" s="614"/>
      <c r="AN182" s="614"/>
      <c r="AO182" s="614"/>
      <c r="AP182" s="614"/>
      <c r="AQ182" s="614"/>
      <c r="AR182" s="614"/>
      <c r="AS182" s="614"/>
      <c r="AT182" s="614"/>
      <c r="AU182" s="614"/>
      <c r="AV182" s="614"/>
      <c r="AW182" s="614"/>
      <c r="AX182" s="614"/>
      <c r="AY182" s="614"/>
      <c r="AZ182" s="614"/>
      <c r="BA182" s="614"/>
    </row>
    <row r="183" spans="39:53" ht="17.399999999999999">
      <c r="AM183" s="614"/>
      <c r="AN183" s="614"/>
      <c r="AO183" s="614"/>
      <c r="AP183" s="614"/>
      <c r="AQ183" s="614"/>
      <c r="AR183" s="614"/>
      <c r="AS183" s="614"/>
      <c r="AT183" s="614"/>
      <c r="AU183" s="614"/>
      <c r="AV183" s="614"/>
      <c r="AW183" s="614"/>
      <c r="AX183" s="614"/>
      <c r="AY183" s="614"/>
      <c r="AZ183" s="614"/>
      <c r="BA183" s="614"/>
    </row>
  </sheetData>
  <phoneticPr fontId="46" type="noConversion"/>
  <hyperlinks>
    <hyperlink ref="C120" r:id="rId1" display="http://www.gks.ru/wps/wcm/connect/rosstat_main/rosstat/ru/statistics/population/level/" xr:uid="{00000000-0004-0000-0700-000000000000}"/>
  </hyperlinks>
  <pageMargins left="0.70866141732283472" right="0.70866141732283472" top="0.74803149606299213" bottom="0.74803149606299213" header="0.31496062992125984" footer="0.31496062992125984"/>
  <pageSetup paperSize="9" scale="80" orientation="landscape" r:id="rId2"/>
  <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B4:FL223"/>
  <sheetViews>
    <sheetView topLeftCell="DO22" zoomScale="40" zoomScaleNormal="40" workbookViewId="0">
      <selection activeCell="AD25" sqref="AD25:AR61"/>
    </sheetView>
  </sheetViews>
  <sheetFormatPr defaultRowHeight="14.4"/>
  <cols>
    <col min="4" max="7" width="9.33203125" bestFit="1" customWidth="1"/>
    <col min="9" max="9" width="9.88671875" bestFit="1" customWidth="1"/>
    <col min="10" max="10" width="9.33203125" bestFit="1" customWidth="1"/>
    <col min="11" max="11" width="9.88671875" bestFit="1" customWidth="1"/>
    <col min="12" max="12" width="11" bestFit="1" customWidth="1"/>
    <col min="13" max="14" width="9.44140625" bestFit="1" customWidth="1"/>
    <col min="15" max="15" width="11.6640625" bestFit="1" customWidth="1"/>
    <col min="16" max="16" width="9.33203125" bestFit="1" customWidth="1"/>
    <col min="17" max="17" width="9.44140625" bestFit="1" customWidth="1"/>
    <col min="18" max="18" width="11.109375" bestFit="1" customWidth="1"/>
    <col min="19" max="19" width="9.44140625" bestFit="1" customWidth="1"/>
    <col min="20" max="21" width="9.5546875" bestFit="1" customWidth="1"/>
    <col min="22" max="22" width="9.44140625" bestFit="1" customWidth="1"/>
    <col min="23" max="24" width="9.88671875" bestFit="1" customWidth="1"/>
    <col min="25" max="25" width="10.33203125" bestFit="1" customWidth="1"/>
    <col min="26" max="26" width="10.88671875" bestFit="1" customWidth="1"/>
    <col min="27" max="28" width="9.44140625" bestFit="1" customWidth="1"/>
    <col min="29" max="29" width="9.33203125" bestFit="1" customWidth="1"/>
    <col min="30" max="30" width="10.6640625" bestFit="1" customWidth="1"/>
    <col min="52" max="52" width="9.44140625" bestFit="1" customWidth="1"/>
    <col min="53" max="53" width="11.6640625" bestFit="1" customWidth="1"/>
    <col min="54" max="54" width="10.33203125" customWidth="1"/>
    <col min="55" max="56" width="10.44140625" customWidth="1"/>
    <col min="57" max="57" width="10.6640625" bestFit="1" customWidth="1"/>
    <col min="69" max="69" width="10.6640625" customWidth="1"/>
    <col min="70" max="70" width="11" customWidth="1"/>
    <col min="71" max="71" width="9.33203125" bestFit="1" customWidth="1"/>
    <col min="72" max="72" width="8.6640625" customWidth="1"/>
    <col min="73" max="73" width="11" customWidth="1"/>
    <col min="74" max="74" width="9.88671875" bestFit="1" customWidth="1"/>
    <col min="75" max="75" width="10.44140625" customWidth="1"/>
    <col min="79" max="79" width="7.88671875" customWidth="1"/>
    <col min="86" max="86" width="8.6640625" customWidth="1"/>
    <col min="87" max="87" width="9.44140625" customWidth="1"/>
    <col min="89" max="89" width="10" bestFit="1" customWidth="1"/>
    <col min="92" max="92" width="10.44140625" customWidth="1"/>
    <col min="93" max="93" width="11.44140625" customWidth="1"/>
    <col min="94" max="94" width="10.6640625" customWidth="1"/>
    <col min="95" max="96" width="10.5546875" customWidth="1"/>
    <col min="114" max="114" width="11" customWidth="1"/>
    <col min="115" max="115" width="10.44140625" customWidth="1"/>
    <col min="116" max="116" width="11.33203125" customWidth="1"/>
    <col min="117" max="117" width="10.6640625" customWidth="1"/>
    <col min="134" max="134" width="9.88671875" bestFit="1" customWidth="1"/>
    <col min="135" max="135" width="9.88671875" customWidth="1"/>
    <col min="136" max="137" width="9.6640625" customWidth="1"/>
    <col min="138" max="138" width="9.88671875" customWidth="1"/>
    <col min="139" max="139" width="9.88671875" bestFit="1" customWidth="1"/>
    <col min="156" max="156" width="10" bestFit="1" customWidth="1"/>
    <col min="165" max="165" width="9.88671875" customWidth="1"/>
  </cols>
  <sheetData>
    <row r="4" spans="3:23">
      <c r="C4" s="2" t="s">
        <v>135</v>
      </c>
      <c r="D4" s="2"/>
      <c r="E4" s="2"/>
      <c r="F4" s="2"/>
      <c r="G4" s="2"/>
      <c r="H4" s="2"/>
      <c r="J4" s="2" t="s">
        <v>141</v>
      </c>
      <c r="K4" s="2"/>
      <c r="L4" s="2"/>
      <c r="M4" s="2"/>
      <c r="N4" s="2"/>
      <c r="O4" s="2"/>
      <c r="Q4" s="2" t="s">
        <v>147</v>
      </c>
      <c r="R4" s="2"/>
      <c r="S4" s="2"/>
      <c r="T4" s="2"/>
      <c r="U4" s="2"/>
      <c r="V4" s="2"/>
      <c r="W4" s="2"/>
    </row>
    <row r="5" spans="3:23">
      <c r="C5" s="2" t="s">
        <v>136</v>
      </c>
      <c r="D5" s="2"/>
      <c r="E5" s="2"/>
      <c r="F5" s="2"/>
      <c r="G5" s="2"/>
      <c r="H5" s="2"/>
      <c r="Q5" s="2" t="s">
        <v>148</v>
      </c>
      <c r="R5" s="2"/>
      <c r="S5" s="2"/>
      <c r="T5" s="2"/>
      <c r="U5" s="2"/>
      <c r="V5" s="2"/>
      <c r="W5" s="2"/>
    </row>
    <row r="6" spans="3:23">
      <c r="C6" t="s">
        <v>137</v>
      </c>
      <c r="D6" t="s">
        <v>138</v>
      </c>
      <c r="J6" t="s">
        <v>137</v>
      </c>
      <c r="K6" t="s">
        <v>138</v>
      </c>
      <c r="L6" t="s">
        <v>142</v>
      </c>
      <c r="M6" t="s">
        <v>143</v>
      </c>
      <c r="S6" t="s">
        <v>137</v>
      </c>
      <c r="T6" t="s">
        <v>149</v>
      </c>
      <c r="U6" t="s">
        <v>150</v>
      </c>
    </row>
    <row r="7" spans="3:23">
      <c r="D7" t="s">
        <v>139</v>
      </c>
      <c r="F7" t="s">
        <v>46</v>
      </c>
      <c r="K7" t="s">
        <v>144</v>
      </c>
      <c r="L7" t="s">
        <v>145</v>
      </c>
      <c r="M7" t="s">
        <v>146</v>
      </c>
      <c r="T7" t="s">
        <v>151</v>
      </c>
    </row>
    <row r="8" spans="3:23">
      <c r="C8" s="2">
        <v>1990</v>
      </c>
      <c r="D8">
        <v>1927</v>
      </c>
      <c r="F8">
        <f>D8/1000</f>
        <v>1.927</v>
      </c>
      <c r="J8" s="2">
        <v>1990</v>
      </c>
      <c r="K8">
        <v>136</v>
      </c>
      <c r="L8">
        <v>96.9</v>
      </c>
      <c r="M8">
        <v>100</v>
      </c>
      <c r="S8" s="2">
        <v>1990</v>
      </c>
      <c r="T8">
        <v>104.2</v>
      </c>
      <c r="U8">
        <v>100</v>
      </c>
    </row>
    <row r="9" spans="3:23">
      <c r="C9" s="2">
        <v>1991</v>
      </c>
      <c r="D9">
        <v>2061</v>
      </c>
      <c r="F9">
        <f t="shared" ref="F9:F27" si="0">D9/1000</f>
        <v>2.0609999999999999</v>
      </c>
      <c r="J9" s="2">
        <v>1991</v>
      </c>
      <c r="K9">
        <v>176</v>
      </c>
      <c r="L9">
        <v>89.2</v>
      </c>
      <c r="M9">
        <v>89.2</v>
      </c>
      <c r="S9" s="2">
        <v>1991</v>
      </c>
      <c r="T9">
        <v>103.5</v>
      </c>
      <c r="U9">
        <v>103.5</v>
      </c>
    </row>
    <row r="10" spans="3:23">
      <c r="C10" s="2">
        <v>1992</v>
      </c>
      <c r="D10">
        <v>43215</v>
      </c>
      <c r="F10">
        <f t="shared" si="0"/>
        <v>43.215000000000003</v>
      </c>
      <c r="J10" s="2">
        <v>1992</v>
      </c>
      <c r="K10">
        <v>2005</v>
      </c>
      <c r="L10">
        <v>67.2</v>
      </c>
      <c r="M10">
        <v>60</v>
      </c>
      <c r="S10" s="2">
        <v>1992</v>
      </c>
      <c r="T10">
        <v>102</v>
      </c>
      <c r="U10">
        <v>105.6</v>
      </c>
    </row>
    <row r="11" spans="3:23">
      <c r="C11" s="2">
        <v>1993</v>
      </c>
      <c r="D11">
        <v>63861</v>
      </c>
      <c r="F11">
        <f t="shared" si="0"/>
        <v>63.860999999999997</v>
      </c>
      <c r="J11" s="2">
        <v>1993</v>
      </c>
      <c r="K11">
        <v>15093</v>
      </c>
      <c r="L11">
        <v>70</v>
      </c>
      <c r="M11">
        <v>42</v>
      </c>
      <c r="S11" s="2">
        <v>1993</v>
      </c>
      <c r="T11">
        <v>100.6</v>
      </c>
      <c r="U11">
        <v>106.2</v>
      </c>
    </row>
    <row r="12" spans="3:23">
      <c r="C12" s="2">
        <v>1994</v>
      </c>
      <c r="D12">
        <v>1221494</v>
      </c>
      <c r="F12">
        <f t="shared" si="0"/>
        <v>1221.4939999999999</v>
      </c>
      <c r="J12" s="2">
        <v>1994</v>
      </c>
      <c r="K12">
        <v>72350</v>
      </c>
      <c r="L12">
        <v>81.8</v>
      </c>
      <c r="M12">
        <v>34.4</v>
      </c>
      <c r="S12" s="2">
        <v>1994</v>
      </c>
      <c r="T12">
        <v>99.9</v>
      </c>
      <c r="U12">
        <v>106.1</v>
      </c>
    </row>
    <row r="13" spans="3:23">
      <c r="C13" s="2">
        <v>1995</v>
      </c>
      <c r="D13">
        <v>5306460</v>
      </c>
      <c r="F13">
        <f t="shared" si="0"/>
        <v>5306.46</v>
      </c>
      <c r="J13" s="2">
        <v>1995</v>
      </c>
      <c r="K13">
        <v>230407</v>
      </c>
      <c r="L13">
        <v>92.7</v>
      </c>
      <c r="M13">
        <v>31.9</v>
      </c>
      <c r="N13" s="30">
        <f>K13/1000</f>
        <v>230.40700000000001</v>
      </c>
      <c r="O13" s="35">
        <f>L13/100</f>
        <v>0.92700000000000005</v>
      </c>
      <c r="S13" s="2">
        <v>1995</v>
      </c>
      <c r="T13">
        <v>100.1</v>
      </c>
      <c r="U13">
        <v>106.2</v>
      </c>
      <c r="V13">
        <f>T13/100</f>
        <v>1.0009999999999999</v>
      </c>
    </row>
    <row r="14" spans="3:23">
      <c r="C14" s="2">
        <v>1996</v>
      </c>
      <c r="D14">
        <v>13250160</v>
      </c>
      <c r="F14">
        <f t="shared" si="0"/>
        <v>13250.16</v>
      </c>
      <c r="J14" s="2">
        <v>1996</v>
      </c>
      <c r="K14">
        <v>334302</v>
      </c>
      <c r="L14">
        <v>85.7</v>
      </c>
      <c r="M14">
        <v>27.3</v>
      </c>
      <c r="N14" s="30">
        <f t="shared" ref="N14:N28" si="1">K14/1000</f>
        <v>334.30200000000002</v>
      </c>
      <c r="O14" s="35">
        <f t="shared" ref="O14:O28" si="2">L14/100</f>
        <v>0.85699999999999998</v>
      </c>
      <c r="S14" s="2">
        <v>1996</v>
      </c>
      <c r="T14">
        <v>99.9</v>
      </c>
      <c r="U14">
        <v>106.1</v>
      </c>
      <c r="V14">
        <f t="shared" ref="V14:V28" si="3">T14/100</f>
        <v>0.99900000000000011</v>
      </c>
    </row>
    <row r="15" spans="3:23">
      <c r="C15" s="2">
        <v>1997</v>
      </c>
      <c r="D15">
        <v>13411951</v>
      </c>
      <c r="F15">
        <f t="shared" si="0"/>
        <v>13411.950999999999</v>
      </c>
      <c r="J15" s="2">
        <v>1997</v>
      </c>
      <c r="K15">
        <v>406472</v>
      </c>
      <c r="L15">
        <v>85.4</v>
      </c>
      <c r="M15">
        <v>23.3</v>
      </c>
      <c r="N15" s="30">
        <f t="shared" si="1"/>
        <v>406.47199999999998</v>
      </c>
      <c r="O15" s="35">
        <f t="shared" si="2"/>
        <v>0.85400000000000009</v>
      </c>
      <c r="S15" s="2">
        <v>1997</v>
      </c>
      <c r="T15">
        <v>99.6</v>
      </c>
      <c r="U15">
        <v>105.6</v>
      </c>
      <c r="V15">
        <f t="shared" si="3"/>
        <v>0.996</v>
      </c>
    </row>
    <row r="16" spans="3:23">
      <c r="C16" s="2">
        <v>1998</v>
      </c>
      <c r="D16">
        <v>14277540</v>
      </c>
      <c r="F16">
        <f t="shared" si="0"/>
        <v>14277.54</v>
      </c>
      <c r="J16" s="2">
        <v>1998</v>
      </c>
      <c r="K16">
        <v>428564</v>
      </c>
      <c r="L16">
        <v>95</v>
      </c>
      <c r="M16">
        <v>22.2</v>
      </c>
      <c r="N16" s="30">
        <f t="shared" si="1"/>
        <v>428.56400000000002</v>
      </c>
      <c r="O16" s="35">
        <f t="shared" si="2"/>
        <v>0.95</v>
      </c>
      <c r="S16" s="2">
        <v>1998</v>
      </c>
      <c r="T16">
        <v>99.7</v>
      </c>
      <c r="U16">
        <v>105.4</v>
      </c>
      <c r="V16">
        <f t="shared" si="3"/>
        <v>0.997</v>
      </c>
    </row>
    <row r="17" spans="3:159">
      <c r="C17" s="2">
        <v>1999</v>
      </c>
      <c r="D17">
        <v>14334783</v>
      </c>
      <c r="F17">
        <f t="shared" si="0"/>
        <v>14334.782999999999</v>
      </c>
      <c r="J17" s="2">
        <v>1999</v>
      </c>
      <c r="K17">
        <v>597306</v>
      </c>
      <c r="L17">
        <v>106.7</v>
      </c>
      <c r="M17">
        <v>23.7</v>
      </c>
      <c r="N17" s="30">
        <f t="shared" si="1"/>
        <v>597.30600000000004</v>
      </c>
      <c r="O17" s="35">
        <f t="shared" si="2"/>
        <v>1.0669999999999999</v>
      </c>
      <c r="S17" s="2">
        <v>1999</v>
      </c>
      <c r="T17">
        <v>100.2</v>
      </c>
      <c r="U17">
        <v>105.6</v>
      </c>
      <c r="V17">
        <f t="shared" si="3"/>
        <v>1.002</v>
      </c>
    </row>
    <row r="18" spans="3:159">
      <c r="C18" s="2">
        <v>2000</v>
      </c>
      <c r="D18">
        <v>17464172</v>
      </c>
      <c r="F18">
        <f t="shared" si="0"/>
        <v>17464.171999999999</v>
      </c>
      <c r="J18" s="2">
        <v>2000</v>
      </c>
      <c r="K18">
        <v>843378</v>
      </c>
      <c r="L18">
        <v>125.1</v>
      </c>
      <c r="M18">
        <v>29.6</v>
      </c>
      <c r="N18" s="30">
        <f t="shared" si="1"/>
        <v>843.37800000000004</v>
      </c>
      <c r="O18" s="35">
        <f t="shared" si="2"/>
        <v>1.2509999999999999</v>
      </c>
      <c r="S18" s="2">
        <v>2000</v>
      </c>
      <c r="T18">
        <v>100.5</v>
      </c>
      <c r="U18">
        <v>106.2</v>
      </c>
      <c r="V18">
        <f t="shared" si="3"/>
        <v>1.0049999999999999</v>
      </c>
    </row>
    <row r="19" spans="3:159">
      <c r="C19" s="2">
        <v>2001</v>
      </c>
      <c r="D19">
        <v>21495236</v>
      </c>
      <c r="F19">
        <f t="shared" si="0"/>
        <v>21495.236000000001</v>
      </c>
      <c r="J19" s="2">
        <v>2001</v>
      </c>
      <c r="K19">
        <v>1117655</v>
      </c>
      <c r="L19">
        <v>118.9</v>
      </c>
      <c r="M19">
        <v>35.200000000000003</v>
      </c>
      <c r="N19" s="30">
        <f t="shared" si="1"/>
        <v>1117.655</v>
      </c>
      <c r="O19" s="35">
        <f t="shared" si="2"/>
        <v>1.1890000000000001</v>
      </c>
      <c r="S19" s="2">
        <v>2001</v>
      </c>
      <c r="T19">
        <v>100.9</v>
      </c>
      <c r="U19">
        <v>107.1</v>
      </c>
      <c r="V19">
        <f t="shared" si="3"/>
        <v>1.0090000000000001</v>
      </c>
    </row>
    <row r="20" spans="3:159">
      <c r="C20" s="2">
        <v>2002</v>
      </c>
      <c r="D20">
        <v>26333273</v>
      </c>
      <c r="F20">
        <f t="shared" si="0"/>
        <v>26333.273000000001</v>
      </c>
      <c r="J20" s="2">
        <v>2002</v>
      </c>
      <c r="K20">
        <v>1615063</v>
      </c>
      <c r="L20">
        <v>107.9</v>
      </c>
      <c r="M20">
        <v>38</v>
      </c>
      <c r="N20" s="30">
        <f t="shared" si="1"/>
        <v>1615.0630000000001</v>
      </c>
      <c r="O20" s="35">
        <f t="shared" si="2"/>
        <v>1.079</v>
      </c>
      <c r="S20" s="2">
        <v>2002</v>
      </c>
      <c r="T20">
        <v>101</v>
      </c>
      <c r="U20">
        <v>108.2</v>
      </c>
      <c r="V20">
        <f t="shared" si="3"/>
        <v>1.01</v>
      </c>
      <c r="BN20" s="1025"/>
    </row>
    <row r="21" spans="3:159">
      <c r="C21" s="2">
        <v>2003</v>
      </c>
      <c r="D21">
        <v>32173286</v>
      </c>
      <c r="F21">
        <f t="shared" si="0"/>
        <v>32173.286</v>
      </c>
      <c r="J21" s="2">
        <v>2003</v>
      </c>
      <c r="K21">
        <v>1815658</v>
      </c>
      <c r="L21">
        <v>112.1</v>
      </c>
      <c r="M21">
        <v>42.6</v>
      </c>
      <c r="N21" s="30">
        <f t="shared" si="1"/>
        <v>1815.6579999999999</v>
      </c>
      <c r="O21" s="35">
        <f t="shared" si="2"/>
        <v>1.121</v>
      </c>
      <c r="S21" s="2">
        <v>2003</v>
      </c>
      <c r="T21">
        <v>101.3</v>
      </c>
      <c r="U21">
        <v>109.5</v>
      </c>
      <c r="V21">
        <f t="shared" si="3"/>
        <v>1.0129999999999999</v>
      </c>
    </row>
    <row r="22" spans="3:159">
      <c r="C22" s="2">
        <v>2004</v>
      </c>
      <c r="D22">
        <v>34873724</v>
      </c>
      <c r="F22">
        <f t="shared" si="0"/>
        <v>34873.724000000002</v>
      </c>
      <c r="J22" s="2">
        <v>2004</v>
      </c>
      <c r="K22">
        <v>1972112</v>
      </c>
      <c r="L22">
        <v>111.8</v>
      </c>
      <c r="M22">
        <v>47.6</v>
      </c>
      <c r="N22" s="30">
        <f t="shared" si="1"/>
        <v>1972.1120000000001</v>
      </c>
      <c r="O22" s="35">
        <f t="shared" si="2"/>
        <v>1.1179999999999999</v>
      </c>
      <c r="S22" s="2">
        <v>2004</v>
      </c>
      <c r="T22">
        <v>101.6</v>
      </c>
      <c r="U22">
        <v>111.3</v>
      </c>
      <c r="V22">
        <f t="shared" si="3"/>
        <v>1.016</v>
      </c>
    </row>
    <row r="23" spans="3:159">
      <c r="C23" s="2">
        <v>2005</v>
      </c>
      <c r="D23">
        <v>41493568</v>
      </c>
      <c r="F23">
        <f t="shared" si="0"/>
        <v>41493.567999999999</v>
      </c>
      <c r="J23" s="2">
        <v>2005</v>
      </c>
      <c r="K23">
        <v>2943686</v>
      </c>
      <c r="L23">
        <v>111</v>
      </c>
      <c r="M23">
        <v>52.8</v>
      </c>
      <c r="N23" s="30">
        <f t="shared" si="1"/>
        <v>2943.6860000000001</v>
      </c>
      <c r="O23" s="35">
        <f t="shared" si="2"/>
        <v>1.1100000000000001</v>
      </c>
      <c r="S23" s="2">
        <v>2005</v>
      </c>
      <c r="T23">
        <v>101.9</v>
      </c>
      <c r="U23">
        <v>113.5</v>
      </c>
      <c r="V23">
        <f t="shared" si="3"/>
        <v>1.0190000000000001</v>
      </c>
    </row>
    <row r="24" spans="3:159" ht="16.2" thickBot="1">
      <c r="C24" s="2">
        <v>2006</v>
      </c>
      <c r="D24">
        <v>47489498</v>
      </c>
      <c r="F24">
        <f t="shared" si="0"/>
        <v>47489.498</v>
      </c>
      <c r="J24" s="2">
        <v>2006</v>
      </c>
      <c r="K24">
        <v>3252436</v>
      </c>
      <c r="L24">
        <v>116.1</v>
      </c>
      <c r="M24">
        <v>61.4</v>
      </c>
      <c r="N24" s="30">
        <f t="shared" si="1"/>
        <v>3252.4360000000001</v>
      </c>
      <c r="O24" s="35">
        <f t="shared" si="2"/>
        <v>1.161</v>
      </c>
      <c r="S24" s="2">
        <v>2006</v>
      </c>
      <c r="T24">
        <v>102.4</v>
      </c>
      <c r="U24">
        <v>116.2</v>
      </c>
      <c r="V24">
        <f t="shared" si="3"/>
        <v>1.024</v>
      </c>
      <c r="BA24" s="431" t="s">
        <v>695</v>
      </c>
      <c r="BB24" s="1513" t="s">
        <v>1212</v>
      </c>
      <c r="BC24" s="1514" t="s">
        <v>1365</v>
      </c>
      <c r="BU24" s="833" t="s">
        <v>1384</v>
      </c>
      <c r="BV24" s="833" t="s">
        <v>1258</v>
      </c>
      <c r="BW24" s="833" t="s">
        <v>1381</v>
      </c>
      <c r="BX24" s="833" t="s">
        <v>1382</v>
      </c>
      <c r="CR24" s="833" t="s">
        <v>1258</v>
      </c>
      <c r="CS24" s="833" t="s">
        <v>1258</v>
      </c>
      <c r="DK24" s="833" t="s">
        <v>1258</v>
      </c>
      <c r="DL24" s="833" t="s">
        <v>1258</v>
      </c>
      <c r="DM24" s="833" t="s">
        <v>1588</v>
      </c>
      <c r="EF24" s="1010" t="s">
        <v>1258</v>
      </c>
      <c r="EG24" s="1010" t="s">
        <v>1258</v>
      </c>
      <c r="EH24" s="1010" t="s">
        <v>1588</v>
      </c>
      <c r="FA24" s="1010" t="s">
        <v>1258</v>
      </c>
      <c r="FB24" s="1010" t="s">
        <v>1258</v>
      </c>
      <c r="FC24" s="1011" t="s">
        <v>1258</v>
      </c>
    </row>
    <row r="25" spans="3:159" ht="20.399999999999999">
      <c r="C25" s="2">
        <v>2007</v>
      </c>
      <c r="D25">
        <v>60391454</v>
      </c>
      <c r="F25">
        <f t="shared" si="0"/>
        <v>60391.453999999998</v>
      </c>
      <c r="J25" s="2">
        <v>2007</v>
      </c>
      <c r="K25">
        <v>4296411</v>
      </c>
      <c r="L25">
        <v>122.1</v>
      </c>
      <c r="M25">
        <v>74.900000000000006</v>
      </c>
      <c r="N25" s="30">
        <f t="shared" si="1"/>
        <v>4296.4110000000001</v>
      </c>
      <c r="O25" s="35">
        <f t="shared" si="2"/>
        <v>1.2209999999999999</v>
      </c>
      <c r="S25" s="2">
        <v>2007</v>
      </c>
      <c r="T25">
        <v>103.1</v>
      </c>
      <c r="U25">
        <v>119.8</v>
      </c>
      <c r="V25">
        <f t="shared" si="3"/>
        <v>1.0309999999999999</v>
      </c>
      <c r="AD25" s="792"/>
      <c r="AE25" s="774"/>
      <c r="AF25" s="776"/>
      <c r="AY25" s="1003" t="s">
        <v>190</v>
      </c>
      <c r="AZ25" s="1004" t="s">
        <v>196</v>
      </c>
      <c r="BA25" s="59">
        <v>43187</v>
      </c>
      <c r="BB25" s="62" t="s">
        <v>783</v>
      </c>
      <c r="BC25" s="62" t="s">
        <v>783</v>
      </c>
      <c r="BT25" s="1008" t="s">
        <v>695</v>
      </c>
      <c r="BU25" s="990" t="s">
        <v>1386</v>
      </c>
      <c r="BV25" s="826" t="s">
        <v>1385</v>
      </c>
      <c r="BW25" s="991"/>
      <c r="BX25" s="991"/>
      <c r="CQ25" s="1008" t="s">
        <v>695</v>
      </c>
      <c r="CR25" s="990" t="s">
        <v>1383</v>
      </c>
      <c r="CS25" s="826" t="s">
        <v>160</v>
      </c>
      <c r="DJ25" s="1008" t="s">
        <v>695</v>
      </c>
      <c r="DK25" s="990" t="s">
        <v>37</v>
      </c>
      <c r="DL25" s="991" t="s">
        <v>1372</v>
      </c>
      <c r="DM25" s="991" t="s">
        <v>1400</v>
      </c>
      <c r="EE25" s="1008" t="s">
        <v>695</v>
      </c>
      <c r="EF25" s="990" t="s">
        <v>1240</v>
      </c>
      <c r="EG25" s="991" t="s">
        <v>1286</v>
      </c>
      <c r="EH25" s="991" t="s">
        <v>1395</v>
      </c>
      <c r="EZ25" s="1008" t="s">
        <v>695</v>
      </c>
      <c r="FA25" s="1281" t="s">
        <v>1280</v>
      </c>
      <c r="FB25" s="1186" t="s">
        <v>80</v>
      </c>
      <c r="FC25" s="1186" t="s">
        <v>1593</v>
      </c>
    </row>
    <row r="26" spans="3:159" ht="15.6">
      <c r="C26" s="2">
        <v>2008</v>
      </c>
      <c r="D26">
        <v>74471182</v>
      </c>
      <c r="F26">
        <f t="shared" si="0"/>
        <v>74471.182000000001</v>
      </c>
      <c r="J26" s="2">
        <v>2008</v>
      </c>
      <c r="K26">
        <v>5744847</v>
      </c>
      <c r="L26">
        <v>114</v>
      </c>
      <c r="M26">
        <v>85.4</v>
      </c>
      <c r="N26" s="30">
        <f t="shared" si="1"/>
        <v>5744.8469999999998</v>
      </c>
      <c r="O26" s="35">
        <f t="shared" si="2"/>
        <v>1.1399999999999999</v>
      </c>
      <c r="S26" s="2">
        <v>2008</v>
      </c>
      <c r="T26">
        <v>103.6</v>
      </c>
      <c r="U26">
        <v>124.1</v>
      </c>
      <c r="V26">
        <f t="shared" si="3"/>
        <v>1.036</v>
      </c>
      <c r="AD26" s="1554" t="s">
        <v>1602</v>
      </c>
      <c r="AE26" s="1555"/>
      <c r="AF26" s="1556"/>
      <c r="BA26" s="1510">
        <v>1995</v>
      </c>
      <c r="BB26" s="429">
        <f t="array" ref="BB26:BB47">TRANSPOSE(ОТЧЁТ!U174:AP174)</f>
        <v>22.301473733510264</v>
      </c>
      <c r="BC26" s="7"/>
      <c r="BT26" s="1026">
        <v>43187</v>
      </c>
      <c r="BU26" s="62" t="s">
        <v>46</v>
      </c>
      <c r="BV26" s="62" t="s">
        <v>790</v>
      </c>
      <c r="BW26" s="62" t="s">
        <v>46</v>
      </c>
      <c r="BX26" s="62" t="s">
        <v>46</v>
      </c>
      <c r="CQ26" s="1077">
        <v>43187</v>
      </c>
      <c r="CR26" s="62" t="s">
        <v>46</v>
      </c>
      <c r="CS26" s="62" t="s">
        <v>46</v>
      </c>
      <c r="DJ26" s="1044">
        <v>43187</v>
      </c>
      <c r="DK26" s="62" t="s">
        <v>688</v>
      </c>
      <c r="DL26" s="62" t="s">
        <v>688</v>
      </c>
      <c r="DM26" s="62" t="s">
        <v>688</v>
      </c>
      <c r="EE26" s="1077">
        <v>43187</v>
      </c>
      <c r="EF26" s="1508" t="s">
        <v>46</v>
      </c>
      <c r="EG26" s="1508" t="s">
        <v>46</v>
      </c>
      <c r="EH26" s="1508" t="s">
        <v>46</v>
      </c>
      <c r="EZ26" s="1077">
        <v>43193</v>
      </c>
      <c r="FA26" s="62" t="s">
        <v>688</v>
      </c>
      <c r="FB26" s="62" t="s">
        <v>688</v>
      </c>
      <c r="FC26" s="62" t="s">
        <v>688</v>
      </c>
    </row>
    <row r="27" spans="3:159" ht="17.399999999999999">
      <c r="C27" s="2">
        <v>2009</v>
      </c>
      <c r="D27">
        <v>82302969</v>
      </c>
      <c r="F27">
        <f t="shared" si="0"/>
        <v>82302.968999999997</v>
      </c>
      <c r="J27" s="2">
        <v>2009</v>
      </c>
      <c r="K27">
        <v>6356223</v>
      </c>
      <c r="L27">
        <v>96.6</v>
      </c>
      <c r="M27">
        <v>82.5</v>
      </c>
      <c r="N27" s="30">
        <f t="shared" si="1"/>
        <v>6356.223</v>
      </c>
      <c r="O27" s="35">
        <f t="shared" si="2"/>
        <v>0.96599999999999997</v>
      </c>
      <c r="S27" s="2">
        <v>2009</v>
      </c>
      <c r="T27">
        <v>103.2</v>
      </c>
      <c r="U27">
        <v>128.1</v>
      </c>
      <c r="V27">
        <f t="shared" si="3"/>
        <v>1.032</v>
      </c>
      <c r="AD27" s="1554" t="s">
        <v>1603</v>
      </c>
      <c r="AE27" s="1555"/>
      <c r="AF27" s="1556"/>
      <c r="BA27" s="1511">
        <v>1996</v>
      </c>
      <c r="BB27" s="430">
        <v>21.883647145944572</v>
      </c>
      <c r="BC27" s="10"/>
      <c r="BT27" s="814">
        <v>1995</v>
      </c>
      <c r="BU27" s="1030">
        <f t="array" ref="BU27:BU48">TRANSPOSE(ОТЧЁТ!U152:AP152)</f>
        <v>1</v>
      </c>
      <c r="BV27" s="559">
        <v>1</v>
      </c>
      <c r="BW27" s="1023"/>
      <c r="BX27" s="1023"/>
      <c r="CQ27" s="813">
        <v>1995</v>
      </c>
      <c r="CR27" s="1203">
        <v>2876.5161000000003</v>
      </c>
      <c r="CS27" s="1203">
        <v>647.87</v>
      </c>
      <c r="DJ27" s="814">
        <v>1995</v>
      </c>
      <c r="DK27" s="806">
        <f t="array" ref="DK27:DK48">TRANSPOSE(ОТЧЁТ!U157:AP157)</f>
        <v>1</v>
      </c>
      <c r="DL27" s="852">
        <f t="array" ref="DL27:DL48">TRANSPOSE(ОТЧЁТ!U160:AP160)</f>
        <v>1</v>
      </c>
      <c r="DM27" s="64">
        <f t="array" ref="DM27:DM48">TRANSPOSE(ОТЧЁТ!U73:AP73)</f>
        <v>0</v>
      </c>
      <c r="EE27" s="814">
        <v>1995</v>
      </c>
      <c r="EF27" s="846">
        <v>1428.5209</v>
      </c>
      <c r="EG27" s="1028">
        <v>272.50150000000002</v>
      </c>
      <c r="EH27" s="1029">
        <v>368.88830000000002</v>
      </c>
      <c r="EZ27" s="814">
        <v>1995</v>
      </c>
      <c r="FA27" s="851">
        <v>1</v>
      </c>
      <c r="FB27" s="716">
        <v>1</v>
      </c>
      <c r="FC27" s="100">
        <v>1</v>
      </c>
    </row>
    <row r="28" spans="3:159" ht="17.399999999999999">
      <c r="C28" s="2">
        <v>2010</v>
      </c>
      <c r="J28" s="2">
        <v>2010</v>
      </c>
      <c r="K28">
        <v>6275931</v>
      </c>
      <c r="L28">
        <v>93.4</v>
      </c>
      <c r="M28">
        <v>77.099999999999994</v>
      </c>
      <c r="N28" s="30">
        <f t="shared" si="1"/>
        <v>6275.9309999999996</v>
      </c>
      <c r="O28" s="35">
        <f t="shared" si="2"/>
        <v>0.93400000000000005</v>
      </c>
      <c r="S28" s="2">
        <v>2010</v>
      </c>
      <c r="T28">
        <v>103</v>
      </c>
      <c r="U28">
        <v>131.9</v>
      </c>
      <c r="V28">
        <f t="shared" si="3"/>
        <v>1.03</v>
      </c>
      <c r="Y28" t="s">
        <v>173</v>
      </c>
      <c r="AD28" s="1547" t="s">
        <v>1604</v>
      </c>
      <c r="AE28" s="1548"/>
      <c r="AF28" s="1549"/>
      <c r="BA28" s="1511">
        <v>1997</v>
      </c>
      <c r="BB28" s="430">
        <v>23.264748432488631</v>
      </c>
      <c r="BC28" s="10"/>
      <c r="BT28" s="817">
        <v>1996</v>
      </c>
      <c r="BU28" s="1030">
        <v>0.96399999999999997</v>
      </c>
      <c r="BV28" s="559">
        <v>1.3191577216179184</v>
      </c>
      <c r="BW28" s="1023"/>
      <c r="BX28" s="1023"/>
      <c r="CQ28" s="820">
        <v>1996</v>
      </c>
      <c r="CR28" s="1203">
        <v>3978.7420000000006</v>
      </c>
      <c r="CS28" s="1203">
        <v>1022.64</v>
      </c>
      <c r="DJ28" s="817">
        <v>1996</v>
      </c>
      <c r="DK28" s="1022">
        <v>0.81899999999999995</v>
      </c>
      <c r="DL28" s="829">
        <v>1.0309999999999999</v>
      </c>
      <c r="DM28" s="65">
        <v>0</v>
      </c>
      <c r="EE28" s="817">
        <v>1996</v>
      </c>
      <c r="EF28" s="1027">
        <v>2007.8252000000002</v>
      </c>
      <c r="EG28" s="1023">
        <v>391.38130000000001</v>
      </c>
      <c r="EH28" s="292">
        <v>490.67980000000006</v>
      </c>
      <c r="EZ28" s="817">
        <v>1996</v>
      </c>
      <c r="FA28" s="1030">
        <v>1.7194377618988257</v>
      </c>
      <c r="FB28" s="559">
        <v>1.218</v>
      </c>
      <c r="FC28" s="97">
        <v>1.6953967315458069</v>
      </c>
    </row>
    <row r="29" spans="3:159" ht="17.399999999999999">
      <c r="C29" s="2">
        <v>2011</v>
      </c>
      <c r="AA29" t="s">
        <v>174</v>
      </c>
      <c r="AB29">
        <v>2.8763000000000001</v>
      </c>
      <c r="AD29" s="1547" t="s">
        <v>1606</v>
      </c>
      <c r="AE29" s="1548"/>
      <c r="AF29" s="1549"/>
      <c r="BA29" s="1511">
        <v>1998</v>
      </c>
      <c r="BB29" s="430">
        <v>22.628910997930777</v>
      </c>
      <c r="BC29" s="10"/>
      <c r="BT29" s="817">
        <v>1997</v>
      </c>
      <c r="BU29" s="1030">
        <v>0.97749600000000003</v>
      </c>
      <c r="BV29" s="559">
        <v>1.465619370714605</v>
      </c>
      <c r="BW29" s="1023"/>
      <c r="BX29" s="1023"/>
      <c r="CQ29" s="820">
        <v>1997</v>
      </c>
      <c r="CR29" s="1203">
        <v>4542.1256999999996</v>
      </c>
      <c r="CS29" s="1203">
        <v>1202.9000000000001</v>
      </c>
      <c r="DJ29" s="817">
        <v>1997</v>
      </c>
      <c r="DK29" s="1022">
        <v>0.77804999999999991</v>
      </c>
      <c r="DL29" s="829">
        <v>1.0062559999999998</v>
      </c>
      <c r="DM29" s="65">
        <v>0</v>
      </c>
      <c r="EE29" s="817">
        <v>1997</v>
      </c>
      <c r="EF29" s="1027">
        <v>2342.5137</v>
      </c>
      <c r="EG29" s="1023">
        <v>493.57350000000002</v>
      </c>
      <c r="EH29" s="292">
        <v>599.57709999999986</v>
      </c>
      <c r="EZ29" s="817">
        <v>1997</v>
      </c>
      <c r="FA29" s="1030">
        <v>1.9680277801214476</v>
      </c>
      <c r="FB29" s="559">
        <v>1.3519800000000002</v>
      </c>
      <c r="FC29" s="97">
        <v>2.415292468742241</v>
      </c>
    </row>
    <row r="30" spans="3:159" ht="17.399999999999999">
      <c r="C30" s="2">
        <v>2012</v>
      </c>
      <c r="AA30" t="s">
        <v>175</v>
      </c>
      <c r="AB30" s="32">
        <f>AE50-AB29*AF50</f>
        <v>-208.50659474334685</v>
      </c>
      <c r="AD30" s="1547" t="s">
        <v>1605</v>
      </c>
      <c r="AE30" s="1548"/>
      <c r="AF30" s="1549"/>
      <c r="BA30" s="1511">
        <v>1999</v>
      </c>
      <c r="BB30" s="430">
        <v>22.304255968314099</v>
      </c>
      <c r="BC30" s="10"/>
      <c r="BT30" s="817">
        <v>1998</v>
      </c>
      <c r="BU30" s="1030">
        <v>0.92568871200000002</v>
      </c>
      <c r="BV30" s="559">
        <v>0.85716727254299341</v>
      </c>
      <c r="BW30" s="1023"/>
      <c r="BX30" s="1023"/>
      <c r="CQ30" s="820">
        <v>1998</v>
      </c>
      <c r="CR30" s="1203">
        <v>4820.3402999999998</v>
      </c>
      <c r="CS30" s="1203">
        <v>1263.047</v>
      </c>
      <c r="DJ30" s="817">
        <v>1998</v>
      </c>
      <c r="DK30" s="1022">
        <v>0.68468399999999996</v>
      </c>
      <c r="DL30" s="829">
        <v>1.0163185599999998</v>
      </c>
      <c r="DM30" s="65">
        <v>0</v>
      </c>
      <c r="EE30" s="817">
        <v>1998</v>
      </c>
      <c r="EF30" s="1027">
        <v>2629.6228999999998</v>
      </c>
      <c r="EG30" s="1023">
        <v>492.62060000000002</v>
      </c>
      <c r="EH30" s="292">
        <v>479.01689999999996</v>
      </c>
      <c r="EZ30" s="817">
        <v>1998</v>
      </c>
      <c r="FA30" s="1030">
        <v>2.2270348811115843</v>
      </c>
      <c r="FB30" s="559">
        <v>2.4930511200000005</v>
      </c>
      <c r="FC30" s="97">
        <v>2.6727462335842294</v>
      </c>
    </row>
    <row r="31" spans="3:159" ht="17.399999999999999">
      <c r="C31" s="2">
        <v>2013</v>
      </c>
      <c r="AD31" s="1546"/>
      <c r="AE31" s="1068"/>
      <c r="AF31" s="859"/>
      <c r="BA31" s="1511">
        <v>2000</v>
      </c>
      <c r="BB31" s="430">
        <v>23.785105002190093</v>
      </c>
      <c r="BC31" s="10"/>
      <c r="BT31" s="817">
        <v>1999</v>
      </c>
      <c r="BU31" s="1030">
        <v>0.98493278956800012</v>
      </c>
      <c r="BV31" s="559">
        <v>0.8905613871995075</v>
      </c>
      <c r="BW31" s="1023"/>
      <c r="BX31" s="1023"/>
      <c r="CQ31" s="820">
        <v>1999</v>
      </c>
      <c r="CR31" s="1203">
        <v>8798.5622000000003</v>
      </c>
      <c r="CS31" s="1203">
        <v>1933.606</v>
      </c>
      <c r="DJ31" s="817">
        <v>1999</v>
      </c>
      <c r="DK31" s="1022">
        <v>0.71891819999999995</v>
      </c>
      <c r="DL31" s="829">
        <v>1.0478244353599997</v>
      </c>
      <c r="DM31" s="65">
        <v>0</v>
      </c>
      <c r="EE31" s="817">
        <v>1999</v>
      </c>
      <c r="EF31" s="1027">
        <v>4823.2329</v>
      </c>
      <c r="EG31" s="1023">
        <v>703.20910000000003</v>
      </c>
      <c r="EH31" s="292">
        <v>748.08879999999999</v>
      </c>
      <c r="EZ31" s="817">
        <v>1999</v>
      </c>
      <c r="FA31" s="1030">
        <v>3.493098424873764</v>
      </c>
      <c r="FB31" s="559">
        <v>3.4030147788000007</v>
      </c>
      <c r="FC31" s="97">
        <v>3.4893420575027583</v>
      </c>
    </row>
    <row r="32" spans="3:159" ht="17.399999999999999">
      <c r="C32" s="2">
        <v>2014</v>
      </c>
      <c r="AD32" s="1546" t="s">
        <v>1362</v>
      </c>
      <c r="AE32" s="1068"/>
      <c r="AF32" s="859"/>
      <c r="BA32" s="1511">
        <v>2001</v>
      </c>
      <c r="BB32" s="430">
        <v>24.977800752416609</v>
      </c>
      <c r="BC32" s="10"/>
      <c r="BT32" s="817">
        <v>2000</v>
      </c>
      <c r="BU32" s="1030">
        <v>1.0834260685248003</v>
      </c>
      <c r="BV32" s="559">
        <v>1.0910735084339893</v>
      </c>
      <c r="BW32" s="559">
        <f>BV32</f>
        <v>1.0910735084339893</v>
      </c>
      <c r="BX32" s="1023"/>
      <c r="CQ32" s="820">
        <v>2000</v>
      </c>
      <c r="CR32" s="1203">
        <v>13385.6595</v>
      </c>
      <c r="CS32" s="1203">
        <v>2937.23</v>
      </c>
      <c r="DJ32" s="817">
        <v>2000</v>
      </c>
      <c r="DK32" s="1022">
        <v>0.84400996679999984</v>
      </c>
      <c r="DL32" s="829">
        <v>1.0687809240671997</v>
      </c>
      <c r="DM32" s="65">
        <v>0</v>
      </c>
      <c r="EE32" s="817">
        <v>2000</v>
      </c>
      <c r="EF32" s="1027">
        <v>7305.6466</v>
      </c>
      <c r="EG32" s="1023">
        <v>1102.4971</v>
      </c>
      <c r="EH32" s="292">
        <v>1302.9964999999997</v>
      </c>
      <c r="EZ32" s="817">
        <v>2000</v>
      </c>
      <c r="FA32" s="1030">
        <v>5.1712627496070169</v>
      </c>
      <c r="FB32" s="559">
        <v>4.0904237641176007</v>
      </c>
      <c r="FC32" s="97">
        <v>3.9448052793534916</v>
      </c>
    </row>
    <row r="33" spans="2:159" ht="17.399999999999999">
      <c r="C33" s="2">
        <v>2015</v>
      </c>
      <c r="AD33" s="1546" t="s">
        <v>1364</v>
      </c>
      <c r="AE33" s="1068"/>
      <c r="AF33" s="859"/>
      <c r="AT33" s="792"/>
      <c r="AU33" s="793" t="s">
        <v>190</v>
      </c>
      <c r="AV33" s="776"/>
      <c r="AY33" s="32">
        <f>BB33</f>
        <v>25.549151597899893</v>
      </c>
      <c r="BA33" s="1511">
        <v>2002</v>
      </c>
      <c r="BB33" s="430">
        <v>25.549151597899893</v>
      </c>
      <c r="BC33" s="10"/>
      <c r="BT33" s="817">
        <v>2001</v>
      </c>
      <c r="BU33" s="1030">
        <v>1.138680798019565</v>
      </c>
      <c r="BV33" s="559">
        <v>1.2043645968535897</v>
      </c>
      <c r="BW33" s="559">
        <f t="shared" ref="BW33:BW40" si="4">BV33</f>
        <v>1.2043645968535897</v>
      </c>
      <c r="BX33" s="1023"/>
      <c r="CQ33" s="820">
        <v>2001</v>
      </c>
      <c r="CR33" s="1203">
        <v>17020.277300000002</v>
      </c>
      <c r="CS33" s="1203">
        <v>3848.4</v>
      </c>
      <c r="DJ33" s="817">
        <v>2001</v>
      </c>
      <c r="DK33" s="1022">
        <v>0.92841096347999985</v>
      </c>
      <c r="DL33" s="829">
        <v>1.0602306766746621</v>
      </c>
      <c r="DM33" s="65">
        <v>0</v>
      </c>
      <c r="EE33" s="817">
        <v>2001</v>
      </c>
      <c r="EF33" s="1027">
        <v>8943.5825999999997</v>
      </c>
      <c r="EG33" s="1023">
        <v>1469.9576</v>
      </c>
      <c r="EH33" s="292">
        <v>1928.3684999999994</v>
      </c>
      <c r="EZ33" s="817">
        <v>2001</v>
      </c>
      <c r="FA33" s="1030">
        <v>6.0707268468539191</v>
      </c>
      <c r="FB33" s="559">
        <v>4.8512425842434741</v>
      </c>
      <c r="FC33" s="97">
        <v>4.3960246162225971</v>
      </c>
    </row>
    <row r="34" spans="2:159" ht="17.399999999999999">
      <c r="C34" s="2"/>
      <c r="AD34" s="1546" t="s">
        <v>1363</v>
      </c>
      <c r="AE34" s="1068"/>
      <c r="AF34" s="859"/>
      <c r="AT34" s="782">
        <v>80</v>
      </c>
      <c r="AU34" s="794">
        <f t="shared" ref="AU34:AU41" si="5">AB$29*AT34+AB$30</f>
        <v>21.597405256653161</v>
      </c>
      <c r="AV34" s="777"/>
      <c r="AY34" s="32">
        <f>AY33+1.8</f>
        <v>27.349151597899894</v>
      </c>
      <c r="BA34" s="1511">
        <v>2003</v>
      </c>
      <c r="BB34" s="430">
        <v>27.546477966188984</v>
      </c>
      <c r="BC34" s="10"/>
      <c r="BT34" s="817">
        <v>2002</v>
      </c>
      <c r="BU34" s="1030">
        <v>1.1921987955264846</v>
      </c>
      <c r="BV34" s="559">
        <v>1.3454454046567674</v>
      </c>
      <c r="BW34" s="559">
        <f t="shared" si="4"/>
        <v>1.3454454046567674</v>
      </c>
      <c r="BX34" s="1023"/>
      <c r="CQ34" s="820">
        <v>2002</v>
      </c>
      <c r="CR34" s="1203">
        <v>20222.973599999998</v>
      </c>
      <c r="CS34" s="1203">
        <v>5065.1000000000004</v>
      </c>
      <c r="DJ34" s="817">
        <v>2002</v>
      </c>
      <c r="DK34" s="1022">
        <v>0.95440647045743987</v>
      </c>
      <c r="DL34" s="829">
        <v>1.0877966742682033</v>
      </c>
      <c r="DM34" s="65">
        <v>0</v>
      </c>
      <c r="EE34" s="817">
        <v>2002</v>
      </c>
      <c r="EF34" s="1027">
        <v>10819.270899999998</v>
      </c>
      <c r="EG34" s="1023">
        <v>1942.4418000000001</v>
      </c>
      <c r="EH34" s="292">
        <v>2349.4081999999985</v>
      </c>
      <c r="EZ34" s="817">
        <v>2002</v>
      </c>
      <c r="FA34" s="1030">
        <v>6.9167509862711283</v>
      </c>
      <c r="FB34" s="559">
        <v>5.5837802144642392</v>
      </c>
      <c r="FC34" s="97">
        <v>5.8843823618297426</v>
      </c>
    </row>
    <row r="35" spans="2:159" ht="18" thickBot="1">
      <c r="AD35" s="790"/>
      <c r="AE35" s="830"/>
      <c r="AF35" s="831"/>
      <c r="AT35" s="782">
        <v>82</v>
      </c>
      <c r="AU35" s="794">
        <f t="shared" si="5"/>
        <v>27.350005256653162</v>
      </c>
      <c r="AV35" s="777"/>
      <c r="AY35" s="32">
        <f t="shared" ref="AY35:AY48" si="6">AY34+1.8</f>
        <v>29.149151597899895</v>
      </c>
      <c r="BA35" s="1511">
        <v>2004</v>
      </c>
      <c r="BB35" s="430">
        <v>29.099942356965194</v>
      </c>
      <c r="BC35" s="10"/>
      <c r="BT35" s="817">
        <v>2003</v>
      </c>
      <c r="BU35" s="1030">
        <v>1.2792293075999179</v>
      </c>
      <c r="BV35" s="559">
        <v>1.4850279596592788</v>
      </c>
      <c r="BW35" s="559">
        <f t="shared" si="4"/>
        <v>1.4850279596592788</v>
      </c>
      <c r="BX35" s="1023"/>
      <c r="CQ35" s="820">
        <v>2003</v>
      </c>
      <c r="CR35" s="1203">
        <v>24861.589499999998</v>
      </c>
      <c r="CS35" s="1203">
        <v>6231.3869999999997</v>
      </c>
      <c r="DJ35" s="817">
        <v>2003</v>
      </c>
      <c r="DK35" s="1022">
        <v>1.0737072792646198</v>
      </c>
      <c r="DL35" s="829">
        <v>1.1139037944506402</v>
      </c>
      <c r="DM35" s="65">
        <v>0</v>
      </c>
      <c r="EE35" s="817">
        <v>2003</v>
      </c>
      <c r="EF35" s="1027">
        <v>13208.250299999998</v>
      </c>
      <c r="EG35" s="1023">
        <v>2366.3687</v>
      </c>
      <c r="EH35" s="292">
        <v>2935.0134999999982</v>
      </c>
      <c r="EZ35" s="817">
        <v>2003</v>
      </c>
      <c r="FA35" s="1030">
        <v>7.6273689193439225</v>
      </c>
      <c r="FB35" s="559">
        <v>6.2538338401999489</v>
      </c>
      <c r="FC35" s="97">
        <v>5.9009164044902702</v>
      </c>
    </row>
    <row r="36" spans="2:159" ht="17.399999999999999">
      <c r="R36" t="s">
        <v>176</v>
      </c>
      <c r="X36" t="s">
        <v>177</v>
      </c>
      <c r="Y36" t="s">
        <v>178</v>
      </c>
      <c r="AD36" s="1046" t="s">
        <v>695</v>
      </c>
      <c r="AE36" s="1557" t="s">
        <v>1213</v>
      </c>
      <c r="AF36" s="1550" t="s">
        <v>188</v>
      </c>
      <c r="AT36" s="782">
        <v>84</v>
      </c>
      <c r="AU36" s="794">
        <f t="shared" si="5"/>
        <v>33.102605256653163</v>
      </c>
      <c r="AV36" s="777"/>
      <c r="AY36" s="32">
        <f t="shared" si="6"/>
        <v>30.949151597899895</v>
      </c>
      <c r="BA36" s="1511">
        <v>2005</v>
      </c>
      <c r="BB36" s="430">
        <v>30.500207447846275</v>
      </c>
      <c r="BC36" s="10"/>
      <c r="BT36" s="817">
        <v>2004</v>
      </c>
      <c r="BU36" s="1030">
        <v>1.3713338177471122</v>
      </c>
      <c r="BV36" s="559">
        <v>1.6493886216432383</v>
      </c>
      <c r="BW36" s="559">
        <f t="shared" si="4"/>
        <v>1.6493886216432383</v>
      </c>
      <c r="BX36" s="1023"/>
      <c r="CQ36" s="820">
        <v>2004</v>
      </c>
      <c r="CR36" s="1203">
        <v>31659.022599999997</v>
      </c>
      <c r="CS36" s="1203">
        <v>7845.0370000000003</v>
      </c>
      <c r="DJ36" s="817">
        <v>2004</v>
      </c>
      <c r="DK36" s="1022">
        <v>1.2208051765238728</v>
      </c>
      <c r="DL36" s="829">
        <v>1.1372957741341037</v>
      </c>
      <c r="DM36" s="65">
        <v>0</v>
      </c>
      <c r="EE36" s="817">
        <v>2004</v>
      </c>
      <c r="EF36" s="1027">
        <v>17027.166999999998</v>
      </c>
      <c r="EG36" s="1023">
        <v>2889.8145</v>
      </c>
      <c r="EH36" s="292">
        <v>3583.7784999999981</v>
      </c>
      <c r="EZ36" s="817">
        <v>2004</v>
      </c>
      <c r="FA36" s="1030">
        <v>8.7904133177964692</v>
      </c>
      <c r="FB36" s="559">
        <v>6.9855323995033425</v>
      </c>
      <c r="FC36" s="97">
        <v>5.7361386042739939</v>
      </c>
    </row>
    <row r="37" spans="2:159" ht="18" thickBot="1">
      <c r="C37" t="s">
        <v>695</v>
      </c>
      <c r="D37" s="1516" t="s">
        <v>1589</v>
      </c>
      <c r="E37" s="1516" t="s">
        <v>1595</v>
      </c>
      <c r="F37" s="1516" t="s">
        <v>1596</v>
      </c>
      <c r="G37" s="1516" t="s">
        <v>179</v>
      </c>
      <c r="H37" s="1516" t="s">
        <v>1597</v>
      </c>
      <c r="I37" s="1516" t="s">
        <v>1598</v>
      </c>
      <c r="J37" s="1516" t="s">
        <v>1599</v>
      </c>
      <c r="K37" s="1516" t="s">
        <v>180</v>
      </c>
      <c r="L37" s="1516" t="s">
        <v>181</v>
      </c>
      <c r="M37" s="1516" t="s">
        <v>116</v>
      </c>
      <c r="N37" s="1516" t="s">
        <v>1592</v>
      </c>
      <c r="O37" s="1516" t="s">
        <v>182</v>
      </c>
      <c r="P37" s="1516" t="s">
        <v>1594</v>
      </c>
      <c r="Q37" s="1516" t="s">
        <v>1593</v>
      </c>
      <c r="R37" s="1516" t="s">
        <v>1270</v>
      </c>
      <c r="S37" s="1516" t="s">
        <v>1198</v>
      </c>
      <c r="T37" s="1519" t="s">
        <v>1284</v>
      </c>
      <c r="U37" s="1519" t="s">
        <v>1590</v>
      </c>
      <c r="V37" s="1519" t="s">
        <v>1591</v>
      </c>
      <c r="W37" s="1519" t="s">
        <v>819</v>
      </c>
      <c r="X37" s="1520" t="s">
        <v>295</v>
      </c>
      <c r="Y37" s="1519" t="s">
        <v>186</v>
      </c>
      <c r="AD37" s="1045">
        <v>43186</v>
      </c>
      <c r="AE37" s="1558" t="s">
        <v>82</v>
      </c>
      <c r="AF37" s="1545" t="s">
        <v>82</v>
      </c>
      <c r="AT37" s="782">
        <v>86</v>
      </c>
      <c r="AU37" s="794">
        <f t="shared" si="5"/>
        <v>38.855205256653164</v>
      </c>
      <c r="AV37" s="777"/>
      <c r="AY37" s="32">
        <f t="shared" si="6"/>
        <v>32.749151597899896</v>
      </c>
      <c r="BA37" s="1511">
        <v>2006</v>
      </c>
      <c r="BB37" s="430">
        <v>32.605223124147997</v>
      </c>
      <c r="BC37" s="10"/>
      <c r="BT37" s="817">
        <v>2005</v>
      </c>
      <c r="BU37" s="1030">
        <v>1.4590991820829273</v>
      </c>
      <c r="BV37" s="559">
        <v>1.7629074929087367</v>
      </c>
      <c r="BW37" s="559">
        <f t="shared" si="4"/>
        <v>1.7629074929087367</v>
      </c>
      <c r="BX37" s="1023"/>
      <c r="CQ37" s="820">
        <v>2005</v>
      </c>
      <c r="CR37" s="1203">
        <v>40112.701999999997</v>
      </c>
      <c r="CS37" s="1203">
        <v>9439.8269999999993</v>
      </c>
      <c r="DJ37" s="817">
        <v>2005</v>
      </c>
      <c r="DK37" s="1022">
        <v>1.3453273045293079</v>
      </c>
      <c r="DL37" s="829">
        <v>1.1532179149719812</v>
      </c>
      <c r="DM37" s="65">
        <v>0</v>
      </c>
      <c r="EE37" s="817">
        <v>2005</v>
      </c>
      <c r="EF37" s="1027">
        <v>21609.765799999997</v>
      </c>
      <c r="EG37" s="1023">
        <v>3645.9185000000002</v>
      </c>
      <c r="EH37" s="292">
        <v>4373.5738999999985</v>
      </c>
      <c r="EZ37" s="817">
        <v>2005</v>
      </c>
      <c r="FA37" s="1030">
        <v>10.054085870175701</v>
      </c>
      <c r="FB37" s="559">
        <v>7.7469554310492068</v>
      </c>
      <c r="FC37" s="97">
        <v>7.7188495068870884</v>
      </c>
    </row>
    <row r="38" spans="2:159" ht="17.399999999999999">
      <c r="C38" s="342">
        <v>41089</v>
      </c>
      <c r="D38" s="1515" t="s">
        <v>46</v>
      </c>
      <c r="E38" s="1515" t="s">
        <v>46</v>
      </c>
      <c r="F38" s="1515" t="s">
        <v>693</v>
      </c>
      <c r="G38" s="1515" t="s">
        <v>693</v>
      </c>
      <c r="H38" s="1515" t="s">
        <v>693</v>
      </c>
      <c r="I38" s="1515" t="s">
        <v>693</v>
      </c>
      <c r="J38" s="1515" t="s">
        <v>693</v>
      </c>
      <c r="K38" s="1515" t="s">
        <v>693</v>
      </c>
      <c r="L38" s="1515" t="s">
        <v>46</v>
      </c>
      <c r="M38" s="1515" t="s">
        <v>46</v>
      </c>
      <c r="N38" s="1515" t="s">
        <v>693</v>
      </c>
      <c r="O38" s="1515" t="s">
        <v>693</v>
      </c>
      <c r="P38" s="1515" t="s">
        <v>693</v>
      </c>
      <c r="Q38" s="1515" t="s">
        <v>693</v>
      </c>
      <c r="R38" s="1515" t="s">
        <v>46</v>
      </c>
      <c r="S38" s="1515" t="s">
        <v>46</v>
      </c>
      <c r="T38" s="1515" t="s">
        <v>693</v>
      </c>
      <c r="U38" s="1515" t="s">
        <v>693</v>
      </c>
      <c r="V38" s="1515" t="s">
        <v>693</v>
      </c>
      <c r="W38" s="1515" t="s">
        <v>693</v>
      </c>
      <c r="X38" s="1515" t="s">
        <v>189</v>
      </c>
      <c r="Y38" s="1515" t="s">
        <v>189</v>
      </c>
      <c r="AD38" s="1559">
        <v>1995</v>
      </c>
      <c r="AE38" s="1542">
        <f t="shared" ref="AE38:AE59" si="7">U67</f>
        <v>22.301473733510264</v>
      </c>
      <c r="AF38" s="1543">
        <f>E39/X39</f>
        <v>82.842244945749741</v>
      </c>
      <c r="AT38" s="782">
        <v>88</v>
      </c>
      <c r="AU38" s="794">
        <f t="shared" si="5"/>
        <v>44.607805256653165</v>
      </c>
      <c r="AV38" s="777"/>
      <c r="AY38" s="32">
        <f t="shared" si="6"/>
        <v>34.549151597899893</v>
      </c>
      <c r="BA38" s="1511">
        <v>2007</v>
      </c>
      <c r="BB38" s="430">
        <v>34.576355601632038</v>
      </c>
      <c r="BC38" s="97"/>
      <c r="BT38" s="817">
        <v>2006</v>
      </c>
      <c r="BU38" s="1030">
        <v>1.5787453150137274</v>
      </c>
      <c r="BV38" s="559">
        <v>2.0289294415498413</v>
      </c>
      <c r="BW38" s="559">
        <f t="shared" si="4"/>
        <v>2.0289294415498413</v>
      </c>
      <c r="BX38" s="1023"/>
      <c r="CQ38" s="820">
        <v>2006</v>
      </c>
      <c r="CR38" s="1203">
        <v>50163.726499999997</v>
      </c>
      <c r="CS38" s="1203">
        <v>11985.905000000001</v>
      </c>
      <c r="DJ38" s="817">
        <v>2006</v>
      </c>
      <c r="DK38" s="1022">
        <v>1.5699969643857024</v>
      </c>
      <c r="DL38" s="829">
        <v>1.1797419270163367</v>
      </c>
      <c r="DM38" s="65">
        <v>0</v>
      </c>
      <c r="EE38" s="817">
        <v>2006</v>
      </c>
      <c r="EF38" s="1027">
        <v>26917.203699999998</v>
      </c>
      <c r="EG38" s="1023">
        <v>4680.4097000000002</v>
      </c>
      <c r="EH38" s="292">
        <v>5649.1719999999987</v>
      </c>
      <c r="EZ38" s="817">
        <v>2006</v>
      </c>
      <c r="FA38" s="1030">
        <v>11.28478682823815</v>
      </c>
      <c r="FB38" s="559">
        <v>8.4441814198436358</v>
      </c>
      <c r="FC38" s="97">
        <v>7.333907061981483</v>
      </c>
    </row>
    <row r="39" spans="2:159" ht="17.399999999999999">
      <c r="C39" s="1517">
        <v>1995</v>
      </c>
      <c r="D39" s="1016">
        <v>5306.46</v>
      </c>
      <c r="E39" s="1016">
        <f>D39</f>
        <v>5306.46</v>
      </c>
      <c r="F39" s="784">
        <v>1.0009999999999999</v>
      </c>
      <c r="G39" s="784">
        <v>1</v>
      </c>
      <c r="H39" s="784"/>
      <c r="I39" s="784">
        <v>1</v>
      </c>
      <c r="J39" s="784">
        <v>2.3130000000000002</v>
      </c>
      <c r="K39" s="784">
        <v>1</v>
      </c>
      <c r="L39" s="1135">
        <v>230.40700000000001</v>
      </c>
      <c r="M39" s="1135">
        <f>L39</f>
        <v>230.40700000000001</v>
      </c>
      <c r="N39" s="1153">
        <v>0.92700000000000005</v>
      </c>
      <c r="O39" s="784">
        <v>1</v>
      </c>
      <c r="P39" s="784"/>
      <c r="Q39" s="784">
        <v>1</v>
      </c>
      <c r="R39" s="1016">
        <f t="array" ref="R39:R57">TRANSPOSE(ОТЧЁТ!$U$67:$AM$67)</f>
        <v>1428.5209</v>
      </c>
      <c r="S39" s="1016">
        <f>R39</f>
        <v>1428.5209</v>
      </c>
      <c r="T39" s="1153">
        <v>0.95899999999999996</v>
      </c>
      <c r="U39" s="784">
        <v>1</v>
      </c>
      <c r="V39" s="784"/>
      <c r="W39" s="784">
        <v>1</v>
      </c>
      <c r="X39" s="1153">
        <f t="array" ref="X39:X57">TRANSPOSE(ОТЧЁТ!$U$91:$AM$91)</f>
        <v>64.055000000000007</v>
      </c>
      <c r="Y39" s="784"/>
      <c r="AD39" s="1551">
        <v>1996</v>
      </c>
      <c r="AE39" s="1542">
        <f t="shared" si="7"/>
        <v>21.883647145944572</v>
      </c>
      <c r="AF39" s="1543">
        <f t="shared" ref="AF39:AF59" si="8">V68</f>
        <v>84.234267734553782</v>
      </c>
      <c r="AT39" s="782">
        <v>90</v>
      </c>
      <c r="AU39" s="794">
        <f t="shared" si="5"/>
        <v>50.360405256653166</v>
      </c>
      <c r="AV39" s="777"/>
      <c r="AY39" s="32">
        <f t="shared" si="6"/>
        <v>36.34915159789989</v>
      </c>
      <c r="BA39" s="1511">
        <v>2008</v>
      </c>
      <c r="BB39" s="430">
        <v>36.254961869156645</v>
      </c>
      <c r="BC39" s="97"/>
      <c r="BT39" s="817">
        <v>2007</v>
      </c>
      <c r="BU39" s="1030">
        <v>1.7129386667898943</v>
      </c>
      <c r="BV39" s="559">
        <v>2.2961879581752398</v>
      </c>
      <c r="BW39" s="559">
        <f t="shared" si="4"/>
        <v>2.2961879581752398</v>
      </c>
      <c r="BX39" s="1023"/>
      <c r="CQ39" s="820">
        <v>2007</v>
      </c>
      <c r="CR39" s="1203">
        <v>62515.174500000001</v>
      </c>
      <c r="CS39" s="1203">
        <v>15526.11</v>
      </c>
      <c r="DJ39" s="817">
        <v>2007</v>
      </c>
      <c r="DK39" s="1022">
        <v>1.9263862753012568</v>
      </c>
      <c r="DL39" s="829">
        <v>1.2115949590457777</v>
      </c>
      <c r="DM39" s="65">
        <v>0</v>
      </c>
      <c r="EE39" s="817">
        <v>2007</v>
      </c>
      <c r="EF39" s="1027">
        <v>33247.513200000001</v>
      </c>
      <c r="EG39" s="1023">
        <v>5750.9641000000001</v>
      </c>
      <c r="EH39" s="292">
        <v>7068.8403000000008</v>
      </c>
      <c r="EZ39" s="817">
        <v>2007</v>
      </c>
      <c r="FA39" s="1030">
        <v>13.059083510568804</v>
      </c>
      <c r="FB39" s="559">
        <v>9.4465057543790749</v>
      </c>
      <c r="FC39" s="97">
        <v>7.9418012798076241</v>
      </c>
    </row>
    <row r="40" spans="2:159" ht="17.399999999999999">
      <c r="C40" s="1518">
        <v>1996</v>
      </c>
      <c r="D40" s="1016">
        <v>13250.16</v>
      </c>
      <c r="E40" s="1016">
        <f>E39*F40</f>
        <v>5301.1535400000002</v>
      </c>
      <c r="F40" s="784">
        <v>0.99900000000000011</v>
      </c>
      <c r="G40" s="1153">
        <f>G39*F40</f>
        <v>0.99900000000000011</v>
      </c>
      <c r="H40" s="784"/>
      <c r="I40" s="1153">
        <f>D40/E40</f>
        <v>2.4994861778706374</v>
      </c>
      <c r="J40" s="784">
        <v>1.218</v>
      </c>
      <c r="K40" s="1153">
        <f>K39*J40</f>
        <v>1.218</v>
      </c>
      <c r="L40" s="1135">
        <v>334.30200000000002</v>
      </c>
      <c r="M40" s="1135">
        <f>M39*N40</f>
        <v>197.458799</v>
      </c>
      <c r="N40" s="1153">
        <v>0.85699999999999998</v>
      </c>
      <c r="O40" s="784">
        <f>O39*N40</f>
        <v>0.85699999999999998</v>
      </c>
      <c r="P40" s="784"/>
      <c r="Q40" s="947">
        <f>L40/M40</f>
        <v>1.6930215401543085</v>
      </c>
      <c r="R40" s="1016">
        <v>2007.8252000000002</v>
      </c>
      <c r="S40" s="1016">
        <f>S39*T40</f>
        <v>1377.0941476</v>
      </c>
      <c r="T40" s="1153">
        <v>0.96399999999999997</v>
      </c>
      <c r="U40" s="1153">
        <f>U39*T40</f>
        <v>0.96399999999999997</v>
      </c>
      <c r="V40" s="784"/>
      <c r="W40" s="1153">
        <f>R40/S40</f>
        <v>1.4580159268698065</v>
      </c>
      <c r="X40" s="1153">
        <v>62.927999999999997</v>
      </c>
      <c r="Y40" s="784"/>
      <c r="AD40" s="1551">
        <v>1997</v>
      </c>
      <c r="AE40" s="1542">
        <f t="shared" si="7"/>
        <v>23.264748432488631</v>
      </c>
      <c r="AF40" s="1543">
        <f t="shared" si="8"/>
        <v>87.960734143049933</v>
      </c>
      <c r="AT40" s="782">
        <v>92</v>
      </c>
      <c r="AU40" s="794">
        <f t="shared" si="5"/>
        <v>56.113005256653139</v>
      </c>
      <c r="AV40" s="777"/>
      <c r="AY40" s="32">
        <f t="shared" si="6"/>
        <v>38.149151597899888</v>
      </c>
      <c r="BA40" s="1511">
        <v>2009</v>
      </c>
      <c r="BB40" s="430">
        <v>34.157158680963363</v>
      </c>
      <c r="BC40" s="97"/>
      <c r="BT40" s="817">
        <v>2008</v>
      </c>
      <c r="BU40" s="1030">
        <v>1.8020114774629687</v>
      </c>
      <c r="BV40" s="559">
        <v>2.5452330528232636</v>
      </c>
      <c r="BW40" s="559">
        <f t="shared" si="4"/>
        <v>2.5452330528232636</v>
      </c>
      <c r="BX40" s="1023"/>
      <c r="CQ40" s="820">
        <v>2008</v>
      </c>
      <c r="CR40" s="1203">
        <v>77695.808799999999</v>
      </c>
      <c r="CS40" s="1203">
        <v>19559.759999999998</v>
      </c>
      <c r="DJ40" s="817">
        <v>2008</v>
      </c>
      <c r="DK40" s="1022">
        <v>2.1093929714548763</v>
      </c>
      <c r="DL40" s="829">
        <v>1.2527891876533341</v>
      </c>
      <c r="DM40" s="65">
        <v>0</v>
      </c>
      <c r="EE40" s="817">
        <v>2008</v>
      </c>
      <c r="EF40" s="1027">
        <v>41276.849199999997</v>
      </c>
      <c r="EG40" s="1023">
        <v>7359.8441999999995</v>
      </c>
      <c r="EH40" s="292">
        <v>9104.344299999997</v>
      </c>
      <c r="EZ40" s="817">
        <v>2008</v>
      </c>
      <c r="FA40" s="1030">
        <v>15.593657080025292</v>
      </c>
      <c r="FB40" s="559">
        <v>10.701001718560617</v>
      </c>
      <c r="FC40" s="97">
        <v>9.313557709187231</v>
      </c>
    </row>
    <row r="41" spans="2:159" ht="17.399999999999999">
      <c r="B41" s="35">
        <v>0.9985937266381063</v>
      </c>
      <c r="C41" s="1518">
        <v>1997</v>
      </c>
      <c r="D41" s="1016">
        <v>13411.950999999999</v>
      </c>
      <c r="E41" s="1016">
        <f t="shared" ref="E41:E55" si="9">E40*F41</f>
        <v>5279.9489258399999</v>
      </c>
      <c r="F41" s="784">
        <v>0.996</v>
      </c>
      <c r="G41" s="1153">
        <f t="shared" ref="G41:G54" si="10">G40*F41</f>
        <v>0.99500400000000011</v>
      </c>
      <c r="H41" s="784"/>
      <c r="I41" s="1153">
        <f t="shared" ref="I41:I53" si="11">D41/E41</f>
        <v>2.5401668062283878</v>
      </c>
      <c r="J41" s="784">
        <v>1.1100000000000001</v>
      </c>
      <c r="K41" s="1153">
        <f t="shared" ref="K41:K55" si="12">K40*J41</f>
        <v>1.3519800000000002</v>
      </c>
      <c r="L41" s="1135">
        <v>406.47199999999998</v>
      </c>
      <c r="M41" s="1135">
        <f t="shared" ref="M41:M54" si="13">M40*N41</f>
        <v>168.62981434600002</v>
      </c>
      <c r="N41" s="1153">
        <v>0.85400000000000009</v>
      </c>
      <c r="O41" s="784">
        <f t="shared" ref="O41:O54" si="14">O40*N41</f>
        <v>0.73187800000000003</v>
      </c>
      <c r="P41" s="784"/>
      <c r="Q41" s="947">
        <f t="shared" ref="Q41:Q54" si="15">L41/M41</f>
        <v>2.4104397053179918</v>
      </c>
      <c r="R41" s="1016">
        <v>2342.5137</v>
      </c>
      <c r="S41" s="1016">
        <f t="shared" ref="S41:S57" si="16">S40*T41</f>
        <v>1396.3734656664001</v>
      </c>
      <c r="T41" s="1153">
        <v>1.014</v>
      </c>
      <c r="U41" s="1153">
        <f t="shared" ref="U41:U57" si="17">U40*T41</f>
        <v>0.97749600000000003</v>
      </c>
      <c r="V41" s="784"/>
      <c r="W41" s="1153">
        <f t="shared" ref="W41:W57" si="18">R41/S41</f>
        <v>1.6775696170093488</v>
      </c>
      <c r="X41" s="1153">
        <v>60.021000000000001</v>
      </c>
      <c r="Y41" s="784"/>
      <c r="AD41" s="1551">
        <v>1998</v>
      </c>
      <c r="AE41" s="1542">
        <f t="shared" si="7"/>
        <v>22.628910997930777</v>
      </c>
      <c r="AF41" s="1543">
        <f t="shared" si="8"/>
        <v>90.073972831048835</v>
      </c>
      <c r="AT41" s="783">
        <v>94</v>
      </c>
      <c r="AU41" s="795">
        <f t="shared" si="5"/>
        <v>61.865605256653168</v>
      </c>
      <c r="AV41" s="796"/>
      <c r="AY41" s="32">
        <f t="shared" si="6"/>
        <v>39.949151597899885</v>
      </c>
      <c r="BA41" s="1511">
        <v>2010</v>
      </c>
      <c r="BB41" s="430">
        <v>35.426929528449264</v>
      </c>
      <c r="BC41" s="97"/>
      <c r="BT41" s="817">
        <v>2009</v>
      </c>
      <c r="BU41" s="1030">
        <v>1.6596525707433942</v>
      </c>
      <c r="BV41" s="559">
        <v>2.4972789335593348</v>
      </c>
      <c r="BW41" s="1023"/>
      <c r="BX41" s="559">
        <f t="shared" ref="BX41:BX46" si="19">BV41</f>
        <v>2.4972789335593348</v>
      </c>
      <c r="CQ41" s="820">
        <v>2009</v>
      </c>
      <c r="CR41" s="1203">
        <v>73092.394899999999</v>
      </c>
      <c r="CS41" s="1203">
        <v>20411.61</v>
      </c>
      <c r="DJ41" s="817">
        <v>2009</v>
      </c>
      <c r="DK41" s="1022">
        <v>1.8246249203084679</v>
      </c>
      <c r="DL41" s="829">
        <v>1.2452724525274141</v>
      </c>
      <c r="DM41" s="65">
        <v>0</v>
      </c>
      <c r="EE41" s="817">
        <v>2009</v>
      </c>
      <c r="EF41" s="1027">
        <v>38807.270899999996</v>
      </c>
      <c r="EG41" s="1023">
        <v>8066.7</v>
      </c>
      <c r="EH41" s="292">
        <v>7435.3883999999971</v>
      </c>
      <c r="EZ41" s="817">
        <v>2009</v>
      </c>
      <c r="FA41" s="1030">
        <v>16.373566297801105</v>
      </c>
      <c r="FB41" s="559">
        <v>11.642689869793951</v>
      </c>
      <c r="FC41" s="97">
        <v>10.66694831320229</v>
      </c>
    </row>
    <row r="42" spans="2:159" ht="17.399999999999999">
      <c r="B42" s="35">
        <v>0.99529785508492252</v>
      </c>
      <c r="C42" s="1518">
        <v>1998</v>
      </c>
      <c r="D42" s="1016">
        <v>14277.54</v>
      </c>
      <c r="E42" s="1016">
        <f t="shared" si="9"/>
        <v>5264.1090790624803</v>
      </c>
      <c r="F42" s="784">
        <v>0.997</v>
      </c>
      <c r="G42" s="1153">
        <f t="shared" si="10"/>
        <v>0.9920189880000001</v>
      </c>
      <c r="H42" s="784"/>
      <c r="I42" s="1153">
        <f t="shared" si="11"/>
        <v>2.7122424299275312</v>
      </c>
      <c r="J42" s="784">
        <v>1.8440000000000001</v>
      </c>
      <c r="K42" s="1153">
        <f t="shared" si="12"/>
        <v>2.4930511200000005</v>
      </c>
      <c r="L42" s="1135">
        <v>428.56400000000002</v>
      </c>
      <c r="M42" s="1135">
        <f t="shared" si="13"/>
        <v>160.1983236287</v>
      </c>
      <c r="N42" s="1153">
        <v>0.95</v>
      </c>
      <c r="O42" s="784">
        <f t="shared" si="14"/>
        <v>0.69528409999999996</v>
      </c>
      <c r="P42" s="784"/>
      <c r="Q42" s="947">
        <f t="shared" si="15"/>
        <v>2.6752090177504302</v>
      </c>
      <c r="R42" s="1016">
        <v>2629.6228999999998</v>
      </c>
      <c r="S42" s="1016">
        <f t="shared" si="16"/>
        <v>1322.3656719860808</v>
      </c>
      <c r="T42" s="1153">
        <v>0.94699999999999995</v>
      </c>
      <c r="U42" s="1153">
        <f t="shared" si="17"/>
        <v>0.92568871200000002</v>
      </c>
      <c r="V42" s="784"/>
      <c r="W42" s="1153">
        <f t="shared" si="18"/>
        <v>1.988574685283935</v>
      </c>
      <c r="X42" s="1153">
        <v>58.436999999999998</v>
      </c>
      <c r="Y42" s="784"/>
      <c r="AD42" s="1551">
        <v>1999</v>
      </c>
      <c r="AE42" s="1542">
        <f t="shared" si="7"/>
        <v>22.304255968314099</v>
      </c>
      <c r="AF42" s="1543">
        <f t="shared" si="8"/>
        <v>83.60832021541259</v>
      </c>
      <c r="AT42" s="792"/>
      <c r="AU42" s="793" t="s">
        <v>196</v>
      </c>
      <c r="AV42" s="776"/>
      <c r="AY42" s="32">
        <f t="shared" si="6"/>
        <v>41.749151597899882</v>
      </c>
      <c r="BA42" s="1511">
        <v>2011</v>
      </c>
      <c r="BB42" s="430">
        <v>36.469011429199981</v>
      </c>
      <c r="BC42" s="97"/>
      <c r="BT42" s="817">
        <v>2010</v>
      </c>
      <c r="BU42" s="1030">
        <v>1.7343369364268468</v>
      </c>
      <c r="BV42" s="559">
        <v>2.5669743863224377</v>
      </c>
      <c r="BW42" s="1023"/>
      <c r="BX42" s="559">
        <f t="shared" si="19"/>
        <v>2.5669743863224377</v>
      </c>
      <c r="CQ42" s="820">
        <v>2010</v>
      </c>
      <c r="CR42" s="1203">
        <v>88323.067999999999</v>
      </c>
      <c r="CS42" s="1203">
        <v>22995.63</v>
      </c>
      <c r="DJ42" s="817">
        <v>2010</v>
      </c>
      <c r="DK42" s="1022">
        <v>1.9395762902879012</v>
      </c>
      <c r="DL42" s="829">
        <v>1.2265933657395029</v>
      </c>
      <c r="DM42" s="65">
        <v>0</v>
      </c>
      <c r="EE42" s="817">
        <v>2010</v>
      </c>
      <c r="EF42" s="1027">
        <v>46308.53100000001</v>
      </c>
      <c r="EG42" s="1023">
        <v>8671.3230000000003</v>
      </c>
      <c r="EH42" s="292">
        <v>9991.8440000000119</v>
      </c>
      <c r="EZ42" s="817">
        <v>2010</v>
      </c>
      <c r="FA42" s="1030">
        <v>17.674409856030426</v>
      </c>
      <c r="FB42" s="559">
        <v>12.664918040361862</v>
      </c>
      <c r="FC42" s="97">
        <v>11.27644871677545</v>
      </c>
    </row>
    <row r="43" spans="2:159" ht="17.399999999999999">
      <c r="B43" s="35">
        <v>0.99549261818847989</v>
      </c>
      <c r="C43" s="1518">
        <v>1999</v>
      </c>
      <c r="D43" s="1016">
        <v>14334.782999999999</v>
      </c>
      <c r="E43" s="1016">
        <f t="shared" si="9"/>
        <v>5274.6372972206054</v>
      </c>
      <c r="F43" s="784">
        <v>1.002</v>
      </c>
      <c r="G43" s="1153">
        <f t="shared" si="10"/>
        <v>0.9940030259760001</v>
      </c>
      <c r="H43" s="784"/>
      <c r="I43" s="1153">
        <f t="shared" si="11"/>
        <v>2.7176812721423533</v>
      </c>
      <c r="J43" s="784">
        <v>1.365</v>
      </c>
      <c r="K43" s="1153">
        <f t="shared" si="12"/>
        <v>3.4030147788000007</v>
      </c>
      <c r="L43" s="1135">
        <v>597.30600000000004</v>
      </c>
      <c r="M43" s="1135">
        <f t="shared" si="13"/>
        <v>170.93161131182288</v>
      </c>
      <c r="N43" s="1153">
        <v>1.0669999999999999</v>
      </c>
      <c r="O43" s="784">
        <f t="shared" si="14"/>
        <v>0.7418681346999999</v>
      </c>
      <c r="P43" s="784"/>
      <c r="Q43" s="947">
        <f t="shared" si="15"/>
        <v>3.494415078732052</v>
      </c>
      <c r="R43" s="1016">
        <v>4823.2329</v>
      </c>
      <c r="S43" s="1016">
        <f t="shared" si="16"/>
        <v>1406.9970749931899</v>
      </c>
      <c r="T43" s="1153">
        <v>1.0640000000000001</v>
      </c>
      <c r="U43" s="1153">
        <f t="shared" si="17"/>
        <v>0.98493278956800012</v>
      </c>
      <c r="V43" s="784"/>
      <c r="W43" s="1153">
        <f t="shared" si="18"/>
        <v>3.428033352537954</v>
      </c>
      <c r="X43" s="1153">
        <v>63.082000000000001</v>
      </c>
      <c r="Y43" s="784"/>
      <c r="AD43" s="1551">
        <v>2000</v>
      </c>
      <c r="AE43" s="1542">
        <f t="shared" si="7"/>
        <v>23.785105002190093</v>
      </c>
      <c r="AF43" s="1543">
        <f t="shared" si="8"/>
        <v>81.459212480525593</v>
      </c>
      <c r="AT43" s="782">
        <v>90</v>
      </c>
      <c r="AU43" s="794">
        <v>32</v>
      </c>
      <c r="AV43" s="777"/>
      <c r="AY43" s="32">
        <f t="shared" si="6"/>
        <v>43.549151597899879</v>
      </c>
      <c r="AZ43" s="32">
        <f>BB43</f>
        <v>37.438341507582962</v>
      </c>
      <c r="BA43" s="1511">
        <v>2012</v>
      </c>
      <c r="BB43" s="430">
        <v>37.438341507582962</v>
      </c>
      <c r="BC43" s="97"/>
      <c r="BT43" s="817">
        <v>2011</v>
      </c>
      <c r="BU43" s="1030">
        <v>1.808913424693201</v>
      </c>
      <c r="BV43" s="559">
        <v>2.7400070660747096</v>
      </c>
      <c r="BW43" s="1023"/>
      <c r="BX43" s="559">
        <f t="shared" si="19"/>
        <v>2.7400070660747096</v>
      </c>
      <c r="CQ43" s="820">
        <v>2011</v>
      </c>
      <c r="CR43" s="1203">
        <v>109158.8003</v>
      </c>
      <c r="CS43" s="1203">
        <v>26386.6754</v>
      </c>
      <c r="DJ43" s="817">
        <v>2011</v>
      </c>
      <c r="DK43" s="1022">
        <v>2.1490505296389948</v>
      </c>
      <c r="DL43" s="829">
        <v>1.2437656728598561</v>
      </c>
      <c r="DM43" s="65">
        <v>0</v>
      </c>
      <c r="EE43" s="817">
        <v>2011</v>
      </c>
      <c r="EF43" s="1027">
        <v>60282.540400000005</v>
      </c>
      <c r="EG43" s="1023">
        <v>10527.4218</v>
      </c>
      <c r="EH43" s="292">
        <v>14227.657200000005</v>
      </c>
      <c r="EZ43" s="817">
        <v>2011</v>
      </c>
      <c r="FA43" s="1030">
        <v>19.234566440524752</v>
      </c>
      <c r="FB43" s="559">
        <v>13.437478040823935</v>
      </c>
      <c r="FC43" s="97">
        <v>12.282914423380722</v>
      </c>
    </row>
    <row r="44" spans="2:159" ht="17.399999999999999">
      <c r="B44" s="35">
        <v>1.0043838660319853</v>
      </c>
      <c r="C44" s="1518">
        <v>2000</v>
      </c>
      <c r="D44" s="1016">
        <v>17464.171999999999</v>
      </c>
      <c r="E44" s="1016">
        <f t="shared" si="9"/>
        <v>5301.0104837067083</v>
      </c>
      <c r="F44" s="784">
        <v>1.0049999999999999</v>
      </c>
      <c r="G44" s="1153">
        <f t="shared" si="10"/>
        <v>0.99897304110588003</v>
      </c>
      <c r="H44" s="784"/>
      <c r="I44" s="1153">
        <f t="shared" si="11"/>
        <v>3.2944986722207448</v>
      </c>
      <c r="J44" s="784">
        <v>1.202</v>
      </c>
      <c r="K44" s="1153">
        <f t="shared" si="12"/>
        <v>4.0904237641176007</v>
      </c>
      <c r="L44" s="1135">
        <v>843.37800000000004</v>
      </c>
      <c r="M44" s="1135">
        <f t="shared" si="13"/>
        <v>213.83544575109039</v>
      </c>
      <c r="N44" s="1153">
        <v>1.2509999999999999</v>
      </c>
      <c r="O44" s="784">
        <f t="shared" si="14"/>
        <v>0.92807703650969975</v>
      </c>
      <c r="P44" s="784"/>
      <c r="Q44" s="947">
        <f t="shared" si="15"/>
        <v>3.9440514505799582</v>
      </c>
      <c r="R44" s="1016">
        <v>7305.6466</v>
      </c>
      <c r="S44" s="1016">
        <f t="shared" si="16"/>
        <v>1547.6967824925091</v>
      </c>
      <c r="T44" s="1153">
        <v>1.1000000000000001</v>
      </c>
      <c r="U44" s="1153">
        <f t="shared" si="17"/>
        <v>1.0834260685248003</v>
      </c>
      <c r="V44" s="784"/>
      <c r="W44" s="1153">
        <f t="shared" si="18"/>
        <v>4.7203345530217637</v>
      </c>
      <c r="X44" s="1153">
        <v>65.069999999999993</v>
      </c>
      <c r="Y44" s="947">
        <v>7.6995434444499935</v>
      </c>
      <c r="AD44" s="1551">
        <v>2001</v>
      </c>
      <c r="AE44" s="1542">
        <f t="shared" si="7"/>
        <v>24.977800752416609</v>
      </c>
      <c r="AF44" s="1543">
        <f t="shared" si="8"/>
        <v>82.125453598771088</v>
      </c>
      <c r="AT44" s="782">
        <v>92</v>
      </c>
      <c r="AU44" s="794">
        <v>34</v>
      </c>
      <c r="AV44" s="777"/>
      <c r="AY44" s="32">
        <f t="shared" si="6"/>
        <v>45.349151597899876</v>
      </c>
      <c r="AZ44" s="32">
        <f>BB44</f>
        <v>38.188926146237897</v>
      </c>
      <c r="BA44" s="1511">
        <v>2013</v>
      </c>
      <c r="BB44" s="430">
        <v>38.188926146237897</v>
      </c>
      <c r="BC44" s="97"/>
      <c r="BT44" s="817">
        <v>2012</v>
      </c>
      <c r="BU44" s="1030">
        <v>1.8750455190419226</v>
      </c>
      <c r="BV44" s="559">
        <v>2.9136140751903352</v>
      </c>
      <c r="BW44" s="1023"/>
      <c r="BX44" s="559">
        <f t="shared" si="19"/>
        <v>2.9136140751903352</v>
      </c>
      <c r="CQ44" s="820">
        <v>2012</v>
      </c>
      <c r="CR44" s="1203">
        <v>122259.8224</v>
      </c>
      <c r="CS44" s="1203">
        <v>30201.161499999998</v>
      </c>
      <c r="DJ44" s="817">
        <v>2012</v>
      </c>
      <c r="DK44" s="1022">
        <v>2.2951859656544467</v>
      </c>
      <c r="DL44" s="829">
        <v>1.2761035803542125</v>
      </c>
      <c r="DM44" s="65">
        <v>0</v>
      </c>
      <c r="EE44" s="817">
        <v>2012</v>
      </c>
      <c r="EF44" s="1027">
        <v>68163.883100000006</v>
      </c>
      <c r="EG44" s="1023">
        <v>12155.9717</v>
      </c>
      <c r="EH44" s="292">
        <v>16300.083700000003</v>
      </c>
      <c r="EZ44" s="817">
        <v>2012</v>
      </c>
      <c r="FA44" s="1030">
        <v>20.540168341333807</v>
      </c>
      <c r="FB44" s="559">
        <v>14.324351591518315</v>
      </c>
      <c r="FC44" s="97">
        <v>13.249096044334456</v>
      </c>
    </row>
    <row r="45" spans="2:159" ht="17.399999999999999">
      <c r="B45" s="35">
        <v>1.0033011930054396</v>
      </c>
      <c r="C45" s="1518">
        <v>2001</v>
      </c>
      <c r="D45" s="1016">
        <v>21495.236000000001</v>
      </c>
      <c r="E45" s="1016">
        <f t="shared" si="9"/>
        <v>5348.7195780600696</v>
      </c>
      <c r="F45" s="784">
        <v>1.0090000000000001</v>
      </c>
      <c r="G45" s="1153">
        <f t="shared" si="10"/>
        <v>1.0079637984758332</v>
      </c>
      <c r="H45" s="784"/>
      <c r="I45" s="1153">
        <f t="shared" si="11"/>
        <v>4.0187629368664943</v>
      </c>
      <c r="J45" s="784">
        <v>1.1859999999999999</v>
      </c>
      <c r="K45" s="1153">
        <f t="shared" si="12"/>
        <v>4.8512425842434741</v>
      </c>
      <c r="L45" s="1135">
        <v>1117.655</v>
      </c>
      <c r="M45" s="1135">
        <f t="shared" si="13"/>
        <v>254.25034499804647</v>
      </c>
      <c r="N45" s="1153">
        <v>1.1890000000000001</v>
      </c>
      <c r="O45" s="784">
        <f t="shared" si="14"/>
        <v>1.1034835964100331</v>
      </c>
      <c r="P45" s="784"/>
      <c r="Q45" s="947">
        <f t="shared" si="15"/>
        <v>4.3958839072906173</v>
      </c>
      <c r="R45" s="1016">
        <v>8943.5825999999997</v>
      </c>
      <c r="S45" s="1016">
        <f t="shared" si="16"/>
        <v>1626.629318399627</v>
      </c>
      <c r="T45" s="1153">
        <v>1.0509999999999999</v>
      </c>
      <c r="U45" s="1153">
        <f t="shared" si="17"/>
        <v>1.138680798019565</v>
      </c>
      <c r="V45" s="784"/>
      <c r="W45" s="1153">
        <f t="shared" si="18"/>
        <v>5.4982302967459233</v>
      </c>
      <c r="X45" s="1153">
        <v>65.123000000000005</v>
      </c>
      <c r="Y45" s="947">
        <v>6.4237315088549964</v>
      </c>
      <c r="AD45" s="1551">
        <v>2002</v>
      </c>
      <c r="AE45" s="1542">
        <f t="shared" si="7"/>
        <v>25.549151597899893</v>
      </c>
      <c r="AF45" s="1543">
        <f t="shared" si="8"/>
        <v>81.035396178458996</v>
      </c>
      <c r="AT45" s="782">
        <v>94</v>
      </c>
      <c r="AU45" s="794">
        <f>AU44+0.68*(AU44-AU43)</f>
        <v>35.36</v>
      </c>
      <c r="AV45" s="777"/>
      <c r="AY45" s="32">
        <f t="shared" si="6"/>
        <v>47.149151597899873</v>
      </c>
      <c r="AZ45" s="32">
        <f>BB45</f>
        <v>38.39162476730791</v>
      </c>
      <c r="BA45" s="1511">
        <v>2014</v>
      </c>
      <c r="BB45" s="430">
        <v>38.39162476730791</v>
      </c>
      <c r="BC45" s="97"/>
      <c r="BT45" s="817">
        <v>2013</v>
      </c>
      <c r="BU45" s="1030">
        <v>1.9085217286102596</v>
      </c>
      <c r="BV45" s="559">
        <v>3.0676926627762775</v>
      </c>
      <c r="BW45" s="1023"/>
      <c r="BX45" s="559">
        <f t="shared" si="19"/>
        <v>3.0676926627762775</v>
      </c>
      <c r="CQ45" s="820">
        <v>2013</v>
      </c>
      <c r="CR45" s="1203">
        <v>132429.93030000001</v>
      </c>
      <c r="CS45" s="1203">
        <v>33792.282200000001</v>
      </c>
      <c r="DJ45" s="817">
        <v>2013</v>
      </c>
      <c r="DK45" s="1022">
        <v>2.313547453379682</v>
      </c>
      <c r="DL45" s="829">
        <v>1.2875885125774005</v>
      </c>
      <c r="DM45" s="65">
        <v>0</v>
      </c>
      <c r="EE45" s="817">
        <v>2013</v>
      </c>
      <c r="EF45" s="1027">
        <v>73133.89509999998</v>
      </c>
      <c r="EG45" s="1023">
        <v>13551.946099999999</v>
      </c>
      <c r="EH45" s="292">
        <v>17017.569999999989</v>
      </c>
      <c r="EZ45" s="817">
        <v>2013</v>
      </c>
      <c r="FA45" s="1030">
        <v>21.776225011581559</v>
      </c>
      <c r="FB45" s="559">
        <v>15.255434444967005</v>
      </c>
      <c r="FC45" s="97">
        <v>14.15863931501705</v>
      </c>
    </row>
    <row r="46" spans="2:159" ht="17.399999999999999">
      <c r="B46" s="35">
        <v>1.0092857810308478</v>
      </c>
      <c r="C46" s="1518">
        <v>2002</v>
      </c>
      <c r="D46" s="1016">
        <v>26333.273000000001</v>
      </c>
      <c r="E46" s="1016">
        <f t="shared" si="9"/>
        <v>5402.2067738406704</v>
      </c>
      <c r="F46" s="1153">
        <v>1.01</v>
      </c>
      <c r="G46" s="1153">
        <f t="shared" si="10"/>
        <v>1.0180434364605915</v>
      </c>
      <c r="H46" s="784"/>
      <c r="I46" s="1153">
        <f t="shared" si="11"/>
        <v>4.8745399986380935</v>
      </c>
      <c r="J46" s="784">
        <v>1.151</v>
      </c>
      <c r="K46" s="1153">
        <f t="shared" si="12"/>
        <v>5.5837802144642392</v>
      </c>
      <c r="L46" s="1135">
        <v>1615.0630000000001</v>
      </c>
      <c r="M46" s="1135">
        <f t="shared" si="13"/>
        <v>274.33612225289215</v>
      </c>
      <c r="N46" s="1153">
        <v>1.079</v>
      </c>
      <c r="O46" s="784">
        <f t="shared" si="14"/>
        <v>1.1906588005264258</v>
      </c>
      <c r="P46" s="784"/>
      <c r="Q46" s="947">
        <f t="shared" si="15"/>
        <v>5.8871685826016789</v>
      </c>
      <c r="R46" s="1016">
        <v>10819.270899999998</v>
      </c>
      <c r="S46" s="1016">
        <f t="shared" si="16"/>
        <v>1703.0808963644092</v>
      </c>
      <c r="T46" s="1153">
        <v>1.0469999999999999</v>
      </c>
      <c r="U46" s="1153">
        <f t="shared" si="17"/>
        <v>1.1921987955264846</v>
      </c>
      <c r="V46" s="784"/>
      <c r="W46" s="1153">
        <f t="shared" si="18"/>
        <v>6.3527639368723161</v>
      </c>
      <c r="X46" s="1153">
        <v>66.659000000000006</v>
      </c>
      <c r="Y46" s="947">
        <v>5.698272923562496</v>
      </c>
      <c r="AD46" s="1551">
        <v>2003</v>
      </c>
      <c r="AE46" s="1542">
        <f t="shared" si="7"/>
        <v>27.546477966188984</v>
      </c>
      <c r="AF46" s="1543">
        <f t="shared" si="8"/>
        <v>82.484829045057609</v>
      </c>
      <c r="AT46" s="782">
        <v>96</v>
      </c>
      <c r="AU46" s="794">
        <f>AU45+0.69*(AU45-AU44)</f>
        <v>36.298400000000001</v>
      </c>
      <c r="AV46" s="777"/>
      <c r="AY46" s="32">
        <f t="shared" si="6"/>
        <v>48.949151597899871</v>
      </c>
      <c r="AZ46" s="32">
        <f>AZ45+1.7*(AZ45-AZ44)</f>
        <v>38.736212423126929</v>
      </c>
      <c r="BA46" s="1511">
        <v>2015</v>
      </c>
      <c r="BB46" s="430">
        <v>37.101717534154105</v>
      </c>
      <c r="BC46" s="97">
        <f>BB46</f>
        <v>37.101717534154105</v>
      </c>
      <c r="BT46" s="817">
        <v>2014</v>
      </c>
      <c r="BU46" s="1030">
        <v>1.9226180848563927</v>
      </c>
      <c r="BV46" s="559">
        <v>3.0404294602847233</v>
      </c>
      <c r="BW46" s="1023"/>
      <c r="BX46" s="559">
        <f t="shared" si="19"/>
        <v>3.0404294602847233</v>
      </c>
      <c r="CQ46" s="820">
        <v>2014</v>
      </c>
      <c r="CR46" s="1203">
        <v>143402.38389999999</v>
      </c>
      <c r="CS46" s="1203">
        <v>37387.176399999997</v>
      </c>
      <c r="DJ46" s="817">
        <v>2014</v>
      </c>
      <c r="DK46" s="1022">
        <v>2.2788442415789869</v>
      </c>
      <c r="DL46" s="829">
        <v>1.2605491538132751</v>
      </c>
      <c r="DM46" s="65">
        <v>0</v>
      </c>
      <c r="EE46" s="817">
        <v>2014</v>
      </c>
      <c r="EF46" s="1027">
        <v>79199.658500000005</v>
      </c>
      <c r="EG46" s="1023">
        <v>14207.045099999999</v>
      </c>
      <c r="EH46" s="292">
        <v>17918.964099999997</v>
      </c>
      <c r="EZ46" s="817">
        <v>2014</v>
      </c>
      <c r="FA46" s="1030">
        <v>22.851453644141124</v>
      </c>
      <c r="FB46" s="559">
        <v>16.994553971693247</v>
      </c>
      <c r="FC46" s="97">
        <v>14.240158664898729</v>
      </c>
    </row>
    <row r="47" spans="2:159" ht="17.399999999999999">
      <c r="B47" s="35">
        <v>1.0122488026252723</v>
      </c>
      <c r="C47" s="1518">
        <v>2003</v>
      </c>
      <c r="D47" s="1016">
        <v>32173.286</v>
      </c>
      <c r="E47" s="1016">
        <f t="shared" si="9"/>
        <v>5472.435461900599</v>
      </c>
      <c r="F47" s="784">
        <v>1.0129999999999999</v>
      </c>
      <c r="G47" s="1153">
        <f t="shared" si="10"/>
        <v>1.031278001134579</v>
      </c>
      <c r="H47" s="784"/>
      <c r="I47" s="1153">
        <f t="shared" si="11"/>
        <v>5.8791531163761022</v>
      </c>
      <c r="J47" s="784">
        <v>1.1200000000000001</v>
      </c>
      <c r="K47" s="1153">
        <f t="shared" si="12"/>
        <v>6.2538338401999489</v>
      </c>
      <c r="L47" s="1135">
        <v>1815.6579999999999</v>
      </c>
      <c r="M47" s="1135">
        <f t="shared" si="13"/>
        <v>307.53079304549209</v>
      </c>
      <c r="N47" s="1153">
        <v>1.121</v>
      </c>
      <c r="O47" s="784">
        <f t="shared" si="14"/>
        <v>1.3347285153901234</v>
      </c>
      <c r="P47" s="784"/>
      <c r="Q47" s="947">
        <f t="shared" si="15"/>
        <v>5.9039876365532447</v>
      </c>
      <c r="R47" s="1016">
        <v>13208.250299999998</v>
      </c>
      <c r="S47" s="1016">
        <f t="shared" si="16"/>
        <v>1827.405801799011</v>
      </c>
      <c r="T47" s="1153">
        <v>1.073</v>
      </c>
      <c r="U47" s="1153">
        <f t="shared" si="17"/>
        <v>1.2792293075999179</v>
      </c>
      <c r="V47" s="784"/>
      <c r="W47" s="1153">
        <f t="shared" si="18"/>
        <v>7.2278693035761306</v>
      </c>
      <c r="X47" s="1153">
        <v>66.338999999999999</v>
      </c>
      <c r="Y47" s="947">
        <v>5.9592329824250054</v>
      </c>
      <c r="AD47" s="1551">
        <v>2004</v>
      </c>
      <c r="AE47" s="1542">
        <f t="shared" si="7"/>
        <v>29.099942356965194</v>
      </c>
      <c r="AF47" s="1543">
        <f t="shared" si="8"/>
        <v>82.584596491397647</v>
      </c>
      <c r="AT47" s="782">
        <v>98</v>
      </c>
      <c r="AU47" s="794">
        <f>AU46+0.69*(AU46-AU45)</f>
        <v>36.945896000000005</v>
      </c>
      <c r="AV47" s="777"/>
      <c r="AY47" s="32">
        <f t="shared" si="6"/>
        <v>50.749151597899868</v>
      </c>
      <c r="AZ47" s="32">
        <f>AZ46+1*(AZ46-AZ45)</f>
        <v>39.080800078945948</v>
      </c>
      <c r="BA47" s="1511">
        <v>2016</v>
      </c>
      <c r="BB47" s="430">
        <v>37.140293612287223</v>
      </c>
      <c r="BC47" s="97"/>
      <c r="BT47" s="817">
        <v>2015</v>
      </c>
      <c r="BU47" s="1030">
        <v>1.8783978689046956</v>
      </c>
      <c r="BV47" s="559">
        <v>2.7139935535586104</v>
      </c>
      <c r="BW47" s="1023"/>
      <c r="BX47" s="1023"/>
      <c r="CQ47" s="820">
        <v>2015</v>
      </c>
      <c r="CR47" s="1203">
        <v>153208.1569</v>
      </c>
      <c r="CS47" s="1203">
        <v>38091.4522</v>
      </c>
      <c r="DJ47" s="817">
        <v>2015</v>
      </c>
      <c r="DK47" s="807">
        <v>2.0486809731795095</v>
      </c>
      <c r="DL47" s="829">
        <v>1.2151693842759972</v>
      </c>
      <c r="DM47" s="65">
        <v>0</v>
      </c>
      <c r="EE47" s="817">
        <v>2015</v>
      </c>
      <c r="EF47" s="1027">
        <v>83232.618400000007</v>
      </c>
      <c r="EG47" s="859">
        <v>14543.941800000001</v>
      </c>
      <c r="EH47" s="292">
        <v>19268.840700000012</v>
      </c>
      <c r="EZ47" s="817">
        <v>2015</v>
      </c>
      <c r="FA47" s="1030">
        <v>25.408791247612854</v>
      </c>
      <c r="FB47" s="859">
        <v>19.186851434041674</v>
      </c>
      <c r="FC47" s="97">
        <v>14.837823597492827</v>
      </c>
    </row>
    <row r="48" spans="2:159" ht="17.399999999999999">
      <c r="B48" s="35">
        <v>1.0152190223782134</v>
      </c>
      <c r="C48" s="1518">
        <v>2004</v>
      </c>
      <c r="D48" s="1016">
        <v>34873.724000000002</v>
      </c>
      <c r="E48" s="1016">
        <f t="shared" si="9"/>
        <v>5559.9944292910086</v>
      </c>
      <c r="F48" s="784">
        <v>1.016</v>
      </c>
      <c r="G48" s="1153">
        <f t="shared" si="10"/>
        <v>1.0477784491527322</v>
      </c>
      <c r="H48" s="784"/>
      <c r="I48" s="1153">
        <f t="shared" si="11"/>
        <v>6.272258802325271</v>
      </c>
      <c r="J48" s="784">
        <v>1.117</v>
      </c>
      <c r="K48" s="1153">
        <f t="shared" si="12"/>
        <v>6.9855323995033425</v>
      </c>
      <c r="L48" s="1135">
        <v>1972.1120000000001</v>
      </c>
      <c r="M48" s="1135">
        <f t="shared" si="13"/>
        <v>343.81942662486011</v>
      </c>
      <c r="N48" s="1153">
        <v>1.1179999999999999</v>
      </c>
      <c r="O48" s="784">
        <f t="shared" si="14"/>
        <v>1.4922264802061578</v>
      </c>
      <c r="P48" s="784"/>
      <c r="Q48" s="947">
        <f t="shared" si="15"/>
        <v>5.7358946216606981</v>
      </c>
      <c r="R48" s="1016">
        <v>17027.166999999998</v>
      </c>
      <c r="S48" s="1016">
        <f t="shared" si="16"/>
        <v>1958.97901952854</v>
      </c>
      <c r="T48" s="1153">
        <v>1.0720000000000001</v>
      </c>
      <c r="U48" s="1153">
        <f t="shared" si="17"/>
        <v>1.3713338177471122</v>
      </c>
      <c r="V48" s="784"/>
      <c r="W48" s="1153">
        <f t="shared" si="18"/>
        <v>8.6918577637946637</v>
      </c>
      <c r="X48" s="1153">
        <v>67.319000000000003</v>
      </c>
      <c r="Y48" s="947">
        <v>5.6748326845449952</v>
      </c>
      <c r="AD48" s="1551">
        <v>2005</v>
      </c>
      <c r="AE48" s="1542">
        <f t="shared" si="7"/>
        <v>30.500207447846275</v>
      </c>
      <c r="AF48" s="1543">
        <f t="shared" si="8"/>
        <v>82.897660015178488</v>
      </c>
      <c r="AT48" s="782">
        <v>100</v>
      </c>
      <c r="AU48" s="794">
        <f>AU47+0.69*(AU47-AU46)</f>
        <v>37.392668240000006</v>
      </c>
      <c r="AV48" s="777"/>
      <c r="AY48" s="32">
        <f t="shared" si="6"/>
        <v>52.549151597899865</v>
      </c>
      <c r="AZ48" s="32">
        <f t="shared" ref="AZ48:AZ61" si="20">AZ47+1*(AZ47-AZ46)</f>
        <v>39.425387734764968</v>
      </c>
      <c r="BA48" s="1511">
        <v>2017</v>
      </c>
      <c r="BB48" s="98"/>
      <c r="BC48" s="97"/>
      <c r="BT48" s="817">
        <v>2016</v>
      </c>
      <c r="BU48" s="559">
        <v>1.8821546646425049</v>
      </c>
      <c r="BV48" s="559">
        <v>2.7539998517348616</v>
      </c>
      <c r="BW48" s="1023"/>
      <c r="BX48" s="1023"/>
      <c r="CQ48" s="820">
        <v>2016</v>
      </c>
      <c r="CR48" s="1203">
        <v>160860.21100000001</v>
      </c>
      <c r="CS48" s="1203">
        <v>40779.2886</v>
      </c>
      <c r="DJ48" s="817">
        <v>2016</v>
      </c>
      <c r="DK48" s="807">
        <v>2.0445836112331506</v>
      </c>
      <c r="DL48" s="829">
        <v>1.2333969250401371</v>
      </c>
      <c r="DM48" s="65">
        <v>0</v>
      </c>
      <c r="EE48" s="817">
        <v>2016</v>
      </c>
      <c r="EF48" s="847">
        <v>86043.648900000015</v>
      </c>
      <c r="EG48" s="859">
        <v>15549.392400000001</v>
      </c>
      <c r="EH48" s="292">
        <v>20932.675500000008</v>
      </c>
      <c r="EZ48" s="817">
        <v>2016</v>
      </c>
      <c r="FA48" s="808">
        <v>27.210700956508322</v>
      </c>
      <c r="FB48" s="859">
        <v>20.222941411479926</v>
      </c>
      <c r="FC48" s="97">
        <v>15.58730165186604</v>
      </c>
    </row>
    <row r="49" spans="2:159" ht="17.399999999999999">
      <c r="B49" s="35">
        <v>1.0182012616588947</v>
      </c>
      <c r="C49" s="1518">
        <v>2005</v>
      </c>
      <c r="D49" s="1016">
        <v>41493.567999999999</v>
      </c>
      <c r="E49" s="1016">
        <f t="shared" si="9"/>
        <v>5665.6343234475389</v>
      </c>
      <c r="F49" s="784">
        <v>1.0190000000000001</v>
      </c>
      <c r="G49" s="1153">
        <f t="shared" si="10"/>
        <v>1.0676862396866342</v>
      </c>
      <c r="H49" s="784"/>
      <c r="I49" s="1153">
        <f t="shared" si="11"/>
        <v>7.3237285767414582</v>
      </c>
      <c r="J49" s="784">
        <v>1.109</v>
      </c>
      <c r="K49" s="1153">
        <f t="shared" si="12"/>
        <v>7.7469554310492068</v>
      </c>
      <c r="L49" s="1135">
        <v>2943.6860000000001</v>
      </c>
      <c r="M49" s="1135">
        <f t="shared" si="13"/>
        <v>381.63956355359477</v>
      </c>
      <c r="N49" s="1153">
        <v>1.1100000000000001</v>
      </c>
      <c r="O49" s="784">
        <f t="shared" si="14"/>
        <v>1.6563713930288353</v>
      </c>
      <c r="P49" s="784"/>
      <c r="Q49" s="947">
        <f t="shared" si="15"/>
        <v>7.7132621486886528</v>
      </c>
      <c r="R49" s="1016">
        <v>21609.765799999997</v>
      </c>
      <c r="S49" s="1016">
        <f t="shared" si="16"/>
        <v>2084.3536767783667</v>
      </c>
      <c r="T49" s="1153">
        <v>1.0640000000000001</v>
      </c>
      <c r="U49" s="1153">
        <f t="shared" si="17"/>
        <v>1.4590991820829273</v>
      </c>
      <c r="V49" s="784"/>
      <c r="W49" s="1153">
        <f t="shared" si="18"/>
        <v>10.367609893058377</v>
      </c>
      <c r="X49" s="1153">
        <v>68.338999999999999</v>
      </c>
      <c r="Y49" s="947">
        <v>5.2627861264275086</v>
      </c>
      <c r="AD49" s="1551">
        <v>2006</v>
      </c>
      <c r="AE49" s="1542">
        <f t="shared" si="7"/>
        <v>32.605223124147997</v>
      </c>
      <c r="AF49" s="1543">
        <f t="shared" si="8"/>
        <v>83.868591772093538</v>
      </c>
      <c r="AT49" s="782">
        <v>102</v>
      </c>
      <c r="AU49" s="794">
        <f>AU48+0.8*(AU48-AU47)</f>
        <v>37.750086032000006</v>
      </c>
      <c r="AV49" s="777"/>
      <c r="AY49" s="32"/>
      <c r="AZ49" s="32">
        <f t="shared" si="20"/>
        <v>39.769975390583987</v>
      </c>
      <c r="BA49" s="1511">
        <v>2018</v>
      </c>
      <c r="BB49" s="98"/>
      <c r="BC49" s="97"/>
      <c r="BT49" s="817">
        <v>2017</v>
      </c>
      <c r="BU49" s="1023"/>
      <c r="BV49" s="1023"/>
      <c r="BW49" s="1023"/>
      <c r="BX49" s="1023"/>
      <c r="CQ49" s="820">
        <v>2017</v>
      </c>
      <c r="CR49" s="1023"/>
      <c r="CS49" s="1023"/>
      <c r="DJ49" s="817">
        <v>2017</v>
      </c>
      <c r="DK49" s="807"/>
      <c r="DL49" s="859"/>
      <c r="DM49" s="65"/>
      <c r="EE49" s="817">
        <v>2017</v>
      </c>
      <c r="EF49" s="807"/>
      <c r="EG49" s="859"/>
      <c r="EH49" s="65"/>
      <c r="EZ49" s="817">
        <v>2017</v>
      </c>
      <c r="FA49" s="807"/>
      <c r="FB49" s="859"/>
      <c r="FC49" s="65"/>
    </row>
    <row r="50" spans="2:159" ht="17.399999999999999">
      <c r="B50" s="35">
        <v>1.0231533194536961</v>
      </c>
      <c r="C50" s="1518">
        <v>2006</v>
      </c>
      <c r="D50" s="1016">
        <v>47489.498</v>
      </c>
      <c r="E50" s="1016">
        <f t="shared" si="9"/>
        <v>5801.6095472102797</v>
      </c>
      <c r="F50" s="784">
        <v>1.024</v>
      </c>
      <c r="G50" s="1153">
        <f t="shared" si="10"/>
        <v>1.0933107094391135</v>
      </c>
      <c r="H50" s="784"/>
      <c r="I50" s="1153">
        <f t="shared" si="11"/>
        <v>8.1855729196452831</v>
      </c>
      <c r="J50" s="784">
        <v>1.0900000000000001</v>
      </c>
      <c r="K50" s="1153">
        <f t="shared" si="12"/>
        <v>8.4441814198436358</v>
      </c>
      <c r="L50" s="1135">
        <v>3252.4360000000001</v>
      </c>
      <c r="M50" s="1135">
        <f t="shared" si="13"/>
        <v>443.08353328572355</v>
      </c>
      <c r="N50" s="1153">
        <v>1.161</v>
      </c>
      <c r="O50" s="784">
        <f t="shared" si="14"/>
        <v>1.9230471873064778</v>
      </c>
      <c r="P50" s="784"/>
      <c r="Q50" s="947">
        <f t="shared" si="15"/>
        <v>7.3404578497451372</v>
      </c>
      <c r="R50" s="1016">
        <v>26917.203699999998</v>
      </c>
      <c r="S50" s="1016">
        <f t="shared" si="16"/>
        <v>2255.270678274193</v>
      </c>
      <c r="T50" s="1153">
        <v>1.0820000000000001</v>
      </c>
      <c r="U50" s="1153">
        <f t="shared" si="17"/>
        <v>1.5787453150137274</v>
      </c>
      <c r="V50" s="784"/>
      <c r="W50" s="1153">
        <f t="shared" si="18"/>
        <v>11.935243054992371</v>
      </c>
      <c r="X50" s="1153">
        <v>69.168999999999997</v>
      </c>
      <c r="Y50" s="947">
        <v>5.3119470599675029</v>
      </c>
      <c r="AD50" s="1551">
        <v>2007</v>
      </c>
      <c r="AE50" s="1542">
        <f t="shared" si="7"/>
        <v>34.576355601632038</v>
      </c>
      <c r="AF50" s="1543">
        <f t="shared" si="8"/>
        <v>84.512377132072061</v>
      </c>
      <c r="AT50" s="782">
        <v>104</v>
      </c>
      <c r="AU50" s="794">
        <f t="shared" ref="AU50:AU60" si="21">AU49+0.8*(AU49-AU48)</f>
        <v>38.036020265600008</v>
      </c>
      <c r="AV50" s="777"/>
      <c r="AY50" s="32"/>
      <c r="AZ50" s="32">
        <f t="shared" si="20"/>
        <v>40.114563046403006</v>
      </c>
      <c r="BA50" s="1511">
        <v>2019</v>
      </c>
      <c r="BB50" s="98"/>
      <c r="BC50" s="97"/>
      <c r="BT50" s="817">
        <v>2018</v>
      </c>
      <c r="BU50" s="1023"/>
      <c r="BV50" s="1023"/>
      <c r="BW50" s="1023"/>
      <c r="BX50" s="65"/>
      <c r="CQ50" s="820">
        <v>2018</v>
      </c>
      <c r="CR50" s="1023"/>
      <c r="CS50" s="1023"/>
      <c r="DJ50" s="817">
        <v>2018</v>
      </c>
      <c r="DK50" s="807"/>
      <c r="DL50" s="859"/>
      <c r="DM50" s="65"/>
      <c r="EE50" s="817">
        <v>2018</v>
      </c>
      <c r="EF50" s="807"/>
      <c r="EG50" s="859"/>
      <c r="EH50" s="65"/>
      <c r="EZ50" s="817">
        <v>2018</v>
      </c>
      <c r="FA50" s="807"/>
      <c r="FB50" s="859"/>
      <c r="FC50" s="65"/>
    </row>
    <row r="51" spans="2:159" ht="17.399999999999999">
      <c r="B51" s="35">
        <v>1.0300701964268184</v>
      </c>
      <c r="C51" s="1518">
        <v>2007</v>
      </c>
      <c r="D51" s="1016">
        <v>60391.453999999998</v>
      </c>
      <c r="E51" s="1016">
        <f t="shared" si="9"/>
        <v>5981.4594431737978</v>
      </c>
      <c r="F51" s="784">
        <v>1.0309999999999999</v>
      </c>
      <c r="G51" s="1153">
        <f t="shared" si="10"/>
        <v>1.127203341431726</v>
      </c>
      <c r="H51" s="784"/>
      <c r="I51" s="1153">
        <f t="shared" si="11"/>
        <v>10.096441273863412</v>
      </c>
      <c r="J51" s="784">
        <v>1.119</v>
      </c>
      <c r="K51" s="1153">
        <f t="shared" si="12"/>
        <v>9.4490390088050287</v>
      </c>
      <c r="L51" s="1135">
        <v>4296.4110000000001</v>
      </c>
      <c r="M51" s="1135">
        <f t="shared" si="13"/>
        <v>541.00499414186834</v>
      </c>
      <c r="N51" s="1153">
        <v>1.2209999999999999</v>
      </c>
      <c r="O51" s="784">
        <f t="shared" si="14"/>
        <v>2.3480406157012093</v>
      </c>
      <c r="P51" s="784"/>
      <c r="Q51" s="947">
        <f t="shared" si="15"/>
        <v>7.9415366706824662</v>
      </c>
      <c r="R51" s="1016">
        <v>33247.513200000001</v>
      </c>
      <c r="S51" s="1016">
        <f t="shared" si="16"/>
        <v>2446.9686859274993</v>
      </c>
      <c r="T51" s="1153">
        <v>1.085</v>
      </c>
      <c r="U51" s="1153">
        <f t="shared" si="17"/>
        <v>1.7129386667898943</v>
      </c>
      <c r="V51" s="784"/>
      <c r="W51" s="1153">
        <f t="shared" si="18"/>
        <v>13.587224630705832</v>
      </c>
      <c r="X51" s="1153">
        <v>70.77</v>
      </c>
      <c r="Y51" s="947">
        <v>4.5884788500000049</v>
      </c>
      <c r="AD51" s="1551">
        <v>2008</v>
      </c>
      <c r="AE51" s="1542">
        <f t="shared" si="7"/>
        <v>36.254961869156645</v>
      </c>
      <c r="AF51" s="1543">
        <f t="shared" si="8"/>
        <v>87.267507050457894</v>
      </c>
      <c r="AT51" s="782">
        <v>106</v>
      </c>
      <c r="AU51" s="794">
        <f t="shared" si="21"/>
        <v>38.26476765248001</v>
      </c>
      <c r="AV51" s="777"/>
      <c r="AY51" s="32"/>
      <c r="AZ51" s="32">
        <f t="shared" si="20"/>
        <v>40.459150702222026</v>
      </c>
      <c r="BA51" s="1511">
        <v>2020</v>
      </c>
      <c r="BB51" s="98"/>
      <c r="BC51" s="97"/>
      <c r="BT51" s="817">
        <v>2019</v>
      </c>
      <c r="BU51" s="1023"/>
      <c r="BV51" s="1023"/>
      <c r="BW51" s="1023"/>
      <c r="BX51" s="65"/>
      <c r="CQ51" s="820">
        <v>2019</v>
      </c>
      <c r="CR51" s="1023"/>
      <c r="CS51" s="1023"/>
      <c r="DJ51" s="817">
        <v>2019</v>
      </c>
      <c r="DK51" s="807"/>
      <c r="DL51" s="859"/>
      <c r="DM51" s="65"/>
      <c r="EE51" s="817">
        <v>2019</v>
      </c>
      <c r="EF51" s="807"/>
      <c r="EG51" s="859"/>
      <c r="EH51" s="65"/>
      <c r="EZ51" s="817">
        <v>2019</v>
      </c>
      <c r="FA51" s="807"/>
      <c r="FB51" s="859"/>
      <c r="FC51" s="65"/>
    </row>
    <row r="52" spans="2:159" ht="17.399999999999999">
      <c r="B52" s="35">
        <v>1.0389240720903015</v>
      </c>
      <c r="C52" s="1518">
        <v>2008</v>
      </c>
      <c r="D52" s="1016">
        <v>74471.182000000001</v>
      </c>
      <c r="E52" s="1016">
        <f t="shared" si="9"/>
        <v>6196.7919831280551</v>
      </c>
      <c r="F52" s="784">
        <v>1.036</v>
      </c>
      <c r="G52" s="1153">
        <f t="shared" si="10"/>
        <v>1.1677826617232681</v>
      </c>
      <c r="H52" s="784"/>
      <c r="I52" s="1153">
        <f t="shared" si="11"/>
        <v>12.017699190607328</v>
      </c>
      <c r="J52" s="784">
        <v>1.133</v>
      </c>
      <c r="K52" s="1153">
        <f t="shared" si="12"/>
        <v>10.705761196976098</v>
      </c>
      <c r="L52" s="1135">
        <v>5744.8469999999998</v>
      </c>
      <c r="M52" s="1135">
        <f t="shared" si="13"/>
        <v>616.74569332172985</v>
      </c>
      <c r="N52" s="1153">
        <v>1.1399999999999999</v>
      </c>
      <c r="O52" s="784">
        <f t="shared" si="14"/>
        <v>2.6767663018993781</v>
      </c>
      <c r="P52" s="784"/>
      <c r="Q52" s="947">
        <f t="shared" si="15"/>
        <v>9.314774407355543</v>
      </c>
      <c r="R52" s="1016">
        <v>41276.849199999997</v>
      </c>
      <c r="S52" s="1016">
        <f t="shared" si="16"/>
        <v>2574.2110575957295</v>
      </c>
      <c r="T52" s="1153">
        <v>1.052</v>
      </c>
      <c r="U52" s="1153">
        <f t="shared" si="17"/>
        <v>1.8020114774629687</v>
      </c>
      <c r="V52" s="784"/>
      <c r="W52" s="1153">
        <f t="shared" si="18"/>
        <v>16.03475716499792</v>
      </c>
      <c r="X52" s="1153">
        <v>71.003</v>
      </c>
      <c r="Y52" s="947">
        <v>4.7914827187875018</v>
      </c>
      <c r="AD52" s="1551">
        <v>2009</v>
      </c>
      <c r="AE52" s="1542">
        <f t="shared" si="7"/>
        <v>34.157158680963363</v>
      </c>
      <c r="AF52" s="1543">
        <f t="shared" si="8"/>
        <v>92.126998369154009</v>
      </c>
      <c r="AT52" s="782">
        <v>108</v>
      </c>
      <c r="AU52" s="794">
        <f t="shared" si="21"/>
        <v>38.447765561984014</v>
      </c>
      <c r="AV52" s="777"/>
      <c r="AY52" s="32"/>
      <c r="AZ52" s="32">
        <f t="shared" si="20"/>
        <v>40.803738358041045</v>
      </c>
      <c r="BA52" s="1511">
        <v>2021</v>
      </c>
      <c r="BB52" s="98"/>
      <c r="BC52" s="97"/>
      <c r="BT52" s="817">
        <v>2020</v>
      </c>
      <c r="BU52" s="807"/>
      <c r="BV52" s="65"/>
      <c r="BW52" s="1023"/>
      <c r="BX52" s="65"/>
      <c r="CQ52" s="820">
        <v>2020</v>
      </c>
      <c r="CR52" s="807"/>
      <c r="CS52" s="65"/>
      <c r="DJ52" s="817">
        <v>2020</v>
      </c>
      <c r="DK52" s="807"/>
      <c r="DL52" s="859"/>
      <c r="DM52" s="65"/>
      <c r="EE52" s="817">
        <v>2020</v>
      </c>
      <c r="EF52" s="807"/>
      <c r="EG52" s="859"/>
      <c r="EH52" s="65"/>
      <c r="EZ52" s="817">
        <v>2020</v>
      </c>
      <c r="FA52" s="807"/>
      <c r="FB52" s="859"/>
      <c r="FC52" s="65"/>
    </row>
    <row r="53" spans="2:159" ht="17.399999999999999">
      <c r="B53" s="35">
        <v>1.035446314156317</v>
      </c>
      <c r="C53" s="1518">
        <v>2009</v>
      </c>
      <c r="D53" s="1016">
        <v>82302.968999999997</v>
      </c>
      <c r="E53" s="1016">
        <f t="shared" si="9"/>
        <v>6395.0893265881532</v>
      </c>
      <c r="F53" s="784">
        <v>1.032</v>
      </c>
      <c r="G53" s="1153">
        <f t="shared" si="10"/>
        <v>1.2051517068984128</v>
      </c>
      <c r="H53" s="784"/>
      <c r="I53" s="1153">
        <f t="shared" si="11"/>
        <v>12.869713743921931</v>
      </c>
      <c r="J53" s="784">
        <v>1.0880000000000001</v>
      </c>
      <c r="K53" s="1153">
        <f t="shared" si="12"/>
        <v>11.647868182309995</v>
      </c>
      <c r="L53" s="1135">
        <v>6356.223</v>
      </c>
      <c r="M53" s="1135">
        <f t="shared" si="13"/>
        <v>595.77633974879097</v>
      </c>
      <c r="N53" s="1153">
        <v>0.96599999999999997</v>
      </c>
      <c r="O53" s="784">
        <f t="shared" si="14"/>
        <v>2.5857562476347993</v>
      </c>
      <c r="P53" s="784"/>
      <c r="Q53" s="947">
        <f t="shared" si="15"/>
        <v>10.668807362642331</v>
      </c>
      <c r="R53" s="1016">
        <v>38807.270899999996</v>
      </c>
      <c r="S53" s="1016">
        <f t="shared" si="16"/>
        <v>2373.4225951032627</v>
      </c>
      <c r="T53" s="1153">
        <v>0.92200000000000004</v>
      </c>
      <c r="U53" s="1153">
        <f t="shared" si="17"/>
        <v>1.6614545822208573</v>
      </c>
      <c r="V53" s="784"/>
      <c r="W53" s="1153">
        <f t="shared" si="18"/>
        <v>16.350763231152087</v>
      </c>
      <c r="X53" s="1153">
        <v>69.41</v>
      </c>
      <c r="Y53" s="947">
        <v>6.372794336069</v>
      </c>
      <c r="AD53" s="1551">
        <v>2010</v>
      </c>
      <c r="AE53" s="1542">
        <f t="shared" si="7"/>
        <v>35.426929528449264</v>
      </c>
      <c r="AF53" s="1543">
        <f t="shared" si="8"/>
        <v>94.180205088588238</v>
      </c>
      <c r="AT53" s="782">
        <v>110</v>
      </c>
      <c r="AU53" s="794">
        <f t="shared" si="21"/>
        <v>38.594163889587215</v>
      </c>
      <c r="AV53" s="777"/>
      <c r="AY53" s="32"/>
      <c r="AZ53" s="32">
        <f t="shared" si="20"/>
        <v>41.148326013860064</v>
      </c>
      <c r="BA53" s="1511">
        <v>2022</v>
      </c>
      <c r="BB53" s="98"/>
      <c r="BC53" s="97"/>
      <c r="BT53" s="817">
        <v>2021</v>
      </c>
      <c r="BU53" s="807"/>
      <c r="BV53" s="65"/>
      <c r="BW53" s="1023"/>
      <c r="BX53" s="65"/>
      <c r="CQ53" s="820">
        <v>2021</v>
      </c>
      <c r="CR53" s="807"/>
      <c r="CS53" s="65"/>
      <c r="DJ53" s="817">
        <v>2021</v>
      </c>
      <c r="DK53" s="807"/>
      <c r="DL53" s="859"/>
      <c r="DM53" s="65"/>
      <c r="EE53" s="817">
        <v>2021</v>
      </c>
      <c r="EF53" s="807"/>
      <c r="EG53" s="859"/>
      <c r="EH53" s="65"/>
      <c r="EZ53" s="817">
        <v>2021</v>
      </c>
      <c r="FA53" s="807"/>
      <c r="FB53" s="859"/>
      <c r="FC53" s="65"/>
    </row>
    <row r="54" spans="2:159" ht="17.399999999999999">
      <c r="B54" s="35">
        <v>1.0135440263821274</v>
      </c>
      <c r="C54" s="1518">
        <v>2010</v>
      </c>
      <c r="D54" s="784"/>
      <c r="E54" s="1016">
        <f t="shared" si="9"/>
        <v>6586.9420063857979</v>
      </c>
      <c r="F54" s="1153">
        <v>1.03</v>
      </c>
      <c r="G54" s="1153">
        <f t="shared" si="10"/>
        <v>1.2413062581053651</v>
      </c>
      <c r="H54" s="784"/>
      <c r="I54" s="1153"/>
      <c r="J54" s="784">
        <v>1.0880000000000001</v>
      </c>
      <c r="K54" s="1153">
        <f t="shared" si="12"/>
        <v>12.672880582353276</v>
      </c>
      <c r="L54" s="1135">
        <v>6275.9309999999996</v>
      </c>
      <c r="M54" s="1135">
        <f t="shared" si="13"/>
        <v>556.45510132537083</v>
      </c>
      <c r="N54" s="1153">
        <v>0.93400000000000005</v>
      </c>
      <c r="O54" s="784">
        <f t="shared" si="14"/>
        <v>2.4150963352909027</v>
      </c>
      <c r="P54" s="784"/>
      <c r="Q54" s="947">
        <f t="shared" si="15"/>
        <v>11.278413990727946</v>
      </c>
      <c r="R54" s="1016">
        <v>46308.53100000001</v>
      </c>
      <c r="S54" s="1016">
        <f t="shared" si="16"/>
        <v>2468.3594989073931</v>
      </c>
      <c r="T54" s="1153">
        <v>1.04</v>
      </c>
      <c r="U54" s="1153">
        <f t="shared" si="17"/>
        <v>1.7279127655096918</v>
      </c>
      <c r="V54" s="784"/>
      <c r="W54" s="1153">
        <f t="shared" si="18"/>
        <v>18.760853522551415</v>
      </c>
      <c r="X54" s="1153">
        <v>69.933708461473046</v>
      </c>
      <c r="Y54" s="947">
        <v>5.6363179918876405</v>
      </c>
      <c r="AD54" s="1551">
        <v>2011</v>
      </c>
      <c r="AE54" s="1542">
        <f t="shared" si="7"/>
        <v>36.469011429199981</v>
      </c>
      <c r="AF54" s="1543">
        <f t="shared" si="8"/>
        <v>96.671652013207932</v>
      </c>
      <c r="AT54" s="782">
        <v>112</v>
      </c>
      <c r="AU54" s="794">
        <f t="shared" si="21"/>
        <v>38.711282551669775</v>
      </c>
      <c r="AV54" s="777"/>
      <c r="AZ54" s="32">
        <f t="shared" si="20"/>
        <v>41.492913669679083</v>
      </c>
      <c r="BA54" s="1511">
        <v>2023</v>
      </c>
      <c r="BB54" s="98"/>
      <c r="BC54" s="97"/>
      <c r="BT54" s="817">
        <v>2022</v>
      </c>
      <c r="BU54" s="807"/>
      <c r="BV54" s="65"/>
      <c r="BW54" s="1023"/>
      <c r="BX54" s="65"/>
      <c r="CQ54" s="820">
        <v>2022</v>
      </c>
      <c r="CR54" s="807"/>
      <c r="CS54" s="65"/>
      <c r="DJ54" s="817">
        <v>2022</v>
      </c>
      <c r="DK54" s="807"/>
      <c r="DL54" s="859"/>
      <c r="DM54" s="65"/>
      <c r="EE54" s="817">
        <v>2022</v>
      </c>
      <c r="EF54" s="807"/>
      <c r="EG54" s="859"/>
      <c r="EH54" s="65"/>
      <c r="EZ54" s="817">
        <v>2022</v>
      </c>
      <c r="FA54" s="807"/>
      <c r="FB54" s="859"/>
      <c r="FC54" s="65"/>
    </row>
    <row r="55" spans="2:159" ht="17.399999999999999">
      <c r="B55" s="35">
        <v>1.0017540320806977</v>
      </c>
      <c r="C55" s="1518">
        <v>2011</v>
      </c>
      <c r="D55" s="784"/>
      <c r="E55" s="1016">
        <f t="shared" si="9"/>
        <v>6600.1158903985697</v>
      </c>
      <c r="F55" s="784">
        <v>1.002</v>
      </c>
      <c r="G55" s="784"/>
      <c r="H55" s="784"/>
      <c r="I55" s="784"/>
      <c r="J55" s="784">
        <v>1.0609999999999999</v>
      </c>
      <c r="K55" s="1153">
        <f t="shared" si="12"/>
        <v>13.445926297876825</v>
      </c>
      <c r="L55" s="784"/>
      <c r="M55" s="784"/>
      <c r="N55" s="784"/>
      <c r="O55" s="784"/>
      <c r="P55" s="784"/>
      <c r="Q55" s="784"/>
      <c r="R55" s="1016">
        <v>60282.540400000005</v>
      </c>
      <c r="S55" s="1016">
        <f t="shared" si="16"/>
        <v>2574.4989573604107</v>
      </c>
      <c r="T55" s="1153">
        <v>1.0429999999999999</v>
      </c>
      <c r="U55" s="1153">
        <f t="shared" si="17"/>
        <v>1.8022130144266084</v>
      </c>
      <c r="V55" s="784"/>
      <c r="W55" s="1153">
        <f t="shared" si="18"/>
        <v>23.415251432770692</v>
      </c>
      <c r="X55" s="1153">
        <v>70.85661311334043</v>
      </c>
      <c r="Y55" s="947">
        <v>4.7</v>
      </c>
      <c r="AD55" s="1551">
        <v>2012</v>
      </c>
      <c r="AE55" s="1542">
        <f t="shared" si="7"/>
        <v>37.438341507582962</v>
      </c>
      <c r="AF55" s="1543">
        <f t="shared" si="8"/>
        <v>99.857807392108484</v>
      </c>
      <c r="AT55" s="782">
        <v>114</v>
      </c>
      <c r="AU55" s="794">
        <f t="shared" si="21"/>
        <v>38.804977481335825</v>
      </c>
      <c r="AV55" s="777"/>
      <c r="AZ55" s="32">
        <f t="shared" si="20"/>
        <v>41.837501325498103</v>
      </c>
      <c r="BA55" s="1511">
        <v>2024</v>
      </c>
      <c r="BB55" s="98"/>
      <c r="BC55" s="97"/>
      <c r="BT55" s="817">
        <v>2023</v>
      </c>
      <c r="BU55" s="807"/>
      <c r="BV55" s="65"/>
      <c r="BW55" s="1023"/>
      <c r="BX55" s="65"/>
      <c r="CQ55" s="820">
        <v>2023</v>
      </c>
      <c r="CR55" s="807"/>
      <c r="CS55" s="65"/>
      <c r="DJ55" s="817">
        <v>2023</v>
      </c>
      <c r="DK55" s="807"/>
      <c r="DL55" s="859"/>
      <c r="DM55" s="65"/>
      <c r="EE55" s="817">
        <v>2023</v>
      </c>
      <c r="EF55" s="807"/>
      <c r="EG55" s="859"/>
      <c r="EH55" s="65"/>
      <c r="EZ55" s="817">
        <v>2023</v>
      </c>
      <c r="FA55" s="807"/>
      <c r="FB55" s="859"/>
      <c r="FC55" s="65"/>
    </row>
    <row r="56" spans="2:159" ht="17.399999999999999">
      <c r="B56" s="35">
        <v>0.99339412575246533</v>
      </c>
      <c r="C56" s="1518">
        <v>2012</v>
      </c>
      <c r="D56" s="784"/>
      <c r="E56" s="784"/>
      <c r="F56" s="784"/>
      <c r="G56" s="784"/>
      <c r="H56" s="784"/>
      <c r="I56" s="784"/>
      <c r="J56" s="784"/>
      <c r="K56" s="784"/>
      <c r="L56" s="784"/>
      <c r="M56" s="784"/>
      <c r="N56" s="784"/>
      <c r="O56" s="784"/>
      <c r="P56" s="784"/>
      <c r="Q56" s="784"/>
      <c r="R56" s="1016">
        <v>68163.883100000006</v>
      </c>
      <c r="S56" s="1016">
        <f t="shared" si="16"/>
        <v>2662.0319219106646</v>
      </c>
      <c r="T56" s="1153">
        <v>1.034</v>
      </c>
      <c r="U56" s="1153">
        <f t="shared" si="17"/>
        <v>1.8634882569171132</v>
      </c>
      <c r="V56" s="784"/>
      <c r="W56" s="1153">
        <f t="shared" si="18"/>
        <v>25.605960070935442</v>
      </c>
      <c r="X56" s="1153">
        <v>71.545415863579535</v>
      </c>
      <c r="Y56" s="947">
        <v>4</v>
      </c>
      <c r="AD56" s="1551">
        <v>2013</v>
      </c>
      <c r="AE56" s="1542">
        <f t="shared" si="7"/>
        <v>38.188926146237897</v>
      </c>
      <c r="AF56" s="1543">
        <f t="shared" si="8"/>
        <v>104.1761508077991</v>
      </c>
      <c r="AT56" s="782">
        <v>116</v>
      </c>
      <c r="AU56" s="794">
        <f t="shared" si="21"/>
        <v>38.879933425068664</v>
      </c>
      <c r="AV56" s="777"/>
      <c r="AZ56" s="32">
        <f t="shared" si="20"/>
        <v>42.182088981317122</v>
      </c>
      <c r="BA56" s="1511">
        <v>2025</v>
      </c>
      <c r="BB56" s="120"/>
      <c r="BC56" s="97"/>
      <c r="BT56" s="817">
        <v>2024</v>
      </c>
      <c r="BU56" s="807"/>
      <c r="BV56" s="65"/>
      <c r="BW56" s="1023"/>
      <c r="BX56" s="65"/>
      <c r="CQ56" s="820">
        <v>2024</v>
      </c>
      <c r="CR56" s="807"/>
      <c r="CS56" s="65"/>
      <c r="DJ56" s="817">
        <v>2024</v>
      </c>
      <c r="DK56" s="807"/>
      <c r="DL56" s="859"/>
      <c r="DM56" s="65"/>
      <c r="EE56" s="817">
        <v>2024</v>
      </c>
      <c r="EF56" s="807"/>
      <c r="EG56" s="859"/>
      <c r="EH56" s="65"/>
      <c r="EZ56" s="817">
        <v>2024</v>
      </c>
      <c r="FA56" s="807"/>
      <c r="FB56" s="859"/>
      <c r="FC56" s="65"/>
    </row>
    <row r="57" spans="2:159" ht="17.399999999999999">
      <c r="B57" s="35">
        <v>0.98671166732968851</v>
      </c>
      <c r="C57" s="1518">
        <v>2013</v>
      </c>
      <c r="D57" s="784"/>
      <c r="E57" s="784"/>
      <c r="F57" s="784"/>
      <c r="G57" s="784"/>
      <c r="H57" s="784"/>
      <c r="I57" s="784"/>
      <c r="J57" s="784"/>
      <c r="K57" s="784"/>
      <c r="L57" s="784"/>
      <c r="M57" s="784"/>
      <c r="N57" s="784"/>
      <c r="O57" s="784"/>
      <c r="P57" s="784"/>
      <c r="Q57" s="784"/>
      <c r="R57" s="1016">
        <v>73133.89509999998</v>
      </c>
      <c r="S57" s="1016">
        <f t="shared" si="16"/>
        <v>2696.638336895503</v>
      </c>
      <c r="T57" s="1153">
        <v>1.0129999999999999</v>
      </c>
      <c r="U57" s="1153">
        <f t="shared" si="17"/>
        <v>1.8877136042570355</v>
      </c>
      <c r="V57" s="784"/>
      <c r="W57" s="1153">
        <f t="shared" si="18"/>
        <v>27.120394344091082</v>
      </c>
      <c r="X57" s="784">
        <v>71.391459581339006</v>
      </c>
      <c r="Y57" s="784"/>
      <c r="AD57" s="1551">
        <v>2014</v>
      </c>
      <c r="AE57" s="1542">
        <f t="shared" si="7"/>
        <v>38.39162476730791</v>
      </c>
      <c r="AF57" s="1543">
        <f t="shared" si="8"/>
        <v>107.80780271745721</v>
      </c>
      <c r="AT57" s="782">
        <v>118</v>
      </c>
      <c r="AU57" s="794">
        <f t="shared" si="21"/>
        <v>38.939898180054932</v>
      </c>
      <c r="AV57" s="777"/>
      <c r="AZ57" s="32">
        <f t="shared" si="20"/>
        <v>42.526676637136141</v>
      </c>
      <c r="BA57" s="1511">
        <v>2026</v>
      </c>
      <c r="BB57" s="120"/>
      <c r="BC57" s="97"/>
      <c r="BT57" s="817">
        <v>2025</v>
      </c>
      <c r="BU57" s="807"/>
      <c r="BV57" s="65"/>
      <c r="BW57" s="1023"/>
      <c r="BX57" s="65"/>
      <c r="CQ57" s="820">
        <v>2025</v>
      </c>
      <c r="CR57" s="807"/>
      <c r="CS57" s="65"/>
      <c r="DJ57" s="817">
        <v>2025</v>
      </c>
      <c r="DK57" s="807"/>
      <c r="DL57" s="859"/>
      <c r="DM57" s="65"/>
      <c r="EE57" s="817">
        <v>2025</v>
      </c>
      <c r="EF57" s="807"/>
      <c r="EG57" s="859"/>
      <c r="EH57" s="65"/>
      <c r="EZ57" s="817">
        <v>2025</v>
      </c>
      <c r="FA57" s="807"/>
      <c r="FB57" s="859"/>
      <c r="FC57" s="65"/>
    </row>
    <row r="58" spans="2:159" ht="16.5" customHeight="1">
      <c r="B58" s="35">
        <v>0.98307305127805511</v>
      </c>
      <c r="C58" s="1518">
        <v>2014</v>
      </c>
      <c r="D58" s="784"/>
      <c r="E58" s="784"/>
      <c r="F58" s="784"/>
      <c r="G58" s="784"/>
      <c r="H58" s="784"/>
      <c r="I58" s="784"/>
      <c r="J58" s="784"/>
      <c r="K58" s="784"/>
      <c r="L58" s="784"/>
      <c r="M58" s="784"/>
      <c r="N58" s="784"/>
      <c r="O58" s="784"/>
      <c r="P58" s="784"/>
      <c r="Q58" s="784"/>
      <c r="R58" s="784"/>
      <c r="S58" s="784"/>
      <c r="T58" s="784"/>
      <c r="U58" s="784"/>
      <c r="V58" s="784"/>
      <c r="W58" s="784"/>
      <c r="X58" s="784"/>
      <c r="Y58" s="784"/>
      <c r="AD58" s="1551">
        <v>2015</v>
      </c>
      <c r="AE58" s="1542">
        <f t="shared" si="7"/>
        <v>36.901117314569483</v>
      </c>
      <c r="AF58" s="1543">
        <f t="shared" si="8"/>
        <v>110.05071046098531</v>
      </c>
      <c r="AT58" s="782">
        <v>120</v>
      </c>
      <c r="AU58" s="794">
        <f t="shared" si="21"/>
        <v>38.987869984043947</v>
      </c>
      <c r="AV58" s="777"/>
      <c r="AZ58" s="32">
        <f t="shared" si="20"/>
        <v>42.871264292955161</v>
      </c>
      <c r="BA58" s="1511">
        <v>2027</v>
      </c>
      <c r="BB58" s="120"/>
      <c r="BC58" s="97"/>
      <c r="BT58" s="817">
        <v>2026</v>
      </c>
      <c r="BU58" s="807"/>
      <c r="BV58" s="65"/>
      <c r="BW58" s="859"/>
      <c r="BX58" s="65"/>
      <c r="CQ58" s="820">
        <v>2026</v>
      </c>
      <c r="CR58" s="807"/>
      <c r="CS58" s="65"/>
      <c r="DJ58" s="817">
        <v>2026</v>
      </c>
      <c r="DK58" s="807"/>
      <c r="DL58" s="859"/>
      <c r="DM58" s="65"/>
      <c r="EE58" s="817">
        <v>2026</v>
      </c>
      <c r="EF58" s="807"/>
      <c r="EG58" s="859"/>
      <c r="EH58" s="65"/>
      <c r="EZ58" s="817">
        <v>2026</v>
      </c>
      <c r="FA58" s="807"/>
      <c r="FB58" s="859"/>
      <c r="FC58" s="65"/>
    </row>
    <row r="59" spans="2:159" ht="15.75" customHeight="1">
      <c r="B59" s="35">
        <v>0.98257631607186458</v>
      </c>
      <c r="C59" s="1518">
        <v>2015</v>
      </c>
      <c r="D59" s="784"/>
      <c r="E59" s="784"/>
      <c r="F59" s="784"/>
      <c r="G59" s="784"/>
      <c r="H59" s="784"/>
      <c r="I59" s="784"/>
      <c r="J59" s="784"/>
      <c r="K59" s="784"/>
      <c r="L59" s="784"/>
      <c r="M59" s="784"/>
      <c r="N59" s="784"/>
      <c r="O59" s="784"/>
      <c r="P59" s="784"/>
      <c r="Q59" s="784"/>
      <c r="R59" s="784"/>
      <c r="S59" s="784"/>
      <c r="T59" s="784"/>
      <c r="U59" s="784"/>
      <c r="V59" s="784"/>
      <c r="W59" s="784"/>
      <c r="X59" s="784"/>
      <c r="Y59" s="784"/>
      <c r="AD59" s="1551">
        <v>2016</v>
      </c>
      <c r="AE59" s="1542">
        <f t="shared" si="7"/>
        <v>36.782838185705778</v>
      </c>
      <c r="AF59" s="1543">
        <f t="shared" si="8"/>
        <v>113.24360123344417</v>
      </c>
      <c r="AT59" s="782">
        <v>122</v>
      </c>
      <c r="AU59" s="794">
        <f t="shared" si="21"/>
        <v>39.026247427235155</v>
      </c>
      <c r="AV59" s="777"/>
      <c r="AZ59" s="32">
        <f t="shared" si="20"/>
        <v>43.21585194877418</v>
      </c>
      <c r="BA59" s="1511">
        <v>2028</v>
      </c>
      <c r="BB59" s="120"/>
      <c r="BC59" s="97"/>
      <c r="BT59" s="817">
        <v>2027</v>
      </c>
      <c r="BU59" s="807"/>
      <c r="BV59" s="65"/>
      <c r="BW59" s="859"/>
      <c r="BX59" s="65"/>
      <c r="CQ59" s="820">
        <v>2027</v>
      </c>
      <c r="CR59" s="807"/>
      <c r="CS59" s="65"/>
      <c r="DJ59" s="817">
        <v>2027</v>
      </c>
      <c r="DK59" s="807"/>
      <c r="DL59" s="859"/>
      <c r="DM59" s="65"/>
      <c r="EE59" s="817">
        <v>2027</v>
      </c>
      <c r="EF59" s="807"/>
      <c r="EG59" s="859"/>
      <c r="EH59" s="65"/>
      <c r="EZ59" s="817">
        <v>2027</v>
      </c>
      <c r="FA59" s="807"/>
      <c r="FB59" s="859"/>
      <c r="FC59" s="65"/>
    </row>
    <row r="60" spans="2:159" ht="14.25" customHeight="1">
      <c r="C60" s="1518">
        <v>2016</v>
      </c>
      <c r="D60" s="784"/>
      <c r="E60" s="784"/>
      <c r="F60" s="784"/>
      <c r="G60" s="784"/>
      <c r="H60" s="784"/>
      <c r="I60" s="784"/>
      <c r="J60" s="784"/>
      <c r="K60" s="784"/>
      <c r="L60" s="784"/>
      <c r="M60" s="784"/>
      <c r="N60" s="784"/>
      <c r="O60" s="784"/>
      <c r="P60" s="784"/>
      <c r="Q60" s="784"/>
      <c r="R60" s="784"/>
      <c r="S60" s="784"/>
      <c r="T60" s="784"/>
      <c r="U60" s="784"/>
      <c r="V60" s="784"/>
      <c r="W60" s="784"/>
      <c r="X60" s="784"/>
      <c r="Y60" s="784"/>
      <c r="AD60" s="1551">
        <v>2017</v>
      </c>
      <c r="AE60" s="784"/>
      <c r="AF60" s="854"/>
      <c r="AT60" s="783">
        <v>124</v>
      </c>
      <c r="AU60" s="794">
        <f t="shared" si="21"/>
        <v>39.056949381788122</v>
      </c>
      <c r="AV60" s="796"/>
      <c r="AZ60" s="32">
        <f t="shared" si="20"/>
        <v>43.560439604593199</v>
      </c>
      <c r="BA60" s="1511">
        <v>2029</v>
      </c>
      <c r="BB60" s="120"/>
      <c r="BC60" s="97"/>
      <c r="BT60" s="817">
        <v>2028</v>
      </c>
      <c r="BU60" s="807"/>
      <c r="BV60" s="65"/>
      <c r="BW60" s="859"/>
      <c r="BX60" s="65"/>
      <c r="CQ60" s="820">
        <v>2028</v>
      </c>
      <c r="CR60" s="807"/>
      <c r="CS60" s="65"/>
      <c r="DJ60" s="817">
        <v>2028</v>
      </c>
      <c r="DK60" s="807"/>
      <c r="DL60" s="859"/>
      <c r="DM60" s="65"/>
      <c r="EE60" s="817">
        <v>2028</v>
      </c>
      <c r="EF60" s="807"/>
      <c r="EG60" s="859"/>
      <c r="EH60" s="65"/>
      <c r="EZ60" s="817">
        <v>2028</v>
      </c>
      <c r="FA60" s="807"/>
      <c r="FB60" s="859"/>
      <c r="FC60" s="65"/>
    </row>
    <row r="61" spans="2:159" ht="15" customHeight="1">
      <c r="C61" s="1518">
        <v>2017</v>
      </c>
      <c r="D61" s="784"/>
      <c r="E61" s="784"/>
      <c r="F61" s="784"/>
      <c r="G61" s="784"/>
      <c r="H61" s="784"/>
      <c r="I61" s="784"/>
      <c r="J61" s="784"/>
      <c r="K61" s="784"/>
      <c r="L61" s="784"/>
      <c r="M61" s="784"/>
      <c r="N61" s="784"/>
      <c r="O61" s="784"/>
      <c r="P61" s="784"/>
      <c r="Q61" s="784"/>
      <c r="R61" s="784"/>
      <c r="S61" s="784"/>
      <c r="T61" s="784"/>
      <c r="U61" s="784"/>
      <c r="V61" s="784"/>
      <c r="W61" s="784"/>
      <c r="X61" s="784"/>
      <c r="Y61" s="784"/>
      <c r="AD61" s="1552">
        <v>2018</v>
      </c>
      <c r="AE61" s="1553"/>
      <c r="AF61" s="1544"/>
      <c r="AZ61" s="32">
        <f t="shared" si="20"/>
        <v>43.905027260412218</v>
      </c>
      <c r="BA61" s="1512">
        <v>2030</v>
      </c>
      <c r="BB61" s="349"/>
      <c r="BC61" s="99"/>
      <c r="BT61" s="817">
        <v>2029</v>
      </c>
      <c r="BU61" s="807"/>
      <c r="BV61" s="65"/>
      <c r="BW61" s="859"/>
      <c r="BX61" s="65"/>
      <c r="CQ61" s="820">
        <v>2029</v>
      </c>
      <c r="CR61" s="807"/>
      <c r="CS61" s="65"/>
      <c r="DJ61" s="817">
        <v>2029</v>
      </c>
      <c r="DK61" s="807"/>
      <c r="DL61" s="859"/>
      <c r="DM61" s="65"/>
      <c r="EE61" s="817">
        <v>2029</v>
      </c>
      <c r="EF61" s="807"/>
      <c r="EG61" s="859"/>
      <c r="EH61" s="65"/>
      <c r="EY61" t="s">
        <v>306</v>
      </c>
      <c r="EZ61" s="817">
        <v>2029</v>
      </c>
      <c r="FA61" s="807"/>
      <c r="FB61" s="859"/>
      <c r="FC61" s="65"/>
    </row>
    <row r="62" spans="2:159" ht="17.399999999999999">
      <c r="AA62" s="3"/>
      <c r="BT62" s="819">
        <v>2030</v>
      </c>
      <c r="BU62" s="832"/>
      <c r="BV62" s="340"/>
      <c r="BW62" s="1006"/>
      <c r="BX62" s="340"/>
      <c r="CQ62" s="853">
        <v>2030</v>
      </c>
      <c r="CR62" s="832"/>
      <c r="CS62" s="340"/>
      <c r="DJ62" s="819">
        <v>2030</v>
      </c>
      <c r="DK62" s="832"/>
      <c r="DL62" s="1006"/>
      <c r="DM62" s="340"/>
      <c r="EE62" s="819">
        <v>2030</v>
      </c>
      <c r="EF62" s="832"/>
      <c r="EG62" s="1006"/>
      <c r="EH62" s="340"/>
      <c r="EZ62" s="819">
        <v>2030</v>
      </c>
      <c r="FA62" s="832"/>
      <c r="FB62" s="1006"/>
      <c r="FC62" s="340"/>
    </row>
    <row r="63" spans="2:159">
      <c r="Y63" s="1410" t="s">
        <v>1391</v>
      </c>
      <c r="Z63" s="1411"/>
      <c r="AA63" s="555"/>
      <c r="AB63" s="776"/>
    </row>
    <row r="64" spans="2:159" ht="18" thickBot="1">
      <c r="Y64" s="1412" t="s">
        <v>1392</v>
      </c>
      <c r="Z64" s="1073"/>
      <c r="AA64" s="555"/>
      <c r="AB64" s="777"/>
      <c r="BD64" s="1582" t="s">
        <v>695</v>
      </c>
      <c r="BE64" s="1513" t="s">
        <v>1608</v>
      </c>
      <c r="BF64" s="1585" t="s">
        <v>1365</v>
      </c>
      <c r="BV64" s="350" t="s">
        <v>695</v>
      </c>
      <c r="BW64" s="1513" t="s">
        <v>1612</v>
      </c>
      <c r="BX64" s="1585" t="s">
        <v>1365</v>
      </c>
    </row>
    <row r="65" spans="12:168" ht="16.2" thickBot="1">
      <c r="L65" s="43" t="s">
        <v>695</v>
      </c>
      <c r="M65" s="1527" t="s">
        <v>191</v>
      </c>
      <c r="N65" s="1157" t="s">
        <v>192</v>
      </c>
      <c r="O65" s="1157" t="s">
        <v>193</v>
      </c>
      <c r="P65" s="1157" t="s">
        <v>183</v>
      </c>
      <c r="Q65" s="1157" t="s">
        <v>184</v>
      </c>
      <c r="R65" s="1157" t="s">
        <v>185</v>
      </c>
      <c r="S65" s="1535" t="s">
        <v>1601</v>
      </c>
      <c r="T65" s="1157" t="s">
        <v>296</v>
      </c>
      <c r="U65" s="1157" t="s">
        <v>187</v>
      </c>
      <c r="V65" s="1157" t="s">
        <v>188</v>
      </c>
      <c r="Y65" s="1412" t="s">
        <v>1393</v>
      </c>
      <c r="Z65" s="1073"/>
      <c r="AA65" s="555"/>
      <c r="AB65" s="777"/>
      <c r="BB65" s="1583" t="s">
        <v>190</v>
      </c>
      <c r="BC65" s="1558" t="s">
        <v>196</v>
      </c>
      <c r="BD65" s="59">
        <v>43755</v>
      </c>
      <c r="BE65" s="62" t="s">
        <v>783</v>
      </c>
      <c r="BF65" s="62" t="s">
        <v>783</v>
      </c>
      <c r="BV65" s="63">
        <v>43755</v>
      </c>
      <c r="BW65" s="1156" t="s">
        <v>784</v>
      </c>
      <c r="BX65" s="1156" t="s">
        <v>784</v>
      </c>
      <c r="CP65" s="833" t="s">
        <v>1373</v>
      </c>
      <c r="CQ65" s="833" t="s">
        <v>1258</v>
      </c>
      <c r="CR65" s="833"/>
      <c r="DJ65" s="833" t="s">
        <v>1373</v>
      </c>
      <c r="DK65" s="833" t="s">
        <v>1258</v>
      </c>
      <c r="DL65" s="833" t="s">
        <v>1258</v>
      </c>
      <c r="DM65" s="833" t="s">
        <v>1258</v>
      </c>
      <c r="EE65" s="833" t="s">
        <v>1258</v>
      </c>
      <c r="EF65" s="833" t="s">
        <v>782</v>
      </c>
      <c r="EG65" s="833" t="s">
        <v>1258</v>
      </c>
      <c r="EH65" s="833" t="s">
        <v>782</v>
      </c>
      <c r="EI65" s="833" t="s">
        <v>1588</v>
      </c>
      <c r="EJ65" s="833" t="s">
        <v>782</v>
      </c>
      <c r="EK65" s="833" t="s">
        <v>1258</v>
      </c>
      <c r="EL65" s="833" t="s">
        <v>782</v>
      </c>
      <c r="FC65" s="833" t="s">
        <v>782</v>
      </c>
      <c r="FD65" s="836" t="s">
        <v>782</v>
      </c>
      <c r="FE65" s="836" t="s">
        <v>782</v>
      </c>
      <c r="FJ65" s="833" t="s">
        <v>1373</v>
      </c>
      <c r="FK65" s="833" t="s">
        <v>1258</v>
      </c>
      <c r="FL65" s="833" t="s">
        <v>1258</v>
      </c>
    </row>
    <row r="66" spans="12:168" ht="18" thickBot="1">
      <c r="L66" s="1531">
        <v>43187</v>
      </c>
      <c r="M66" s="1515" t="s">
        <v>46</v>
      </c>
      <c r="N66" s="1515" t="s">
        <v>46</v>
      </c>
      <c r="O66" s="1515" t="s">
        <v>693</v>
      </c>
      <c r="P66" s="1515" t="s">
        <v>46</v>
      </c>
      <c r="Q66" s="1515" t="s">
        <v>46</v>
      </c>
      <c r="R66" s="1515" t="s">
        <v>693</v>
      </c>
      <c r="S66" s="1515" t="s">
        <v>189</v>
      </c>
      <c r="T66" s="1515" t="s">
        <v>189</v>
      </c>
      <c r="U66" s="1536" t="s">
        <v>82</v>
      </c>
      <c r="V66" s="1537" t="s">
        <v>1600</v>
      </c>
      <c r="Y66" s="1413" t="s">
        <v>1394</v>
      </c>
      <c r="Z66" s="1414"/>
      <c r="AA66" s="555"/>
      <c r="AB66" s="796"/>
      <c r="BD66" s="2114">
        <v>1995</v>
      </c>
      <c r="BE66" s="510">
        <v>43.206939348996954</v>
      </c>
      <c r="BF66" s="435"/>
      <c r="BV66" s="2114">
        <v>1995</v>
      </c>
      <c r="BW66" s="510">
        <v>0.52160205427817563</v>
      </c>
      <c r="BX66" s="435"/>
      <c r="CO66" s="1008" t="s">
        <v>695</v>
      </c>
      <c r="CP66" s="990" t="s">
        <v>1380</v>
      </c>
      <c r="CQ66" s="826" t="s">
        <v>128</v>
      </c>
      <c r="CR66" s="991"/>
      <c r="DI66" s="1008" t="s">
        <v>695</v>
      </c>
      <c r="DJ66" s="990" t="s">
        <v>1380</v>
      </c>
      <c r="DK66" s="991" t="s">
        <v>1352</v>
      </c>
      <c r="DL66" s="991" t="s">
        <v>1399</v>
      </c>
      <c r="DM66" s="826" t="s">
        <v>128</v>
      </c>
      <c r="ED66" s="1008" t="s">
        <v>695</v>
      </c>
      <c r="EE66" s="1281" t="s">
        <v>1280</v>
      </c>
      <c r="EF66" s="1281" t="s">
        <v>1280</v>
      </c>
      <c r="EG66" s="1186" t="s">
        <v>1374</v>
      </c>
      <c r="EH66" s="1186" t="s">
        <v>1374</v>
      </c>
      <c r="EI66" s="1186" t="s">
        <v>1402</v>
      </c>
      <c r="EJ66" s="1186" t="s">
        <v>1402</v>
      </c>
      <c r="EK66" s="772" t="s">
        <v>820</v>
      </c>
      <c r="EL66" s="1186" t="s">
        <v>820</v>
      </c>
      <c r="FC66" s="1281" t="s">
        <v>1457</v>
      </c>
      <c r="FD66" s="1281" t="s">
        <v>1402</v>
      </c>
      <c r="FE66" s="1186" t="s">
        <v>1374</v>
      </c>
      <c r="FI66" s="1008" t="s">
        <v>695</v>
      </c>
      <c r="FJ66" s="990" t="s">
        <v>1405</v>
      </c>
      <c r="FK66" s="991" t="s">
        <v>80</v>
      </c>
      <c r="FL66" s="991" t="s">
        <v>1274</v>
      </c>
    </row>
    <row r="67" spans="12:168" ht="17.399999999999999">
      <c r="L67" s="1528">
        <v>1995</v>
      </c>
      <c r="M67" s="1532">
        <v>5306</v>
      </c>
      <c r="N67" s="1146">
        <v>5306</v>
      </c>
      <c r="O67" s="1522">
        <v>1.0009999999999999</v>
      </c>
      <c r="P67" s="1146">
        <v>1428.5209</v>
      </c>
      <c r="Q67" s="1150">
        <v>1428.5209</v>
      </c>
      <c r="R67" s="1523">
        <v>0.95899999999999996</v>
      </c>
      <c r="S67" s="1530">
        <v>64.055000000000007</v>
      </c>
      <c r="T67" s="784">
        <v>70.739999999999995</v>
      </c>
      <c r="U67" s="1538">
        <f t="shared" ref="U67:U86" si="22">Q67/S67</f>
        <v>22.301473733510264</v>
      </c>
      <c r="V67" s="1539">
        <v>82.842244945749741</v>
      </c>
      <c r="Y67" s="1409" t="s">
        <v>695</v>
      </c>
      <c r="Z67" s="873" t="s">
        <v>184</v>
      </c>
      <c r="AA67" s="1458" t="s">
        <v>1583</v>
      </c>
      <c r="AB67" s="873" t="s">
        <v>295</v>
      </c>
      <c r="BD67" s="2115">
        <v>1996</v>
      </c>
      <c r="BE67" s="512">
        <f>СЧЁТ!CB7</f>
        <v>42.749286899313503</v>
      </c>
      <c r="BF67" s="433"/>
      <c r="BV67" s="2115">
        <v>1996</v>
      </c>
      <c r="BW67" s="512">
        <f>СЧЁТ!CC7</f>
        <v>0.5075047014598465</v>
      </c>
      <c r="BX67" s="433"/>
      <c r="CO67" s="1077">
        <f>ОТЧЁТ!J49</f>
        <v>43898</v>
      </c>
      <c r="CP67" s="62" t="s">
        <v>46</v>
      </c>
      <c r="CQ67" s="62" t="s">
        <v>46</v>
      </c>
      <c r="CR67" s="62" t="s">
        <v>46</v>
      </c>
      <c r="DI67" s="1026">
        <v>42458</v>
      </c>
      <c r="DJ67" s="62" t="s">
        <v>46</v>
      </c>
      <c r="DK67" s="62" t="s">
        <v>46</v>
      </c>
      <c r="DL67" s="62" t="s">
        <v>46</v>
      </c>
      <c r="DM67" s="62" t="s">
        <v>46</v>
      </c>
      <c r="ED67" s="1077">
        <v>43187</v>
      </c>
      <c r="EE67" s="62" t="s">
        <v>688</v>
      </c>
      <c r="EF67" s="62" t="s">
        <v>688</v>
      </c>
      <c r="EG67" s="62" t="s">
        <v>688</v>
      </c>
      <c r="EH67" s="62" t="s">
        <v>688</v>
      </c>
      <c r="EI67" s="62" t="s">
        <v>688</v>
      </c>
      <c r="EJ67" s="62" t="s">
        <v>688</v>
      </c>
      <c r="EK67" s="62" t="s">
        <v>688</v>
      </c>
      <c r="EL67" s="62" t="s">
        <v>688</v>
      </c>
      <c r="FC67" s="62" t="s">
        <v>688</v>
      </c>
      <c r="FD67" s="62" t="s">
        <v>688</v>
      </c>
      <c r="FE67" s="62" t="s">
        <v>688</v>
      </c>
      <c r="FI67" s="1044">
        <v>42906</v>
      </c>
      <c r="FJ67" s="62" t="s">
        <v>688</v>
      </c>
      <c r="FK67" s="62" t="s">
        <v>688</v>
      </c>
      <c r="FL67" s="62" t="s">
        <v>688</v>
      </c>
    </row>
    <row r="68" spans="12:168" ht="17.399999999999999">
      <c r="L68" s="1518">
        <v>1996</v>
      </c>
      <c r="M68" s="1521">
        <v>13072.378000000001</v>
      </c>
      <c r="N68" s="1146">
        <v>5300.6940000000004</v>
      </c>
      <c r="O68" s="1522">
        <v>0.99900000000000011</v>
      </c>
      <c r="P68" s="1146">
        <v>2007.8252000000002</v>
      </c>
      <c r="Q68" s="1150">
        <v>1377.0941476</v>
      </c>
      <c r="R68" s="1523">
        <v>0.96399999999999997</v>
      </c>
      <c r="S68" s="1530">
        <v>62.927999999999997</v>
      </c>
      <c r="T68" s="784">
        <v>69.66</v>
      </c>
      <c r="U68" s="1524">
        <f t="shared" si="22"/>
        <v>21.883647145944572</v>
      </c>
      <c r="V68" s="1525">
        <f>N68/S68</f>
        <v>84.234267734553782</v>
      </c>
      <c r="Y68" s="1106">
        <v>43151</v>
      </c>
      <c r="Z68" s="1002" t="s">
        <v>46</v>
      </c>
      <c r="AA68" s="993" t="s">
        <v>46</v>
      </c>
      <c r="AB68" s="1002" t="s">
        <v>189</v>
      </c>
      <c r="BD68" s="2115">
        <v>1997</v>
      </c>
      <c r="BE68" s="512">
        <f>СЧЁТ!CB8</f>
        <v>45.447241894736841</v>
      </c>
      <c r="BF68" s="433"/>
      <c r="BV68" s="2115">
        <v>1997</v>
      </c>
      <c r="BW68" s="512">
        <f>СЧЁТ!CC8</f>
        <v>0.51667647317297627</v>
      </c>
      <c r="BX68" s="433"/>
      <c r="CO68" s="814">
        <v>1995</v>
      </c>
      <c r="CP68" s="1023">
        <f t="array" ref="CP68:CP88">TRANSPOSE(ОТЧЁТ!U65:AO65)</f>
        <v>1428.5209000000002</v>
      </c>
      <c r="CQ68" s="1023">
        <f t="array" ref="CQ68:CQ88">TRANSPOSE(ОТЧЁТ!U79:AO79)</f>
        <v>266.97399999999999</v>
      </c>
      <c r="CR68" s="1023"/>
      <c r="DI68" s="813">
        <v>1995</v>
      </c>
      <c r="DJ68" s="1203">
        <f t="array" ref="DJ68:DJ93">TRANSPOSE(ОТЧЁТ!U67:AP67)</f>
        <v>1428.5209</v>
      </c>
      <c r="DK68" s="1203">
        <f t="array" ref="DK68:DK93">TRANSPOSE(ОТЧЁТ!U69:AP69)</f>
        <v>719.79349999999999</v>
      </c>
      <c r="DL68" s="1203" t="e">
        <f t="array" ref="DL68:DL93">TRANSPOSE(ОТЧЁТ!#REF!)</f>
        <v>#REF!</v>
      </c>
      <c r="DM68" s="1203">
        <f t="array" ref="DM68:DM93">TRANSPOSE(ОТЧЁТ!U79:AP79)</f>
        <v>266.97399999999999</v>
      </c>
      <c r="ED68" s="813">
        <v>1995</v>
      </c>
      <c r="EE68" s="1297">
        <f t="array" ref="EE68:EE89">TRANSPOSE(ОТЧЁТ!U189:AP189)</f>
        <v>1</v>
      </c>
      <c r="EF68" s="1297"/>
      <c r="EG68" s="1298">
        <f t="array" ref="EG68:EG89">TRANSPOSE(ОТЧЁТ!U185:AP185)</f>
        <v>1</v>
      </c>
      <c r="EH68" s="1297"/>
      <c r="EI68" s="511">
        <f t="array" ref="EI68:EI89">TRANSPOSE(ОТЧЁТ!U74:AP74)</f>
        <v>0</v>
      </c>
      <c r="EJ68" s="511"/>
      <c r="EK68" s="1299">
        <f t="array" ref="EK68:EK89">TRANSPOSE(ОТЧЁТ!U151:AP151)</f>
        <v>1</v>
      </c>
      <c r="EL68" s="511"/>
      <c r="FC68" s="511">
        <v>1</v>
      </c>
      <c r="FD68" s="511">
        <v>1</v>
      </c>
      <c r="FE68" s="1018">
        <v>1</v>
      </c>
      <c r="FI68" s="814">
        <v>1995</v>
      </c>
      <c r="FJ68" s="1297">
        <f t="array" ref="FJ68:FJ88">TRANSPOSE(ОТЧЁТ!U183:AO183)</f>
        <v>1</v>
      </c>
      <c r="FK68" s="1298">
        <f t="array" ref="FK68:FK88">TRANSPOSE(ОТЧЁТ!U151:AO151)</f>
        <v>1</v>
      </c>
      <c r="FL68" s="511">
        <f t="array" ref="FL68:FL88">TRANSPOSE(ОТЧЁТ!U188:AO188)</f>
        <v>1</v>
      </c>
    </row>
    <row r="69" spans="12:168" ht="18">
      <c r="L69" s="1518">
        <v>1997</v>
      </c>
      <c r="M69" s="1521">
        <v>13286.272000000001</v>
      </c>
      <c r="N69" s="1146">
        <v>5279.4912240000003</v>
      </c>
      <c r="O69" s="1522">
        <v>0.996</v>
      </c>
      <c r="P69" s="1146">
        <v>2342.5137</v>
      </c>
      <c r="Q69" s="1150">
        <v>1396.3734656664001</v>
      </c>
      <c r="R69" s="1523">
        <v>1.014</v>
      </c>
      <c r="S69" s="1530">
        <v>60.021000000000001</v>
      </c>
      <c r="T69" s="784">
        <v>68.078999999999994</v>
      </c>
      <c r="U69" s="1524">
        <f t="shared" si="22"/>
        <v>23.264748432488631</v>
      </c>
      <c r="V69" s="1525">
        <f t="shared" ref="V69:V86" si="23">N69/S69</f>
        <v>87.960734143049933</v>
      </c>
      <c r="Y69" s="1459">
        <v>1995</v>
      </c>
      <c r="Z69" s="1417">
        <f t="array" ref="Z69:Z90">TRANSPOSE(ОТЧЁТ!U199:AP199)</f>
        <v>1428.5209</v>
      </c>
      <c r="AA69" s="1462">
        <f t="array" ref="AA69:AA90">TRANSPOSE(ОТЧЁТ!U97:AP97)</f>
        <v>70.739999999999995</v>
      </c>
      <c r="AB69" s="1419">
        <f t="array" ref="AB69:AB90">TRANSPOSE(ОТЧЁТ!U91:AP91)</f>
        <v>64.055000000000007</v>
      </c>
      <c r="BD69" s="2115">
        <v>1998</v>
      </c>
      <c r="BE69" s="512">
        <f>СЧЁТ!CB9</f>
        <v>44.298503885723704</v>
      </c>
      <c r="BF69" s="433"/>
      <c r="BV69" s="2115">
        <v>1998</v>
      </c>
      <c r="BW69" s="512">
        <f>СЧЁТ!CC9</f>
        <v>0.49180137717267253</v>
      </c>
      <c r="BX69" s="433"/>
      <c r="CO69" s="817">
        <v>1996</v>
      </c>
      <c r="CP69" s="1023">
        <v>2007.8252000000007</v>
      </c>
      <c r="CQ69" s="1023">
        <v>375.95800000000003</v>
      </c>
      <c r="CR69" s="1023"/>
      <c r="DI69" s="820">
        <v>1996</v>
      </c>
      <c r="DJ69" s="1203">
        <v>2007.8252000000002</v>
      </c>
      <c r="DK69" s="1203">
        <v>1007.827</v>
      </c>
      <c r="DL69" s="1203" t="e">
        <v>#REF!</v>
      </c>
      <c r="DM69" s="1203">
        <v>375.95800000000003</v>
      </c>
      <c r="ED69" s="820">
        <v>1996</v>
      </c>
      <c r="EE69" s="1300">
        <v>1.7194377618988257</v>
      </c>
      <c r="EF69" s="1300"/>
      <c r="EG69" s="558">
        <v>1.3930686182271845</v>
      </c>
      <c r="EH69" s="1300"/>
      <c r="EI69" s="477">
        <v>0</v>
      </c>
      <c r="EJ69" s="477"/>
      <c r="EK69" s="1301">
        <v>1.218</v>
      </c>
      <c r="EL69" s="477"/>
      <c r="FC69" s="477">
        <f t="shared" ref="FC69:FC89" si="24">EE69</f>
        <v>1.7194377618988257</v>
      </c>
      <c r="FD69" s="477">
        <f>EI69</f>
        <v>0</v>
      </c>
      <c r="FE69" s="1328">
        <f t="shared" ref="FE69:FE89" si="25">EG69</f>
        <v>1.3930686182271845</v>
      </c>
      <c r="FI69" s="817">
        <v>1996</v>
      </c>
      <c r="FJ69" s="1300">
        <v>1.5208627234830072</v>
      </c>
      <c r="FK69" s="558">
        <v>1.218</v>
      </c>
      <c r="FL69" s="477">
        <v>1.170751567490661</v>
      </c>
    </row>
    <row r="70" spans="12:168" ht="18">
      <c r="L70" s="1518">
        <v>1998</v>
      </c>
      <c r="M70" s="1521">
        <v>14125.67</v>
      </c>
      <c r="N70" s="1146">
        <v>5263.6527503280004</v>
      </c>
      <c r="O70" s="1522">
        <v>0.997</v>
      </c>
      <c r="P70" s="1146">
        <v>2629.6228999999998</v>
      </c>
      <c r="Q70" s="1150">
        <v>1322.3656719860808</v>
      </c>
      <c r="R70" s="1523">
        <v>0.94699999999999995</v>
      </c>
      <c r="S70" s="1530">
        <v>58.436999999999998</v>
      </c>
      <c r="T70" s="784">
        <v>67.338999999999999</v>
      </c>
      <c r="U70" s="1524">
        <f t="shared" si="22"/>
        <v>22.628910997930777</v>
      </c>
      <c r="V70" s="1525">
        <f t="shared" si="23"/>
        <v>90.073972831048835</v>
      </c>
      <c r="Y70" s="1460">
        <v>1996</v>
      </c>
      <c r="Z70" s="1418">
        <v>1377.0941476</v>
      </c>
      <c r="AA70" s="1462">
        <v>69.66</v>
      </c>
      <c r="AB70" s="1097">
        <v>62.927999999999997</v>
      </c>
      <c r="BD70" s="2115">
        <v>1999</v>
      </c>
      <c r="BE70" s="512">
        <f>СЧЁТ!CB10</f>
        <v>43.416737397690277</v>
      </c>
      <c r="BF70" s="433"/>
      <c r="BV70" s="2115">
        <v>1999</v>
      </c>
      <c r="BW70" s="512">
        <f>СЧЁТ!CC10</f>
        <v>0.51928728248372014</v>
      </c>
      <c r="BX70" s="433"/>
      <c r="CO70" s="817">
        <v>1997</v>
      </c>
      <c r="CP70" s="1023">
        <v>2342.5136999999995</v>
      </c>
      <c r="CQ70" s="1023">
        <v>408.79700000000003</v>
      </c>
      <c r="CR70" s="1023"/>
      <c r="DI70" s="820">
        <v>1997</v>
      </c>
      <c r="DJ70" s="1203">
        <v>2342.5137</v>
      </c>
      <c r="DK70" s="1203">
        <v>1235.2137</v>
      </c>
      <c r="DL70" s="1203" t="e">
        <v>#REF!</v>
      </c>
      <c r="DM70" s="1203">
        <v>408.79700000000003</v>
      </c>
      <c r="ED70" s="820">
        <v>1997</v>
      </c>
      <c r="EE70" s="1300">
        <v>1.9680277801214476</v>
      </c>
      <c r="EF70" s="1300"/>
      <c r="EG70" s="558">
        <v>1.8000080782573098</v>
      </c>
      <c r="EH70" s="1300"/>
      <c r="EI70" s="477">
        <v>0</v>
      </c>
      <c r="EJ70" s="477"/>
      <c r="EK70" s="1301">
        <v>1.3519800000000002</v>
      </c>
      <c r="EL70" s="477"/>
      <c r="FC70" s="477">
        <f t="shared" si="24"/>
        <v>1.9680277801214476</v>
      </c>
      <c r="FD70" s="477">
        <f t="shared" ref="FD70:FD89" si="26">EI70</f>
        <v>0</v>
      </c>
      <c r="FE70" s="1328">
        <f t="shared" si="25"/>
        <v>1.8000080782573098</v>
      </c>
      <c r="FI70" s="817">
        <v>1997</v>
      </c>
      <c r="FJ70" s="1300">
        <v>1.7178414165358655</v>
      </c>
      <c r="FK70" s="558">
        <v>1.3519800000000002</v>
      </c>
      <c r="FL70" s="477">
        <v>1.4027022303089887</v>
      </c>
    </row>
    <row r="71" spans="12:168" ht="18">
      <c r="L71" s="1518">
        <v>1999</v>
      </c>
      <c r="M71" s="1521">
        <v>14246.427</v>
      </c>
      <c r="N71" s="1146">
        <v>5274.1800558286568</v>
      </c>
      <c r="O71" s="1522">
        <v>1.002</v>
      </c>
      <c r="P71" s="1146">
        <v>4823.2329</v>
      </c>
      <c r="Q71" s="1150">
        <v>1406.9970749931899</v>
      </c>
      <c r="R71" s="1523">
        <v>1.0640000000000001</v>
      </c>
      <c r="S71" s="1530">
        <v>63.082000000000001</v>
      </c>
      <c r="T71" s="784">
        <v>72.174999999999997</v>
      </c>
      <c r="U71" s="1524">
        <f t="shared" si="22"/>
        <v>22.304255968314099</v>
      </c>
      <c r="V71" s="1525">
        <f t="shared" si="23"/>
        <v>83.60832021541259</v>
      </c>
      <c r="Y71" s="1460">
        <v>1997</v>
      </c>
      <c r="Z71" s="1418">
        <v>1396.3734656664001</v>
      </c>
      <c r="AA71" s="1462">
        <v>68.078999999999994</v>
      </c>
      <c r="AB71" s="1097">
        <v>60.021000000000001</v>
      </c>
      <c r="BD71" s="2115">
        <v>2000</v>
      </c>
      <c r="BE71" s="512">
        <f>СЧЁТ!CB11</f>
        <v>46.046768151253758</v>
      </c>
      <c r="BF71" s="433"/>
      <c r="BR71" s="784"/>
      <c r="BS71" s="784"/>
      <c r="BT71" s="784"/>
      <c r="BU71" s="947">
        <f>BW71</f>
        <v>0.56527391744994016</v>
      </c>
      <c r="BV71" s="2115">
        <v>2000</v>
      </c>
      <c r="BW71" s="512">
        <f>СЧЁТ!CC11</f>
        <v>0.56527391744994016</v>
      </c>
      <c r="BX71" s="433"/>
      <c r="CO71" s="817">
        <v>1998</v>
      </c>
      <c r="CP71" s="1023">
        <v>2629.6228999999998</v>
      </c>
      <c r="CQ71" s="1023">
        <v>407.08600000000001</v>
      </c>
      <c r="CR71" s="1023"/>
      <c r="DI71" s="820">
        <v>1998</v>
      </c>
      <c r="DJ71" s="1203">
        <v>2629.6228999999998</v>
      </c>
      <c r="DK71" s="1203">
        <v>1462.2840000000001</v>
      </c>
      <c r="DL71" s="1203" t="e">
        <v>#REF!</v>
      </c>
      <c r="DM71" s="1203">
        <v>407.08600000000001</v>
      </c>
      <c r="ED71" s="820">
        <v>1998</v>
      </c>
      <c r="EE71" s="1300">
        <v>2.2270348811115843</v>
      </c>
      <c r="EF71" s="1300"/>
      <c r="EG71" s="558">
        <v>1.7787455021088285</v>
      </c>
      <c r="EH71" s="1300"/>
      <c r="EI71" s="477">
        <v>0</v>
      </c>
      <c r="EJ71" s="477"/>
      <c r="EK71" s="1301">
        <v>2.4930511200000005</v>
      </c>
      <c r="EL71" s="477"/>
      <c r="FC71" s="477">
        <f t="shared" si="24"/>
        <v>2.2270348811115843</v>
      </c>
      <c r="FD71" s="477">
        <f t="shared" si="26"/>
        <v>0</v>
      </c>
      <c r="FE71" s="1328">
        <f t="shared" si="25"/>
        <v>1.7787455021088285</v>
      </c>
      <c r="FI71" s="817">
        <v>1998</v>
      </c>
      <c r="FJ71" s="1300">
        <v>2.3960063610370872</v>
      </c>
      <c r="FK71" s="558">
        <v>2.4930511200000005</v>
      </c>
      <c r="FL71" s="477">
        <v>2.0776657762662092</v>
      </c>
    </row>
    <row r="72" spans="12:168" ht="18">
      <c r="L72" s="1518">
        <v>2000</v>
      </c>
      <c r="M72" s="1521">
        <v>17464</v>
      </c>
      <c r="N72" s="1146">
        <v>5300.5509561077997</v>
      </c>
      <c r="O72" s="1522">
        <v>1.0049999999999999</v>
      </c>
      <c r="P72" s="1146">
        <v>7305.6466</v>
      </c>
      <c r="Q72" s="1150">
        <v>1547.6967824925091</v>
      </c>
      <c r="R72" s="1523">
        <v>1.1000000000000001</v>
      </c>
      <c r="S72" s="1526">
        <v>65.069999999999993</v>
      </c>
      <c r="T72" s="784">
        <v>72.77</v>
      </c>
      <c r="U72" s="1524">
        <f t="shared" si="22"/>
        <v>23.785105002190093</v>
      </c>
      <c r="V72" s="1525">
        <f t="shared" si="23"/>
        <v>81.459212480525593</v>
      </c>
      <c r="Y72" s="1460">
        <v>1998</v>
      </c>
      <c r="Z72" s="1418">
        <v>1322.3656719860808</v>
      </c>
      <c r="AA72" s="1462">
        <v>67.338999999999999</v>
      </c>
      <c r="AB72" s="1097">
        <v>58.436999999999998</v>
      </c>
      <c r="BD72" s="2115">
        <v>2001</v>
      </c>
      <c r="BE72" s="512">
        <f>СЧЁТ!CB12</f>
        <v>48.263748607689806</v>
      </c>
      <c r="BF72" s="433"/>
      <c r="BR72" s="784"/>
      <c r="BS72" s="784"/>
      <c r="BT72" s="784"/>
      <c r="BU72" s="947">
        <f>BU71+(BW$78-BW$71)/7</f>
        <v>0.5985864932000623</v>
      </c>
      <c r="BV72" s="2115">
        <v>2001</v>
      </c>
      <c r="BW72" s="512">
        <f>СЧЁТ!CC12</f>
        <v>0.58768319068878805</v>
      </c>
      <c r="BX72" s="433"/>
      <c r="CO72" s="817">
        <v>1999</v>
      </c>
      <c r="CP72" s="1023">
        <v>4823.2329000000009</v>
      </c>
      <c r="CQ72" s="1023">
        <v>670.43899999999996</v>
      </c>
      <c r="CR72" s="1023"/>
      <c r="DI72" s="820">
        <v>1999</v>
      </c>
      <c r="DJ72" s="1203">
        <v>4823.2329</v>
      </c>
      <c r="DK72" s="1203">
        <v>2526.1678999999999</v>
      </c>
      <c r="DL72" s="1203" t="e">
        <v>#REF!</v>
      </c>
      <c r="DM72" s="1203">
        <v>670.43899999999996</v>
      </c>
      <c r="ED72" s="820">
        <v>1999</v>
      </c>
      <c r="EE72" s="1300">
        <v>3.493098424873764</v>
      </c>
      <c r="EF72" s="1300"/>
      <c r="EG72" s="558">
        <v>2.4627881934761957</v>
      </c>
      <c r="EH72" s="1300"/>
      <c r="EI72" s="477">
        <v>0</v>
      </c>
      <c r="EJ72" s="477"/>
      <c r="EK72" s="1301">
        <v>3.4030147788000007</v>
      </c>
      <c r="EL72" s="477"/>
      <c r="FC72" s="477">
        <f t="shared" si="24"/>
        <v>3.493098424873764</v>
      </c>
      <c r="FD72" s="477">
        <f t="shared" si="26"/>
        <v>0</v>
      </c>
      <c r="FE72" s="1328">
        <f t="shared" si="25"/>
        <v>2.4627881934761957</v>
      </c>
      <c r="FI72" s="817">
        <v>1999</v>
      </c>
      <c r="FJ72" s="1300">
        <v>4.6635438415007853</v>
      </c>
      <c r="FK72" s="558">
        <v>3.4030147788000007</v>
      </c>
      <c r="FL72" s="477">
        <v>4.8943006185343938</v>
      </c>
    </row>
    <row r="73" spans="12:168" ht="22.5" customHeight="1">
      <c r="L73" s="1518">
        <v>2001</v>
      </c>
      <c r="M73" s="1521">
        <v>20241.428</v>
      </c>
      <c r="N73" s="1146">
        <v>5348.2559147127704</v>
      </c>
      <c r="O73" s="1522">
        <v>1.0090000000000001</v>
      </c>
      <c r="P73" s="1146">
        <v>8943.5825999999997</v>
      </c>
      <c r="Q73" s="1150">
        <v>1626.629318399627</v>
      </c>
      <c r="R73" s="1523">
        <v>1.0509999999999999</v>
      </c>
      <c r="S73" s="1526">
        <v>65.123000000000005</v>
      </c>
      <c r="T73" s="784">
        <v>71.545000000000002</v>
      </c>
      <c r="U73" s="1524">
        <f t="shared" si="22"/>
        <v>24.977800752416609</v>
      </c>
      <c r="V73" s="1525">
        <f t="shared" si="23"/>
        <v>82.125453598771088</v>
      </c>
      <c r="Y73" s="1460">
        <v>1999</v>
      </c>
      <c r="Z73" s="1418">
        <v>1406.9970749931899</v>
      </c>
      <c r="AA73" s="1462">
        <v>72.174999999999997</v>
      </c>
      <c r="AB73" s="1097">
        <v>63.082000000000001</v>
      </c>
      <c r="BB73" s="947">
        <f>BE73</f>
        <v>49.226295399031507</v>
      </c>
      <c r="BC73" s="784"/>
      <c r="BD73" s="2115">
        <v>2002</v>
      </c>
      <c r="BE73" s="512">
        <f>СЧЁТ!CB13</f>
        <v>49.226295399031507</v>
      </c>
      <c r="BF73" s="433"/>
      <c r="BR73" s="784"/>
      <c r="BS73" s="784"/>
      <c r="BT73" s="784"/>
      <c r="BU73" s="947">
        <f t="shared" ref="BU73:BU84" si="27">BU72+(BW$78-BW$71)/7</f>
        <v>0.63189906895018444</v>
      </c>
      <c r="BV73" s="2115">
        <v>2002</v>
      </c>
      <c r="BW73" s="512">
        <f>СЧЁТ!CC13</f>
        <v>0.60746658522682651</v>
      </c>
      <c r="BX73" s="433"/>
      <c r="CO73" s="817">
        <v>2000</v>
      </c>
      <c r="CP73" s="1023">
        <v>7305.6466</v>
      </c>
      <c r="CQ73" s="1023">
        <v>1165.2339999999999</v>
      </c>
      <c r="CR73" s="1023"/>
      <c r="DI73" s="820">
        <v>2000</v>
      </c>
      <c r="DJ73" s="1203">
        <v>7305.6466</v>
      </c>
      <c r="DK73" s="1203">
        <v>3295.2372999999998</v>
      </c>
      <c r="DL73" s="1203" t="e">
        <v>#REF!</v>
      </c>
      <c r="DM73" s="1203">
        <v>1165.2339999999999</v>
      </c>
      <c r="ED73" s="820">
        <v>2000</v>
      </c>
      <c r="EE73" s="1300">
        <v>5.1712627496070169</v>
      </c>
      <c r="EF73" s="1300"/>
      <c r="EG73" s="558">
        <v>3.7854704885295649</v>
      </c>
      <c r="EH73" s="1300"/>
      <c r="EI73" s="477">
        <v>0</v>
      </c>
      <c r="EJ73" s="477"/>
      <c r="EK73" s="1301">
        <v>4.0904237641176007</v>
      </c>
      <c r="EL73" s="477"/>
      <c r="FC73" s="477">
        <f t="shared" si="24"/>
        <v>5.1712627496070169</v>
      </c>
      <c r="FD73" s="477">
        <f t="shared" si="26"/>
        <v>0</v>
      </c>
      <c r="FE73" s="1328">
        <f t="shared" si="25"/>
        <v>3.7854704885295649</v>
      </c>
      <c r="FI73" s="817">
        <v>2000</v>
      </c>
      <c r="FJ73" s="1300">
        <v>5.0821555739588433</v>
      </c>
      <c r="FK73" s="558">
        <v>4.0904237641176007</v>
      </c>
      <c r="FL73" s="477">
        <v>5.1416113994451775</v>
      </c>
    </row>
    <row r="74" spans="12:168" ht="20.25" customHeight="1">
      <c r="L74" s="1518">
        <v>2002</v>
      </c>
      <c r="M74" s="1521">
        <v>24431</v>
      </c>
      <c r="N74" s="1146">
        <v>5401.7384738598985</v>
      </c>
      <c r="O74" s="1523">
        <v>1.01</v>
      </c>
      <c r="P74" s="1146">
        <v>10819.270899999998</v>
      </c>
      <c r="Q74" s="1150">
        <v>1703.0808963644092</v>
      </c>
      <c r="R74" s="1523">
        <v>1.0469999999999999</v>
      </c>
      <c r="S74" s="1526">
        <v>66.659000000000006</v>
      </c>
      <c r="T74" s="784">
        <v>72.356999999999999</v>
      </c>
      <c r="U74" s="1524">
        <f t="shared" si="22"/>
        <v>25.549151597899893</v>
      </c>
      <c r="V74" s="1525">
        <f t="shared" si="23"/>
        <v>81.035396178458996</v>
      </c>
      <c r="Y74" s="1460">
        <v>2000</v>
      </c>
      <c r="Z74" s="1418">
        <v>1547.6967824925091</v>
      </c>
      <c r="AA74" s="1462">
        <v>72.77</v>
      </c>
      <c r="AB74" s="1097">
        <v>65.069999999999993</v>
      </c>
      <c r="BB74" s="947">
        <f>BB73+(BE$79-BE$73)/6</f>
        <v>52.792146557273121</v>
      </c>
      <c r="BC74" s="784"/>
      <c r="BD74" s="2115">
        <v>2003</v>
      </c>
      <c r="BE74" s="512">
        <f>СЧЁТ!CB14</f>
        <v>53.222993601114709</v>
      </c>
      <c r="BF74" s="433"/>
      <c r="BR74" s="784"/>
      <c r="BS74" s="784"/>
      <c r="BT74" s="784"/>
      <c r="BU74" s="947">
        <f t="shared" si="27"/>
        <v>0.66521164470030658</v>
      </c>
      <c r="BV74" s="2115">
        <v>2003</v>
      </c>
      <c r="BW74" s="512">
        <f>СЧЁТ!CC14</f>
        <v>0.64524584965850484</v>
      </c>
      <c r="BX74" s="433"/>
      <c r="CO74" s="817">
        <v>2001</v>
      </c>
      <c r="CP74" s="1023">
        <v>8943.5826000000015</v>
      </c>
      <c r="CQ74" s="1023">
        <v>1504.7</v>
      </c>
      <c r="CR74" s="1023"/>
      <c r="DI74" s="820">
        <v>2001</v>
      </c>
      <c r="DJ74" s="1203">
        <v>8943.5825999999997</v>
      </c>
      <c r="DK74" s="1203">
        <v>4318.1211000000003</v>
      </c>
      <c r="DL74" s="1203" t="e">
        <v>#REF!</v>
      </c>
      <c r="DM74" s="1203">
        <v>1504.7</v>
      </c>
      <c r="ED74" s="820">
        <v>2001</v>
      </c>
      <c r="EE74" s="1300">
        <v>6.0707268468539191</v>
      </c>
      <c r="EF74" s="1300"/>
      <c r="EG74" s="558">
        <v>5.0878645956391404</v>
      </c>
      <c r="EH74" s="1300"/>
      <c r="EI74" s="477">
        <v>0</v>
      </c>
      <c r="EJ74" s="477"/>
      <c r="EK74" s="1301">
        <v>4.8512425842434741</v>
      </c>
      <c r="EL74" s="477"/>
      <c r="FC74" s="477">
        <f t="shared" si="24"/>
        <v>6.0707268468539191</v>
      </c>
      <c r="FD74" s="477">
        <f t="shared" si="26"/>
        <v>0</v>
      </c>
      <c r="FE74" s="1328">
        <f t="shared" si="25"/>
        <v>5.0878645956391404</v>
      </c>
      <c r="FI74" s="817">
        <v>2001</v>
      </c>
      <c r="FJ74" s="1300">
        <v>6.2597323676099617</v>
      </c>
      <c r="FK74" s="558">
        <v>4.8512425842434741</v>
      </c>
      <c r="FL74" s="477">
        <v>5.3433855590626722</v>
      </c>
    </row>
    <row r="75" spans="12:168" ht="18">
      <c r="L75" s="1518">
        <v>2003</v>
      </c>
      <c r="M75" s="1521">
        <v>30329.1</v>
      </c>
      <c r="N75" s="1146">
        <v>5471.9610740200769</v>
      </c>
      <c r="O75" s="1522">
        <v>1.0129999999999999</v>
      </c>
      <c r="P75" s="1146">
        <v>13208.250299999998</v>
      </c>
      <c r="Q75" s="1150">
        <v>1827.405801799011</v>
      </c>
      <c r="R75" s="1523">
        <v>1.073</v>
      </c>
      <c r="S75" s="1526">
        <v>66.338999999999999</v>
      </c>
      <c r="T75" s="784">
        <v>72.272999999999996</v>
      </c>
      <c r="U75" s="1524">
        <f t="shared" si="22"/>
        <v>27.546477966188984</v>
      </c>
      <c r="V75" s="1525">
        <f t="shared" si="23"/>
        <v>82.484829045057609</v>
      </c>
      <c r="Y75" s="1460">
        <v>2001</v>
      </c>
      <c r="Z75" s="1418">
        <v>1626.629318399627</v>
      </c>
      <c r="AA75" s="1462">
        <v>71.545000000000002</v>
      </c>
      <c r="AB75" s="1097">
        <v>65.123000000000005</v>
      </c>
      <c r="BB75" s="947" t="e">
        <f t="shared" ref="BB75:BB86" ca="1" si="28">BB74+(BB$79-BB$73)/6</f>
        <v>#DIV/0!</v>
      </c>
      <c r="BC75" s="784"/>
      <c r="BD75" s="2115">
        <v>2004</v>
      </c>
      <c r="BE75" s="512">
        <f>СЧЁТ!CB15</f>
        <v>56.644052738523989</v>
      </c>
      <c r="BF75" s="433"/>
      <c r="BR75" s="784"/>
      <c r="BS75" s="784"/>
      <c r="BT75" s="784"/>
      <c r="BU75" s="947">
        <f t="shared" si="27"/>
        <v>0.69852422045042872</v>
      </c>
      <c r="BV75" s="2115">
        <v>2004</v>
      </c>
      <c r="BW75" s="512">
        <f>СЧЁТ!CC15</f>
        <v>0.6858912575110091</v>
      </c>
      <c r="BX75" s="433"/>
      <c r="CO75" s="817">
        <v>2002</v>
      </c>
      <c r="CP75" s="1023">
        <v>10819.212299999999</v>
      </c>
      <c r="CQ75" s="1023">
        <v>1762.4</v>
      </c>
      <c r="CR75" s="1023"/>
      <c r="DI75" s="820">
        <v>2002</v>
      </c>
      <c r="DJ75" s="1203">
        <v>10819.270899999998</v>
      </c>
      <c r="DK75" s="1203">
        <v>5409.1576999999997</v>
      </c>
      <c r="DL75" s="1203" t="e">
        <v>#REF!</v>
      </c>
      <c r="DM75" s="1203">
        <v>1762.4</v>
      </c>
      <c r="ED75" s="820">
        <v>2002</v>
      </c>
      <c r="EE75" s="1300">
        <v>6.9167509862711283</v>
      </c>
      <c r="EF75" s="1300"/>
      <c r="EG75" s="558">
        <v>6.5528675715584006</v>
      </c>
      <c r="EH75" s="1300"/>
      <c r="EI75" s="477">
        <v>0</v>
      </c>
      <c r="EJ75" s="477"/>
      <c r="EK75" s="1301">
        <v>5.5837802144642392</v>
      </c>
      <c r="EL75" s="477"/>
      <c r="FC75" s="477">
        <f t="shared" si="24"/>
        <v>6.9167509862711283</v>
      </c>
      <c r="FD75" s="477">
        <f t="shared" si="26"/>
        <v>0</v>
      </c>
      <c r="FE75" s="1328">
        <f t="shared" si="25"/>
        <v>6.5528675715584006</v>
      </c>
      <c r="FI75" s="817">
        <v>2002</v>
      </c>
      <c r="FJ75" s="1300">
        <v>7.0728069310904971</v>
      </c>
      <c r="FK75" s="558">
        <v>5.5837802144642392</v>
      </c>
      <c r="FL75" s="477">
        <v>5.6965406483895409</v>
      </c>
    </row>
    <row r="76" spans="12:168" ht="22.5" customHeight="1">
      <c r="L76" s="1518">
        <v>2004</v>
      </c>
      <c r="M76" s="1521">
        <v>34874</v>
      </c>
      <c r="N76" s="1146">
        <v>5559.5124512043985</v>
      </c>
      <c r="O76" s="1522">
        <v>1.016</v>
      </c>
      <c r="P76" s="1146">
        <v>17027.166999999998</v>
      </c>
      <c r="Q76" s="1150">
        <v>1958.97901952854</v>
      </c>
      <c r="R76" s="1523">
        <v>1.0720000000000001</v>
      </c>
      <c r="S76" s="1526">
        <v>67.319000000000003</v>
      </c>
      <c r="T76" s="784">
        <v>72.984999999999999</v>
      </c>
      <c r="U76" s="1524">
        <f t="shared" si="22"/>
        <v>29.099942356965194</v>
      </c>
      <c r="V76" s="1525">
        <f t="shared" si="23"/>
        <v>82.584596491397647</v>
      </c>
      <c r="Y76" s="1460">
        <v>2002</v>
      </c>
      <c r="Z76" s="1418">
        <v>1703.0808963644092</v>
      </c>
      <c r="AA76" s="1462">
        <v>72.356999999999999</v>
      </c>
      <c r="AB76" s="1097">
        <v>66.659000000000006</v>
      </c>
      <c r="BB76" s="947" t="e">
        <f t="shared" ca="1" si="28"/>
        <v>#DIV/0!</v>
      </c>
      <c r="BC76" s="784"/>
      <c r="BD76" s="2115">
        <v>2005</v>
      </c>
      <c r="BE76" s="512">
        <f>СЧЁТ!CB16</f>
        <v>58.979127328817569</v>
      </c>
      <c r="BF76" s="433"/>
      <c r="BR76" s="784"/>
      <c r="BS76" s="784"/>
      <c r="BT76" s="784"/>
      <c r="BU76" s="947">
        <f t="shared" si="27"/>
        <v>0.73183679620055087</v>
      </c>
      <c r="BV76" s="2115">
        <v>2005</v>
      </c>
      <c r="BW76" s="512">
        <f>СЧЁТ!CC16</f>
        <v>0.71146914542604167</v>
      </c>
      <c r="BX76" s="433"/>
      <c r="CO76" s="817">
        <v>2003</v>
      </c>
      <c r="CP76" s="1023">
        <v>13208.2338</v>
      </c>
      <c r="CQ76" s="1023">
        <v>2186.4</v>
      </c>
      <c r="CR76" s="1023"/>
      <c r="DI76" s="820">
        <v>2003</v>
      </c>
      <c r="DJ76" s="1203">
        <v>13208.250299999998</v>
      </c>
      <c r="DK76" s="1203">
        <v>6537.4014999999999</v>
      </c>
      <c r="DL76" s="1203" t="e">
        <v>#REF!</v>
      </c>
      <c r="DM76" s="1203">
        <v>2186.4</v>
      </c>
      <c r="ED76" s="820">
        <v>2003</v>
      </c>
      <c r="EE76" s="1300">
        <v>7.6273689193439225</v>
      </c>
      <c r="EF76" s="1300"/>
      <c r="EG76" s="558">
        <v>7.7958923176158716</v>
      </c>
      <c r="EH76" s="1300"/>
      <c r="EI76" s="477">
        <v>0</v>
      </c>
      <c r="EJ76" s="477"/>
      <c r="EK76" s="1301">
        <v>6.2538338401999489</v>
      </c>
      <c r="EL76" s="477"/>
      <c r="FC76" s="477">
        <f t="shared" si="24"/>
        <v>7.6273689193439225</v>
      </c>
      <c r="FD76" s="477">
        <f t="shared" si="26"/>
        <v>0</v>
      </c>
      <c r="FE76" s="1328">
        <f t="shared" si="25"/>
        <v>7.7958923176158716</v>
      </c>
      <c r="FI76" s="817">
        <v>2003</v>
      </c>
      <c r="FJ76" s="1300">
        <v>7.8586429903564081</v>
      </c>
      <c r="FK76" s="558">
        <v>6.2538338401999489</v>
      </c>
      <c r="FL76" s="477">
        <v>5.788123461724906</v>
      </c>
    </row>
    <row r="77" spans="12:168" ht="20.25" customHeight="1">
      <c r="L77" s="1518">
        <v>2005</v>
      </c>
      <c r="M77" s="1521">
        <v>41494</v>
      </c>
      <c r="N77" s="1146">
        <v>5665.1431877772829</v>
      </c>
      <c r="O77" s="1522">
        <v>1.0190000000000001</v>
      </c>
      <c r="P77" s="1146">
        <v>21609.765799999997</v>
      </c>
      <c r="Q77" s="1150">
        <v>2084.3536767783667</v>
      </c>
      <c r="R77" s="1523">
        <v>1.0640000000000001</v>
      </c>
      <c r="S77" s="1526">
        <v>68.338999999999999</v>
      </c>
      <c r="T77" s="784">
        <v>73.581000000000003</v>
      </c>
      <c r="U77" s="1524">
        <f t="shared" si="22"/>
        <v>30.500207447846275</v>
      </c>
      <c r="V77" s="1525">
        <f t="shared" si="23"/>
        <v>82.897660015178488</v>
      </c>
      <c r="Y77" s="1460">
        <v>2003</v>
      </c>
      <c r="Z77" s="1418">
        <v>1827.405801799011</v>
      </c>
      <c r="AA77" s="1462">
        <v>72.272999999999996</v>
      </c>
      <c r="AB77" s="1097">
        <v>66.338999999999999</v>
      </c>
      <c r="BB77" s="947" t="e">
        <f t="shared" ca="1" si="28"/>
        <v>#DIV/0!</v>
      </c>
      <c r="BC77" s="784"/>
      <c r="BD77" s="2115">
        <v>2006</v>
      </c>
      <c r="BE77" s="512">
        <f>СЧЁТ!CB17</f>
        <v>63.457556425113935</v>
      </c>
      <c r="BF77" s="433"/>
      <c r="BR77" s="784"/>
      <c r="BS77" s="784"/>
      <c r="BT77" s="784"/>
      <c r="BU77" s="947">
        <f t="shared" si="27"/>
        <v>0.76514937195067301</v>
      </c>
      <c r="BV77" s="2115">
        <v>2006</v>
      </c>
      <c r="BW77" s="512">
        <f>СЧЁТ!CC17</f>
        <v>0.75663076110249938</v>
      </c>
      <c r="BX77" s="433"/>
      <c r="CO77" s="817">
        <v>2004</v>
      </c>
      <c r="CP77" s="1023">
        <v>17027.190900000001</v>
      </c>
      <c r="CQ77" s="1023">
        <v>2865</v>
      </c>
      <c r="CR77" s="1023"/>
      <c r="DI77" s="820">
        <v>2004</v>
      </c>
      <c r="DJ77" s="1203">
        <v>17027.166999999998</v>
      </c>
      <c r="DK77" s="1203">
        <v>8438.4840999999997</v>
      </c>
      <c r="DL77" s="1203" t="e">
        <v>#REF!</v>
      </c>
      <c r="DM77" s="1203">
        <v>2865</v>
      </c>
      <c r="ED77" s="820">
        <v>2004</v>
      </c>
      <c r="EE77" s="1300">
        <v>8.7904133177964692</v>
      </c>
      <c r="EF77" s="1300"/>
      <c r="EG77" s="558">
        <v>9.32454487174126</v>
      </c>
      <c r="EH77" s="1300"/>
      <c r="EI77" s="477">
        <v>0</v>
      </c>
      <c r="EJ77" s="477"/>
      <c r="EK77" s="1301">
        <v>6.9855323995033425</v>
      </c>
      <c r="EL77" s="477"/>
      <c r="FC77" s="477">
        <f t="shared" si="24"/>
        <v>8.7904133177964692</v>
      </c>
      <c r="FD77" s="477">
        <f t="shared" si="26"/>
        <v>0</v>
      </c>
      <c r="FE77" s="1328">
        <f t="shared" si="25"/>
        <v>9.32454487174126</v>
      </c>
      <c r="FI77" s="817">
        <v>2004</v>
      </c>
      <c r="FJ77" s="1300">
        <v>9.0480534412004499</v>
      </c>
      <c r="FK77" s="558">
        <v>6.9855323995033425</v>
      </c>
      <c r="FL77" s="477">
        <v>5.6171649663435321</v>
      </c>
    </row>
    <row r="78" spans="12:168" ht="20.25" customHeight="1">
      <c r="L78" s="1518">
        <v>2006</v>
      </c>
      <c r="M78" s="1521">
        <v>47489</v>
      </c>
      <c r="N78" s="1146">
        <v>5801.1066242839379</v>
      </c>
      <c r="O78" s="1522">
        <v>1.024</v>
      </c>
      <c r="P78" s="1146">
        <v>26917.203699999998</v>
      </c>
      <c r="Q78" s="1150">
        <v>2255.270678274193</v>
      </c>
      <c r="R78" s="1523">
        <v>1.0820000000000001</v>
      </c>
      <c r="S78" s="1526">
        <v>69.168999999999997</v>
      </c>
      <c r="T78" s="784">
        <v>74.418999999999997</v>
      </c>
      <c r="U78" s="1524">
        <f t="shared" si="22"/>
        <v>32.605223124147997</v>
      </c>
      <c r="V78" s="1525">
        <f t="shared" si="23"/>
        <v>83.868591772093538</v>
      </c>
      <c r="Y78" s="1460">
        <v>2004</v>
      </c>
      <c r="Z78" s="1418">
        <v>1958.97901952854</v>
      </c>
      <c r="AA78" s="1462">
        <v>72.984999999999999</v>
      </c>
      <c r="AB78" s="1097">
        <v>67.319000000000003</v>
      </c>
      <c r="BB78" s="947" t="e">
        <f t="shared" ca="1" si="28"/>
        <v>#DIV/0!</v>
      </c>
      <c r="BC78" s="784"/>
      <c r="BD78" s="2115">
        <v>2007</v>
      </c>
      <c r="BE78" s="512">
        <f>СЧЁТ!CB18</f>
        <v>67.479917249698346</v>
      </c>
      <c r="BF78" s="477"/>
      <c r="BR78" s="784"/>
      <c r="BS78" s="784"/>
      <c r="BT78" s="784"/>
      <c r="BU78" s="947">
        <f t="shared" si="27"/>
        <v>0.79846194770079515</v>
      </c>
      <c r="BV78" s="2115">
        <v>2007</v>
      </c>
      <c r="BW78" s="512">
        <f>СЧЁТ!CC18</f>
        <v>0.79846194770079482</v>
      </c>
      <c r="BX78" s="477"/>
      <c r="CO78" s="817">
        <v>2005</v>
      </c>
      <c r="CP78" s="1023">
        <v>21609.765500000001</v>
      </c>
      <c r="CQ78" s="1023">
        <v>3611.1</v>
      </c>
      <c r="CR78" s="1023"/>
      <c r="DI78" s="820">
        <v>2005</v>
      </c>
      <c r="DJ78" s="1203">
        <v>21609.765799999997</v>
      </c>
      <c r="DK78" s="1203">
        <v>10652.8578</v>
      </c>
      <c r="DL78" s="1203" t="e">
        <v>#REF!</v>
      </c>
      <c r="DM78" s="1203">
        <v>3611.1</v>
      </c>
      <c r="ED78" s="820">
        <v>2005</v>
      </c>
      <c r="EE78" s="1300">
        <v>10.054085870175701</v>
      </c>
      <c r="EF78" s="1300"/>
      <c r="EG78" s="558">
        <v>11.601834838997735</v>
      </c>
      <c r="EH78" s="1300"/>
      <c r="EI78" s="477">
        <v>0</v>
      </c>
      <c r="EJ78" s="477"/>
      <c r="EK78" s="1301">
        <v>7.7469554310492068</v>
      </c>
      <c r="EL78" s="477"/>
      <c r="EQ78" s="1509" t="s">
        <v>432</v>
      </c>
      <c r="FC78" s="477">
        <f t="shared" si="24"/>
        <v>10.054085870175701</v>
      </c>
      <c r="FD78" s="477">
        <f t="shared" si="26"/>
        <v>0</v>
      </c>
      <c r="FE78" s="1328">
        <f t="shared" si="25"/>
        <v>11.601834838997735</v>
      </c>
      <c r="FI78" s="817">
        <v>2005</v>
      </c>
      <c r="FJ78" s="1300">
        <v>10.070168753275144</v>
      </c>
      <c r="FK78" s="558">
        <v>7.7469554310492068</v>
      </c>
      <c r="FL78" s="477">
        <v>5.9336563381172764</v>
      </c>
    </row>
    <row r="79" spans="12:168" ht="21.75" customHeight="1">
      <c r="L79" s="1518">
        <v>2007</v>
      </c>
      <c r="M79" s="1521">
        <v>60391</v>
      </c>
      <c r="N79" s="1146">
        <v>5980.9409296367394</v>
      </c>
      <c r="O79" s="1522">
        <v>1.0309999999999999</v>
      </c>
      <c r="P79" s="1146">
        <v>33247.513200000001</v>
      </c>
      <c r="Q79" s="1150">
        <v>2446.9686859274993</v>
      </c>
      <c r="R79" s="1523">
        <v>1.085</v>
      </c>
      <c r="S79" s="1526">
        <v>70.77</v>
      </c>
      <c r="T79" s="784">
        <v>75.289000000000001</v>
      </c>
      <c r="U79" s="1524">
        <f t="shared" si="22"/>
        <v>34.576355601632038</v>
      </c>
      <c r="V79" s="1525">
        <f t="shared" si="23"/>
        <v>84.512377132072061</v>
      </c>
      <c r="Y79" s="1460">
        <v>2005</v>
      </c>
      <c r="Z79" s="1418">
        <v>2084.3536767783667</v>
      </c>
      <c r="AA79" s="1462">
        <v>73.581000000000003</v>
      </c>
      <c r="AB79" s="1097">
        <v>68.338999999999999</v>
      </c>
      <c r="BB79" s="947" t="e">
        <f t="shared" ca="1" si="28"/>
        <v>#DIV/0!</v>
      </c>
      <c r="BC79" s="784"/>
      <c r="BD79" s="2115">
        <v>2008</v>
      </c>
      <c r="BE79" s="512">
        <f>СЧЁТ!CB19</f>
        <v>70.621402348481183</v>
      </c>
      <c r="BF79" s="477"/>
      <c r="BR79" s="784"/>
      <c r="BS79" s="784"/>
      <c r="BT79" s="784"/>
      <c r="BU79" s="947">
        <f t="shared" si="27"/>
        <v>0.83177452345091729</v>
      </c>
      <c r="BV79" s="2115">
        <v>2008</v>
      </c>
      <c r="BW79" s="512">
        <f>СЧЁТ!CC19</f>
        <v>0.80925197402107585</v>
      </c>
      <c r="BX79" s="477"/>
      <c r="CO79" s="817">
        <v>2006</v>
      </c>
      <c r="CP79" s="1023">
        <v>26917.201400000002</v>
      </c>
      <c r="CQ79" s="1023">
        <v>4730</v>
      </c>
      <c r="CR79" s="1023"/>
      <c r="DI79" s="820">
        <v>2006</v>
      </c>
      <c r="DJ79" s="1203">
        <v>26917.203699999998</v>
      </c>
      <c r="DK79" s="1203">
        <v>12974.743399999999</v>
      </c>
      <c r="DL79" s="1203" t="e">
        <v>#REF!</v>
      </c>
      <c r="DM79" s="1203">
        <v>4730</v>
      </c>
      <c r="ED79" s="820">
        <v>2006</v>
      </c>
      <c r="EE79" s="1300">
        <v>11.28478682823815</v>
      </c>
      <c r="EF79" s="1300"/>
      <c r="EG79" s="558">
        <v>14.558879763670303</v>
      </c>
      <c r="EH79" s="1300"/>
      <c r="EI79" s="477">
        <v>0</v>
      </c>
      <c r="EJ79" s="477"/>
      <c r="EK79" s="1301">
        <v>8.4441814198436358</v>
      </c>
      <c r="EL79" s="477"/>
      <c r="FC79" s="477">
        <f t="shared" si="24"/>
        <v>11.28478682823815</v>
      </c>
      <c r="FD79" s="477">
        <f t="shared" si="26"/>
        <v>0</v>
      </c>
      <c r="FE79" s="1328">
        <f t="shared" si="25"/>
        <v>14.558879763670303</v>
      </c>
      <c r="FI79" s="817">
        <v>2006</v>
      </c>
      <c r="FJ79" s="1300">
        <v>11.237649593940652</v>
      </c>
      <c r="FK79" s="558">
        <v>8.4441814198436358</v>
      </c>
      <c r="FL79" s="477">
        <v>5.9494755268032087</v>
      </c>
    </row>
    <row r="80" spans="12:168" ht="19.5" customHeight="1">
      <c r="L80" s="1518">
        <v>2008</v>
      </c>
      <c r="M80" s="1521">
        <v>74447</v>
      </c>
      <c r="N80" s="1146">
        <v>6196.2548031036622</v>
      </c>
      <c r="O80" s="1522">
        <v>1.036</v>
      </c>
      <c r="P80" s="1146">
        <v>41276.849199999997</v>
      </c>
      <c r="Q80" s="1150">
        <v>2574.2110575957295</v>
      </c>
      <c r="R80" s="1523">
        <v>1.052</v>
      </c>
      <c r="S80" s="1526">
        <v>71.003</v>
      </c>
      <c r="T80" s="1153">
        <v>75.7</v>
      </c>
      <c r="U80" s="1524">
        <f t="shared" si="22"/>
        <v>36.254961869156645</v>
      </c>
      <c r="V80" s="1525">
        <f>N80/S80</f>
        <v>87.267507050457894</v>
      </c>
      <c r="Y80" s="1460">
        <v>2006</v>
      </c>
      <c r="Z80" s="1418">
        <v>2255.270678274193</v>
      </c>
      <c r="AA80" s="1462">
        <v>74.418999999999997</v>
      </c>
      <c r="AB80" s="1097">
        <v>69.168999999999997</v>
      </c>
      <c r="BB80" s="947" t="e">
        <f t="shared" ca="1" si="28"/>
        <v>#DIV/0!</v>
      </c>
      <c r="BC80" s="784"/>
      <c r="BD80" s="2115">
        <v>2009</v>
      </c>
      <c r="BE80" s="512">
        <f>СЧЁТ!CB20</f>
        <v>66.896281588517056</v>
      </c>
      <c r="BF80" s="477"/>
      <c r="BR80" s="1588"/>
      <c r="BS80" s="1588"/>
      <c r="BT80" s="1588"/>
      <c r="BU80" s="947">
        <f t="shared" si="27"/>
        <v>0.86508709920103943</v>
      </c>
      <c r="BV80" s="2115">
        <v>2009</v>
      </c>
      <c r="BW80" s="512">
        <f>СЧЁТ!CC20</f>
        <v>0.72613113172821342</v>
      </c>
      <c r="BX80" s="477"/>
      <c r="BZ80" s="759"/>
      <c r="CA80" s="759"/>
      <c r="CB80" s="759"/>
      <c r="CC80" s="600"/>
      <c r="CD80" s="600"/>
      <c r="CE80" s="760"/>
      <c r="CF80" s="761"/>
      <c r="CG80" s="761"/>
      <c r="CH80" s="761"/>
      <c r="CI80" s="761"/>
      <c r="CJ80" s="760"/>
      <c r="CK80" s="760"/>
      <c r="CO80" s="817">
        <v>2007</v>
      </c>
      <c r="CP80" s="1023">
        <v>33247.513200000001</v>
      </c>
      <c r="CQ80" s="1023">
        <v>6716.2219999999998</v>
      </c>
      <c r="CR80" s="1023"/>
      <c r="DI80" s="820">
        <v>2007</v>
      </c>
      <c r="DJ80" s="1203">
        <v>33247.513200000001</v>
      </c>
      <c r="DK80" s="1203">
        <v>16031.739799999999</v>
      </c>
      <c r="DL80" s="1203" t="e">
        <v>#REF!</v>
      </c>
      <c r="DM80" s="1203">
        <v>6716.2219999999998</v>
      </c>
      <c r="ED80" s="820">
        <v>2007</v>
      </c>
      <c r="EE80" s="1300">
        <v>13.059083510568804</v>
      </c>
      <c r="EF80" s="1300"/>
      <c r="EG80" s="558">
        <v>17.418642331419541</v>
      </c>
      <c r="EH80" s="1300"/>
      <c r="EI80" s="477">
        <v>0</v>
      </c>
      <c r="EJ80" s="477"/>
      <c r="EK80" s="1301">
        <v>9.4465057543790749</v>
      </c>
      <c r="EL80" s="477"/>
      <c r="FC80" s="477">
        <f t="shared" si="24"/>
        <v>13.059083510568804</v>
      </c>
      <c r="FD80" s="477">
        <f t="shared" si="26"/>
        <v>0</v>
      </c>
      <c r="FE80" s="1328">
        <f t="shared" si="25"/>
        <v>17.418642331419541</v>
      </c>
      <c r="FI80" s="817">
        <v>2007</v>
      </c>
      <c r="FJ80" s="1300">
        <v>12.985985567555964</v>
      </c>
      <c r="FK80" s="558">
        <v>9.4465057543790749</v>
      </c>
      <c r="FL80" s="477">
        <v>5.9724865903412292</v>
      </c>
    </row>
    <row r="81" spans="12:168" ht="20.399999999999999">
      <c r="L81" s="1518">
        <v>2009</v>
      </c>
      <c r="M81" s="1521">
        <v>82302.968999999997</v>
      </c>
      <c r="N81" s="1146">
        <v>6394.5349568029797</v>
      </c>
      <c r="O81" s="1522">
        <v>1.032</v>
      </c>
      <c r="P81" s="1146">
        <v>38807.270899999996</v>
      </c>
      <c r="Q81" s="1150">
        <v>2370.848384045667</v>
      </c>
      <c r="R81" s="1523">
        <v>0.92100000000000004</v>
      </c>
      <c r="S81" s="1526">
        <v>69.41</v>
      </c>
      <c r="T81" s="1153">
        <v>75.694000000000003</v>
      </c>
      <c r="U81" s="1524">
        <f t="shared" si="22"/>
        <v>34.157158680963363</v>
      </c>
      <c r="V81" s="1525">
        <f t="shared" si="23"/>
        <v>92.126998369154009</v>
      </c>
      <c r="Y81" s="1460">
        <v>2007</v>
      </c>
      <c r="Z81" s="1418">
        <v>2446.9686859274993</v>
      </c>
      <c r="AA81" s="1462">
        <v>75.289000000000001</v>
      </c>
      <c r="AB81" s="1097">
        <v>70.77</v>
      </c>
      <c r="BB81" s="947" t="e">
        <f t="shared" ca="1" si="28"/>
        <v>#DIV/0!</v>
      </c>
      <c r="BC81" s="784"/>
      <c r="BD81" s="2115">
        <v>2010</v>
      </c>
      <c r="BE81" s="512">
        <f>СЧЁТ!CB21</f>
        <v>69.715085293922698</v>
      </c>
      <c r="BF81" s="477"/>
      <c r="BR81" s="87"/>
      <c r="BS81" s="87"/>
      <c r="BT81" s="87"/>
      <c r="BU81" s="947">
        <f t="shared" si="27"/>
        <v>0.89839967495116158</v>
      </c>
      <c r="BV81" s="2115">
        <v>2010</v>
      </c>
      <c r="BW81" s="512">
        <f>СЧЁТ!CC21</f>
        <v>0.74023076535400389</v>
      </c>
      <c r="BX81" s="477"/>
      <c r="BZ81" s="1571"/>
      <c r="CA81" s="1571"/>
      <c r="CB81" s="1571"/>
      <c r="CC81" s="1571"/>
      <c r="CD81" s="1571"/>
      <c r="CE81" s="1572"/>
      <c r="CF81" s="1572"/>
      <c r="CG81" s="1572"/>
      <c r="CH81" s="1572"/>
      <c r="CI81" s="1572"/>
      <c r="CJ81" s="1572"/>
      <c r="CK81" s="760"/>
      <c r="CO81" s="817">
        <v>2008</v>
      </c>
      <c r="CP81" s="1023">
        <v>41276.849199999997</v>
      </c>
      <c r="CQ81" s="1023">
        <v>8781.616</v>
      </c>
      <c r="CR81" s="1023"/>
      <c r="DI81" s="820">
        <v>2008</v>
      </c>
      <c r="DJ81" s="1203">
        <v>41276.849199999997</v>
      </c>
      <c r="DK81" s="1203">
        <v>19966.954699999998</v>
      </c>
      <c r="DL81" s="1203" t="e">
        <v>#REF!</v>
      </c>
      <c r="DM81" s="1203">
        <v>8781.616</v>
      </c>
      <c r="ED81" s="820">
        <v>2008</v>
      </c>
      <c r="EE81" s="1300">
        <v>15.593657080025292</v>
      </c>
      <c r="EF81" s="1300"/>
      <c r="EG81" s="558">
        <v>21.558658204106848</v>
      </c>
      <c r="EH81" s="1300"/>
      <c r="EI81" s="477">
        <v>0</v>
      </c>
      <c r="EJ81" s="477"/>
      <c r="EK81" s="1301">
        <v>10.701001718560617</v>
      </c>
      <c r="EL81" s="477"/>
      <c r="FC81" s="477">
        <f t="shared" si="24"/>
        <v>15.593657080025292</v>
      </c>
      <c r="FD81" s="477">
        <f t="shared" si="26"/>
        <v>0</v>
      </c>
      <c r="FE81" s="1328">
        <f t="shared" si="25"/>
        <v>21.558658204106848</v>
      </c>
      <c r="FI81" s="817">
        <v>2008</v>
      </c>
      <c r="FJ81" s="1300">
        <v>15.397267606350976</v>
      </c>
      <c r="FK81" s="558">
        <v>10.701001718560617</v>
      </c>
      <c r="FL81" s="477">
        <v>6.6180737006266304</v>
      </c>
    </row>
    <row r="82" spans="12:168" ht="19.5" customHeight="1">
      <c r="L82" s="1518">
        <v>2010</v>
      </c>
      <c r="M82" s="1080">
        <v>93186</v>
      </c>
      <c r="N82" s="1146">
        <v>6586.3710055070696</v>
      </c>
      <c r="O82" s="1523">
        <v>1.03</v>
      </c>
      <c r="P82" s="1146">
        <v>46308.53100000001</v>
      </c>
      <c r="Q82" s="1150">
        <v>2477.5365613277218</v>
      </c>
      <c r="R82" s="1523">
        <v>1.0449999999999999</v>
      </c>
      <c r="S82" s="1526">
        <v>69.933708461473046</v>
      </c>
      <c r="T82" s="1153">
        <v>75.477999999999994</v>
      </c>
      <c r="U82" s="1524">
        <f t="shared" si="22"/>
        <v>35.426929528449264</v>
      </c>
      <c r="V82" s="1525">
        <f t="shared" si="23"/>
        <v>94.180205088588238</v>
      </c>
      <c r="Y82" s="1460">
        <v>2008</v>
      </c>
      <c r="Z82" s="1418">
        <v>2574.2110575957295</v>
      </c>
      <c r="AA82" s="1462">
        <v>75.7</v>
      </c>
      <c r="AB82" s="1097">
        <v>71.003</v>
      </c>
      <c r="BB82" s="947" t="e">
        <f t="shared" ca="1" si="28"/>
        <v>#DIV/0!</v>
      </c>
      <c r="BC82" s="784"/>
      <c r="BD82" s="2115">
        <v>2011</v>
      </c>
      <c r="BE82" s="512">
        <f>СЧЁТ!CB22</f>
        <v>71.765752104766392</v>
      </c>
      <c r="BF82" s="477"/>
      <c r="BR82" s="87"/>
      <c r="BS82" s="2767"/>
      <c r="BT82" s="1589"/>
      <c r="BU82" s="947">
        <f t="shared" si="27"/>
        <v>0.93171225070128372</v>
      </c>
      <c r="BV82" s="2115">
        <v>2011</v>
      </c>
      <c r="BW82" s="512">
        <f>СЧЁТ!CC22</f>
        <v>0.7423660464079096</v>
      </c>
      <c r="BX82" s="477"/>
      <c r="BZ82" s="1573"/>
      <c r="CA82" s="1573"/>
      <c r="CB82" s="1574"/>
      <c r="CC82" s="1571"/>
      <c r="CD82" s="1571"/>
      <c r="CE82" s="1572"/>
      <c r="CF82" s="1572"/>
      <c r="CG82" s="1569"/>
      <c r="CH82" s="1569"/>
      <c r="CI82" s="1569"/>
      <c r="CJ82" s="1572"/>
      <c r="CK82" s="760"/>
      <c r="CN82" s="947"/>
      <c r="CO82" s="817">
        <v>2009</v>
      </c>
      <c r="CP82" s="1023">
        <v>38807.218999999997</v>
      </c>
      <c r="CQ82" s="1023">
        <v>7976.0129999999999</v>
      </c>
      <c r="CR82" s="1023">
        <f t="shared" ref="CR82:CR88" si="29">CQ82</f>
        <v>7976.0129999999999</v>
      </c>
      <c r="DI82" s="820">
        <v>2009</v>
      </c>
      <c r="DJ82" s="1203">
        <v>38807.270899999996</v>
      </c>
      <c r="DK82" s="1203">
        <v>20986.036</v>
      </c>
      <c r="DL82" s="1203" t="e">
        <v>#REF!</v>
      </c>
      <c r="DM82" s="1203">
        <v>7976.0129999999999</v>
      </c>
      <c r="ED82" s="820">
        <v>2009</v>
      </c>
      <c r="EE82" s="1300">
        <v>16.373566297801105</v>
      </c>
      <c r="EF82" s="1300"/>
      <c r="EG82" s="558">
        <v>23.771830652990928</v>
      </c>
      <c r="EH82" s="1300"/>
      <c r="EI82" s="477">
        <v>0</v>
      </c>
      <c r="EJ82" s="477"/>
      <c r="EK82" s="1301">
        <v>11.642689869793951</v>
      </c>
      <c r="EL82" s="477"/>
      <c r="FC82" s="477">
        <f t="shared" si="24"/>
        <v>16.373566297801105</v>
      </c>
      <c r="FD82" s="477">
        <f t="shared" si="26"/>
        <v>0</v>
      </c>
      <c r="FE82" s="1328">
        <f t="shared" si="25"/>
        <v>23.771830652990928</v>
      </c>
      <c r="FI82" s="817">
        <v>2009</v>
      </c>
      <c r="FJ82" s="1300">
        <v>18.209619166526906</v>
      </c>
      <c r="FK82" s="558">
        <v>11.642689869793951</v>
      </c>
      <c r="FL82" s="477">
        <v>8.3015732196072296</v>
      </c>
    </row>
    <row r="83" spans="12:168" ht="21.75" customHeight="1">
      <c r="L83" s="1518">
        <v>2011</v>
      </c>
      <c r="M83" s="1080">
        <v>108001</v>
      </c>
      <c r="N83" s="1146">
        <v>6849.8258457273523</v>
      </c>
      <c r="O83" s="1522">
        <v>1.04</v>
      </c>
      <c r="P83" s="1146">
        <v>60282.540400000005</v>
      </c>
      <c r="Q83" s="1150">
        <v>2584.0706334648135</v>
      </c>
      <c r="R83" s="1523">
        <v>1.0429999999999999</v>
      </c>
      <c r="S83" s="1530">
        <v>70.85661311334043</v>
      </c>
      <c r="T83" s="784">
        <v>75.778999999999996</v>
      </c>
      <c r="U83" s="1524">
        <f t="shared" si="22"/>
        <v>36.469011429199981</v>
      </c>
      <c r="V83" s="1525">
        <f t="shared" si="23"/>
        <v>96.671652013207932</v>
      </c>
      <c r="Y83" s="1460">
        <v>2009</v>
      </c>
      <c r="Z83" s="1418">
        <v>2370.848384045667</v>
      </c>
      <c r="AA83" s="1462">
        <v>75.694000000000003</v>
      </c>
      <c r="AB83" s="1097">
        <v>69.41</v>
      </c>
      <c r="BB83" s="947" t="e">
        <f t="shared" ca="1" si="28"/>
        <v>#DIV/0!</v>
      </c>
      <c r="BC83" s="947">
        <f>BE83</f>
        <v>73.846746364363511</v>
      </c>
      <c r="BD83" s="2115">
        <v>2012</v>
      </c>
      <c r="BE83" s="512">
        <f>СЧЁТ!CB23</f>
        <v>73.846746364363511</v>
      </c>
      <c r="BF83" s="477"/>
      <c r="BR83" s="87"/>
      <c r="BS83" s="2767"/>
      <c r="BT83" s="1589"/>
      <c r="BU83" s="947">
        <f t="shared" si="27"/>
        <v>0.96502482645140586</v>
      </c>
      <c r="BV83" s="2115">
        <v>2012</v>
      </c>
      <c r="BW83" s="512">
        <f>СЧЁТ!CC23</f>
        <v>0.73951900500270207</v>
      </c>
      <c r="BX83" s="477"/>
      <c r="BZ83" s="1573"/>
      <c r="CA83" s="1573"/>
      <c r="CB83" s="1571"/>
      <c r="CC83" s="1571"/>
      <c r="CD83" s="1571"/>
      <c r="CE83" s="1572"/>
      <c r="CF83" s="1572"/>
      <c r="CG83" s="1569"/>
      <c r="CH83" s="1569"/>
      <c r="CI83" s="1569"/>
      <c r="CJ83" s="1572"/>
      <c r="CK83" s="760"/>
      <c r="CN83" s="947">
        <f>BW83</f>
        <v>0.73951900500270207</v>
      </c>
      <c r="CO83" s="817">
        <v>2010</v>
      </c>
      <c r="CP83" s="1023">
        <v>46308.540999999997</v>
      </c>
      <c r="CQ83" s="1023">
        <v>9152.1</v>
      </c>
      <c r="CR83" s="1023">
        <f t="shared" si="29"/>
        <v>9152.1</v>
      </c>
      <c r="DI83" s="820">
        <v>2010</v>
      </c>
      <c r="DJ83" s="1203">
        <v>46308.53100000001</v>
      </c>
      <c r="DK83" s="1203">
        <v>23617.623</v>
      </c>
      <c r="DL83" s="1203" t="e">
        <v>#REF!</v>
      </c>
      <c r="DM83" s="1203">
        <v>9152.1</v>
      </c>
      <c r="ED83" s="820">
        <v>2010</v>
      </c>
      <c r="EE83" s="1300">
        <v>17.674409856030426</v>
      </c>
      <c r="EF83" s="1300"/>
      <c r="EG83" s="558">
        <v>25.942740710668115</v>
      </c>
      <c r="EH83" s="1300"/>
      <c r="EI83" s="477">
        <v>0</v>
      </c>
      <c r="EJ83" s="477"/>
      <c r="EK83" s="1301">
        <v>12.664918040361862</v>
      </c>
      <c r="EL83" s="477"/>
      <c r="FC83" s="477">
        <f t="shared" si="24"/>
        <v>17.674409856030426</v>
      </c>
      <c r="FD83" s="477">
        <f t="shared" si="26"/>
        <v>0</v>
      </c>
      <c r="FE83" s="1328">
        <f t="shared" si="25"/>
        <v>25.942740710668115</v>
      </c>
      <c r="FI83" s="817">
        <v>2010</v>
      </c>
      <c r="FJ83" s="1300">
        <v>20.205803391972641</v>
      </c>
      <c r="FK83" s="558">
        <v>12.664918040361862</v>
      </c>
      <c r="FL83" s="477">
        <v>8.121605375451491</v>
      </c>
    </row>
    <row r="84" spans="12:168" ht="20.399999999999999">
      <c r="L84" s="1518">
        <v>2012</v>
      </c>
      <c r="M84" s="1080">
        <v>121269</v>
      </c>
      <c r="N84" s="1146">
        <v>7144.3683570936282</v>
      </c>
      <c r="O84" s="1522">
        <v>1.0429999999999999</v>
      </c>
      <c r="P84" s="1146">
        <v>68163.883100000006</v>
      </c>
      <c r="Q84" s="1150">
        <v>2678.541712402734</v>
      </c>
      <c r="R84" s="1526">
        <v>1.0365590157306384</v>
      </c>
      <c r="S84" s="1530">
        <v>71.545415863579535</v>
      </c>
      <c r="T84" s="784">
        <v>75.676000000000002</v>
      </c>
      <c r="U84" s="1524">
        <f t="shared" si="22"/>
        <v>37.438341507582962</v>
      </c>
      <c r="V84" s="1525">
        <f t="shared" si="23"/>
        <v>99.857807392108484</v>
      </c>
      <c r="Y84" s="1460">
        <v>2010</v>
      </c>
      <c r="Z84" s="1418">
        <v>2477.5365613277218</v>
      </c>
      <c r="AA84" s="1462">
        <v>75.477999999999994</v>
      </c>
      <c r="AB84" s="1097">
        <v>69.933708461473046</v>
      </c>
      <c r="BB84" s="947" t="e">
        <f t="shared" ca="1" si="28"/>
        <v>#DIV/0!</v>
      </c>
      <c r="BC84" s="947">
        <f t="shared" ref="BC84:BC101" si="30">BC83+(BE$85-BE$83)/2</f>
        <v>74.927112170289476</v>
      </c>
      <c r="BD84" s="2115">
        <v>2013</v>
      </c>
      <c r="BE84" s="512">
        <f>СЧЁТ!CB24</f>
        <v>75.560123440531513</v>
      </c>
      <c r="BF84" s="477"/>
      <c r="BR84" s="87"/>
      <c r="BS84" s="1586"/>
      <c r="BT84" s="1586"/>
      <c r="BU84" s="947">
        <f t="shared" si="27"/>
        <v>0.998337402201528</v>
      </c>
      <c r="BV84" s="2115">
        <v>2013</v>
      </c>
      <c r="BW84" s="512">
        <f>СЧЁТ!CC24</f>
        <v>0.72531114707757816</v>
      </c>
      <c r="BX84" s="477"/>
      <c r="BZ84" s="1568"/>
      <c r="CA84" s="1570"/>
      <c r="CB84" s="1570"/>
      <c r="CC84" s="1571"/>
      <c r="CD84" s="1571"/>
      <c r="CE84" s="1572"/>
      <c r="CF84" s="1572"/>
      <c r="CG84" s="1569"/>
      <c r="CH84" s="1575"/>
      <c r="CI84" s="1576"/>
      <c r="CJ84" s="1572"/>
      <c r="CK84" s="760"/>
      <c r="CN84" s="947">
        <f t="shared" ref="CN84:CN94" si="31">CN83-(BW$83-BW$84)</f>
        <v>0.72531114707757816</v>
      </c>
      <c r="CO84" s="817">
        <v>2011</v>
      </c>
      <c r="CP84" s="1023">
        <v>60282.540399999998</v>
      </c>
      <c r="CQ84" s="1023">
        <v>11035.652</v>
      </c>
      <c r="CR84" s="1023">
        <f t="shared" si="29"/>
        <v>11035.652</v>
      </c>
      <c r="DI84" s="820">
        <v>2011</v>
      </c>
      <c r="DJ84" s="1203">
        <v>60282.540400000005</v>
      </c>
      <c r="DK84" s="1203">
        <v>29939.463500000002</v>
      </c>
      <c r="DL84" s="1203" t="e">
        <v>#REF!</v>
      </c>
      <c r="DM84" s="1203">
        <v>11035.652</v>
      </c>
      <c r="ED84" s="820">
        <v>2011</v>
      </c>
      <c r="EE84" s="1300">
        <v>19.234566440524752</v>
      </c>
      <c r="EF84" s="1300"/>
      <c r="EG84" s="558">
        <v>31.060937552257776</v>
      </c>
      <c r="EH84" s="1300"/>
      <c r="EI84" s="477">
        <v>0</v>
      </c>
      <c r="EJ84" s="477"/>
      <c r="EK84" s="1301">
        <v>13.437478040823935</v>
      </c>
      <c r="EL84" s="477"/>
      <c r="FC84" s="477">
        <f t="shared" si="24"/>
        <v>19.234566440524752</v>
      </c>
      <c r="FD84" s="477">
        <f t="shared" si="26"/>
        <v>0</v>
      </c>
      <c r="FE84" s="1328">
        <f t="shared" si="25"/>
        <v>31.060937552257776</v>
      </c>
      <c r="FI84" s="817">
        <v>2011</v>
      </c>
      <c r="FJ84" s="1300">
        <v>23.496938857350884</v>
      </c>
      <c r="FK84" s="558">
        <v>13.437478040823935</v>
      </c>
      <c r="FL84" s="477">
        <v>8.2828741918760365</v>
      </c>
    </row>
    <row r="85" spans="12:168" ht="20.399999999999999">
      <c r="L85" s="1518">
        <v>2013</v>
      </c>
      <c r="M85" s="1080">
        <v>133522.79999999999</v>
      </c>
      <c r="N85" s="1146">
        <v>7437.2874597344662</v>
      </c>
      <c r="O85" s="1522">
        <v>1.0409999999999999</v>
      </c>
      <c r="P85" s="1146">
        <v>73133.89509999998</v>
      </c>
      <c r="Q85" s="1150">
        <v>2726.3631774238834</v>
      </c>
      <c r="R85" s="1526">
        <v>1.0178535450091057</v>
      </c>
      <c r="S85" s="1526">
        <v>71.391459581339006</v>
      </c>
      <c r="T85" s="784">
        <v>75.528999999999996</v>
      </c>
      <c r="U85" s="1524">
        <f t="shared" si="22"/>
        <v>38.188926146237897</v>
      </c>
      <c r="V85" s="1525">
        <f t="shared" si="23"/>
        <v>104.1761508077991</v>
      </c>
      <c r="Y85" s="1460">
        <v>2011</v>
      </c>
      <c r="Z85" s="1418">
        <v>2584.0706334648135</v>
      </c>
      <c r="AA85" s="1462">
        <v>75.778999999999996</v>
      </c>
      <c r="AB85" s="1097">
        <v>70.85661311334043</v>
      </c>
      <c r="BB85" s="947" t="e">
        <f t="shared" ca="1" si="28"/>
        <v>#DIV/0!</v>
      </c>
      <c r="BC85" s="947">
        <f t="shared" si="30"/>
        <v>76.007477976215441</v>
      </c>
      <c r="BD85" s="2115">
        <v>2014</v>
      </c>
      <c r="BE85" s="512">
        <f>СЧЁТ!CB25</f>
        <v>76.007477976215441</v>
      </c>
      <c r="BF85" s="477"/>
      <c r="BR85" s="87"/>
      <c r="BS85" s="1586"/>
      <c r="BT85" s="1586"/>
      <c r="BU85" s="87"/>
      <c r="BV85" s="2115">
        <v>2014</v>
      </c>
      <c r="BW85" s="512">
        <f>СЧЁТ!CC25</f>
        <v>0.70502761451706741</v>
      </c>
      <c r="BX85" s="477"/>
      <c r="BZ85" s="1568"/>
      <c r="CA85" s="1570"/>
      <c r="CB85" s="1570"/>
      <c r="CC85" s="1571"/>
      <c r="CD85" s="1571"/>
      <c r="CE85" s="1572"/>
      <c r="CF85" s="1572"/>
      <c r="CG85" s="1569"/>
      <c r="CH85" s="1575"/>
      <c r="CI85" s="1576"/>
      <c r="CJ85" s="1572"/>
      <c r="CK85" s="760"/>
      <c r="CN85" s="947">
        <f t="shared" si="31"/>
        <v>0.71110328915245424</v>
      </c>
      <c r="CO85" s="817">
        <v>2012</v>
      </c>
      <c r="CP85" s="1023">
        <v>68163.883099999992</v>
      </c>
      <c r="CQ85" s="1023">
        <v>12586.090400000001</v>
      </c>
      <c r="CR85" s="1023">
        <f t="shared" si="29"/>
        <v>12586.090400000001</v>
      </c>
      <c r="DI85" s="820">
        <v>2012</v>
      </c>
      <c r="DJ85" s="1203">
        <v>68163.883100000006</v>
      </c>
      <c r="DK85" s="1203">
        <v>34492.361700000001</v>
      </c>
      <c r="DL85" s="1203" t="e">
        <v>#REF!</v>
      </c>
      <c r="DM85" s="1203">
        <v>12586.090400000001</v>
      </c>
      <c r="ED85" s="820">
        <v>2012</v>
      </c>
      <c r="EE85" s="1300">
        <v>20.540168341333807</v>
      </c>
      <c r="EF85" s="1300"/>
      <c r="EG85" s="558">
        <v>34.957056458668305</v>
      </c>
      <c r="EH85" s="1300"/>
      <c r="EI85" s="477">
        <v>0</v>
      </c>
      <c r="EJ85" s="477"/>
      <c r="EK85" s="1301">
        <v>14.321664095910151</v>
      </c>
      <c r="EL85" s="477"/>
      <c r="FC85" s="477">
        <f t="shared" si="24"/>
        <v>20.540168341333807</v>
      </c>
      <c r="FD85" s="477">
        <f t="shared" si="26"/>
        <v>0</v>
      </c>
      <c r="FE85" s="1328">
        <f t="shared" si="25"/>
        <v>34.957056458668305</v>
      </c>
      <c r="FI85" s="817">
        <v>2012</v>
      </c>
      <c r="FJ85" s="1300">
        <v>25.552634846384674</v>
      </c>
      <c r="FK85" s="558">
        <v>14.321664095910151</v>
      </c>
      <c r="FL85" s="477">
        <v>8.6670199170643638</v>
      </c>
    </row>
    <row r="86" spans="12:168" ht="20.399999999999999">
      <c r="L86" s="1518">
        <v>2014</v>
      </c>
      <c r="M86" s="1080">
        <v>147430</v>
      </c>
      <c r="N86" s="1146">
        <v>7712.4670957446406</v>
      </c>
      <c r="O86" s="1522">
        <v>1.0369999999999999</v>
      </c>
      <c r="P86" s="1522">
        <v>79199.658500000005</v>
      </c>
      <c r="Q86" s="1150">
        <v>2746.5001169353304</v>
      </c>
      <c r="R86" s="1523">
        <v>1.0073860077330101</v>
      </c>
      <c r="S86" s="1526">
        <v>71.539043569577998</v>
      </c>
      <c r="T86" s="784">
        <v>75.427999999999997</v>
      </c>
      <c r="U86" s="1524">
        <f t="shared" si="22"/>
        <v>38.39162476730791</v>
      </c>
      <c r="V86" s="1525">
        <f t="shared" si="23"/>
        <v>107.80780271745721</v>
      </c>
      <c r="Y86" s="1460">
        <v>2012</v>
      </c>
      <c r="Z86" s="1418">
        <v>2678.541712402734</v>
      </c>
      <c r="AA86" s="1462">
        <v>75.676000000000002</v>
      </c>
      <c r="AB86" s="1097">
        <v>71.545415863579535</v>
      </c>
      <c r="BB86" s="947" t="e">
        <f t="shared" ca="1" si="28"/>
        <v>#DIV/0!</v>
      </c>
      <c r="BC86" s="947">
        <f t="shared" si="30"/>
        <v>77.087843782141405</v>
      </c>
      <c r="BD86" s="2115">
        <v>2015</v>
      </c>
      <c r="BE86" s="512">
        <f>СЧЁТ!CB26</f>
        <v>74.205557755695821</v>
      </c>
      <c r="BF86" s="477"/>
      <c r="BR86" s="87"/>
      <c r="BS86" s="1586"/>
      <c r="BT86" s="1587"/>
      <c r="BU86" s="87"/>
      <c r="BV86" s="2115">
        <v>2015</v>
      </c>
      <c r="BW86" s="512">
        <f>СЧЁТ!CC26</f>
        <v>0.67428513132591605</v>
      </c>
      <c r="BX86" s="477"/>
      <c r="BZ86" s="1568"/>
      <c r="CA86" s="1570"/>
      <c r="CB86" s="1570"/>
      <c r="CC86" s="1571"/>
      <c r="CD86" s="1571"/>
      <c r="CE86" s="1572"/>
      <c r="CF86" s="1572"/>
      <c r="CG86" s="1569"/>
      <c r="CH86" s="1575"/>
      <c r="CI86" s="1576"/>
      <c r="CJ86" s="1572"/>
      <c r="CK86" s="760"/>
      <c r="CN86" s="947">
        <f t="shared" si="31"/>
        <v>0.69689543122733033</v>
      </c>
      <c r="CO86" s="817">
        <v>2013</v>
      </c>
      <c r="CP86" s="1023">
        <v>73133.895099999994</v>
      </c>
      <c r="CQ86" s="1023">
        <v>13450.2382</v>
      </c>
      <c r="CR86" s="1023">
        <f t="shared" si="29"/>
        <v>13450.2382</v>
      </c>
      <c r="DI86" s="820">
        <v>2013</v>
      </c>
      <c r="DJ86" s="1203">
        <v>73133.89509999998</v>
      </c>
      <c r="DK86" s="1203">
        <v>38465.140799999994</v>
      </c>
      <c r="DL86" s="1203" t="e">
        <v>#REF!</v>
      </c>
      <c r="DM86" s="1203">
        <v>13450.2382</v>
      </c>
      <c r="ED86" s="820">
        <v>2013</v>
      </c>
      <c r="EE86" s="1300">
        <v>21.776225011581559</v>
      </c>
      <c r="EF86" s="1300"/>
      <c r="EG86" s="558">
        <v>38.623860073036887</v>
      </c>
      <c r="EH86" s="1300"/>
      <c r="EI86" s="477">
        <v>0</v>
      </c>
      <c r="EJ86" s="477"/>
      <c r="EK86" s="1301">
        <v>15.245411430096356</v>
      </c>
      <c r="EL86" s="477"/>
      <c r="FC86" s="477">
        <f t="shared" si="24"/>
        <v>21.776225011581559</v>
      </c>
      <c r="FD86" s="477">
        <f t="shared" si="26"/>
        <v>0</v>
      </c>
      <c r="FE86" s="1328">
        <f t="shared" si="25"/>
        <v>38.623860073036887</v>
      </c>
      <c r="FI86" s="817">
        <v>2013</v>
      </c>
      <c r="FJ86" s="1300">
        <v>27.368855432385324</v>
      </c>
      <c r="FK86" s="558">
        <v>15.245411430096356</v>
      </c>
      <c r="FL86" s="477">
        <v>9.0619465420277994</v>
      </c>
    </row>
    <row r="87" spans="12:168" ht="20.399999999999999">
      <c r="L87" s="1518">
        <v>2015</v>
      </c>
      <c r="M87" s="1080">
        <v>160725</v>
      </c>
      <c r="N87" s="1146">
        <v>7959.2660428084691</v>
      </c>
      <c r="O87" s="1522">
        <v>1.032</v>
      </c>
      <c r="P87" s="1146">
        <v>83232.618400000007</v>
      </c>
      <c r="Q87" s="1150">
        <v>2668.8224796846521</v>
      </c>
      <c r="R87" s="1523">
        <v>0.97171759186474949</v>
      </c>
      <c r="S87" s="1530">
        <v>72.323622532452006</v>
      </c>
      <c r="T87" s="784">
        <v>76.587999999999994</v>
      </c>
      <c r="U87" s="1524">
        <f>Q87/S87</f>
        <v>36.901117314569483</v>
      </c>
      <c r="V87" s="1525">
        <f>N87/S87</f>
        <v>110.05071046098531</v>
      </c>
      <c r="Y87" s="1460">
        <v>2013</v>
      </c>
      <c r="Z87" s="1418">
        <v>2726.3631774238834</v>
      </c>
      <c r="AA87" s="1462">
        <v>75.528999999999996</v>
      </c>
      <c r="AB87" s="1097">
        <v>71.391459581339006</v>
      </c>
      <c r="BB87" s="947"/>
      <c r="BC87" s="947">
        <f t="shared" si="30"/>
        <v>78.16820958806737</v>
      </c>
      <c r="BD87" s="2115">
        <v>2016</v>
      </c>
      <c r="BE87" s="512">
        <f>СЧЁТ!CB27</f>
        <v>75.024056551326893</v>
      </c>
      <c r="BF87" s="477">
        <f>СЧЁТ!CB27</f>
        <v>75.024056551326893</v>
      </c>
      <c r="BR87" s="87"/>
      <c r="BS87" s="1586"/>
      <c r="BT87" s="1587"/>
      <c r="BU87" s="87"/>
      <c r="BV87" s="2115">
        <v>2016</v>
      </c>
      <c r="BW87" s="512">
        <f>СЧЁТ!CC27</f>
        <v>0.65676280356287497</v>
      </c>
      <c r="BX87" s="477">
        <f>СЧЁТ!CC27</f>
        <v>0.65676280356287497</v>
      </c>
      <c r="BZ87" s="1568"/>
      <c r="CA87" s="1578"/>
      <c r="CB87" s="1578"/>
      <c r="CC87" s="1571"/>
      <c r="CD87" s="1571"/>
      <c r="CE87" s="1572"/>
      <c r="CF87" s="1572"/>
      <c r="CG87" s="1569"/>
      <c r="CH87" s="1576"/>
      <c r="CI87" s="1576"/>
      <c r="CJ87" s="1572"/>
      <c r="CK87" s="760"/>
      <c r="CN87" s="947">
        <f t="shared" si="31"/>
        <v>0.68268757330220642</v>
      </c>
      <c r="CO87" s="817">
        <v>2014</v>
      </c>
      <c r="CP87" s="1023">
        <v>79058.48</v>
      </c>
      <c r="CQ87" s="1023">
        <v>13902.6453</v>
      </c>
      <c r="CR87" s="1023">
        <f t="shared" si="29"/>
        <v>13902.6453</v>
      </c>
      <c r="DI87" s="820">
        <v>2014</v>
      </c>
      <c r="DJ87" s="1203">
        <v>79058</v>
      </c>
      <c r="DK87" s="1203">
        <v>41954.83</v>
      </c>
      <c r="DL87" s="1203" t="e">
        <v>#REF!</v>
      </c>
      <c r="DM87" s="1203">
        <v>13902.6453</v>
      </c>
      <c r="ED87" s="820">
        <v>2014</v>
      </c>
      <c r="EE87" s="1300">
        <v>22.851453644141124</v>
      </c>
      <c r="EF87" s="1300"/>
      <c r="EG87" s="558">
        <v>41.260921847659759</v>
      </c>
      <c r="EH87" s="1300"/>
      <c r="EI87" s="477">
        <v>0</v>
      </c>
      <c r="EJ87" s="477"/>
      <c r="EK87" s="1301">
        <v>17.318787384589459</v>
      </c>
      <c r="EL87" s="477"/>
      <c r="FC87" s="477">
        <f t="shared" si="24"/>
        <v>22.851453644141124</v>
      </c>
      <c r="FD87" s="477">
        <f t="shared" si="26"/>
        <v>0</v>
      </c>
      <c r="FE87" s="1328">
        <f t="shared" si="25"/>
        <v>41.260921847659759</v>
      </c>
      <c r="FI87" s="817">
        <v>2014</v>
      </c>
      <c r="FJ87" s="1300">
        <v>30.814371333057377</v>
      </c>
      <c r="FK87" s="558">
        <v>17.318787384589459</v>
      </c>
      <c r="FL87" s="477">
        <v>10.713774916786434</v>
      </c>
    </row>
    <row r="88" spans="12:168" ht="20.399999999999999">
      <c r="L88" s="1518">
        <v>2016</v>
      </c>
      <c r="M88" s="1080">
        <v>171764</v>
      </c>
      <c r="N88" s="1146">
        <v>8198.0440240927237</v>
      </c>
      <c r="O88" s="1522">
        <v>1.03</v>
      </c>
      <c r="P88" s="1146">
        <v>86043.648900000015</v>
      </c>
      <c r="Q88" s="1150">
        <v>2662.8200047777982</v>
      </c>
      <c r="R88" s="1523">
        <v>0.99775089015753371</v>
      </c>
      <c r="S88" s="1530">
        <v>72.393000000000001</v>
      </c>
      <c r="T88" s="784">
        <v>76.635999999999996</v>
      </c>
      <c r="U88" s="1524">
        <f>Q88/S88</f>
        <v>36.782838185705778</v>
      </c>
      <c r="V88" s="1525">
        <f>N88/S88</f>
        <v>113.24360123344417</v>
      </c>
      <c r="Y88" s="1460">
        <v>2014</v>
      </c>
      <c r="Z88" s="1418">
        <v>2746.5001169353304</v>
      </c>
      <c r="AA88" s="1462">
        <v>75.428417426370004</v>
      </c>
      <c r="AB88" s="1097">
        <v>71.539043569577998</v>
      </c>
      <c r="BB88" s="947"/>
      <c r="BC88" s="947">
        <f t="shared" si="30"/>
        <v>79.248575393993335</v>
      </c>
      <c r="BD88" s="2115">
        <v>2017</v>
      </c>
      <c r="BE88" s="362"/>
      <c r="BF88" s="477">
        <f>СЧЁТ!CB28</f>
        <v>77.167211043056923</v>
      </c>
      <c r="BR88" s="87"/>
      <c r="BS88" s="1586"/>
      <c r="BT88" s="1587"/>
      <c r="BU88" s="87"/>
      <c r="BV88" s="2115">
        <v>2017</v>
      </c>
      <c r="BW88" s="362"/>
      <c r="BX88" s="477">
        <f>СЧЁТ!CC28</f>
        <v>0.64853745053174072</v>
      </c>
      <c r="BZ88" s="1568"/>
      <c r="CA88" s="1578"/>
      <c r="CB88" s="1578"/>
      <c r="CC88" s="1571"/>
      <c r="CD88" s="1571"/>
      <c r="CE88" s="1572"/>
      <c r="CF88" s="1572"/>
      <c r="CG88" s="1569"/>
      <c r="CH88" s="1576"/>
      <c r="CI88" s="1576"/>
      <c r="CJ88" s="1572"/>
      <c r="CK88" s="760"/>
      <c r="CN88" s="947">
        <f t="shared" si="31"/>
        <v>0.66847971537708251</v>
      </c>
      <c r="CO88" s="817">
        <v>2015</v>
      </c>
      <c r="CP88" s="1023">
        <v>83094.3</v>
      </c>
      <c r="CQ88" s="1023">
        <v>13897.2</v>
      </c>
      <c r="CR88" s="1023">
        <f t="shared" si="29"/>
        <v>13897.2</v>
      </c>
      <c r="DI88" s="820">
        <v>2015</v>
      </c>
      <c r="DJ88" s="1203">
        <v>83094</v>
      </c>
      <c r="DK88" s="1203">
        <v>43242.32</v>
      </c>
      <c r="DL88" s="1203" t="e">
        <v>#REF!</v>
      </c>
      <c r="DM88" s="1203">
        <v>13897.2</v>
      </c>
      <c r="ED88" s="820">
        <v>2015</v>
      </c>
      <c r="EE88" s="1019">
        <v>25.408791247612854</v>
      </c>
      <c r="EF88" s="1019"/>
      <c r="EG88" s="1035">
        <v>44.344749772395339</v>
      </c>
      <c r="EH88" s="1019"/>
      <c r="EI88" s="477">
        <v>0</v>
      </c>
      <c r="EJ88" s="477">
        <f>EI88</f>
        <v>0</v>
      </c>
      <c r="EK88" s="1301">
        <v>19.552910957201501</v>
      </c>
      <c r="EL88" s="477">
        <f>EK88</f>
        <v>19.552910957201501</v>
      </c>
      <c r="FC88" s="477">
        <f t="shared" si="24"/>
        <v>25.408791247612854</v>
      </c>
      <c r="FD88" s="477">
        <f t="shared" si="26"/>
        <v>0</v>
      </c>
      <c r="FE88" s="1328">
        <f t="shared" si="25"/>
        <v>44.344749772395339</v>
      </c>
      <c r="FI88" s="817">
        <v>2015</v>
      </c>
      <c r="FJ88" s="1019">
        <v>36.34296976353653</v>
      </c>
      <c r="FK88" s="1035">
        <v>19.552910957201501</v>
      </c>
      <c r="FL88" s="477">
        <v>15.005583237946571</v>
      </c>
    </row>
    <row r="89" spans="12:168" ht="21" thickBot="1">
      <c r="L89" s="1533">
        <v>2017</v>
      </c>
      <c r="M89" s="1534"/>
      <c r="N89" s="1017"/>
      <c r="O89" s="1457"/>
      <c r="P89" s="1457"/>
      <c r="Q89" s="1529"/>
      <c r="R89" s="1457"/>
      <c r="S89" s="1529"/>
      <c r="T89" s="1457"/>
      <c r="U89" s="1540"/>
      <c r="V89" s="1541"/>
      <c r="Y89" s="1460">
        <v>2015</v>
      </c>
      <c r="Z89" s="1418">
        <v>2683.3306142458177</v>
      </c>
      <c r="AA89" s="1462">
        <v>76.587549125790005</v>
      </c>
      <c r="AB89" s="1097">
        <v>72.323622532452006</v>
      </c>
      <c r="BB89" s="947"/>
      <c r="BC89" s="947">
        <f t="shared" si="30"/>
        <v>80.328941199919299</v>
      </c>
      <c r="BD89" s="2115">
        <v>2018</v>
      </c>
      <c r="BE89" s="362"/>
      <c r="BF89" s="477">
        <f>СЧЁТ!CB29</f>
        <v>78.864635853510762</v>
      </c>
      <c r="BR89" s="1571"/>
      <c r="BS89" s="1567"/>
      <c r="BT89" s="1567"/>
      <c r="BU89" s="1571"/>
      <c r="BV89" s="2115">
        <v>2018</v>
      </c>
      <c r="BW89" s="362"/>
      <c r="BX89" s="477">
        <f>СЧЁТ!CC29</f>
        <v>0.63795670517757586</v>
      </c>
      <c r="BZ89" s="1568"/>
      <c r="CA89" s="1578"/>
      <c r="CB89" s="1578"/>
      <c r="CC89" s="1571"/>
      <c r="CD89" s="1571"/>
      <c r="CE89" s="1572"/>
      <c r="CF89" s="1572"/>
      <c r="CG89" s="1569"/>
      <c r="CH89" s="1576"/>
      <c r="CI89" s="1576"/>
      <c r="CJ89" s="1572"/>
      <c r="CK89" s="760"/>
      <c r="CN89" s="947">
        <f t="shared" si="31"/>
        <v>0.65427185745195859</v>
      </c>
      <c r="CO89" s="817">
        <v>2016</v>
      </c>
      <c r="CP89" s="1023"/>
      <c r="CQ89" s="1023"/>
      <c r="CR89" s="1023"/>
      <c r="DI89" s="820">
        <v>2016</v>
      </c>
      <c r="DJ89" s="1203">
        <v>86014</v>
      </c>
      <c r="DK89" s="1203">
        <v>45317.05</v>
      </c>
      <c r="DL89" s="1203" t="e">
        <v>#REF!</v>
      </c>
      <c r="DM89" s="1203">
        <v>14748.8</v>
      </c>
      <c r="ED89" s="820">
        <v>2016</v>
      </c>
      <c r="EE89" s="1019">
        <v>27.019844336572895</v>
      </c>
      <c r="EF89" s="1019">
        <f>EE89</f>
        <v>27.019844336572895</v>
      </c>
      <c r="EG89" s="1035">
        <v>46.796704667591264</v>
      </c>
      <c r="EH89" s="1019">
        <f>EG89</f>
        <v>46.796704667591264</v>
      </c>
      <c r="EI89" s="477">
        <v>0</v>
      </c>
      <c r="EJ89" s="477">
        <f>EI89</f>
        <v>0</v>
      </c>
      <c r="EK89" s="1301">
        <v>20.608768148890384</v>
      </c>
      <c r="EL89" s="477">
        <f>EK89</f>
        <v>20.608768148890384</v>
      </c>
      <c r="FC89" s="477">
        <f t="shared" si="24"/>
        <v>27.019844336572895</v>
      </c>
      <c r="FD89" s="477">
        <f t="shared" si="26"/>
        <v>0</v>
      </c>
      <c r="FE89" s="1328">
        <f t="shared" si="25"/>
        <v>46.796704667591264</v>
      </c>
      <c r="FI89" s="817">
        <v>2016</v>
      </c>
      <c r="FJ89" s="807"/>
      <c r="FK89" s="1097"/>
      <c r="FL89" s="65"/>
    </row>
    <row r="90" spans="12:168" ht="20.399999999999999">
      <c r="Y90" s="1460">
        <v>2016</v>
      </c>
      <c r="Z90" s="1418">
        <v>2688.6972754743092</v>
      </c>
      <c r="AA90" s="1462">
        <v>76.635999999999996</v>
      </c>
      <c r="AB90" s="1097">
        <v>72.393000000000001</v>
      </c>
      <c r="BB90" s="947"/>
      <c r="BC90" s="947">
        <f t="shared" si="30"/>
        <v>81.409307005845264</v>
      </c>
      <c r="BD90" s="2115">
        <v>2019</v>
      </c>
      <c r="BE90" s="362"/>
      <c r="BF90" s="477">
        <f>СЧЁТ!CB30</f>
        <v>79.940971174109237</v>
      </c>
      <c r="BR90" s="1571"/>
      <c r="BS90" s="1567"/>
      <c r="BT90" s="1567"/>
      <c r="BU90" s="1571"/>
      <c r="BV90" s="2115">
        <v>2019</v>
      </c>
      <c r="BW90" s="362"/>
      <c r="BX90" s="477">
        <f ca="1">СЧЁТ!CC30</f>
        <v>0.63838148479384893</v>
      </c>
      <c r="BZ90" s="1568"/>
      <c r="CA90" s="1570"/>
      <c r="CB90" s="1570"/>
      <c r="CC90" s="1571"/>
      <c r="CD90" s="1571"/>
      <c r="CE90" s="1572"/>
      <c r="CF90" s="1572"/>
      <c r="CG90" s="1569"/>
      <c r="CH90" s="1575"/>
      <c r="CI90" s="1576"/>
      <c r="CJ90" s="1572"/>
      <c r="CK90" s="760"/>
      <c r="CN90" s="947">
        <f t="shared" si="31"/>
        <v>0.64006399952683468</v>
      </c>
      <c r="CO90" s="817">
        <v>2017</v>
      </c>
      <c r="CP90" s="1023"/>
      <c r="CQ90" s="1023"/>
      <c r="CR90" s="1023"/>
      <c r="DI90" s="820">
        <v>2017</v>
      </c>
      <c r="DJ90" s="1203" t="e">
        <v>#N/A</v>
      </c>
      <c r="DK90" s="1203" t="e">
        <v>#N/A</v>
      </c>
      <c r="DL90" s="364" t="e">
        <v>#REF!</v>
      </c>
      <c r="DM90" s="1203" t="e">
        <v>#N/A</v>
      </c>
      <c r="ED90" s="820">
        <v>2017</v>
      </c>
      <c r="EE90" s="780"/>
      <c r="EF90" s="1019">
        <f t="shared" ref="EF90:EF103" si="32">EF89+1.42*(EL90-EL89)</f>
        <v>-2.2446064348514483</v>
      </c>
      <c r="EG90" s="1035"/>
      <c r="EH90" s="1019">
        <f>2.6121*EL90-5.5855</f>
        <v>-5.5854999999999997</v>
      </c>
      <c r="EI90" s="364"/>
      <c r="EJ90" s="477">
        <f>EJ89+3*(EL90-EL89)</f>
        <v>-61.826304446671152</v>
      </c>
      <c r="EK90" s="1302"/>
      <c r="EL90" s="477">
        <f>НАСТРОЙКА!DA158</f>
        <v>0</v>
      </c>
      <c r="FC90" s="477">
        <f t="shared" ref="FC90:FC103" si="33">EF90</f>
        <v>-2.2446064348514483</v>
      </c>
      <c r="FD90" s="477">
        <f>EJ90</f>
        <v>-61.826304446671152</v>
      </c>
      <c r="FE90" s="1328">
        <f>EH90</f>
        <v>-5.5854999999999997</v>
      </c>
      <c r="FI90" s="817">
        <v>2017</v>
      </c>
      <c r="FJ90" s="807"/>
      <c r="FK90" s="1097"/>
      <c r="FL90" s="65"/>
    </row>
    <row r="91" spans="12:168" ht="21" thickBot="1">
      <c r="P91" s="576" t="s">
        <v>1103</v>
      </c>
      <c r="Q91" s="577"/>
      <c r="R91" s="578"/>
      <c r="S91" s="587"/>
      <c r="T91" s="585" t="s">
        <v>1104</v>
      </c>
      <c r="U91" s="586">
        <f>(Q97-Q93)/(P97-P93)</f>
        <v>5.5734940380695302E-3</v>
      </c>
      <c r="V91" s="590" t="s">
        <v>1104</v>
      </c>
      <c r="W91" s="591">
        <v>7.0000000000000001E-3</v>
      </c>
      <c r="Y91" s="1460">
        <v>2017</v>
      </c>
      <c r="Z91" s="1415"/>
      <c r="AA91" s="555"/>
      <c r="AB91" s="804"/>
      <c r="BB91" s="947"/>
      <c r="BC91" s="947">
        <f t="shared" si="30"/>
        <v>82.489672811771229</v>
      </c>
      <c r="BD91" s="2115">
        <v>2020</v>
      </c>
      <c r="BE91" s="362"/>
      <c r="BF91" s="477">
        <f>СЧЁТ!CB31</f>
        <v>80.019369981581406</v>
      </c>
      <c r="BR91" s="1571"/>
      <c r="BS91" s="1567"/>
      <c r="BT91" s="1567"/>
      <c r="BU91" s="1571"/>
      <c r="BV91" s="2115">
        <v>2020</v>
      </c>
      <c r="BW91" s="362"/>
      <c r="BX91" s="477">
        <f ca="1">СЧЁТ!CC31</f>
        <v>0.62971368080122925</v>
      </c>
      <c r="BZ91" s="1568"/>
      <c r="CA91" s="1570"/>
      <c r="CB91" s="1570"/>
      <c r="CC91" s="1571"/>
      <c r="CD91" s="1571"/>
      <c r="CE91" s="1572"/>
      <c r="CF91" s="1572"/>
      <c r="CG91" s="1569"/>
      <c r="CH91" s="1575"/>
      <c r="CI91" s="1576"/>
      <c r="CJ91" s="1572"/>
      <c r="CK91" s="760"/>
      <c r="CN91" s="947">
        <f t="shared" si="31"/>
        <v>0.62585614160171077</v>
      </c>
      <c r="CO91" s="817">
        <v>2018</v>
      </c>
      <c r="CP91" s="1023"/>
      <c r="CQ91" s="1023"/>
      <c r="CR91" s="1023"/>
      <c r="DI91" s="820">
        <v>2018</v>
      </c>
      <c r="DJ91" s="1203" t="e">
        <v>#N/A</v>
      </c>
      <c r="DK91" s="1058" t="e">
        <v>#N/A</v>
      </c>
      <c r="DL91" s="364" t="e">
        <v>#REF!</v>
      </c>
      <c r="DM91" s="1203" t="e">
        <v>#N/A</v>
      </c>
      <c r="ED91" s="820">
        <v>2018</v>
      </c>
      <c r="EE91" s="780"/>
      <c r="EF91" s="1019">
        <f t="shared" si="32"/>
        <v>29.029371508305378</v>
      </c>
      <c r="EG91" s="1035"/>
      <c r="EH91" s="1019">
        <f t="shared" ref="EH91:EH103" si="34">2.6121*EL91-5.5855</f>
        <v>51.943202665718275</v>
      </c>
      <c r="EI91" s="364"/>
      <c r="EJ91" s="477">
        <f t="shared" ref="EJ91:EJ103" si="35">EJ90+3*(EL91-EL90)</f>
        <v>4.2454799402798855</v>
      </c>
      <c r="EK91" s="1302"/>
      <c r="EL91" s="477">
        <f>НАСТРОЙКА!DA159</f>
        <v>22.02392812898368</v>
      </c>
      <c r="FC91" s="477">
        <f t="shared" si="33"/>
        <v>29.029371508305378</v>
      </c>
      <c r="FD91" s="477">
        <f t="shared" ref="FD91:FD103" si="36">EJ91</f>
        <v>4.2454799402798855</v>
      </c>
      <c r="FE91" s="1328">
        <f t="shared" ref="FE91:FE103" si="37">EH91</f>
        <v>51.943202665718275</v>
      </c>
      <c r="FI91" s="817">
        <v>2018</v>
      </c>
      <c r="FJ91" s="807"/>
      <c r="FK91" s="1097"/>
      <c r="FL91" s="65"/>
    </row>
    <row r="92" spans="12:168" ht="21" thickBot="1">
      <c r="P92" t="s">
        <v>408</v>
      </c>
      <c r="Q92" t="s">
        <v>415</v>
      </c>
      <c r="R92" s="588" t="s">
        <v>1107</v>
      </c>
      <c r="S92" s="203" t="s">
        <v>1106</v>
      </c>
      <c r="T92" s="585" t="s">
        <v>1105</v>
      </c>
      <c r="U92" s="586">
        <f xml:space="preserve"> Q97-U91*P97</f>
        <v>56.196090666354692</v>
      </c>
      <c r="V92" s="592" t="s">
        <v>1105</v>
      </c>
      <c r="W92" s="593">
        <f>52.73</f>
        <v>52.73</v>
      </c>
      <c r="Y92" s="1460">
        <v>2018</v>
      </c>
      <c r="Z92" s="1415"/>
      <c r="AA92" s="555"/>
      <c r="AB92" s="804"/>
      <c r="BB92" s="947"/>
      <c r="BC92" s="947">
        <f t="shared" si="30"/>
        <v>83.570038617697193</v>
      </c>
      <c r="BD92" s="2115">
        <v>2021</v>
      </c>
      <c r="BE92" s="362"/>
      <c r="BF92" s="477">
        <f>СЧЁТ!CB32</f>
        <v>80.091381773154495</v>
      </c>
      <c r="BR92" s="1571"/>
      <c r="BS92" s="1567"/>
      <c r="BT92" s="1567"/>
      <c r="BU92" s="1571"/>
      <c r="BV92" s="2115">
        <v>2021</v>
      </c>
      <c r="BW92" s="362"/>
      <c r="BX92" s="477">
        <f ca="1">СЧЁТ!CC32</f>
        <v>0.63240246057627225</v>
      </c>
      <c r="BZ92" s="1568"/>
      <c r="CA92" s="1570"/>
      <c r="CB92" s="1570"/>
      <c r="CC92" s="1571"/>
      <c r="CD92" s="1571"/>
      <c r="CE92" s="1572"/>
      <c r="CF92" s="1572"/>
      <c r="CG92" s="1569"/>
      <c r="CH92" s="1575"/>
      <c r="CI92" s="1576"/>
      <c r="CJ92" s="1572"/>
      <c r="CK92" s="21"/>
      <c r="CN92" s="947">
        <f t="shared" si="31"/>
        <v>0.61164828367658686</v>
      </c>
      <c r="CO92" s="817">
        <v>2019</v>
      </c>
      <c r="CP92" s="1023"/>
      <c r="CQ92" s="1023"/>
      <c r="CR92" s="1023"/>
      <c r="DI92" s="820">
        <v>2019</v>
      </c>
      <c r="DJ92" s="1203" t="e">
        <v>#N/A</v>
      </c>
      <c r="DK92" s="1058" t="e">
        <v>#N/A</v>
      </c>
      <c r="DL92" s="364" t="e">
        <v>#REF!</v>
      </c>
      <c r="DM92" s="1203" t="e">
        <v>#N/A</v>
      </c>
      <c r="ED92" s="820">
        <v>2019</v>
      </c>
      <c r="EE92" s="780"/>
      <c r="EF92" s="1019">
        <f t="shared" si="32"/>
        <v>29.980100437777342</v>
      </c>
      <c r="EG92" s="1058"/>
      <c r="EH92" s="1019">
        <f t="shared" si="34"/>
        <v>53.692075226756103</v>
      </c>
      <c r="EI92" s="364"/>
      <c r="EJ92" s="477">
        <f t="shared" si="35"/>
        <v>6.2540621856431926</v>
      </c>
      <c r="EK92" s="1302"/>
      <c r="EL92" s="477">
        <f>НАСТРОЙКА!DA160</f>
        <v>22.693455544104783</v>
      </c>
      <c r="FC92" s="477">
        <f t="shared" si="33"/>
        <v>29.980100437777342</v>
      </c>
      <c r="FD92" s="477">
        <f t="shared" si="36"/>
        <v>6.2540621856431926</v>
      </c>
      <c r="FE92" s="1328">
        <f t="shared" si="37"/>
        <v>53.692075226756103</v>
      </c>
      <c r="FI92" s="817">
        <v>2019</v>
      </c>
      <c r="FJ92" s="807"/>
      <c r="FK92" s="859"/>
      <c r="FL92" s="65"/>
    </row>
    <row r="93" spans="12:168" ht="20.399999999999999">
      <c r="O93" s="293">
        <v>2009</v>
      </c>
      <c r="P93" s="579">
        <f>Q81</f>
        <v>2370.848384045667</v>
      </c>
      <c r="Q93" s="580">
        <f>S81</f>
        <v>69.41</v>
      </c>
      <c r="R93" s="589">
        <f>U$91*P93+U$92</f>
        <v>69.41</v>
      </c>
      <c r="S93" s="35">
        <f>R93-Q93</f>
        <v>0</v>
      </c>
      <c r="V93" s="293">
        <f>0.007*P93+52.73</f>
        <v>69.325938688319667</v>
      </c>
      <c r="W93" s="594">
        <f>V93-Q93</f>
        <v>-8.4061311680329709E-2</v>
      </c>
      <c r="Y93" s="1460">
        <v>2019</v>
      </c>
      <c r="Z93" s="1415"/>
      <c r="AA93" s="555"/>
      <c r="AB93" s="804"/>
      <c r="BB93" s="947"/>
      <c r="BC93" s="947">
        <f t="shared" si="30"/>
        <v>84.650404423623158</v>
      </c>
      <c r="BD93" s="2115">
        <v>2022</v>
      </c>
      <c r="BE93" s="362"/>
      <c r="BF93" s="477">
        <f>СЧЁТ!CB33</f>
        <v>81.915820010252475</v>
      </c>
      <c r="BR93" s="1571"/>
      <c r="BS93" s="1567"/>
      <c r="BT93" s="1567"/>
      <c r="BU93" s="1571"/>
      <c r="BV93" s="2115">
        <v>2022</v>
      </c>
      <c r="BW93" s="362"/>
      <c r="BX93" s="477">
        <f ca="1">СЧЁТ!CC33</f>
        <v>0.62819642642448525</v>
      </c>
      <c r="BZ93" s="1568"/>
      <c r="CA93" s="1570"/>
      <c r="CB93" s="1570"/>
      <c r="CC93" s="1571"/>
      <c r="CD93" s="1571"/>
      <c r="CE93" s="1572"/>
      <c r="CF93" s="1572"/>
      <c r="CG93" s="1569"/>
      <c r="CH93" s="1575"/>
      <c r="CI93" s="1576"/>
      <c r="CJ93" s="1572"/>
      <c r="CN93" s="947">
        <f t="shared" si="31"/>
        <v>0.59744042575146294</v>
      </c>
      <c r="CO93" s="817">
        <v>2020</v>
      </c>
      <c r="CP93" s="807"/>
      <c r="CQ93" s="65"/>
      <c r="CR93" s="1023"/>
      <c r="DI93" s="820">
        <v>2020</v>
      </c>
      <c r="DJ93" s="780" t="e">
        <v>#N/A</v>
      </c>
      <c r="DK93" s="1058" t="e">
        <v>#N/A</v>
      </c>
      <c r="DL93" s="364" t="e">
        <v>#REF!</v>
      </c>
      <c r="DM93" s="364" t="e">
        <v>#N/A</v>
      </c>
      <c r="ED93" s="820">
        <v>2020</v>
      </c>
      <c r="EE93" s="780"/>
      <c r="EF93" s="1019">
        <f t="shared" si="32"/>
        <v>31.56233354522341</v>
      </c>
      <c r="EG93" s="1058"/>
      <c r="EH93" s="1019">
        <f t="shared" si="34"/>
        <v>56.60260417038981</v>
      </c>
      <c r="EI93" s="364"/>
      <c r="EJ93" s="477">
        <f t="shared" si="35"/>
        <v>9.5968081872898168</v>
      </c>
      <c r="EK93" s="1302"/>
      <c r="EL93" s="477">
        <f>НАСТРОЙКА!DA161</f>
        <v>23.807704211320324</v>
      </c>
      <c r="FC93" s="477">
        <f t="shared" si="33"/>
        <v>31.56233354522341</v>
      </c>
      <c r="FD93" s="477">
        <f t="shared" si="36"/>
        <v>9.5968081872898168</v>
      </c>
      <c r="FE93" s="1328">
        <f t="shared" si="37"/>
        <v>56.60260417038981</v>
      </c>
      <c r="FI93" s="817">
        <v>2020</v>
      </c>
      <c r="FJ93" s="807"/>
      <c r="FK93" s="859"/>
      <c r="FL93" s="65"/>
    </row>
    <row r="94" spans="12:168" ht="20.399999999999999">
      <c r="O94" s="295">
        <v>2010</v>
      </c>
      <c r="P94" s="581">
        <f>Q82</f>
        <v>2477.5365613277218</v>
      </c>
      <c r="Q94" s="582">
        <f>S82</f>
        <v>69.933708461473046</v>
      </c>
      <c r="R94" s="589">
        <f>U$91*P94+U$92</f>
        <v>70.004625920014036</v>
      </c>
      <c r="S94" s="35">
        <f>R94-Q94</f>
        <v>7.0917458540989742E-2</v>
      </c>
      <c r="V94" s="295">
        <f>0.007*P94+52.73</f>
        <v>70.072755929294047</v>
      </c>
      <c r="W94" s="595">
        <f>V94-Q94</f>
        <v>0.13904746782100119</v>
      </c>
      <c r="Y94" s="1461">
        <v>2020</v>
      </c>
      <c r="Z94" s="1416"/>
      <c r="AA94" s="557"/>
      <c r="AB94" s="1069"/>
      <c r="BB94" s="784"/>
      <c r="BC94" s="947">
        <f t="shared" si="30"/>
        <v>85.730770229549123</v>
      </c>
      <c r="BD94" s="2115">
        <v>2023</v>
      </c>
      <c r="BE94" s="362"/>
      <c r="BF94" s="477">
        <f>СЧЁТ!CB34</f>
        <v>82.896899731222646</v>
      </c>
      <c r="BR94" s="1571"/>
      <c r="BS94" s="1567"/>
      <c r="BT94" s="1567"/>
      <c r="BU94" s="1571"/>
      <c r="BV94" s="2115">
        <v>2023</v>
      </c>
      <c r="BW94" s="362"/>
      <c r="BX94" s="477">
        <f ca="1">СЧЁТ!CC34</f>
        <v>0.62268113244718992</v>
      </c>
      <c r="BZ94" s="1568"/>
      <c r="CA94" s="1570"/>
      <c r="CB94" s="1570"/>
      <c r="CC94" s="1571"/>
      <c r="CD94" s="1571"/>
      <c r="CE94" s="1572"/>
      <c r="CF94" s="1572"/>
      <c r="CG94" s="1569"/>
      <c r="CH94" s="1575"/>
      <c r="CI94" s="1576"/>
      <c r="CJ94" s="1572"/>
      <c r="CK94" s="21"/>
      <c r="CN94" s="947">
        <f t="shared" si="31"/>
        <v>0.58323256782633903</v>
      </c>
      <c r="CO94" s="817">
        <v>2021</v>
      </c>
      <c r="CP94" s="807"/>
      <c r="CQ94" s="65"/>
      <c r="CR94" s="1023"/>
      <c r="DI94" s="820">
        <v>2021</v>
      </c>
      <c r="DJ94" s="780"/>
      <c r="DK94" s="1058"/>
      <c r="DL94" s="364"/>
      <c r="DM94" s="364"/>
      <c r="ED94" s="820">
        <v>2021</v>
      </c>
      <c r="EE94" s="780"/>
      <c r="EF94" s="1019">
        <f t="shared" si="32"/>
        <v>33.252680544227154</v>
      </c>
      <c r="EG94" s="1058"/>
      <c r="EH94" s="1019">
        <f t="shared" si="34"/>
        <v>59.712009378909315</v>
      </c>
      <c r="EI94" s="364"/>
      <c r="EJ94" s="477">
        <f t="shared" si="35"/>
        <v>13.167963818987868</v>
      </c>
      <c r="EK94" s="1302"/>
      <c r="EL94" s="477">
        <f>НАСТРОЙКА!DA162</f>
        <v>24.998089421886341</v>
      </c>
      <c r="FC94" s="477">
        <f t="shared" si="33"/>
        <v>33.252680544227154</v>
      </c>
      <c r="FD94" s="477">
        <f t="shared" si="36"/>
        <v>13.167963818987868</v>
      </c>
      <c r="FE94" s="1328">
        <f t="shared" si="37"/>
        <v>59.712009378909315</v>
      </c>
      <c r="FI94" s="817">
        <v>2021</v>
      </c>
      <c r="FJ94" s="807"/>
      <c r="FK94" s="859"/>
      <c r="FL94" s="65"/>
    </row>
    <row r="95" spans="12:168" ht="20.399999999999999">
      <c r="O95" s="295">
        <v>2011</v>
      </c>
      <c r="P95" s="581">
        <f>Q83</f>
        <v>2584.0706334648135</v>
      </c>
      <c r="Q95" s="582">
        <f>S83</f>
        <v>70.85661311334043</v>
      </c>
      <c r="R95" s="589">
        <f>U$91*P95+U$92</f>
        <v>70.598392935921382</v>
      </c>
      <c r="S95" s="35">
        <f>R95-Q95</f>
        <v>-0.25822017741904801</v>
      </c>
      <c r="V95" s="295">
        <f>0.007*P95+52.73</f>
        <v>70.818494434253694</v>
      </c>
      <c r="W95" s="595">
        <f>V95-Q95</f>
        <v>-3.8118679086736051E-2</v>
      </c>
      <c r="BB95" s="784"/>
      <c r="BC95" s="947">
        <f t="shared" si="30"/>
        <v>86.811136035475087</v>
      </c>
      <c r="BD95" s="2115">
        <v>2024</v>
      </c>
      <c r="BE95" s="362"/>
      <c r="BF95" s="477">
        <f>СЧЁТ!CB35</f>
        <v>83.898550764360792</v>
      </c>
      <c r="BR95" s="1571"/>
      <c r="BS95" s="1567"/>
      <c r="BT95" s="1567"/>
      <c r="BU95" s="1571"/>
      <c r="BV95" s="2115">
        <v>2024</v>
      </c>
      <c r="BW95" s="362"/>
      <c r="BX95" s="477">
        <f ca="1">СЧЁТ!CC35</f>
        <v>0.61649473119105769</v>
      </c>
      <c r="BZ95" s="1568"/>
      <c r="CA95" s="1570"/>
      <c r="CB95" s="1570"/>
      <c r="CC95" s="1571"/>
      <c r="CD95" s="1571"/>
      <c r="CE95" s="1572"/>
      <c r="CF95" s="1572"/>
      <c r="CG95" s="1569"/>
      <c r="CH95" s="1575"/>
      <c r="CI95" s="1576"/>
      <c r="CJ95" s="1572"/>
      <c r="CK95" s="21"/>
      <c r="CO95" s="817">
        <v>2022</v>
      </c>
      <c r="CP95" s="807"/>
      <c r="CQ95" s="65"/>
      <c r="CR95" s="1023"/>
      <c r="DI95" s="820">
        <v>2022</v>
      </c>
      <c r="DJ95" s="780"/>
      <c r="DK95" s="1058"/>
      <c r="DL95" s="364"/>
      <c r="DM95" s="364"/>
      <c r="ED95" s="820">
        <v>2022</v>
      </c>
      <c r="EE95" s="780"/>
      <c r="EF95" s="1019">
        <f t="shared" si="32"/>
        <v>35.027544893181087</v>
      </c>
      <c r="EG95" s="1058"/>
      <c r="EH95" s="1019">
        <f t="shared" si="34"/>
        <v>62.976884847854777</v>
      </c>
      <c r="EI95" s="364"/>
      <c r="EJ95" s="477">
        <f t="shared" si="35"/>
        <v>16.917677232270822</v>
      </c>
      <c r="EK95" s="1302"/>
      <c r="EL95" s="477">
        <f>НАСТРОЙКА!DA163</f>
        <v>26.247993892980659</v>
      </c>
      <c r="FC95" s="477">
        <f t="shared" si="33"/>
        <v>35.027544893181087</v>
      </c>
      <c r="FD95" s="477">
        <f t="shared" si="36"/>
        <v>16.917677232270822</v>
      </c>
      <c r="FE95" s="1328">
        <f t="shared" si="37"/>
        <v>62.976884847854777</v>
      </c>
      <c r="FI95" s="817">
        <v>2022</v>
      </c>
      <c r="FJ95" s="807"/>
      <c r="FK95" s="859"/>
      <c r="FL95" s="65"/>
    </row>
    <row r="96" spans="12:168" ht="20.399999999999999">
      <c r="O96" s="295">
        <v>2012</v>
      </c>
      <c r="P96" s="581">
        <f>Q84</f>
        <v>2678.541712402734</v>
      </c>
      <c r="Q96" s="582">
        <f>S84</f>
        <v>71.545415863579535</v>
      </c>
      <c r="R96" s="589">
        <f>U$91*P96+U$92</f>
        <v>71.124926931151876</v>
      </c>
      <c r="S96" s="35">
        <f>R96-Q96</f>
        <v>-0.42048893242765928</v>
      </c>
      <c r="V96" s="295">
        <f>0.007*P96+52.73</f>
        <v>71.479791986819137</v>
      </c>
      <c r="W96" s="595">
        <f>V96-Q96</f>
        <v>-6.5623876760398048E-2</v>
      </c>
      <c r="Z96" s="994" t="s">
        <v>196</v>
      </c>
      <c r="AA96" s="294"/>
      <c r="AB96" s="994" t="s">
        <v>190</v>
      </c>
      <c r="AE96" s="1070" t="s">
        <v>1389</v>
      </c>
      <c r="AF96" s="994"/>
      <c r="AH96" s="1070" t="s">
        <v>1390</v>
      </c>
      <c r="AI96" s="994" t="s">
        <v>197</v>
      </c>
      <c r="BB96" s="784"/>
      <c r="BC96" s="947">
        <f t="shared" si="30"/>
        <v>87.891501841401052</v>
      </c>
      <c r="BD96" s="2115">
        <v>2025</v>
      </c>
      <c r="BE96" s="749"/>
      <c r="BF96" s="477">
        <f>СЧЁТ!CB36</f>
        <v>84.919779616660918</v>
      </c>
      <c r="BR96" s="1571"/>
      <c r="BS96" s="1567"/>
      <c r="BT96" s="1567"/>
      <c r="BU96" s="1571"/>
      <c r="BV96" s="2115">
        <v>2025</v>
      </c>
      <c r="BW96" s="749"/>
      <c r="BX96" s="477">
        <f ca="1">СЧЁТ!CC36</f>
        <v>0.61007507178679821</v>
      </c>
      <c r="BZ96" s="1568"/>
      <c r="CA96" s="1570"/>
      <c r="CB96" s="1570"/>
      <c r="CC96" s="1571"/>
      <c r="CD96" s="1571"/>
      <c r="CE96" s="1572"/>
      <c r="CF96" s="1572"/>
      <c r="CG96" s="1569"/>
      <c r="CH96" s="1575"/>
      <c r="CI96" s="1576"/>
      <c r="CJ96" s="1572"/>
      <c r="CK96" s="21"/>
      <c r="CO96" s="817">
        <v>2023</v>
      </c>
      <c r="CP96" s="807"/>
      <c r="CQ96" s="65"/>
      <c r="CR96" s="1023"/>
      <c r="DI96" s="820">
        <v>2023</v>
      </c>
      <c r="DJ96" s="780"/>
      <c r="DK96" s="1058"/>
      <c r="DL96" s="364"/>
      <c r="DM96" s="364"/>
      <c r="ED96" s="820">
        <v>2023</v>
      </c>
      <c r="EE96" s="780"/>
      <c r="EF96" s="1019">
        <f t="shared" si="32"/>
        <v>36.891152459582713</v>
      </c>
      <c r="EG96" s="1058"/>
      <c r="EH96" s="1019">
        <f t="shared" si="34"/>
        <v>66.405004090247516</v>
      </c>
      <c r="EI96" s="364"/>
      <c r="EJ96" s="477">
        <f t="shared" si="35"/>
        <v>20.854876316217926</v>
      </c>
      <c r="EK96" s="1302"/>
      <c r="EL96" s="477">
        <f>НАСТРОЙКА!DA164</f>
        <v>27.560393587629694</v>
      </c>
      <c r="FC96" s="477">
        <f t="shared" si="33"/>
        <v>36.891152459582713</v>
      </c>
      <c r="FD96" s="477">
        <f t="shared" si="36"/>
        <v>20.854876316217926</v>
      </c>
      <c r="FE96" s="1328">
        <f t="shared" si="37"/>
        <v>66.405004090247516</v>
      </c>
      <c r="FI96" s="817">
        <v>2023</v>
      </c>
      <c r="FJ96" s="807"/>
      <c r="FK96" s="859"/>
      <c r="FL96" s="65"/>
    </row>
    <row r="97" spans="3:168" ht="21.6" thickBot="1">
      <c r="O97" s="126">
        <v>2013</v>
      </c>
      <c r="P97" s="583">
        <f>Q85</f>
        <v>2726.3631774238834</v>
      </c>
      <c r="Q97" s="584">
        <f>S85</f>
        <v>71.391459581339006</v>
      </c>
      <c r="R97" s="589">
        <f>U$91*P97+U$92</f>
        <v>71.391459581339006</v>
      </c>
      <c r="S97" s="35">
        <f>R97-Q97</f>
        <v>0</v>
      </c>
      <c r="V97" s="126">
        <f>0.007*P97+52.73</f>
        <v>71.814542241967189</v>
      </c>
      <c r="W97" s="596">
        <f>V97-Q97</f>
        <v>0.42308266062818234</v>
      </c>
      <c r="Z97" s="614" t="s">
        <v>1558</v>
      </c>
      <c r="AA97" s="998"/>
      <c r="AB97" s="12"/>
      <c r="AE97" s="995" t="s">
        <v>194</v>
      </c>
      <c r="AF97" s="996" t="s">
        <v>195</v>
      </c>
      <c r="AH97" s="995" t="s">
        <v>194</v>
      </c>
      <c r="AI97" s="996" t="s">
        <v>198</v>
      </c>
      <c r="BB97" s="784"/>
      <c r="BC97" s="947">
        <f t="shared" si="30"/>
        <v>88.971867647327016</v>
      </c>
      <c r="BD97" s="2115">
        <v>2026</v>
      </c>
      <c r="BE97" s="749"/>
      <c r="BF97" s="477">
        <f>СЧЁТ!CB37</f>
        <v>85.959594939183901</v>
      </c>
      <c r="BR97" s="1571"/>
      <c r="BS97" s="1567"/>
      <c r="BT97" s="1567"/>
      <c r="BU97" s="1571"/>
      <c r="BV97" s="2115">
        <v>2026</v>
      </c>
      <c r="BW97" s="749"/>
      <c r="BX97" s="477">
        <f ca="1">СЧЁТ!CC37</f>
        <v>0.60365638778089803</v>
      </c>
      <c r="BZ97" s="1568"/>
      <c r="CA97" s="1570"/>
      <c r="CB97" s="1570"/>
      <c r="CC97" s="1571"/>
      <c r="CD97" s="1571"/>
      <c r="CE97" s="1572"/>
      <c r="CF97" s="1572"/>
      <c r="CG97" s="1569"/>
      <c r="CH97" s="1575"/>
      <c r="CI97" s="1576"/>
      <c r="CJ97" s="1572"/>
      <c r="CK97" s="21"/>
      <c r="CO97" s="817">
        <v>2024</v>
      </c>
      <c r="CP97" s="807"/>
      <c r="CQ97" s="65"/>
      <c r="CR97" s="1023"/>
      <c r="DI97" s="820">
        <v>2024</v>
      </c>
      <c r="DJ97" s="780"/>
      <c r="DK97" s="1058"/>
      <c r="DL97" s="364"/>
      <c r="DM97" s="364"/>
      <c r="ED97" s="820">
        <v>2024</v>
      </c>
      <c r="EE97" s="780"/>
      <c r="EF97" s="1019">
        <f t="shared" si="32"/>
        <v>38.847940404304424</v>
      </c>
      <c r="EG97" s="1058"/>
      <c r="EH97" s="1019">
        <f t="shared" si="34"/>
        <v>70.004529294759905</v>
      </c>
      <c r="EI97" s="364"/>
      <c r="EJ97" s="477">
        <f t="shared" si="35"/>
        <v>24.988935354362379</v>
      </c>
      <c r="EK97" s="1302"/>
      <c r="EL97" s="477">
        <f>НАСТРОЙКА!DA165</f>
        <v>28.938413267011178</v>
      </c>
      <c r="FC97" s="477">
        <f t="shared" si="33"/>
        <v>38.847940404304424</v>
      </c>
      <c r="FD97" s="477">
        <f t="shared" si="36"/>
        <v>24.988935354362379</v>
      </c>
      <c r="FE97" s="1328">
        <f t="shared" si="37"/>
        <v>70.004529294759905</v>
      </c>
      <c r="FI97" s="817">
        <v>2024</v>
      </c>
      <c r="FJ97" s="807"/>
      <c r="FK97" s="859"/>
      <c r="FL97" s="65"/>
    </row>
    <row r="98" spans="3:168" ht="20.399999999999999">
      <c r="Z98" s="614" t="s">
        <v>1559</v>
      </c>
      <c r="AA98" s="1420"/>
      <c r="AB98" s="12"/>
      <c r="AE98" s="1071">
        <f t="shared" ref="AE98:AE104" si="38">AH98</f>
        <v>1827.405801799011</v>
      </c>
      <c r="AF98" s="798">
        <f t="shared" ref="AF98:AF108" si="39">AI98-4</f>
        <v>68.27</v>
      </c>
      <c r="AH98" s="401">
        <v>1827.405801799011</v>
      </c>
      <c r="AI98" s="798">
        <v>72.27</v>
      </c>
      <c r="BB98" s="784"/>
      <c r="BC98" s="947">
        <f t="shared" si="30"/>
        <v>90.052233453252981</v>
      </c>
      <c r="BD98" s="2115">
        <v>2027</v>
      </c>
      <c r="BE98" s="749"/>
      <c r="BF98" s="477">
        <f>СЧЁТ!CB38</f>
        <v>87.017006170284546</v>
      </c>
      <c r="BR98" s="1571"/>
      <c r="BS98" s="1567"/>
      <c r="BT98" s="1567"/>
      <c r="BU98" s="1571"/>
      <c r="BV98" s="2115">
        <v>2027</v>
      </c>
      <c r="BW98" s="749"/>
      <c r="BX98" s="477">
        <f ca="1">СЧЁТ!CC38</f>
        <v>0.59738326290951704</v>
      </c>
      <c r="BZ98" s="1568"/>
      <c r="CA98" s="1570"/>
      <c r="CB98" s="1570"/>
      <c r="CC98" s="1571"/>
      <c r="CD98" s="1571"/>
      <c r="CE98" s="1572"/>
      <c r="CF98" s="1572"/>
      <c r="CG98" s="1569"/>
      <c r="CH98" s="1575"/>
      <c r="CI98" s="1576"/>
      <c r="CJ98" s="1572"/>
      <c r="CK98" s="21"/>
      <c r="CO98" s="817">
        <v>2025</v>
      </c>
      <c r="CP98" s="807"/>
      <c r="CQ98" s="65"/>
      <c r="CR98" s="1023"/>
      <c r="DI98" s="820">
        <v>2025</v>
      </c>
      <c r="DJ98" s="780"/>
      <c r="DK98" s="1058"/>
      <c r="DL98" s="364"/>
      <c r="DM98" s="364"/>
      <c r="ED98" s="820">
        <v>2025</v>
      </c>
      <c r="EE98" s="780"/>
      <c r="EF98" s="1019">
        <f t="shared" si="32"/>
        <v>40.902567746262221</v>
      </c>
      <c r="EG98" s="1058"/>
      <c r="EH98" s="1019">
        <f t="shared" si="34"/>
        <v>73.784030759497895</v>
      </c>
      <c r="EI98" s="364"/>
      <c r="EJ98" s="477">
        <f t="shared" si="35"/>
        <v>29.329697344414061</v>
      </c>
      <c r="EK98" s="1302"/>
      <c r="EL98" s="477">
        <f>НАСТРОЙКА!DA166</f>
        <v>30.385333930361739</v>
      </c>
      <c r="FC98" s="477">
        <f t="shared" si="33"/>
        <v>40.902567746262221</v>
      </c>
      <c r="FD98" s="477">
        <f t="shared" si="36"/>
        <v>29.329697344414061</v>
      </c>
      <c r="FE98" s="1328">
        <f t="shared" si="37"/>
        <v>73.784030759497895</v>
      </c>
      <c r="FI98" s="817">
        <v>2025</v>
      </c>
      <c r="FJ98" s="807"/>
      <c r="FK98" s="859"/>
      <c r="FL98" s="65"/>
    </row>
    <row r="99" spans="3:168" ht="20.399999999999999">
      <c r="Z99" s="295"/>
      <c r="AA99" s="997" t="s">
        <v>194</v>
      </c>
      <c r="AB99" s="996" t="s">
        <v>195</v>
      </c>
      <c r="AE99" s="1071">
        <f t="shared" si="38"/>
        <v>1958.97901952854</v>
      </c>
      <c r="AF99" s="798">
        <f t="shared" si="39"/>
        <v>69</v>
      </c>
      <c r="AH99" s="401">
        <v>1958.97901952854</v>
      </c>
      <c r="AI99" s="798">
        <v>73</v>
      </c>
      <c r="BB99" s="784"/>
      <c r="BC99" s="947">
        <f t="shared" si="30"/>
        <v>91.132599259178946</v>
      </c>
      <c r="BD99" s="2115">
        <v>2028</v>
      </c>
      <c r="BE99" s="749"/>
      <c r="BF99" s="477">
        <f>СЧЁТ!CB39</f>
        <v>88.091022509927015</v>
      </c>
      <c r="BR99" s="1571"/>
      <c r="BS99" s="1567"/>
      <c r="BT99" s="1567"/>
      <c r="BU99" s="1571"/>
      <c r="BV99" s="2115">
        <v>2028</v>
      </c>
      <c r="BW99" s="749"/>
      <c r="BX99" s="477">
        <f ca="1">СЧЁТ!CC39</f>
        <v>0.59134571010380399</v>
      </c>
      <c r="BZ99" s="1568"/>
      <c r="CA99" s="1570"/>
      <c r="CB99" s="1570"/>
      <c r="CC99" s="1571"/>
      <c r="CD99" s="1571"/>
      <c r="CE99" s="1572"/>
      <c r="CF99" s="1572"/>
      <c r="CG99" s="1569"/>
      <c r="CH99" s="1575"/>
      <c r="CI99" s="1576"/>
      <c r="CJ99" s="1572"/>
      <c r="CK99" s="760"/>
      <c r="CO99" s="817">
        <v>2026</v>
      </c>
      <c r="CP99" s="807"/>
      <c r="CQ99" s="65"/>
      <c r="CR99" s="859"/>
      <c r="DI99" s="820">
        <v>2026</v>
      </c>
      <c r="DJ99" s="780"/>
      <c r="DK99" s="1058"/>
      <c r="DL99" s="364"/>
      <c r="DM99" s="364"/>
      <c r="ED99" s="820">
        <v>2026</v>
      </c>
      <c r="EE99" s="780"/>
      <c r="EF99" s="1019">
        <f t="shared" si="32"/>
        <v>43.059926455317907</v>
      </c>
      <c r="EG99" s="1058"/>
      <c r="EH99" s="1019">
        <f t="shared" si="34"/>
        <v>77.752507297472789</v>
      </c>
      <c r="EI99" s="364"/>
      <c r="EJ99" s="477">
        <f t="shared" si="35"/>
        <v>33.887497433968321</v>
      </c>
      <c r="EK99" s="1302"/>
      <c r="EL99" s="477">
        <f>НАСТРОЙКА!DA167</f>
        <v>31.904600626879827</v>
      </c>
      <c r="FC99" s="477">
        <f t="shared" si="33"/>
        <v>43.059926455317907</v>
      </c>
      <c r="FD99" s="477">
        <f t="shared" si="36"/>
        <v>33.887497433968321</v>
      </c>
      <c r="FE99" s="1328">
        <f t="shared" si="37"/>
        <v>77.752507297472789</v>
      </c>
      <c r="FI99" s="817">
        <v>2026</v>
      </c>
      <c r="FJ99" s="807"/>
      <c r="FK99" s="859"/>
      <c r="FL99" s="65"/>
    </row>
    <row r="100" spans="3:168" ht="20.399999999999999">
      <c r="Z100" s="1074">
        <f>AB100+1.1</f>
        <v>64.272000000000006</v>
      </c>
      <c r="AA100" s="999">
        <v>1200</v>
      </c>
      <c r="AB100" s="1000">
        <f>0.0055*AA100+56.572</f>
        <v>63.172000000000004</v>
      </c>
      <c r="AE100" s="1071">
        <f t="shared" si="38"/>
        <v>2084.3536767783667</v>
      </c>
      <c r="AF100" s="798">
        <f t="shared" si="39"/>
        <v>69.581000000000003</v>
      </c>
      <c r="AH100" s="401">
        <v>2084.3536767783667</v>
      </c>
      <c r="AI100" s="798">
        <f>T77</f>
        <v>73.581000000000003</v>
      </c>
      <c r="BB100" s="784"/>
      <c r="BC100" s="947">
        <f t="shared" si="30"/>
        <v>92.21296506510491</v>
      </c>
      <c r="BD100" s="2115">
        <v>2029</v>
      </c>
      <c r="BE100" s="749"/>
      <c r="BF100" s="477">
        <f>СЧЁТ!CB40</f>
        <v>89.18065218920745</v>
      </c>
      <c r="BR100" s="1571"/>
      <c r="BS100" s="1567"/>
      <c r="BT100" s="1567"/>
      <c r="BU100" s="1571"/>
      <c r="BV100" s="2115">
        <v>2029</v>
      </c>
      <c r="BW100" s="749"/>
      <c r="BX100" s="477">
        <f ca="1">СЧЁТ!CC40</f>
        <v>0.58560024240232167</v>
      </c>
      <c r="BZ100" s="1568"/>
      <c r="CA100" s="1570"/>
      <c r="CB100" s="1570"/>
      <c r="CC100" s="1571"/>
      <c r="CD100" s="1571"/>
      <c r="CE100" s="1572"/>
      <c r="CF100" s="1572"/>
      <c r="CG100" s="1569"/>
      <c r="CH100" s="1575"/>
      <c r="CI100" s="1576"/>
      <c r="CJ100" s="1572"/>
      <c r="CK100" s="760"/>
      <c r="CO100" s="817">
        <v>2027</v>
      </c>
      <c r="CP100" s="807"/>
      <c r="CQ100" s="65"/>
      <c r="CR100" s="859"/>
      <c r="DI100" s="820">
        <v>2027</v>
      </c>
      <c r="DJ100" s="780"/>
      <c r="DK100" s="1058"/>
      <c r="DL100" s="364"/>
      <c r="DM100" s="364"/>
      <c r="ED100" s="820">
        <v>2027</v>
      </c>
      <c r="EE100" s="780"/>
      <c r="EF100" s="1019">
        <f t="shared" si="32"/>
        <v>45.32515309982638</v>
      </c>
      <c r="EG100" s="1058"/>
      <c r="EH100" s="1019">
        <f t="shared" si="34"/>
        <v>81.919407662346444</v>
      </c>
      <c r="EI100" s="364"/>
      <c r="EJ100" s="477">
        <f t="shared" si="35"/>
        <v>38.673187528000305</v>
      </c>
      <c r="EK100" s="1302"/>
      <c r="EL100" s="477">
        <f>НАСТРОЙКА!DA168</f>
        <v>33.499830658223821</v>
      </c>
      <c r="FC100" s="477">
        <f t="shared" si="33"/>
        <v>45.32515309982638</v>
      </c>
      <c r="FD100" s="477">
        <f t="shared" si="36"/>
        <v>38.673187528000305</v>
      </c>
      <c r="FE100" s="1328">
        <f t="shared" si="37"/>
        <v>81.919407662346444</v>
      </c>
      <c r="FI100" s="817">
        <v>2027</v>
      </c>
      <c r="FJ100" s="807"/>
      <c r="FK100" s="859"/>
      <c r="FL100" s="65"/>
    </row>
    <row r="101" spans="3:168" ht="20.399999999999999">
      <c r="Z101" s="1074">
        <f t="shared" ref="Z101:Z106" si="40">AB101+1.1</f>
        <v>65.921999999999997</v>
      </c>
      <c r="AA101" s="999">
        <v>1500</v>
      </c>
      <c r="AB101" s="1000">
        <f t="shared" ref="AB101:AB106" si="41">0.0055*AA101+56.572</f>
        <v>64.822000000000003</v>
      </c>
      <c r="AE101" s="1071">
        <f t="shared" si="38"/>
        <v>2255.270678274193</v>
      </c>
      <c r="AF101" s="798">
        <f t="shared" si="39"/>
        <v>70.418999999999997</v>
      </c>
      <c r="AH101" s="401">
        <v>2255.270678274193</v>
      </c>
      <c r="AI101" s="798">
        <f>T78</f>
        <v>74.418999999999997</v>
      </c>
      <c r="BB101" s="784"/>
      <c r="BC101" s="947">
        <f t="shared" si="30"/>
        <v>93.293330871030875</v>
      </c>
      <c r="BD101" s="2116">
        <v>2030</v>
      </c>
      <c r="BE101" s="1584"/>
      <c r="BF101" s="477">
        <f>СЧЁТ!CB41</f>
        <v>90.284902002720656</v>
      </c>
      <c r="BR101" s="1571"/>
      <c r="BS101" s="1567"/>
      <c r="BT101" s="1567"/>
      <c r="BU101" s="1579"/>
      <c r="BV101" s="2116">
        <v>2030</v>
      </c>
      <c r="BW101" s="1584"/>
      <c r="BX101" s="477">
        <f ca="1">СЧЁТ!CC41</f>
        <v>0.58018259124118976</v>
      </c>
      <c r="BZ101" s="1568"/>
      <c r="CA101" s="1570"/>
      <c r="CB101" s="1570"/>
      <c r="CC101" s="1571"/>
      <c r="CD101" s="1571"/>
      <c r="CE101" s="1572"/>
      <c r="CF101" s="1572"/>
      <c r="CG101" s="1569"/>
      <c r="CH101" s="1575"/>
      <c r="CI101" s="1576"/>
      <c r="CJ101" s="1572"/>
      <c r="CK101" s="760"/>
      <c r="CO101" s="817">
        <v>2028</v>
      </c>
      <c r="CP101" s="807"/>
      <c r="CQ101" s="65"/>
      <c r="CR101" s="859"/>
      <c r="DI101" s="820">
        <v>2028</v>
      </c>
      <c r="DJ101" s="780"/>
      <c r="DK101" s="1058"/>
      <c r="DL101" s="364"/>
      <c r="DM101" s="364"/>
      <c r="ED101" s="820">
        <v>2028</v>
      </c>
      <c r="EE101" s="780"/>
      <c r="EF101" s="1019">
        <f t="shared" si="32"/>
        <v>47.703641076560274</v>
      </c>
      <c r="EG101" s="1058"/>
      <c r="EH101" s="1019">
        <f t="shared" si="34"/>
        <v>86.294653045463775</v>
      </c>
      <c r="EI101" s="364"/>
      <c r="EJ101" s="477">
        <f t="shared" si="35"/>
        <v>43.698162126733884</v>
      </c>
      <c r="EK101" s="1302"/>
      <c r="EL101" s="477">
        <f>НАСТРОЙКА!DA169</f>
        <v>35.174822191135014</v>
      </c>
      <c r="FC101" s="477">
        <f t="shared" si="33"/>
        <v>47.703641076560274</v>
      </c>
      <c r="FD101" s="477">
        <f t="shared" si="36"/>
        <v>43.698162126733884</v>
      </c>
      <c r="FE101" s="1328">
        <f t="shared" si="37"/>
        <v>86.294653045463775</v>
      </c>
      <c r="FI101" s="817">
        <v>2028</v>
      </c>
      <c r="FJ101" s="807"/>
      <c r="FK101" s="859"/>
      <c r="FL101" s="65"/>
    </row>
    <row r="102" spans="3:168" ht="20.399999999999999">
      <c r="Z102" s="1074">
        <f t="shared" si="40"/>
        <v>68.671999999999997</v>
      </c>
      <c r="AA102" s="999">
        <v>2000</v>
      </c>
      <c r="AB102" s="1000">
        <f t="shared" si="41"/>
        <v>67.572000000000003</v>
      </c>
      <c r="AE102" s="1071">
        <f t="shared" si="38"/>
        <v>2446.9686859274993</v>
      </c>
      <c r="AF102" s="798">
        <f t="shared" si="39"/>
        <v>71.289000000000001</v>
      </c>
      <c r="AH102" s="401">
        <v>2446.9686859274993</v>
      </c>
      <c r="AI102" s="798">
        <f>T79</f>
        <v>75.289000000000001</v>
      </c>
      <c r="BR102" s="1571"/>
      <c r="BS102" s="1567"/>
      <c r="BT102" s="1567"/>
      <c r="BU102" s="1579"/>
      <c r="BV102" s="70"/>
      <c r="BW102" s="70"/>
      <c r="BX102" s="1571"/>
      <c r="BY102" s="1571"/>
      <c r="BZ102" s="1568"/>
      <c r="CA102" s="1570"/>
      <c r="CB102" s="1570"/>
      <c r="CC102" s="1571"/>
      <c r="CD102" s="1571"/>
      <c r="CE102" s="1572"/>
      <c r="CF102" s="1572"/>
      <c r="CG102" s="1569"/>
      <c r="CH102" s="1575"/>
      <c r="CI102" s="1576"/>
      <c r="CJ102" s="1572"/>
      <c r="CK102" s="760"/>
      <c r="CO102" s="817">
        <v>2029</v>
      </c>
      <c r="CP102" s="807"/>
      <c r="CQ102" s="65"/>
      <c r="CR102" s="859"/>
      <c r="DI102" s="820">
        <v>2029</v>
      </c>
      <c r="DJ102" s="780"/>
      <c r="DK102" s="1058"/>
      <c r="DL102" s="364"/>
      <c r="DM102" s="364"/>
      <c r="ED102" s="820">
        <v>2029</v>
      </c>
      <c r="EE102" s="780"/>
      <c r="EF102" s="1019">
        <f t="shared" si="32"/>
        <v>50.201053452130864</v>
      </c>
      <c r="EG102" s="1058"/>
      <c r="EH102" s="1019">
        <f t="shared" si="34"/>
        <v>90.888660697736967</v>
      </c>
      <c r="EI102" s="364"/>
      <c r="EJ102" s="477">
        <f t="shared" si="35"/>
        <v>48.974385455404139</v>
      </c>
      <c r="EK102" s="1302"/>
      <c r="EL102" s="477">
        <f>НАСТРОЙКА!DA170</f>
        <v>36.933563300691766</v>
      </c>
      <c r="FC102" s="477">
        <f t="shared" si="33"/>
        <v>50.201053452130864</v>
      </c>
      <c r="FD102" s="477">
        <f t="shared" si="36"/>
        <v>48.974385455404139</v>
      </c>
      <c r="FE102" s="1328">
        <f t="shared" si="37"/>
        <v>90.888660697736967</v>
      </c>
      <c r="FI102" s="817">
        <v>2029</v>
      </c>
      <c r="FJ102" s="807"/>
      <c r="FK102" s="859"/>
      <c r="FL102" s="65"/>
    </row>
    <row r="103" spans="3:168" ht="21">
      <c r="Z103" s="1074">
        <f t="shared" si="40"/>
        <v>71.421999999999997</v>
      </c>
      <c r="AA103" s="999">
        <v>2500</v>
      </c>
      <c r="AB103" s="1000">
        <f t="shared" si="41"/>
        <v>70.322000000000003</v>
      </c>
      <c r="AE103" s="1071">
        <f t="shared" si="38"/>
        <v>2574.2110575957295</v>
      </c>
      <c r="AF103" s="798">
        <f t="shared" si="39"/>
        <v>71.7</v>
      </c>
      <c r="AH103" s="401">
        <v>2574.2110575957295</v>
      </c>
      <c r="AI103" s="798">
        <v>75.7</v>
      </c>
      <c r="BR103" s="1571"/>
      <c r="BS103" s="1567"/>
      <c r="BT103" s="1567"/>
      <c r="BU103" s="1571"/>
      <c r="BV103" s="70"/>
      <c r="BW103" s="70"/>
      <c r="BX103" s="1580"/>
      <c r="BY103" s="1580"/>
      <c r="BZ103" s="1568"/>
      <c r="CA103" s="1570"/>
      <c r="CB103" s="1570"/>
      <c r="CC103" s="1580"/>
      <c r="CD103" s="1580"/>
      <c r="CE103" s="1572"/>
      <c r="CF103" s="1572"/>
      <c r="CG103" s="1569"/>
      <c r="CH103" s="1575"/>
      <c r="CI103" s="1576"/>
      <c r="CJ103" s="1572"/>
      <c r="CK103" s="760"/>
      <c r="CO103" s="819">
        <v>2030</v>
      </c>
      <c r="CP103" s="832"/>
      <c r="CQ103" s="340"/>
      <c r="CR103" s="1006"/>
      <c r="DI103" s="853">
        <v>2030</v>
      </c>
      <c r="DJ103" s="781"/>
      <c r="DK103" s="1303"/>
      <c r="DL103" s="1103"/>
      <c r="DM103" s="1103"/>
      <c r="ED103" s="853">
        <v>2030</v>
      </c>
      <c r="EE103" s="781"/>
      <c r="EF103" s="1020">
        <f t="shared" si="32"/>
        <v>68.037593749395015</v>
      </c>
      <c r="EG103" s="1303"/>
      <c r="EH103" s="1020">
        <f t="shared" si="34"/>
        <v>123.69910218399306</v>
      </c>
      <c r="EI103" s="1103"/>
      <c r="EJ103" s="513">
        <f t="shared" si="35"/>
        <v>86.657217069342479</v>
      </c>
      <c r="EK103" s="1103"/>
      <c r="EL103" s="1304">
        <f>НАСТРОЙКА!DA176</f>
        <v>49.494507172004546</v>
      </c>
      <c r="FC103" s="513">
        <f t="shared" si="33"/>
        <v>68.037593749395015</v>
      </c>
      <c r="FD103" s="513">
        <f t="shared" si="36"/>
        <v>86.657217069342479</v>
      </c>
      <c r="FE103" s="1331">
        <f t="shared" si="37"/>
        <v>123.69910218399306</v>
      </c>
      <c r="FI103" s="819">
        <v>2030</v>
      </c>
      <c r="FJ103" s="832"/>
      <c r="FK103" s="1006"/>
      <c r="FL103" s="340"/>
    </row>
    <row r="104" spans="3:168" ht="21">
      <c r="Z104" s="1074">
        <f t="shared" si="40"/>
        <v>72.351500000000001</v>
      </c>
      <c r="AA104" s="1421">
        <v>2669</v>
      </c>
      <c r="AB104" s="1000">
        <f t="shared" si="41"/>
        <v>71.251500000000007</v>
      </c>
      <c r="AE104" s="1071">
        <f t="shared" si="38"/>
        <v>3000</v>
      </c>
      <c r="AF104" s="798">
        <f t="shared" si="39"/>
        <v>73.2</v>
      </c>
      <c r="AH104" s="401">
        <v>3000</v>
      </c>
      <c r="AI104" s="798">
        <v>77.2</v>
      </c>
      <c r="BR104" s="1571"/>
      <c r="BS104" s="1577"/>
      <c r="BT104" s="1577"/>
      <c r="BU104" s="1571"/>
      <c r="BV104" s="70"/>
      <c r="BW104" s="70"/>
      <c r="BX104" s="1580"/>
      <c r="BY104" s="1580"/>
      <c r="BZ104" s="1581"/>
      <c r="CA104" s="1576"/>
      <c r="CB104" s="1581"/>
      <c r="CC104" s="1580"/>
      <c r="CD104" s="1580"/>
      <c r="CE104" s="1572"/>
      <c r="CF104" s="1572"/>
      <c r="CG104" s="1581"/>
      <c r="CH104" s="1581"/>
      <c r="CI104" s="1581"/>
      <c r="CJ104" s="1572"/>
      <c r="CK104" s="760"/>
    </row>
    <row r="105" spans="3:168" ht="21">
      <c r="Z105" s="1074">
        <f t="shared" si="40"/>
        <v>74.171999999999997</v>
      </c>
      <c r="AA105" s="999">
        <v>3000</v>
      </c>
      <c r="AB105" s="1000">
        <f t="shared" si="41"/>
        <v>73.072000000000003</v>
      </c>
      <c r="AE105" s="295">
        <v>3100</v>
      </c>
      <c r="AF105" s="798">
        <f t="shared" si="39"/>
        <v>73.2</v>
      </c>
      <c r="AH105" s="401">
        <v>3100</v>
      </c>
      <c r="AI105" s="798">
        <v>77.2</v>
      </c>
      <c r="BR105" s="1571"/>
      <c r="BS105" s="1577"/>
      <c r="BT105" s="1577"/>
      <c r="BU105" s="1571"/>
      <c r="BV105" s="70"/>
      <c r="BW105" s="70"/>
      <c r="BX105" s="1580"/>
      <c r="BY105" s="1580"/>
      <c r="BZ105" s="1568"/>
      <c r="CA105" s="1570"/>
      <c r="CB105" s="1570"/>
      <c r="CC105" s="1580"/>
      <c r="CD105" s="1580"/>
      <c r="CE105" s="1572"/>
      <c r="CF105" s="1572"/>
      <c r="CG105" s="1581"/>
      <c r="CH105" s="1581"/>
      <c r="CI105" s="1581"/>
      <c r="CJ105" s="1572"/>
      <c r="CK105" s="760"/>
    </row>
    <row r="106" spans="3:168" ht="21">
      <c r="Z106" s="1074">
        <f t="shared" si="40"/>
        <v>75.822000000000003</v>
      </c>
      <c r="AA106" s="1001">
        <v>3300</v>
      </c>
      <c r="AB106" s="1000">
        <f t="shared" si="41"/>
        <v>74.722000000000008</v>
      </c>
      <c r="AE106" s="295">
        <v>3200</v>
      </c>
      <c r="AF106" s="798">
        <f t="shared" si="39"/>
        <v>73.2</v>
      </c>
      <c r="AH106" s="401">
        <v>3200</v>
      </c>
      <c r="AI106" s="798">
        <v>77.2</v>
      </c>
      <c r="BR106" s="1571"/>
      <c r="BS106" s="1577"/>
      <c r="BT106" s="1577"/>
      <c r="BU106" s="1571"/>
      <c r="BV106" s="70"/>
      <c r="BW106" s="70"/>
      <c r="BX106" s="1580"/>
      <c r="BY106" s="1580"/>
      <c r="BZ106" s="1568"/>
      <c r="CA106" s="1581"/>
      <c r="CB106" s="1581"/>
      <c r="CC106" s="1580"/>
      <c r="CD106" s="1580"/>
      <c r="CE106" s="1572"/>
      <c r="CF106" s="1572"/>
      <c r="CG106" s="1581"/>
      <c r="CH106" s="1581"/>
      <c r="CI106" s="1581"/>
      <c r="CJ106" s="1572"/>
      <c r="CK106" s="760"/>
    </row>
    <row r="107" spans="3:168" ht="21">
      <c r="AE107" s="295">
        <v>3300</v>
      </c>
      <c r="AF107" s="798">
        <f t="shared" si="39"/>
        <v>73.2</v>
      </c>
      <c r="AH107" s="401">
        <v>3300</v>
      </c>
      <c r="AI107" s="798">
        <v>77.2</v>
      </c>
      <c r="BR107" s="1571"/>
      <c r="BS107" s="1571"/>
      <c r="BT107" s="1571"/>
      <c r="BU107" s="1571"/>
      <c r="BV107" s="70"/>
      <c r="BW107" s="70"/>
      <c r="BX107" s="1580"/>
      <c r="BY107" s="1580"/>
      <c r="BZ107" s="1580"/>
      <c r="CA107" s="1580"/>
      <c r="CB107" s="1580"/>
      <c r="CC107" s="1580"/>
      <c r="CD107" s="1580"/>
      <c r="CE107" s="1572"/>
      <c r="CF107" s="1572"/>
      <c r="CG107" s="1572"/>
      <c r="CH107" s="1572"/>
      <c r="CI107" s="1572"/>
      <c r="CJ107" s="1572"/>
      <c r="CK107" s="760"/>
    </row>
    <row r="108" spans="3:168" ht="20.399999999999999">
      <c r="AE108" s="1072">
        <f>AH108</f>
        <v>3500</v>
      </c>
      <c r="AF108" s="800">
        <f t="shared" si="39"/>
        <v>73.2</v>
      </c>
      <c r="AH108" s="799">
        <v>3500</v>
      </c>
      <c r="AI108" s="798">
        <v>77.2</v>
      </c>
      <c r="BR108" s="1571"/>
      <c r="BS108" s="1571"/>
      <c r="BT108" s="1571"/>
      <c r="BU108" s="1571"/>
      <c r="BV108" s="70"/>
      <c r="BW108" s="70"/>
      <c r="BX108" s="70"/>
      <c r="BY108" s="70"/>
      <c r="BZ108" s="70"/>
      <c r="CA108" s="70"/>
      <c r="CB108" s="70"/>
      <c r="CC108" s="70"/>
      <c r="CD108" s="70"/>
      <c r="CE108" s="1572"/>
      <c r="CF108" s="1572"/>
      <c r="CG108" s="1572"/>
      <c r="CH108" s="1572"/>
      <c r="CI108" s="1572"/>
      <c r="CJ108" s="1572"/>
      <c r="CK108" s="760"/>
    </row>
    <row r="109" spans="3:168" ht="20.399999999999999">
      <c r="AE109" s="20"/>
      <c r="AF109" s="20"/>
      <c r="BR109" s="70"/>
      <c r="BS109" s="70"/>
      <c r="BT109" s="70"/>
      <c r="BU109" s="1571"/>
      <c r="BV109" s="70"/>
      <c r="BW109" s="70"/>
      <c r="BX109" s="70"/>
      <c r="BY109" s="70"/>
      <c r="BZ109" s="70"/>
      <c r="CA109" s="70"/>
      <c r="CB109" s="70"/>
      <c r="CC109" s="70"/>
      <c r="CD109" s="70"/>
      <c r="CE109" s="70"/>
      <c r="CF109" s="70"/>
      <c r="CG109" s="70"/>
      <c r="CH109" s="70"/>
      <c r="CI109" s="70"/>
      <c r="CJ109" s="70"/>
    </row>
    <row r="110" spans="3:168">
      <c r="AE110" s="20"/>
      <c r="AF110" s="20"/>
    </row>
    <row r="111" spans="3:168" ht="15.6">
      <c r="C111" s="2763" t="s">
        <v>199</v>
      </c>
      <c r="D111" s="2763"/>
      <c r="AE111" s="20"/>
      <c r="AF111" s="20"/>
    </row>
    <row r="112" spans="3:168" ht="15.6">
      <c r="C112" s="402"/>
      <c r="D112" s="402"/>
    </row>
    <row r="113" spans="3:142" ht="107.4">
      <c r="C113" s="403" t="s">
        <v>137</v>
      </c>
      <c r="D113" s="404" t="s">
        <v>200</v>
      </c>
    </row>
    <row r="114" spans="3:142" ht="30">
      <c r="C114" s="405" t="s">
        <v>201</v>
      </c>
      <c r="D114" s="406" t="s">
        <v>202</v>
      </c>
      <c r="M114" s="1053" t="s">
        <v>205</v>
      </c>
      <c r="N114" s="1053"/>
      <c r="O114" s="1053"/>
      <c r="P114" s="1053"/>
      <c r="Q114" s="1053"/>
      <c r="R114" s="1053"/>
      <c r="S114" s="1053"/>
    </row>
    <row r="115" spans="3:142" ht="30">
      <c r="C115" s="405" t="s">
        <v>206</v>
      </c>
      <c r="D115" s="406" t="s">
        <v>207</v>
      </c>
      <c r="M115" s="1053" t="s">
        <v>208</v>
      </c>
      <c r="N115" s="1053"/>
      <c r="O115" s="1053"/>
      <c r="P115" s="1053"/>
      <c r="Q115" s="1053"/>
      <c r="R115" s="1053"/>
      <c r="S115" s="1053"/>
    </row>
    <row r="116" spans="3:142" ht="30">
      <c r="C116" s="405" t="s">
        <v>209</v>
      </c>
      <c r="D116" s="406" t="s">
        <v>210</v>
      </c>
      <c r="M116" s="1053"/>
      <c r="N116" s="1053"/>
      <c r="O116" s="1053"/>
      <c r="P116" s="1053"/>
      <c r="Q116" s="1053"/>
      <c r="R116" s="1053"/>
      <c r="S116" s="1053"/>
    </row>
    <row r="117" spans="3:142" ht="60">
      <c r="C117" s="405" t="s">
        <v>211</v>
      </c>
      <c r="D117" s="407">
        <v>28</v>
      </c>
      <c r="M117" s="614" t="s">
        <v>137</v>
      </c>
      <c r="N117" s="614" t="s">
        <v>212</v>
      </c>
      <c r="O117" s="614"/>
      <c r="P117" s="614"/>
    </row>
    <row r="118" spans="3:142" ht="15">
      <c r="C118" s="405">
        <v>1940</v>
      </c>
      <c r="D118" s="406" t="s">
        <v>213</v>
      </c>
      <c r="M118" s="2">
        <v>1971</v>
      </c>
      <c r="N118">
        <v>108.1</v>
      </c>
    </row>
    <row r="119" spans="3:142" ht="75">
      <c r="C119" s="405" t="s">
        <v>214</v>
      </c>
      <c r="D119" s="406" t="s">
        <v>215</v>
      </c>
      <c r="L119" s="1024"/>
      <c r="M119" s="1052">
        <v>1972</v>
      </c>
      <c r="N119" s="1024">
        <v>107.3</v>
      </c>
      <c r="O119" s="1024"/>
      <c r="P119" s="1024"/>
      <c r="Q119" s="1024"/>
    </row>
    <row r="120" spans="3:142" ht="15.6" thickBot="1">
      <c r="C120" s="405">
        <v>1946</v>
      </c>
      <c r="D120" s="406" t="s">
        <v>216</v>
      </c>
      <c r="L120" s="1024"/>
      <c r="M120" s="1052">
        <v>1973</v>
      </c>
      <c r="N120" s="1024">
        <v>104.6</v>
      </c>
      <c r="O120" s="1024"/>
      <c r="P120" s="1024"/>
      <c r="Q120" s="1024"/>
      <c r="AT120" t="s">
        <v>297</v>
      </c>
      <c r="EI120" s="833" t="s">
        <v>1258</v>
      </c>
      <c r="EJ120" s="833" t="s">
        <v>1258</v>
      </c>
      <c r="EK120" s="833" t="s">
        <v>1588</v>
      </c>
      <c r="EL120" s="836" t="s">
        <v>1258</v>
      </c>
    </row>
    <row r="121" spans="3:142" ht="17.399999999999999">
      <c r="C121" s="405">
        <v>1947</v>
      </c>
      <c r="D121" s="406" t="s">
        <v>217</v>
      </c>
      <c r="L121" s="1024"/>
      <c r="M121" s="1052">
        <v>1974</v>
      </c>
      <c r="N121" s="1024">
        <v>107.5</v>
      </c>
      <c r="O121" s="1024"/>
      <c r="P121" s="1024"/>
      <c r="Q121" s="1024"/>
      <c r="AT121" t="s">
        <v>298</v>
      </c>
      <c r="EH121" s="1008" t="s">
        <v>695</v>
      </c>
      <c r="EI121" s="1281" t="s">
        <v>1280</v>
      </c>
      <c r="EJ121" s="1186" t="s">
        <v>1374</v>
      </c>
      <c r="EK121" s="1186" t="s">
        <v>1402</v>
      </c>
      <c r="EL121" s="772" t="s">
        <v>820</v>
      </c>
    </row>
    <row r="122" spans="3:142" ht="15">
      <c r="C122" s="405">
        <v>1948</v>
      </c>
      <c r="D122" s="406" t="s">
        <v>218</v>
      </c>
      <c r="L122" s="1024"/>
      <c r="M122" s="1052">
        <v>1975</v>
      </c>
      <c r="N122" s="1024">
        <v>110.2</v>
      </c>
      <c r="O122" s="1024"/>
      <c r="P122" s="1024"/>
      <c r="Q122" s="1024"/>
      <c r="AT122" t="s">
        <v>299</v>
      </c>
      <c r="EH122" s="1077">
        <v>43187</v>
      </c>
      <c r="EI122" s="62" t="s">
        <v>688</v>
      </c>
      <c r="EJ122" s="62" t="s">
        <v>688</v>
      </c>
      <c r="EK122" s="62" t="s">
        <v>688</v>
      </c>
      <c r="EL122" s="62" t="s">
        <v>688</v>
      </c>
    </row>
    <row r="123" spans="3:142" ht="17.399999999999999">
      <c r="C123" s="405">
        <v>1949</v>
      </c>
      <c r="D123" s="406" t="s">
        <v>219</v>
      </c>
      <c r="L123" s="1024"/>
      <c r="M123" s="1052">
        <v>1976</v>
      </c>
      <c r="N123" s="1039">
        <v>105</v>
      </c>
      <c r="O123" s="1024"/>
      <c r="P123" s="1024"/>
      <c r="Q123" s="1024"/>
      <c r="AT123" t="s">
        <v>300</v>
      </c>
      <c r="EH123" s="813">
        <v>1995</v>
      </c>
      <c r="EI123" s="1297">
        <v>1</v>
      </c>
      <c r="EJ123" s="1298">
        <v>1</v>
      </c>
      <c r="EK123" s="511">
        <v>1</v>
      </c>
      <c r="EL123" s="1299">
        <v>1</v>
      </c>
    </row>
    <row r="124" spans="3:142" ht="17.399999999999999">
      <c r="C124" s="405">
        <v>1950</v>
      </c>
      <c r="D124" s="406" t="s">
        <v>220</v>
      </c>
      <c r="L124" s="1024"/>
      <c r="M124" s="1052">
        <v>1977</v>
      </c>
      <c r="N124" s="1024">
        <v>103.4</v>
      </c>
      <c r="O124" s="1024"/>
      <c r="P124" s="1024"/>
      <c r="Q124" s="1024"/>
      <c r="AT124" t="s">
        <v>301</v>
      </c>
      <c r="EH124" s="820">
        <v>1996</v>
      </c>
      <c r="EI124" s="1300">
        <v>1.7194377618988257</v>
      </c>
      <c r="EJ124" s="558">
        <v>1.3930686182271845</v>
      </c>
      <c r="EK124" s="477">
        <v>1.2574010596187211</v>
      </c>
      <c r="EL124" s="1301">
        <v>1.218</v>
      </c>
    </row>
    <row r="125" spans="3:142" ht="17.399999999999999">
      <c r="C125" s="405">
        <v>1951</v>
      </c>
      <c r="D125" s="406" t="s">
        <v>221</v>
      </c>
      <c r="L125" s="1024"/>
      <c r="M125" s="1052">
        <v>1978</v>
      </c>
      <c r="N125" s="1024">
        <v>106.1</v>
      </c>
      <c r="O125" s="1024"/>
      <c r="P125" s="1024"/>
      <c r="Q125" s="1024"/>
      <c r="AT125" t="s">
        <v>302</v>
      </c>
      <c r="EH125" s="820">
        <v>1997</v>
      </c>
      <c r="EI125" s="1300">
        <v>1.9680277801214476</v>
      </c>
      <c r="EJ125" s="558">
        <v>1.8000080782573098</v>
      </c>
      <c r="EK125" s="477">
        <v>1.5370492125151649</v>
      </c>
      <c r="EL125" s="1301">
        <v>1.3519800000000002</v>
      </c>
    </row>
    <row r="126" spans="3:142" ht="17.399999999999999">
      <c r="C126" s="405">
        <v>1952</v>
      </c>
      <c r="D126" s="406" t="s">
        <v>222</v>
      </c>
      <c r="L126" s="1024"/>
      <c r="M126" s="1052">
        <v>1979</v>
      </c>
      <c r="N126" s="1039">
        <v>101</v>
      </c>
      <c r="O126" s="1024"/>
      <c r="P126" s="1024"/>
      <c r="Q126" s="1024"/>
      <c r="AT126" t="s">
        <v>303</v>
      </c>
      <c r="EH126" s="820">
        <v>1998</v>
      </c>
      <c r="EI126" s="1300">
        <v>2.2270348811115843</v>
      </c>
      <c r="EJ126" s="558">
        <v>1.7787455021088285</v>
      </c>
      <c r="EK126" s="477">
        <v>1.6424177215539968</v>
      </c>
      <c r="EL126" s="1301">
        <v>2.4930511200000005</v>
      </c>
    </row>
    <row r="127" spans="3:142" ht="17.399999999999999">
      <c r="C127" s="405">
        <v>1953</v>
      </c>
      <c r="D127" s="406" t="s">
        <v>223</v>
      </c>
      <c r="L127" s="1024"/>
      <c r="M127" s="1052">
        <v>1980</v>
      </c>
      <c r="N127" s="1024">
        <v>102.9</v>
      </c>
      <c r="O127" s="1024"/>
      <c r="P127" s="1024"/>
      <c r="Q127" s="1024"/>
      <c r="AT127" t="s">
        <v>304</v>
      </c>
      <c r="EH127" s="820">
        <v>1999</v>
      </c>
      <c r="EI127" s="1300">
        <v>3.493098424873764</v>
      </c>
      <c r="EJ127" s="558">
        <v>2.4627881934761957</v>
      </c>
      <c r="EK127" s="477">
        <v>2.6523824724539433</v>
      </c>
      <c r="EL127" s="1301">
        <v>3.4030147788000007</v>
      </c>
    </row>
    <row r="128" spans="3:142" ht="17.399999999999999">
      <c r="C128" s="405">
        <v>1954</v>
      </c>
      <c r="D128" s="406" t="s">
        <v>224</v>
      </c>
      <c r="L128" s="1024"/>
      <c r="M128" s="1052">
        <v>1981</v>
      </c>
      <c r="N128" s="1039">
        <v>104</v>
      </c>
      <c r="O128" s="1024"/>
      <c r="P128" s="1024"/>
      <c r="Q128" s="1024"/>
      <c r="AT128" t="s">
        <v>305</v>
      </c>
      <c r="EH128" s="820">
        <v>2000</v>
      </c>
      <c r="EI128" s="1300">
        <v>5.1712627496070169</v>
      </c>
      <c r="EJ128" s="558">
        <v>3.7854704885295649</v>
      </c>
      <c r="EK128" s="477">
        <v>3.3750397713637965</v>
      </c>
      <c r="EL128" s="1301">
        <v>4.0904237641176007</v>
      </c>
    </row>
    <row r="129" spans="3:147" ht="17.399999999999999">
      <c r="C129" s="405">
        <v>1955</v>
      </c>
      <c r="D129" s="406" t="s">
        <v>225</v>
      </c>
      <c r="L129" s="1024"/>
      <c r="M129" s="1052">
        <v>1982</v>
      </c>
      <c r="N129" s="1024">
        <v>103.7</v>
      </c>
      <c r="O129" s="1024"/>
      <c r="P129" s="1024"/>
      <c r="Q129" s="1024"/>
      <c r="AT129" t="s">
        <v>306</v>
      </c>
      <c r="EH129" s="820">
        <v>2001</v>
      </c>
      <c r="EI129" s="1300">
        <v>6.0707268468539191</v>
      </c>
      <c r="EJ129" s="558">
        <v>5.0878645956391404</v>
      </c>
      <c r="EK129" s="477">
        <v>4.5425128855561141</v>
      </c>
      <c r="EL129" s="1301">
        <v>4.8512425842434741</v>
      </c>
    </row>
    <row r="130" spans="3:147" ht="17.399999999999999">
      <c r="C130" s="405">
        <v>1956</v>
      </c>
      <c r="D130" s="406" t="s">
        <v>226</v>
      </c>
      <c r="L130" s="1024"/>
      <c r="M130" s="1052">
        <v>1983</v>
      </c>
      <c r="N130" s="1024">
        <v>104.2</v>
      </c>
      <c r="O130" s="1024"/>
      <c r="P130" s="1024"/>
      <c r="Q130" s="1024"/>
      <c r="AT130" t="s">
        <v>306</v>
      </c>
      <c r="EH130" s="820">
        <v>2002</v>
      </c>
      <c r="EI130" s="1300">
        <v>6.9167509862711283</v>
      </c>
      <c r="EJ130" s="558">
        <v>6.5528675715584006</v>
      </c>
      <c r="EK130" s="477">
        <v>5.3920010224266788</v>
      </c>
      <c r="EL130" s="1301">
        <v>5.5837802144642392</v>
      </c>
    </row>
    <row r="131" spans="3:147" ht="17.399999999999999">
      <c r="C131" s="405">
        <v>1957</v>
      </c>
      <c r="D131" s="406" t="s">
        <v>227</v>
      </c>
      <c r="L131" s="1024"/>
      <c r="M131" s="1052">
        <v>1984</v>
      </c>
      <c r="N131" s="1024">
        <v>101.2</v>
      </c>
      <c r="O131" s="1024"/>
      <c r="P131" s="1024"/>
      <c r="Q131" s="1024"/>
      <c r="AT131" t="s">
        <v>303</v>
      </c>
      <c r="EH131" s="820">
        <v>2003</v>
      </c>
      <c r="EI131" s="1300">
        <v>7.6273689193439225</v>
      </c>
      <c r="EJ131" s="558">
        <v>7.7958923176158716</v>
      </c>
      <c r="EK131" s="477">
        <v>6.2907823578827413</v>
      </c>
      <c r="EL131" s="1301">
        <v>6.2538338401999489</v>
      </c>
    </row>
    <row r="132" spans="3:147" ht="17.399999999999999">
      <c r="C132" s="405">
        <v>1958</v>
      </c>
      <c r="D132" s="406" t="s">
        <v>228</v>
      </c>
      <c r="L132" s="1024"/>
      <c r="M132" s="1052">
        <v>1985</v>
      </c>
      <c r="N132" s="1024">
        <v>103.4</v>
      </c>
      <c r="O132" s="1024"/>
      <c r="P132" s="1024"/>
      <c r="Q132" s="1024"/>
      <c r="AT132" t="s">
        <v>307</v>
      </c>
      <c r="EH132" s="820">
        <v>2004</v>
      </c>
      <c r="EI132" s="1300">
        <v>8.7904133177964692</v>
      </c>
      <c r="EJ132" s="558">
        <v>9.32454487174126</v>
      </c>
      <c r="EK132" s="477">
        <v>7.2515171193372003</v>
      </c>
      <c r="EL132" s="1301">
        <v>6.9855323995033425</v>
      </c>
    </row>
    <row r="133" spans="3:147" ht="17.399999999999999">
      <c r="C133" s="405">
        <v>1959</v>
      </c>
      <c r="D133" s="406" t="s">
        <v>229</v>
      </c>
      <c r="L133" s="1024"/>
      <c r="M133" s="1052">
        <v>1986</v>
      </c>
      <c r="N133" s="1024">
        <v>109.2</v>
      </c>
      <c r="O133" s="1024"/>
      <c r="P133" s="1024"/>
      <c r="Q133" s="1024"/>
      <c r="AT133" t="s">
        <v>308</v>
      </c>
      <c r="EH133" s="820">
        <v>2005</v>
      </c>
      <c r="EI133" s="1300">
        <v>10.054085870175701</v>
      </c>
      <c r="EJ133" s="558">
        <v>11.601834838997735</v>
      </c>
      <c r="EK133" s="477">
        <v>8.2840198096695996</v>
      </c>
      <c r="EL133" s="1301">
        <v>7.7469554310492068</v>
      </c>
      <c r="EQ133" s="1509" t="s">
        <v>432</v>
      </c>
    </row>
    <row r="134" spans="3:147" ht="17.399999999999999">
      <c r="C134" s="405">
        <v>1960</v>
      </c>
      <c r="D134" s="406" t="s">
        <v>230</v>
      </c>
      <c r="L134" s="1024"/>
      <c r="M134" s="1052">
        <v>1987</v>
      </c>
      <c r="N134" s="1039">
        <v>106</v>
      </c>
      <c r="O134" s="1024"/>
      <c r="P134" s="1024"/>
      <c r="Q134" s="1024"/>
      <c r="AT134" t="s">
        <v>306</v>
      </c>
      <c r="EH134" s="820">
        <v>2006</v>
      </c>
      <c r="EI134" s="1300">
        <v>11.28478682823815</v>
      </c>
      <c r="EJ134" s="558">
        <v>14.558879763670303</v>
      </c>
      <c r="EK134" s="477">
        <v>9.3051882266263757</v>
      </c>
      <c r="EL134" s="1301">
        <v>8.4441814198436358</v>
      </c>
    </row>
    <row r="135" spans="3:147" ht="17.399999999999999">
      <c r="C135" s="405">
        <v>1961</v>
      </c>
      <c r="D135" s="406" t="s">
        <v>231</v>
      </c>
      <c r="L135" s="1024"/>
      <c r="M135" s="1052">
        <v>1988</v>
      </c>
      <c r="N135" s="1024">
        <v>107.7</v>
      </c>
      <c r="O135" s="1024"/>
      <c r="P135" s="1024"/>
      <c r="Q135" s="1024"/>
      <c r="AT135" t="s">
        <v>309</v>
      </c>
      <c r="EH135" s="820">
        <v>2007</v>
      </c>
      <c r="EI135" s="1300">
        <v>13.059083510568804</v>
      </c>
      <c r="EJ135" s="558">
        <v>17.418642331419541</v>
      </c>
      <c r="EK135" s="477">
        <v>9.9014369824413517</v>
      </c>
      <c r="EL135" s="1301">
        <v>9.4465057543790749</v>
      </c>
    </row>
    <row r="136" spans="3:147" ht="17.399999999999999">
      <c r="C136" s="405">
        <v>1962</v>
      </c>
      <c r="D136" s="406" t="s">
        <v>232</v>
      </c>
      <c r="L136" s="1024"/>
      <c r="M136" s="1052">
        <v>1989</v>
      </c>
      <c r="N136" s="1024">
        <v>104.1</v>
      </c>
      <c r="O136" s="1024"/>
      <c r="P136" s="1024"/>
      <c r="Q136" s="1024"/>
      <c r="AT136" t="s">
        <v>310</v>
      </c>
      <c r="EH136" s="820">
        <v>2008</v>
      </c>
      <c r="EI136" s="1300">
        <v>15.593657080025292</v>
      </c>
      <c r="EJ136" s="558">
        <v>21.558658204106848</v>
      </c>
      <c r="EK136" s="477">
        <v>11.241989200565998</v>
      </c>
      <c r="EL136" s="1301">
        <v>10.701001718560617</v>
      </c>
    </row>
    <row r="137" spans="3:147" ht="17.399999999999999">
      <c r="C137" s="405">
        <v>1963</v>
      </c>
      <c r="D137" s="407">
        <v>57</v>
      </c>
      <c r="L137" s="1024"/>
      <c r="M137" s="1052">
        <v>1990</v>
      </c>
      <c r="N137" s="1024">
        <v>100.1</v>
      </c>
      <c r="O137" s="1024">
        <f>N137/100</f>
        <v>1.0009999999999999</v>
      </c>
      <c r="P137" s="1024"/>
      <c r="Q137" s="1024"/>
      <c r="AT137" t="s">
        <v>311</v>
      </c>
      <c r="EH137" s="820">
        <v>2009</v>
      </c>
      <c r="EI137" s="1300">
        <v>16.373566297801105</v>
      </c>
      <c r="EJ137" s="558">
        <v>23.771830652990928</v>
      </c>
      <c r="EK137" s="477">
        <v>18.95753277718832</v>
      </c>
      <c r="EL137" s="1301">
        <v>11.642689869793951</v>
      </c>
    </row>
    <row r="138" spans="3:147" ht="17.399999999999999">
      <c r="C138" s="405">
        <v>1964</v>
      </c>
      <c r="D138" s="406" t="s">
        <v>233</v>
      </c>
      <c r="L138" s="1024"/>
      <c r="M138" s="1052">
        <v>1991</v>
      </c>
      <c r="N138" s="1024">
        <v>85.1</v>
      </c>
      <c r="O138" s="1024">
        <f t="shared" ref="O138:O158" si="42">N138/100</f>
        <v>0.85099999999999998</v>
      </c>
      <c r="P138" s="1024"/>
      <c r="Q138" s="1024"/>
      <c r="AT138" t="s">
        <v>312</v>
      </c>
      <c r="EH138" s="820">
        <v>2010</v>
      </c>
      <c r="EI138" s="1300">
        <v>17.674409856030426</v>
      </c>
      <c r="EJ138" s="558">
        <v>25.942740710668115</v>
      </c>
      <c r="EK138" s="477">
        <v>17.586669498719669</v>
      </c>
      <c r="EL138" s="1301">
        <v>12.664918040361862</v>
      </c>
    </row>
    <row r="139" spans="3:147" ht="17.399999999999999">
      <c r="C139" s="405">
        <v>1965</v>
      </c>
      <c r="D139" s="406" t="s">
        <v>234</v>
      </c>
      <c r="L139" s="1024"/>
      <c r="M139" s="1052">
        <v>1992</v>
      </c>
      <c r="N139" s="1024">
        <v>60.3</v>
      </c>
      <c r="O139" s="1024">
        <f t="shared" si="42"/>
        <v>0.60299999999999998</v>
      </c>
      <c r="P139" s="1024"/>
      <c r="Q139" s="1024"/>
      <c r="AT139" t="s">
        <v>313</v>
      </c>
      <c r="EH139" s="820">
        <v>2011</v>
      </c>
      <c r="EI139" s="1300">
        <v>19.234566440524752</v>
      </c>
      <c r="EJ139" s="558">
        <v>31.060937552257776</v>
      </c>
      <c r="EK139" s="477">
        <v>18.93017688035626</v>
      </c>
      <c r="EL139" s="1301">
        <v>13.437478040823935</v>
      </c>
    </row>
    <row r="140" spans="3:147" ht="17.399999999999999">
      <c r="C140" s="405">
        <v>1966</v>
      </c>
      <c r="D140" s="406" t="s">
        <v>235</v>
      </c>
      <c r="L140" s="1024"/>
      <c r="M140" s="1052">
        <v>1993</v>
      </c>
      <c r="N140" s="1024">
        <v>88.3</v>
      </c>
      <c r="O140" s="1024">
        <f t="shared" si="42"/>
        <v>0.88300000000000001</v>
      </c>
      <c r="P140" s="1024"/>
      <c r="Q140" s="1024"/>
      <c r="AT140" t="s">
        <v>314</v>
      </c>
      <c r="EH140" s="820">
        <v>2012</v>
      </c>
      <c r="EI140" s="1300">
        <v>20.540168341333807</v>
      </c>
      <c r="EJ140" s="558">
        <v>34.957056458668305</v>
      </c>
      <c r="EK140" s="477">
        <v>20.424067734337935</v>
      </c>
      <c r="EL140" s="1301">
        <v>14.324351591518315</v>
      </c>
    </row>
    <row r="141" spans="3:147" ht="17.399999999999999">
      <c r="C141" s="405">
        <v>1967</v>
      </c>
      <c r="D141" s="406" t="s">
        <v>236</v>
      </c>
      <c r="L141" s="1024"/>
      <c r="M141" s="1052">
        <v>1994</v>
      </c>
      <c r="N141" s="1024">
        <v>75.7</v>
      </c>
      <c r="O141" s="1024">
        <f t="shared" si="42"/>
        <v>0.75700000000000001</v>
      </c>
      <c r="P141" s="1024"/>
      <c r="Q141" s="1024"/>
      <c r="AT141" t="s">
        <v>315</v>
      </c>
      <c r="EH141" s="820">
        <v>2013</v>
      </c>
      <c r="EI141" s="1300">
        <v>21.776225011581559</v>
      </c>
      <c r="EJ141" s="558">
        <v>38.623860073036887</v>
      </c>
      <c r="EK141" s="477">
        <v>22.5418039159632</v>
      </c>
      <c r="EL141" s="1301">
        <v>15.255434444967005</v>
      </c>
    </row>
    <row r="142" spans="3:147" ht="17.399999999999999">
      <c r="C142" s="405">
        <v>1968</v>
      </c>
      <c r="D142" s="406" t="s">
        <v>237</v>
      </c>
      <c r="L142" s="1024"/>
      <c r="M142" s="1052">
        <v>1995</v>
      </c>
      <c r="N142" s="1024">
        <v>89.9</v>
      </c>
      <c r="O142" s="1024">
        <f t="shared" si="42"/>
        <v>0.89900000000000002</v>
      </c>
      <c r="P142" s="1024"/>
      <c r="Q142" s="1024"/>
      <c r="AT142" t="s">
        <v>316</v>
      </c>
      <c r="EH142" s="820">
        <v>2014</v>
      </c>
      <c r="EI142" s="1300">
        <v>22.851453644141124</v>
      </c>
      <c r="EJ142" s="558">
        <v>41.359480650247228</v>
      </c>
      <c r="EK142" s="477">
        <v>28.907748778568493</v>
      </c>
      <c r="EL142" s="1301">
        <v>16.994553971693247</v>
      </c>
    </row>
    <row r="143" spans="3:147" ht="17.399999999999999">
      <c r="C143" s="405">
        <v>1969</v>
      </c>
      <c r="D143" s="406" t="s">
        <v>238</v>
      </c>
      <c r="L143" s="1024"/>
      <c r="M143" s="1052">
        <v>1996</v>
      </c>
      <c r="N143" s="1024">
        <v>81.900000000000006</v>
      </c>
      <c r="O143" s="1024">
        <f t="shared" si="42"/>
        <v>0.81900000000000006</v>
      </c>
      <c r="P143" s="1024"/>
      <c r="Q143" s="1024"/>
      <c r="AT143" t="s">
        <v>306</v>
      </c>
      <c r="EH143" s="820">
        <v>2015</v>
      </c>
      <c r="EI143" s="1019">
        <v>25.408791247612854</v>
      </c>
      <c r="EJ143" s="1035">
        <v>43.694791213624008</v>
      </c>
      <c r="EK143" s="477">
        <v>52.394499397741498</v>
      </c>
      <c r="EL143" s="1301">
        <v>19.186851434041674</v>
      </c>
    </row>
    <row r="144" spans="3:147" ht="17.399999999999999">
      <c r="C144" s="405">
        <v>1970</v>
      </c>
      <c r="D144" s="406" t="s">
        <v>239</v>
      </c>
      <c r="L144" s="1024"/>
      <c r="M144" s="1052">
        <v>1997</v>
      </c>
      <c r="N144" s="1039">
        <v>95</v>
      </c>
      <c r="O144" s="1024">
        <f t="shared" si="42"/>
        <v>0.95</v>
      </c>
      <c r="P144" s="1024"/>
      <c r="Q144" s="1024"/>
      <c r="AT144" t="s">
        <v>317</v>
      </c>
      <c r="EH144" s="820">
        <v>2016</v>
      </c>
      <c r="EI144" s="1019">
        <v>27.210700956508322</v>
      </c>
      <c r="EJ144" s="1035">
        <v>46.950247197108823</v>
      </c>
      <c r="EK144" s="477">
        <v>56.364862373140149</v>
      </c>
      <c r="EL144" s="1301">
        <v>20.222941411479926</v>
      </c>
    </row>
    <row r="145" spans="3:142" ht="17.399999999999999">
      <c r="C145" s="405">
        <v>1971</v>
      </c>
      <c r="D145" s="406" t="s">
        <v>240</v>
      </c>
      <c r="L145" s="1024"/>
      <c r="M145" s="1052">
        <v>1998</v>
      </c>
      <c r="N145" s="1039">
        <v>88</v>
      </c>
      <c r="O145" s="1024">
        <f t="shared" si="42"/>
        <v>0.88</v>
      </c>
      <c r="P145" s="1024"/>
      <c r="Q145" s="1024"/>
      <c r="AT145" t="s">
        <v>318</v>
      </c>
      <c r="EH145" s="820">
        <v>2017</v>
      </c>
      <c r="EI145" s="780"/>
      <c r="EJ145" s="1035"/>
      <c r="EK145" s="364"/>
      <c r="EL145" s="1302"/>
    </row>
    <row r="146" spans="3:142" ht="17.399999999999999">
      <c r="C146" s="405">
        <v>1972</v>
      </c>
      <c r="D146" s="406" t="s">
        <v>241</v>
      </c>
      <c r="L146" s="1024"/>
      <c r="M146" s="1052">
        <v>1999</v>
      </c>
      <c r="N146" s="1024">
        <v>105.3</v>
      </c>
      <c r="O146" s="1024">
        <f t="shared" si="42"/>
        <v>1.0529999999999999</v>
      </c>
      <c r="P146" s="1024"/>
      <c r="Q146" s="1024"/>
      <c r="AT146" t="s">
        <v>319</v>
      </c>
      <c r="EH146" s="820">
        <v>2018</v>
      </c>
      <c r="EI146" s="780"/>
      <c r="EJ146" s="1035"/>
      <c r="EK146" s="364"/>
      <c r="EL146" s="1302"/>
    </row>
    <row r="147" spans="3:142" ht="17.399999999999999">
      <c r="C147" s="405">
        <v>1973</v>
      </c>
      <c r="D147" s="406" t="s">
        <v>242</v>
      </c>
      <c r="L147" s="1024"/>
      <c r="M147" s="1052">
        <v>2000</v>
      </c>
      <c r="N147" s="1024">
        <v>117.4</v>
      </c>
      <c r="O147" s="1024">
        <f t="shared" si="42"/>
        <v>1.1740000000000002</v>
      </c>
      <c r="P147" s="1024"/>
      <c r="Q147" s="1024"/>
      <c r="AT147" t="s">
        <v>320</v>
      </c>
      <c r="EH147" s="820">
        <v>2019</v>
      </c>
      <c r="EI147" s="780"/>
      <c r="EJ147" s="1058"/>
      <c r="EK147" s="364"/>
      <c r="EL147" s="1302"/>
    </row>
    <row r="148" spans="3:142" ht="17.399999999999999">
      <c r="C148" s="405">
        <v>1974</v>
      </c>
      <c r="D148" s="406" t="s">
        <v>243</v>
      </c>
      <c r="L148" s="1024"/>
      <c r="M148" s="1052">
        <v>2001</v>
      </c>
      <c r="N148" s="1039">
        <v>110</v>
      </c>
      <c r="O148" s="1024">
        <f t="shared" si="42"/>
        <v>1.1000000000000001</v>
      </c>
      <c r="P148" s="1024"/>
      <c r="Q148" s="1024"/>
      <c r="AT148" t="s">
        <v>321</v>
      </c>
      <c r="EH148" s="820">
        <v>2020</v>
      </c>
      <c r="EI148" s="780"/>
      <c r="EJ148" s="1058"/>
      <c r="EK148" s="364"/>
      <c r="EL148" s="1302"/>
    </row>
    <row r="149" spans="3:142" ht="17.399999999999999">
      <c r="C149" s="405">
        <v>1975</v>
      </c>
      <c r="D149" s="406" t="s">
        <v>244</v>
      </c>
      <c r="L149" s="1024"/>
      <c r="M149" s="1052">
        <v>2002</v>
      </c>
      <c r="N149" s="1024">
        <v>102.8</v>
      </c>
      <c r="O149" s="1024">
        <f t="shared" si="42"/>
        <v>1.028</v>
      </c>
      <c r="P149" s="1024"/>
      <c r="Q149" s="1024"/>
      <c r="AT149" t="s">
        <v>322</v>
      </c>
      <c r="EH149" s="820">
        <v>2021</v>
      </c>
      <c r="EI149" s="780"/>
      <c r="EJ149" s="1058"/>
      <c r="EK149" s="364"/>
      <c r="EL149" s="1302"/>
    </row>
    <row r="150" spans="3:142" ht="17.399999999999999">
      <c r="C150" s="405">
        <v>1976</v>
      </c>
      <c r="D150" s="406" t="s">
        <v>245</v>
      </c>
      <c r="L150" s="1024"/>
      <c r="M150" s="1052">
        <v>2003</v>
      </c>
      <c r="N150" s="1024">
        <v>112.5</v>
      </c>
      <c r="O150" s="1024">
        <f t="shared" si="42"/>
        <v>1.125</v>
      </c>
      <c r="P150" s="1024"/>
      <c r="Q150" s="1024"/>
      <c r="AT150" t="s">
        <v>323</v>
      </c>
      <c r="EH150" s="820">
        <v>2022</v>
      </c>
      <c r="EI150" s="780"/>
      <c r="EJ150" s="1058"/>
      <c r="EK150" s="364"/>
      <c r="EL150" s="1302"/>
    </row>
    <row r="151" spans="3:142" ht="17.399999999999999">
      <c r="C151" s="405">
        <v>1977</v>
      </c>
      <c r="D151" s="407">
        <v>148</v>
      </c>
      <c r="L151" s="1024"/>
      <c r="M151" s="1052">
        <v>2004</v>
      </c>
      <c r="N151" s="1024">
        <v>113.7</v>
      </c>
      <c r="O151" s="1024">
        <f t="shared" si="42"/>
        <v>1.137</v>
      </c>
      <c r="P151" s="1024"/>
      <c r="Q151" s="1024"/>
      <c r="AT151" t="s">
        <v>324</v>
      </c>
      <c r="EH151" s="820">
        <v>2023</v>
      </c>
      <c r="EI151" s="780"/>
      <c r="EJ151" s="1058"/>
      <c r="EK151" s="364"/>
      <c r="EL151" s="1302"/>
    </row>
    <row r="152" spans="3:142" ht="17.399999999999999">
      <c r="C152" s="405">
        <v>1978</v>
      </c>
      <c r="D152" s="407">
        <v>157</v>
      </c>
      <c r="L152" s="1024"/>
      <c r="M152" s="1052">
        <v>2005</v>
      </c>
      <c r="N152" s="1024">
        <v>110.9</v>
      </c>
      <c r="O152" s="1024">
        <f t="shared" si="42"/>
        <v>1.109</v>
      </c>
      <c r="P152" s="1024"/>
      <c r="Q152" s="1024"/>
      <c r="AT152" t="s">
        <v>325</v>
      </c>
      <c r="EH152" s="820">
        <v>2024</v>
      </c>
      <c r="EI152" s="780"/>
      <c r="EJ152" s="1058"/>
      <c r="EK152" s="364"/>
      <c r="EL152" s="1302"/>
    </row>
    <row r="153" spans="3:142" ht="17.399999999999999">
      <c r="C153" s="405">
        <v>1979</v>
      </c>
      <c r="D153" s="406" t="s">
        <v>246</v>
      </c>
      <c r="L153" s="1024"/>
      <c r="M153" s="1052">
        <v>2006</v>
      </c>
      <c r="N153" s="1024">
        <v>116.7</v>
      </c>
      <c r="O153" s="1024">
        <f t="shared" si="42"/>
        <v>1.167</v>
      </c>
      <c r="P153" s="1024"/>
      <c r="Q153" s="1024"/>
      <c r="EH153" s="820">
        <v>2025</v>
      </c>
      <c r="EI153" s="780"/>
      <c r="EJ153" s="1058"/>
      <c r="EK153" s="364"/>
      <c r="EL153" s="1302"/>
    </row>
    <row r="154" spans="3:142" ht="17.399999999999999">
      <c r="C154" s="405">
        <v>1980</v>
      </c>
      <c r="D154" s="406" t="s">
        <v>247</v>
      </c>
      <c r="L154" s="1024"/>
      <c r="M154" s="1052">
        <v>2007</v>
      </c>
      <c r="N154" s="1024">
        <v>122.7</v>
      </c>
      <c r="O154" s="1024">
        <f t="shared" si="42"/>
        <v>1.2270000000000001</v>
      </c>
      <c r="P154" s="1024"/>
      <c r="Q154" s="1024"/>
      <c r="EH154" s="820">
        <v>2026</v>
      </c>
      <c r="EI154" s="780"/>
      <c r="EJ154" s="1058"/>
      <c r="EK154" s="364"/>
      <c r="EL154" s="1302"/>
    </row>
    <row r="155" spans="3:142" ht="17.399999999999999">
      <c r="C155" s="405">
        <v>1981</v>
      </c>
      <c r="D155" s="406" t="s">
        <v>248</v>
      </c>
      <c r="L155" s="1024"/>
      <c r="M155" s="1052">
        <v>2008</v>
      </c>
      <c r="N155" s="1024">
        <v>109.9</v>
      </c>
      <c r="O155" s="1024">
        <f t="shared" si="42"/>
        <v>1.099</v>
      </c>
      <c r="P155" s="1024"/>
      <c r="Q155" s="1024"/>
      <c r="EH155" s="820">
        <v>2027</v>
      </c>
      <c r="EI155" s="780"/>
      <c r="EJ155" s="1058"/>
      <c r="EK155" s="364"/>
      <c r="EL155" s="1302"/>
    </row>
    <row r="156" spans="3:142" ht="17.399999999999999">
      <c r="C156" s="405">
        <v>1982</v>
      </c>
      <c r="D156" s="406" t="s">
        <v>249</v>
      </c>
      <c r="L156" s="1024"/>
      <c r="M156" s="1052">
        <v>2009</v>
      </c>
      <c r="N156" s="1024">
        <v>84.3</v>
      </c>
      <c r="O156" s="1024">
        <f t="shared" si="42"/>
        <v>0.84299999999999997</v>
      </c>
      <c r="P156" s="1024"/>
      <c r="Q156" s="1024"/>
      <c r="EH156" s="820">
        <v>2028</v>
      </c>
      <c r="EI156" s="780"/>
      <c r="EJ156" s="1058"/>
      <c r="EK156" s="364"/>
      <c r="EL156" s="1302"/>
    </row>
    <row r="157" spans="3:142" ht="17.399999999999999">
      <c r="C157" s="405">
        <v>1983</v>
      </c>
      <c r="D157" s="406" t="s">
        <v>250</v>
      </c>
      <c r="L157" s="1024"/>
      <c r="M157" s="1052">
        <v>2010</v>
      </c>
      <c r="N157" s="1039">
        <v>106</v>
      </c>
      <c r="O157" s="1024">
        <f t="shared" si="42"/>
        <v>1.06</v>
      </c>
      <c r="P157" s="1024"/>
      <c r="Q157" s="1024"/>
      <c r="EH157" s="820">
        <v>2029</v>
      </c>
      <c r="EI157" s="780"/>
      <c r="EJ157" s="1058"/>
      <c r="EK157" s="364"/>
      <c r="EL157" s="1302"/>
    </row>
    <row r="158" spans="3:142" ht="17.399999999999999">
      <c r="C158" s="405">
        <v>1984</v>
      </c>
      <c r="D158" s="406" t="s">
        <v>251</v>
      </c>
      <c r="L158" s="1024"/>
      <c r="M158" s="1052">
        <v>2011</v>
      </c>
      <c r="N158" s="1024">
        <v>108.3</v>
      </c>
      <c r="O158" s="1024">
        <f t="shared" si="42"/>
        <v>1.083</v>
      </c>
      <c r="P158" s="1024"/>
      <c r="Q158" s="1024"/>
      <c r="EH158" s="853">
        <v>2030</v>
      </c>
      <c r="EI158" s="781"/>
      <c r="EJ158" s="1303"/>
      <c r="EK158" s="1103"/>
      <c r="EL158" s="1103"/>
    </row>
    <row r="159" spans="3:142" ht="15">
      <c r="C159" s="405">
        <v>1985</v>
      </c>
      <c r="D159" s="407">
        <v>192</v>
      </c>
      <c r="L159" s="1024"/>
      <c r="M159" s="1024"/>
      <c r="N159" s="1024"/>
      <c r="O159" s="1024"/>
      <c r="P159" s="1024"/>
      <c r="Q159" s="1024"/>
    </row>
    <row r="160" spans="3:142" ht="15">
      <c r="C160" s="405">
        <v>1986</v>
      </c>
      <c r="D160" s="406" t="s">
        <v>252</v>
      </c>
      <c r="L160" s="1024"/>
      <c r="M160" s="1024"/>
      <c r="N160" s="1024"/>
      <c r="O160" s="1024"/>
      <c r="P160" s="1024"/>
      <c r="Q160" s="1024"/>
    </row>
    <row r="161" spans="3:46" ht="15.6">
      <c r="C161" s="405">
        <v>1987</v>
      </c>
      <c r="D161" s="406" t="s">
        <v>253</v>
      </c>
      <c r="L161" s="1024"/>
      <c r="M161" s="1024"/>
      <c r="N161" s="1024"/>
      <c r="O161" s="1024"/>
      <c r="P161" s="1024"/>
      <c r="Q161" s="1024"/>
      <c r="S161" s="399" t="s">
        <v>190</v>
      </c>
    </row>
    <row r="162" spans="3:46" ht="15.6">
      <c r="C162" s="405">
        <v>1988</v>
      </c>
      <c r="D162" s="406" t="s">
        <v>254</v>
      </c>
      <c r="H162" t="s">
        <v>255</v>
      </c>
      <c r="I162" t="s">
        <v>256</v>
      </c>
      <c r="J162" t="s">
        <v>256</v>
      </c>
      <c r="S162" s="408" t="s">
        <v>257</v>
      </c>
    </row>
    <row r="163" spans="3:46" ht="15.6">
      <c r="C163" s="405">
        <v>1989</v>
      </c>
      <c r="D163" s="406" t="s">
        <v>258</v>
      </c>
      <c r="G163" s="409" t="s">
        <v>259</v>
      </c>
      <c r="H163" s="410" t="s">
        <v>260</v>
      </c>
      <c r="O163" s="402"/>
      <c r="P163" s="402"/>
      <c r="Q163" s="408"/>
      <c r="R163" s="402" t="s">
        <v>261</v>
      </c>
      <c r="S163" s="402">
        <f>(N182-N180)/(P182-P180)</f>
        <v>0.45150980850282618</v>
      </c>
    </row>
    <row r="164" spans="3:46" ht="15.6">
      <c r="C164" s="405">
        <v>1990</v>
      </c>
      <c r="D164" s="406" t="s">
        <v>262</v>
      </c>
      <c r="F164" s="411">
        <v>1990</v>
      </c>
      <c r="G164" s="412" t="s">
        <v>262</v>
      </c>
      <c r="H164" s="30">
        <f>G164/1000</f>
        <v>0.24909999999999999</v>
      </c>
      <c r="I164">
        <f>J164/100</f>
        <v>1.0009999999999999</v>
      </c>
      <c r="J164">
        <v>100.1</v>
      </c>
      <c r="O164" s="402"/>
      <c r="P164" s="402"/>
      <c r="Q164" s="408"/>
      <c r="R164" s="402" t="s">
        <v>263</v>
      </c>
      <c r="S164">
        <f>N182-S163*P182</f>
        <v>-599.1284624997113</v>
      </c>
    </row>
    <row r="165" spans="3:46" ht="15.6">
      <c r="C165" s="405">
        <v>1991</v>
      </c>
      <c r="D165" s="406" t="s">
        <v>264</v>
      </c>
      <c r="F165" s="411">
        <v>1991</v>
      </c>
      <c r="G165" s="412" t="s">
        <v>264</v>
      </c>
      <c r="H165" s="30">
        <f t="shared" ref="H165:H185" si="43">G165/1000</f>
        <v>0.21049999999999999</v>
      </c>
      <c r="I165">
        <f t="shared" ref="I165:I185" si="44">J165/100</f>
        <v>0.85099999999999998</v>
      </c>
      <c r="J165">
        <v>85.1</v>
      </c>
      <c r="R165" s="399" t="s">
        <v>195</v>
      </c>
      <c r="S165" s="399" t="s">
        <v>194</v>
      </c>
    </row>
    <row r="166" spans="3:46" ht="15.6">
      <c r="C166" s="405">
        <v>1992</v>
      </c>
      <c r="D166" s="406" t="s">
        <v>265</v>
      </c>
      <c r="F166" s="411">
        <v>1992</v>
      </c>
      <c r="G166" s="412" t="s">
        <v>265</v>
      </c>
      <c r="H166" s="30">
        <f t="shared" si="43"/>
        <v>2.6701999999999999</v>
      </c>
      <c r="I166">
        <f t="shared" si="44"/>
        <v>0.60299999999999998</v>
      </c>
      <c r="J166">
        <v>60.3</v>
      </c>
      <c r="R166" s="413">
        <f t="shared" ref="R166:R172" si="45">S$51*S166+S$52</f>
        <v>4896511.582912595</v>
      </c>
      <c r="S166" s="359">
        <v>2000</v>
      </c>
      <c r="AS166" t="s">
        <v>660</v>
      </c>
      <c r="AT166" t="s">
        <v>747</v>
      </c>
    </row>
    <row r="167" spans="3:46" ht="15.6">
      <c r="C167" s="405">
        <v>1993</v>
      </c>
      <c r="D167" s="406" t="s">
        <v>266</v>
      </c>
      <c r="F167" s="411">
        <v>1993</v>
      </c>
      <c r="G167" s="412" t="s">
        <v>266</v>
      </c>
      <c r="H167" s="30">
        <f t="shared" si="43"/>
        <v>27.124500000000001</v>
      </c>
      <c r="I167">
        <f t="shared" si="44"/>
        <v>0.88300000000000001</v>
      </c>
      <c r="J167">
        <v>88.3</v>
      </c>
      <c r="L167" t="s">
        <v>695</v>
      </c>
      <c r="M167" s="118" t="s">
        <v>255</v>
      </c>
      <c r="N167" s="118" t="s">
        <v>267</v>
      </c>
      <c r="O167" s="344" t="s">
        <v>268</v>
      </c>
      <c r="P167" s="118" t="s">
        <v>184</v>
      </c>
      <c r="R167" s="413">
        <f t="shared" si="45"/>
        <v>5508253.7543944698</v>
      </c>
      <c r="S167" s="359">
        <f t="shared" ref="S167:S172" si="46">S166+250</f>
        <v>2250</v>
      </c>
      <c r="AS167" s="399" t="s">
        <v>270</v>
      </c>
      <c r="AT167" s="399" t="s">
        <v>269</v>
      </c>
    </row>
    <row r="168" spans="3:46" ht="15.6">
      <c r="C168" s="405">
        <v>1994</v>
      </c>
      <c r="D168" s="406" t="s">
        <v>271</v>
      </c>
      <c r="F168" s="411">
        <v>1994</v>
      </c>
      <c r="G168" s="412" t="s">
        <v>271</v>
      </c>
      <c r="H168" s="30">
        <f t="shared" si="43"/>
        <v>108.8099</v>
      </c>
      <c r="I168">
        <f t="shared" si="44"/>
        <v>0.75700000000000001</v>
      </c>
      <c r="J168">
        <v>75.7</v>
      </c>
      <c r="L168" s="342">
        <v>41090</v>
      </c>
      <c r="M168" s="396" t="s">
        <v>46</v>
      </c>
      <c r="N168" s="396" t="s">
        <v>46</v>
      </c>
      <c r="O168" s="414" t="s">
        <v>693</v>
      </c>
      <c r="P168" s="415" t="s">
        <v>46</v>
      </c>
      <c r="R168" s="413">
        <f t="shared" si="45"/>
        <v>6119995.9258763446</v>
      </c>
      <c r="S168" s="359">
        <f t="shared" si="46"/>
        <v>2500</v>
      </c>
      <c r="AR168" s="397">
        <v>2006</v>
      </c>
      <c r="AS168" s="480">
        <f t="shared" ref="AS168:AS174" si="47">N180</f>
        <v>419.14836956990854</v>
      </c>
      <c r="AT168" s="416">
        <f t="shared" ref="AT168:AT174" si="48">P180</f>
        <v>2255.270678274193</v>
      </c>
    </row>
    <row r="169" spans="3:46" ht="15.6">
      <c r="C169" s="405">
        <v>1995</v>
      </c>
      <c r="D169" s="406" t="s">
        <v>272</v>
      </c>
      <c r="F169" s="411">
        <v>1995</v>
      </c>
      <c r="G169" s="412" t="s">
        <v>272</v>
      </c>
      <c r="H169" s="30">
        <f t="shared" si="43"/>
        <v>266.97359999999998</v>
      </c>
      <c r="I169">
        <f t="shared" si="44"/>
        <v>0.89900000000000002</v>
      </c>
      <c r="J169">
        <v>89.9</v>
      </c>
      <c r="L169" s="397">
        <v>1995</v>
      </c>
      <c r="M169" s="78">
        <v>266.97359999999998</v>
      </c>
      <c r="N169" s="79">
        <f t="array" ref="N169:N188">TRANSPOSE(ОТЧЁТ!U195:AN195)</f>
        <v>266.97399999999999</v>
      </c>
      <c r="O169">
        <v>0.89900000000000002</v>
      </c>
      <c r="P169" s="416">
        <f t="array" ref="P169:P188">TRANSPOSE(ОТЧЁТ!U199:AN199)</f>
        <v>1428.5209</v>
      </c>
      <c r="R169" s="413">
        <f t="shared" si="45"/>
        <v>6731738.0973582193</v>
      </c>
      <c r="S169" s="359">
        <f t="shared" si="46"/>
        <v>2750</v>
      </c>
      <c r="AR169" s="398">
        <v>2007</v>
      </c>
      <c r="AS169" s="479">
        <f t="shared" si="47"/>
        <v>514.2950494622778</v>
      </c>
      <c r="AT169" s="418">
        <f t="shared" si="48"/>
        <v>2446.9686859274993</v>
      </c>
    </row>
    <row r="170" spans="3:46" ht="15.6">
      <c r="C170" s="405">
        <v>1996</v>
      </c>
      <c r="D170" s="406" t="s">
        <v>273</v>
      </c>
      <c r="F170" s="411">
        <v>1996</v>
      </c>
      <c r="G170" s="412" t="s">
        <v>273</v>
      </c>
      <c r="H170" s="30">
        <f t="shared" si="43"/>
        <v>375.9581</v>
      </c>
      <c r="I170">
        <f t="shared" si="44"/>
        <v>0.81900000000000006</v>
      </c>
      <c r="J170">
        <v>81.900000000000006</v>
      </c>
      <c r="L170" s="398">
        <v>1996</v>
      </c>
      <c r="M170" s="417">
        <v>375.9581</v>
      </c>
      <c r="N170" s="72">
        <v>218.65170599999999</v>
      </c>
      <c r="O170">
        <v>0.81900000000000006</v>
      </c>
      <c r="P170" s="418">
        <v>1377.0941476</v>
      </c>
      <c r="R170" s="413">
        <f t="shared" si="45"/>
        <v>7343480.2688400941</v>
      </c>
      <c r="S170" s="359">
        <f t="shared" si="46"/>
        <v>3000</v>
      </c>
      <c r="AR170" s="398">
        <v>2008</v>
      </c>
      <c r="AS170" s="479">
        <f t="shared" si="47"/>
        <v>563.15307916119423</v>
      </c>
      <c r="AT170" s="418">
        <f t="shared" si="48"/>
        <v>2574.2110575957295</v>
      </c>
    </row>
    <row r="171" spans="3:46" ht="15.6">
      <c r="C171" s="405">
        <v>1997</v>
      </c>
      <c r="D171" s="406" t="s">
        <v>274</v>
      </c>
      <c r="F171" s="411">
        <v>1997</v>
      </c>
      <c r="G171" s="412" t="s">
        <v>274</v>
      </c>
      <c r="H171" s="30">
        <f t="shared" si="43"/>
        <v>408.79730000000001</v>
      </c>
      <c r="I171" s="35">
        <f t="shared" si="44"/>
        <v>0.95</v>
      </c>
      <c r="J171">
        <v>95</v>
      </c>
      <c r="L171" s="398">
        <v>1997</v>
      </c>
      <c r="M171" s="417">
        <v>408.79730000000001</v>
      </c>
      <c r="N171" s="72">
        <v>207.71912069999999</v>
      </c>
      <c r="O171" s="35">
        <v>0.95</v>
      </c>
      <c r="P171" s="418">
        <v>1396.3734656664001</v>
      </c>
      <c r="R171" s="413">
        <f t="shared" si="45"/>
        <v>7955222.4403219689</v>
      </c>
      <c r="S171" s="359">
        <f t="shared" si="46"/>
        <v>3250</v>
      </c>
      <c r="AR171" s="398">
        <v>2009</v>
      </c>
      <c r="AS171" s="479">
        <f t="shared" si="47"/>
        <v>487.12741347443301</v>
      </c>
      <c r="AT171" s="418">
        <f t="shared" si="48"/>
        <v>2370.848384045667</v>
      </c>
    </row>
    <row r="172" spans="3:46" ht="15.6">
      <c r="C172" s="405">
        <v>1998</v>
      </c>
      <c r="D172" s="406" t="s">
        <v>275</v>
      </c>
      <c r="F172" s="411">
        <v>1998</v>
      </c>
      <c r="G172" s="412" t="s">
        <v>275</v>
      </c>
      <c r="H172" s="30">
        <f t="shared" si="43"/>
        <v>407.08629999999999</v>
      </c>
      <c r="I172" s="35">
        <f t="shared" si="44"/>
        <v>0.88</v>
      </c>
      <c r="J172">
        <v>88</v>
      </c>
      <c r="L172" s="398">
        <v>1998</v>
      </c>
      <c r="M172" s="417">
        <v>407.08629999999999</v>
      </c>
      <c r="N172" s="72">
        <v>182.79282621599998</v>
      </c>
      <c r="O172" s="35">
        <v>0.88</v>
      </c>
      <c r="P172" s="418">
        <v>1322.3656719860808</v>
      </c>
      <c r="R172" s="413">
        <f t="shared" si="45"/>
        <v>8566964.6118038427</v>
      </c>
      <c r="S172" s="359">
        <f t="shared" si="46"/>
        <v>3500</v>
      </c>
      <c r="AR172" s="398">
        <v>2010</v>
      </c>
      <c r="AS172" s="479">
        <f t="shared" si="47"/>
        <v>517.81644052332229</v>
      </c>
      <c r="AT172" s="418">
        <f t="shared" si="48"/>
        <v>2477.5365613277218</v>
      </c>
    </row>
    <row r="173" spans="3:46" ht="15">
      <c r="C173" s="405">
        <v>1999</v>
      </c>
      <c r="D173" s="406" t="s">
        <v>276</v>
      </c>
      <c r="F173" s="411">
        <v>1999</v>
      </c>
      <c r="G173" s="412" t="s">
        <v>276</v>
      </c>
      <c r="H173" s="30">
        <f t="shared" si="43"/>
        <v>670.43880000000001</v>
      </c>
      <c r="I173">
        <f t="shared" si="44"/>
        <v>1.0529999999999999</v>
      </c>
      <c r="J173">
        <v>105.3</v>
      </c>
      <c r="L173" s="398">
        <v>1999</v>
      </c>
      <c r="M173" s="417">
        <v>670.43880000000001</v>
      </c>
      <c r="N173" s="72">
        <v>191.9324675268</v>
      </c>
      <c r="O173">
        <v>1.0529999999999999</v>
      </c>
      <c r="P173" s="418">
        <v>1406.9970749931899</v>
      </c>
      <c r="AR173" s="398">
        <v>2011</v>
      </c>
      <c r="AS173" s="479">
        <f t="shared" si="47"/>
        <v>573.74061609984119</v>
      </c>
      <c r="AT173" s="418">
        <f t="shared" si="48"/>
        <v>2584.0706334648135</v>
      </c>
    </row>
    <row r="174" spans="3:46" ht="18">
      <c r="C174" s="405">
        <v>2000</v>
      </c>
      <c r="D174" s="406" t="s">
        <v>277</v>
      </c>
      <c r="F174" s="411">
        <v>2000</v>
      </c>
      <c r="G174" s="412" t="s">
        <v>277</v>
      </c>
      <c r="H174" s="30">
        <f t="shared" si="43"/>
        <v>1165.2341999999999</v>
      </c>
      <c r="I174">
        <f t="shared" si="44"/>
        <v>1.1740000000000002</v>
      </c>
      <c r="J174">
        <v>117.4</v>
      </c>
      <c r="L174" s="398">
        <v>2000</v>
      </c>
      <c r="M174" s="417">
        <v>1165.2341999999999</v>
      </c>
      <c r="N174" s="72">
        <v>225.32871687646318</v>
      </c>
      <c r="O174">
        <v>1.1740000000000002</v>
      </c>
      <c r="P174" s="418">
        <v>1547.6967824925091</v>
      </c>
      <c r="Q174" s="400"/>
      <c r="R174" s="400"/>
      <c r="S174" s="399" t="s">
        <v>196</v>
      </c>
      <c r="AR174" s="184">
        <v>2012</v>
      </c>
      <c r="AS174" s="481">
        <f t="shared" si="47"/>
        <v>612.75497799463039</v>
      </c>
      <c r="AT174" s="482">
        <f t="shared" si="48"/>
        <v>2678.541712402734</v>
      </c>
    </row>
    <row r="175" spans="3:46" ht="15.6">
      <c r="C175" s="405">
        <v>2001</v>
      </c>
      <c r="D175" s="406" t="s">
        <v>278</v>
      </c>
      <c r="F175" s="411">
        <v>2001</v>
      </c>
      <c r="G175" s="412" t="s">
        <v>278</v>
      </c>
      <c r="H175" s="30">
        <f t="shared" si="43"/>
        <v>1504.7121000000002</v>
      </c>
      <c r="I175" s="35">
        <f t="shared" si="44"/>
        <v>1.1000000000000001</v>
      </c>
      <c r="J175">
        <v>110</v>
      </c>
      <c r="L175" s="398">
        <v>2001</v>
      </c>
      <c r="M175" s="417">
        <v>1504.7121000000002</v>
      </c>
      <c r="N175" s="72">
        <v>247.86158856410952</v>
      </c>
      <c r="O175" s="35">
        <v>1.1000000000000001</v>
      </c>
      <c r="P175" s="418">
        <v>1626.629318399627</v>
      </c>
      <c r="S175" s="408" t="s">
        <v>257</v>
      </c>
      <c r="AQ175" s="479"/>
    </row>
    <row r="176" spans="3:46" ht="15.6">
      <c r="C176" s="405">
        <v>2002</v>
      </c>
      <c r="D176" s="406" t="s">
        <v>279</v>
      </c>
      <c r="F176" s="411">
        <v>2002</v>
      </c>
      <c r="G176" s="412" t="s">
        <v>279</v>
      </c>
      <c r="H176" s="30">
        <f t="shared" si="43"/>
        <v>1762.4073000000001</v>
      </c>
      <c r="I176">
        <f t="shared" si="44"/>
        <v>1.028</v>
      </c>
      <c r="J176">
        <v>102.8</v>
      </c>
      <c r="L176" s="398">
        <v>2002</v>
      </c>
      <c r="M176" s="417">
        <v>1762.4073000000001</v>
      </c>
      <c r="N176" s="72">
        <v>254.80171304390458</v>
      </c>
      <c r="O176">
        <v>1.028</v>
      </c>
      <c r="P176" s="418">
        <v>1703.0808963644092</v>
      </c>
      <c r="R176" s="402" t="s">
        <v>261</v>
      </c>
      <c r="S176" s="402">
        <f>(N185-N183)/(P185-P183)</f>
        <v>0.40621090369957741</v>
      </c>
    </row>
    <row r="177" spans="3:19" ht="15.6">
      <c r="C177" s="405">
        <v>2003</v>
      </c>
      <c r="D177" s="406" t="s">
        <v>280</v>
      </c>
      <c r="F177" s="411">
        <v>2003</v>
      </c>
      <c r="G177" s="412" t="s">
        <v>280</v>
      </c>
      <c r="H177" s="30">
        <f t="shared" si="43"/>
        <v>2186.3652000000002</v>
      </c>
      <c r="I177">
        <f t="shared" si="44"/>
        <v>1.125</v>
      </c>
      <c r="J177">
        <v>112.5</v>
      </c>
      <c r="L177" s="398">
        <v>2003</v>
      </c>
      <c r="M177" s="417">
        <v>2186.3652000000002</v>
      </c>
      <c r="N177" s="72">
        <v>286.65192717439265</v>
      </c>
      <c r="O177">
        <v>1.125</v>
      </c>
      <c r="P177" s="418">
        <v>1827.405801799011</v>
      </c>
      <c r="R177" s="402" t="s">
        <v>263</v>
      </c>
      <c r="S177">
        <f>N185-S176*P185</f>
        <v>-475.93705114344016</v>
      </c>
    </row>
    <row r="178" spans="3:19" ht="15.6">
      <c r="C178" s="405">
        <v>2004</v>
      </c>
      <c r="D178" s="406" t="s">
        <v>281</v>
      </c>
      <c r="F178" s="411">
        <v>2004</v>
      </c>
      <c r="G178" s="412" t="s">
        <v>281</v>
      </c>
      <c r="H178" s="30">
        <f t="shared" si="43"/>
        <v>2865.0138999999999</v>
      </c>
      <c r="I178">
        <f t="shared" si="44"/>
        <v>1.137</v>
      </c>
      <c r="J178">
        <v>113.7</v>
      </c>
      <c r="L178" s="398">
        <v>2004</v>
      </c>
      <c r="M178" s="417">
        <v>2865.0138999999999</v>
      </c>
      <c r="N178" s="72">
        <v>325.92324119728443</v>
      </c>
      <c r="O178">
        <v>1.137</v>
      </c>
      <c r="P178" s="418">
        <v>1958.97901952854</v>
      </c>
      <c r="R178" s="399" t="s">
        <v>195</v>
      </c>
      <c r="S178" s="399" t="s">
        <v>194</v>
      </c>
    </row>
    <row r="179" spans="3:19" ht="15.6">
      <c r="C179" s="405">
        <v>2005</v>
      </c>
      <c r="D179" s="406" t="s">
        <v>282</v>
      </c>
      <c r="F179" s="411">
        <v>2005</v>
      </c>
      <c r="G179" s="412" t="s">
        <v>282</v>
      </c>
      <c r="H179" s="30">
        <f t="shared" si="43"/>
        <v>3611.1089999999999</v>
      </c>
      <c r="I179">
        <f t="shared" si="44"/>
        <v>1.109</v>
      </c>
      <c r="J179">
        <v>110.9</v>
      </c>
      <c r="L179" s="398">
        <v>2005</v>
      </c>
      <c r="M179" s="417">
        <v>3611.1089999999999</v>
      </c>
      <c r="N179" s="72">
        <v>359.16741179940749</v>
      </c>
      <c r="O179">
        <v>1.109</v>
      </c>
      <c r="P179" s="418">
        <v>2084.3536767783667</v>
      </c>
      <c r="R179" s="413" t="e">
        <f>#REF!*S179+#REF!</f>
        <v>#REF!</v>
      </c>
      <c r="S179" s="402">
        <v>2500</v>
      </c>
    </row>
    <row r="180" spans="3:19" ht="15.6">
      <c r="C180" s="405">
        <v>2006</v>
      </c>
      <c r="D180" s="406" t="s">
        <v>283</v>
      </c>
      <c r="F180" s="411">
        <v>2006</v>
      </c>
      <c r="G180" s="412" t="s">
        <v>283</v>
      </c>
      <c r="H180" s="30">
        <f t="shared" si="43"/>
        <v>4730.0228999999999</v>
      </c>
      <c r="I180">
        <f t="shared" si="44"/>
        <v>1.167</v>
      </c>
      <c r="J180">
        <v>116.7</v>
      </c>
      <c r="L180" s="398">
        <v>2006</v>
      </c>
      <c r="M180" s="417">
        <v>4730.0228999999999</v>
      </c>
      <c r="N180" s="72">
        <v>419.14836956990854</v>
      </c>
      <c r="O180">
        <v>1.167</v>
      </c>
      <c r="P180" s="418">
        <v>2255.270678274193</v>
      </c>
      <c r="R180" s="413" t="e">
        <f>#REF!*S180+#REF!</f>
        <v>#REF!</v>
      </c>
      <c r="S180" s="402">
        <f>S179+200</f>
        <v>2700</v>
      </c>
    </row>
    <row r="181" spans="3:19" ht="15.6">
      <c r="C181" s="405">
        <v>2007</v>
      </c>
      <c r="D181" s="419" t="s">
        <v>284</v>
      </c>
      <c r="F181" s="411">
        <v>2007</v>
      </c>
      <c r="G181" s="420" t="s">
        <v>284</v>
      </c>
      <c r="H181" s="30">
        <f t="shared" si="43"/>
        <v>6716.2224000000006</v>
      </c>
      <c r="I181">
        <f t="shared" si="44"/>
        <v>1.2270000000000001</v>
      </c>
      <c r="J181">
        <v>122.7</v>
      </c>
      <c r="L181" s="398">
        <v>2007</v>
      </c>
      <c r="M181" s="417">
        <v>6716.2224000000006</v>
      </c>
      <c r="N181" s="72">
        <v>514.2950494622778</v>
      </c>
      <c r="O181">
        <v>1.2270000000000001</v>
      </c>
      <c r="P181" s="418">
        <v>2446.9686859274993</v>
      </c>
      <c r="R181" s="413" t="e">
        <f>#REF!*S181+#REF!</f>
        <v>#REF!</v>
      </c>
      <c r="S181" s="402">
        <f>S180+200</f>
        <v>2900</v>
      </c>
    </row>
    <row r="182" spans="3:19" ht="15.6">
      <c r="C182" s="405">
        <v>2008</v>
      </c>
      <c r="D182" s="419" t="s">
        <v>285</v>
      </c>
      <c r="F182" s="411">
        <v>2008</v>
      </c>
      <c r="G182" s="420" t="s">
        <v>285</v>
      </c>
      <c r="H182" s="30">
        <f t="shared" si="43"/>
        <v>8781.6164000000008</v>
      </c>
      <c r="I182">
        <f t="shared" si="44"/>
        <v>1.099</v>
      </c>
      <c r="J182">
        <v>109.9</v>
      </c>
      <c r="L182" s="398">
        <v>2008</v>
      </c>
      <c r="M182" s="417">
        <v>8781.6164000000008</v>
      </c>
      <c r="N182" s="72">
        <v>563.15307916119423</v>
      </c>
      <c r="O182">
        <v>1.099</v>
      </c>
      <c r="P182" s="418">
        <v>2574.2110575957295</v>
      </c>
      <c r="R182" s="413" t="e">
        <f>#REF!*S182+#REF!</f>
        <v>#REF!</v>
      </c>
      <c r="S182" s="402">
        <f>S181+200</f>
        <v>3100</v>
      </c>
    </row>
    <row r="183" spans="3:19" ht="15.6">
      <c r="C183" s="421">
        <v>2009</v>
      </c>
      <c r="D183" s="422" t="s">
        <v>286</v>
      </c>
      <c r="F183" s="423">
        <v>2009</v>
      </c>
      <c r="G183" s="424" t="s">
        <v>286</v>
      </c>
      <c r="H183" s="30">
        <f t="shared" si="43"/>
        <v>7976.0127999999995</v>
      </c>
      <c r="I183">
        <f t="shared" si="44"/>
        <v>0.84299999999999997</v>
      </c>
      <c r="J183">
        <v>84.3</v>
      </c>
      <c r="L183" s="398">
        <v>2009</v>
      </c>
      <c r="M183" s="417">
        <v>7976.0127999999995</v>
      </c>
      <c r="N183" s="72">
        <v>487.12741347443301</v>
      </c>
      <c r="O183">
        <v>0.84299999999999997</v>
      </c>
      <c r="P183" s="418">
        <v>2370.848384045667</v>
      </c>
      <c r="R183" s="413" t="e">
        <f>#REF!*S183+#REF!</f>
        <v>#REF!</v>
      </c>
      <c r="S183" s="402">
        <f>S182+200</f>
        <v>3300</v>
      </c>
    </row>
    <row r="184" spans="3:19" ht="17.399999999999999">
      <c r="C184" s="421" t="s">
        <v>287</v>
      </c>
      <c r="D184" s="425">
        <v>9152096</v>
      </c>
      <c r="F184" s="423" t="s">
        <v>288</v>
      </c>
      <c r="G184" s="426">
        <v>9152096</v>
      </c>
      <c r="H184" s="30">
        <f t="shared" si="43"/>
        <v>9152.0959999999995</v>
      </c>
      <c r="I184" s="35">
        <f t="shared" si="44"/>
        <v>1.06</v>
      </c>
      <c r="J184">
        <v>106</v>
      </c>
      <c r="L184" s="398">
        <v>2010</v>
      </c>
      <c r="M184" s="417">
        <v>9152.0959999999995</v>
      </c>
      <c r="N184" s="72">
        <v>517.81644052332229</v>
      </c>
      <c r="O184" s="35">
        <f>ОТЧЁТ!AJ141</f>
        <v>1.0629999999999999</v>
      </c>
      <c r="P184" s="418">
        <v>2477.5365613277218</v>
      </c>
      <c r="R184" s="413" t="e">
        <f>#REF!*S184+#REF!</f>
        <v>#REF!</v>
      </c>
      <c r="S184" s="402">
        <f>S183+200</f>
        <v>3500</v>
      </c>
    </row>
    <row r="185" spans="3:19" ht="15.6">
      <c r="C185" s="421">
        <v>2011</v>
      </c>
      <c r="D185" s="427">
        <v>10776838.699999999</v>
      </c>
      <c r="F185" s="423">
        <v>2011</v>
      </c>
      <c r="G185" s="428">
        <v>10776838.699999999</v>
      </c>
      <c r="H185" s="30">
        <f t="shared" si="43"/>
        <v>10776.838699999998</v>
      </c>
      <c r="I185">
        <f t="shared" si="44"/>
        <v>1.083</v>
      </c>
      <c r="J185">
        <v>108.3</v>
      </c>
      <c r="L185" s="398">
        <v>2011</v>
      </c>
      <c r="M185" s="417">
        <v>10776.838699999998</v>
      </c>
      <c r="N185" s="72">
        <v>573.74061609984119</v>
      </c>
      <c r="O185">
        <f>ОТЧЁТ!AK141</f>
        <v>1.1080000000000001</v>
      </c>
      <c r="P185" s="418">
        <v>2584.0706334648135</v>
      </c>
    </row>
    <row r="186" spans="3:19" ht="15.6">
      <c r="C186" s="421"/>
      <c r="D186" s="402"/>
      <c r="L186" s="398">
        <v>2012</v>
      </c>
      <c r="M186" s="295"/>
      <c r="N186" s="72">
        <v>612.75497799463039</v>
      </c>
      <c r="O186" s="20">
        <f>ОТЧЁТ!AL141</f>
        <v>1.0680000000000001</v>
      </c>
      <c r="P186" s="418">
        <v>2678.541712402734</v>
      </c>
    </row>
    <row r="187" spans="3:19" ht="15">
      <c r="C187" s="2764" t="s">
        <v>289</v>
      </c>
      <c r="D187" s="2764"/>
      <c r="L187" s="398">
        <v>2013</v>
      </c>
      <c r="M187" s="295"/>
      <c r="N187" s="72">
        <v>617.65701781858741</v>
      </c>
      <c r="O187" s="20"/>
      <c r="P187" s="418">
        <v>2726.3631774238834</v>
      </c>
    </row>
    <row r="188" spans="3:19" ht="15.6">
      <c r="C188" s="2765" t="s">
        <v>290</v>
      </c>
      <c r="D188" s="2766"/>
      <c r="L188" s="398">
        <v>2014</v>
      </c>
      <c r="M188" s="295"/>
      <c r="N188" s="72">
        <v>608.39216255130862</v>
      </c>
      <c r="O188" s="20"/>
      <c r="P188" s="418">
        <v>2746.5001169353304</v>
      </c>
    </row>
    <row r="189" spans="3:19">
      <c r="L189" s="184">
        <v>2015</v>
      </c>
      <c r="M189" s="126"/>
      <c r="N189" s="3"/>
      <c r="O189" s="3"/>
      <c r="P189" s="81"/>
    </row>
    <row r="198" spans="3:33">
      <c r="W198">
        <v>1.1220000000000001</v>
      </c>
      <c r="X198">
        <v>1.1220000000000001</v>
      </c>
      <c r="Y198">
        <v>1.143</v>
      </c>
      <c r="Z198">
        <v>1.1060000000000001</v>
      </c>
      <c r="AA198">
        <v>0.94899999999999995</v>
      </c>
      <c r="AB198">
        <v>1.0549999999999999</v>
      </c>
      <c r="AC198">
        <v>1.0680000000000001</v>
      </c>
      <c r="AD198">
        <v>1.079</v>
      </c>
      <c r="AE198">
        <v>1.0469999999999999</v>
      </c>
    </row>
    <row r="199" spans="3:33">
      <c r="W199">
        <v>1.014</v>
      </c>
      <c r="X199">
        <v>1.0229999999999999</v>
      </c>
      <c r="Y199">
        <v>1.0269999999999999</v>
      </c>
      <c r="Z199">
        <v>1.034</v>
      </c>
      <c r="AA199">
        <v>0.99399999999999999</v>
      </c>
      <c r="AB199">
        <v>0.98499999999999999</v>
      </c>
      <c r="AC199">
        <v>1.014</v>
      </c>
      <c r="AD199">
        <v>1.046</v>
      </c>
      <c r="AE199">
        <v>1.0049999999999999</v>
      </c>
    </row>
    <row r="201" spans="3:33">
      <c r="C201" s="2768" t="s">
        <v>1300</v>
      </c>
      <c r="D201" s="2768"/>
      <c r="E201" s="2768"/>
      <c r="F201" s="24"/>
      <c r="G201" s="24"/>
      <c r="H201" s="24"/>
      <c r="I201" s="24"/>
      <c r="J201" s="24"/>
      <c r="K201" s="24"/>
      <c r="L201" s="24"/>
      <c r="M201" s="24"/>
      <c r="N201" s="24"/>
      <c r="O201" s="24"/>
      <c r="P201" s="24"/>
      <c r="Q201" s="24"/>
      <c r="S201" s="2768" t="s">
        <v>1300</v>
      </c>
      <c r="T201" s="2768"/>
      <c r="U201" s="2768"/>
      <c r="V201" s="24"/>
      <c r="W201" s="24"/>
      <c r="X201" s="24"/>
      <c r="Y201" s="24"/>
      <c r="Z201" s="24"/>
      <c r="AA201" s="24"/>
      <c r="AB201" s="24"/>
      <c r="AC201" s="24"/>
      <c r="AD201" s="24"/>
      <c r="AE201" s="24"/>
      <c r="AF201" s="24"/>
      <c r="AG201" s="24"/>
    </row>
    <row r="202" spans="3:33">
      <c r="C202" s="24"/>
      <c r="D202" s="24"/>
      <c r="E202" s="24"/>
      <c r="F202" s="24"/>
      <c r="G202" s="24"/>
      <c r="H202" s="24"/>
      <c r="I202" s="24"/>
      <c r="J202" s="24"/>
      <c r="K202" s="24"/>
      <c r="L202" s="24"/>
      <c r="M202" s="24"/>
      <c r="N202" s="24"/>
      <c r="O202" s="24"/>
      <c r="P202" s="24"/>
      <c r="Q202" s="24"/>
      <c r="S202" s="24"/>
      <c r="T202" s="24"/>
      <c r="U202" s="24"/>
      <c r="V202" s="24"/>
      <c r="W202" s="24">
        <v>1.0640000000000001</v>
      </c>
      <c r="X202" s="24">
        <v>1.0820000000000001</v>
      </c>
      <c r="Y202" s="24">
        <v>1.085</v>
      </c>
      <c r="Z202" s="24">
        <v>1.052</v>
      </c>
      <c r="AA202" s="24">
        <v>0.92100000000000004</v>
      </c>
      <c r="AB202" s="24">
        <v>1.0449999999999999</v>
      </c>
      <c r="AC202" s="24">
        <v>1.0429999999999999</v>
      </c>
      <c r="AD202" s="24">
        <v>1.034</v>
      </c>
      <c r="AE202" s="24">
        <v>1.0129999999999999</v>
      </c>
      <c r="AF202" s="24">
        <v>1.006</v>
      </c>
      <c r="AG202" s="24"/>
    </row>
    <row r="203" spans="3:33">
      <c r="C203" s="2769" t="s">
        <v>1301</v>
      </c>
      <c r="D203" s="2769"/>
      <c r="E203" s="2770"/>
      <c r="F203" s="2770"/>
      <c r="G203" s="2770"/>
      <c r="H203" s="2770"/>
      <c r="I203" s="2770"/>
      <c r="J203" s="2770"/>
      <c r="K203" s="2770"/>
      <c r="L203" s="2770"/>
      <c r="M203" s="24"/>
      <c r="N203" s="24"/>
      <c r="O203" s="24"/>
      <c r="P203" s="24"/>
      <c r="Q203" s="24"/>
      <c r="S203" s="2769" t="s">
        <v>1301</v>
      </c>
      <c r="T203" s="2769"/>
      <c r="U203" s="2770"/>
      <c r="V203" s="2770"/>
      <c r="W203" s="2770"/>
      <c r="X203" s="2770"/>
      <c r="Y203" s="2770"/>
      <c r="Z203" s="2770"/>
      <c r="AA203" s="2770"/>
      <c r="AB203" s="2770"/>
      <c r="AC203" s="24"/>
      <c r="AD203" s="24"/>
      <c r="AE203" s="24"/>
      <c r="AF203" s="24"/>
      <c r="AG203" s="24"/>
    </row>
    <row r="204" spans="3:33">
      <c r="C204" s="2771" t="s">
        <v>1302</v>
      </c>
      <c r="D204" s="2771"/>
      <c r="E204" s="2770"/>
      <c r="F204" s="2770"/>
      <c r="G204" s="2770"/>
      <c r="H204" s="2770"/>
      <c r="I204" s="2770"/>
      <c r="J204" s="2770"/>
      <c r="K204" s="2770"/>
      <c r="L204" s="2770"/>
      <c r="M204" s="24"/>
      <c r="N204" s="24"/>
      <c r="O204" s="24"/>
      <c r="P204" s="24"/>
      <c r="Q204" s="24"/>
      <c r="S204" s="2771" t="s">
        <v>1302</v>
      </c>
      <c r="T204" s="2771"/>
      <c r="U204" s="2770"/>
      <c r="V204" s="2770"/>
      <c r="W204" s="2770"/>
      <c r="X204" s="2770"/>
      <c r="Y204" s="2770"/>
      <c r="Z204" s="2770"/>
      <c r="AA204" s="2770"/>
      <c r="AB204" s="2770"/>
      <c r="AC204" s="24"/>
      <c r="AD204" s="24"/>
      <c r="AE204" s="24"/>
      <c r="AF204" s="24"/>
      <c r="AG204" s="24"/>
    </row>
    <row r="205" spans="3:33">
      <c r="C205" s="878"/>
      <c r="D205" s="879">
        <v>2002</v>
      </c>
      <c r="E205" s="880">
        <v>2003</v>
      </c>
      <c r="F205" s="881">
        <v>2004</v>
      </c>
      <c r="G205" s="882">
        <v>2005</v>
      </c>
      <c r="H205" s="883">
        <v>2006</v>
      </c>
      <c r="I205" s="882">
        <v>2007</v>
      </c>
      <c r="J205" s="883">
        <v>2008</v>
      </c>
      <c r="K205" s="883">
        <v>2009</v>
      </c>
      <c r="L205" s="883">
        <v>2010</v>
      </c>
      <c r="M205" s="883">
        <v>2011</v>
      </c>
      <c r="N205" s="883">
        <v>2012</v>
      </c>
      <c r="O205" s="883">
        <v>2013</v>
      </c>
      <c r="P205" s="884" t="s">
        <v>1303</v>
      </c>
      <c r="Q205" s="24"/>
      <c r="S205" s="878"/>
      <c r="T205" s="879">
        <v>2002</v>
      </c>
      <c r="U205" s="880">
        <v>2003</v>
      </c>
      <c r="V205" s="881">
        <v>2004</v>
      </c>
      <c r="W205" s="882">
        <v>2005</v>
      </c>
      <c r="X205" s="883">
        <v>2006</v>
      </c>
      <c r="Y205" s="882">
        <v>2007</v>
      </c>
      <c r="Z205" s="883">
        <v>2008</v>
      </c>
      <c r="AA205" s="883">
        <v>2009</v>
      </c>
      <c r="AB205" s="883">
        <v>2010</v>
      </c>
      <c r="AC205" s="883">
        <v>2011</v>
      </c>
      <c r="AD205" s="883">
        <v>2012</v>
      </c>
      <c r="AE205" s="883">
        <v>2013</v>
      </c>
      <c r="AF205" s="884" t="s">
        <v>1303</v>
      </c>
      <c r="AG205" s="24"/>
    </row>
    <row r="206" spans="3:33" ht="31.8">
      <c r="C206" s="885" t="s">
        <v>1304</v>
      </c>
      <c r="D206" s="886">
        <v>27312.3</v>
      </c>
      <c r="E206" s="887">
        <v>29304.9</v>
      </c>
      <c r="F206" s="888">
        <v>31407.8</v>
      </c>
      <c r="G206" s="889">
        <v>33410.5</v>
      </c>
      <c r="H206" s="887">
        <v>36134.6</v>
      </c>
      <c r="I206" s="889">
        <v>39218.699999999997</v>
      </c>
      <c r="J206" s="887">
        <v>41276.800000000003</v>
      </c>
      <c r="K206" s="887">
        <v>38048.6</v>
      </c>
      <c r="L206" s="887">
        <v>39762.199999999997</v>
      </c>
      <c r="M206" s="887">
        <v>41457.800000000003</v>
      </c>
      <c r="N206" s="887">
        <v>42869.599999999999</v>
      </c>
      <c r="O206" s="887">
        <v>43444.4</v>
      </c>
      <c r="P206" s="887">
        <v>43722.7</v>
      </c>
      <c r="Q206" s="24"/>
      <c r="S206" s="885" t="s">
        <v>1304</v>
      </c>
      <c r="T206" s="886">
        <v>27312.3</v>
      </c>
      <c r="U206" s="920">
        <f t="shared" ref="U206:AF206" si="49">E206/D206</f>
        <v>1.0729561406399315</v>
      </c>
      <c r="V206" s="920">
        <f t="shared" si="49"/>
        <v>1.0717593303508968</v>
      </c>
      <c r="W206" s="920">
        <f t="shared" si="49"/>
        <v>1.0637644152089609</v>
      </c>
      <c r="X206" s="920">
        <f t="shared" si="49"/>
        <v>1.0815342482153814</v>
      </c>
      <c r="Y206" s="920">
        <f t="shared" si="49"/>
        <v>1.0853503290475057</v>
      </c>
      <c r="Z206" s="920">
        <f t="shared" si="49"/>
        <v>1.0524775171028109</v>
      </c>
      <c r="AA206" s="920">
        <f t="shared" si="49"/>
        <v>0.92179141793937502</v>
      </c>
      <c r="AB206" s="920">
        <f t="shared" si="49"/>
        <v>1.0450371367146229</v>
      </c>
      <c r="AC206" s="920">
        <f t="shared" si="49"/>
        <v>1.0426435157008416</v>
      </c>
      <c r="AD206" s="920">
        <f t="shared" si="49"/>
        <v>1.0340539054170745</v>
      </c>
      <c r="AE206" s="920">
        <f t="shared" si="49"/>
        <v>1.0134081027114785</v>
      </c>
      <c r="AF206" s="920">
        <f t="shared" si="49"/>
        <v>1.0064058889062801</v>
      </c>
      <c r="AG206" s="24"/>
    </row>
    <row r="207" spans="3:33">
      <c r="C207" s="890"/>
      <c r="D207" s="891"/>
      <c r="E207" s="892"/>
      <c r="F207" s="893"/>
      <c r="G207" s="894"/>
      <c r="H207" s="892"/>
      <c r="I207" s="894"/>
      <c r="J207" s="892"/>
      <c r="K207" s="892"/>
      <c r="L207" s="892"/>
      <c r="M207" s="892"/>
      <c r="N207" s="892"/>
      <c r="O207" s="892"/>
      <c r="P207" s="892"/>
      <c r="Q207" s="24"/>
      <c r="S207" s="890"/>
      <c r="T207" s="891"/>
      <c r="U207" s="892"/>
      <c r="V207" s="893"/>
      <c r="W207" s="894"/>
      <c r="X207" s="892"/>
      <c r="Y207" s="894"/>
      <c r="Z207" s="892"/>
      <c r="AA207" s="892"/>
      <c r="AB207" s="892"/>
      <c r="AC207" s="892"/>
      <c r="AD207" s="892"/>
      <c r="AE207" s="892"/>
      <c r="AF207" s="892"/>
      <c r="AG207" s="24"/>
    </row>
    <row r="208" spans="3:33" ht="52.2">
      <c r="C208" s="895" t="s">
        <v>1305</v>
      </c>
      <c r="D208" s="896">
        <v>16458</v>
      </c>
      <c r="E208" s="897">
        <v>17458.5</v>
      </c>
      <c r="F208" s="898">
        <v>19092.599999999999</v>
      </c>
      <c r="G208" s="899">
        <v>20835</v>
      </c>
      <c r="H208" s="897">
        <v>22821.5</v>
      </c>
      <c r="I208" s="899">
        <v>25369.599999999999</v>
      </c>
      <c r="J208" s="897">
        <v>27543.599999999999</v>
      </c>
      <c r="K208" s="897">
        <v>26460.5</v>
      </c>
      <c r="L208" s="897">
        <v>27399.7</v>
      </c>
      <c r="M208" s="897">
        <v>28849</v>
      </c>
      <c r="N208" s="897">
        <v>30684.400000000001</v>
      </c>
      <c r="O208" s="897">
        <v>31881.9</v>
      </c>
      <c r="P208" s="897">
        <v>32161.5</v>
      </c>
      <c r="Q208" s="24"/>
      <c r="S208" s="895" t="s">
        <v>1305</v>
      </c>
      <c r="T208" s="896">
        <v>16458</v>
      </c>
      <c r="U208" s="919">
        <f t="shared" ref="U208:AF209" si="50">E208/D208</f>
        <v>1.0607911046299672</v>
      </c>
      <c r="V208" s="919">
        <f t="shared" si="50"/>
        <v>1.0935991064524442</v>
      </c>
      <c r="W208" s="919">
        <f t="shared" si="50"/>
        <v>1.0912604883567456</v>
      </c>
      <c r="X208" s="919">
        <f t="shared" si="50"/>
        <v>1.0953443724502039</v>
      </c>
      <c r="Y208" s="919">
        <f t="shared" si="50"/>
        <v>1.11165348465263</v>
      </c>
      <c r="Z208" s="919">
        <f t="shared" si="50"/>
        <v>1.0856931130171543</v>
      </c>
      <c r="AA208" s="919">
        <f t="shared" si="50"/>
        <v>0.96067689045731142</v>
      </c>
      <c r="AB208" s="919">
        <f t="shared" si="50"/>
        <v>1.0354944162052873</v>
      </c>
      <c r="AC208" s="919">
        <f t="shared" si="50"/>
        <v>1.0528947397234276</v>
      </c>
      <c r="AD208" s="919">
        <f t="shared" si="50"/>
        <v>1.0636209227356235</v>
      </c>
      <c r="AE208" s="919">
        <f t="shared" si="50"/>
        <v>1.0390263456349154</v>
      </c>
      <c r="AF208" s="919">
        <f t="shared" si="50"/>
        <v>1.0087698662877682</v>
      </c>
      <c r="AG208" s="24"/>
    </row>
    <row r="209" spans="3:33" ht="42">
      <c r="C209" s="900" t="s">
        <v>1306</v>
      </c>
      <c r="D209" s="901">
        <v>10366.6</v>
      </c>
      <c r="E209" s="902">
        <v>11159.8</v>
      </c>
      <c r="F209" s="903">
        <v>12550.7</v>
      </c>
      <c r="G209" s="904">
        <v>14087.4</v>
      </c>
      <c r="H209" s="902">
        <v>15799.7</v>
      </c>
      <c r="I209" s="904">
        <v>18060.8</v>
      </c>
      <c r="J209" s="902">
        <v>19967</v>
      </c>
      <c r="K209" s="902">
        <v>18946.599999999999</v>
      </c>
      <c r="L209" s="902">
        <v>19993.8</v>
      </c>
      <c r="M209" s="902">
        <v>21356.2</v>
      </c>
      <c r="N209" s="902">
        <v>23026.3</v>
      </c>
      <c r="O209" s="902">
        <v>24176.5</v>
      </c>
      <c r="P209" s="902">
        <v>24479.5</v>
      </c>
      <c r="Q209" s="24"/>
      <c r="S209" s="900" t="s">
        <v>1306</v>
      </c>
      <c r="T209" s="901">
        <v>10366.6</v>
      </c>
      <c r="U209" s="918">
        <f t="shared" si="50"/>
        <v>1.0765149615110063</v>
      </c>
      <c r="V209" s="918">
        <f t="shared" si="50"/>
        <v>1.1246348500869192</v>
      </c>
      <c r="W209" s="918">
        <f t="shared" si="50"/>
        <v>1.1224393858509882</v>
      </c>
      <c r="X209" s="918">
        <f t="shared" si="50"/>
        <v>1.1215483339722021</v>
      </c>
      <c r="Y209" s="918">
        <f t="shared" si="50"/>
        <v>1.1431103122211179</v>
      </c>
      <c r="Z209" s="918">
        <f t="shared" si="50"/>
        <v>1.1055434975194898</v>
      </c>
      <c r="AA209" s="918">
        <f t="shared" si="50"/>
        <v>0.94889567786848295</v>
      </c>
      <c r="AB209" s="918">
        <f t="shared" si="50"/>
        <v>1.0552711304402902</v>
      </c>
      <c r="AC209" s="918">
        <f t="shared" si="50"/>
        <v>1.068141123748362</v>
      </c>
      <c r="AD209" s="918">
        <f t="shared" si="50"/>
        <v>1.078202114608404</v>
      </c>
      <c r="AE209" s="918">
        <f t="shared" si="50"/>
        <v>1.0499515771096528</v>
      </c>
      <c r="AF209" s="918">
        <f t="shared" si="50"/>
        <v>1.0125328314685749</v>
      </c>
      <c r="AG209" s="24"/>
    </row>
    <row r="210" spans="3:33" ht="52.2">
      <c r="C210" s="900" t="s">
        <v>1307</v>
      </c>
      <c r="D210" s="901">
        <v>6390</v>
      </c>
      <c r="E210" s="902">
        <v>6540.2</v>
      </c>
      <c r="F210" s="903">
        <v>6679</v>
      </c>
      <c r="G210" s="904">
        <v>6775.3</v>
      </c>
      <c r="H210" s="902">
        <v>6931.9</v>
      </c>
      <c r="I210" s="904">
        <v>7120.7</v>
      </c>
      <c r="J210" s="902">
        <v>7359.9</v>
      </c>
      <c r="K210" s="902">
        <v>7314.5</v>
      </c>
      <c r="L210" s="902">
        <v>7205.7</v>
      </c>
      <c r="M210" s="902">
        <v>7306.7</v>
      </c>
      <c r="N210" s="902">
        <v>7497.7</v>
      </c>
      <c r="O210" s="902">
        <v>7581.5</v>
      </c>
      <c r="P210" s="902">
        <v>7575.7</v>
      </c>
      <c r="Q210" s="24"/>
      <c r="S210" s="900" t="s">
        <v>1307</v>
      </c>
      <c r="T210" s="901">
        <v>6390</v>
      </c>
      <c r="U210" s="918">
        <f>E210/D210</f>
        <v>1.0235054773082941</v>
      </c>
      <c r="V210" s="918">
        <f>F210/E210</f>
        <v>1.0212225925812666</v>
      </c>
      <c r="W210" s="918">
        <f>G210/F210</f>
        <v>1.014418326096721</v>
      </c>
      <c r="X210" s="918">
        <f>H210/G210</f>
        <v>1.023113367673756</v>
      </c>
      <c r="Y210" s="918">
        <f t="shared" ref="Y210:AF210" si="51">I210/H210</f>
        <v>1.0272363998326577</v>
      </c>
      <c r="Z210" s="918">
        <f t="shared" si="51"/>
        <v>1.0335922030137485</v>
      </c>
      <c r="AA210" s="918">
        <f t="shared" si="51"/>
        <v>0.99383143792714579</v>
      </c>
      <c r="AB210" s="918">
        <f t="shared" si="51"/>
        <v>0.98512543577824863</v>
      </c>
      <c r="AC210" s="918">
        <f t="shared" si="51"/>
        <v>1.0140166812384639</v>
      </c>
      <c r="AD210" s="918">
        <f t="shared" si="51"/>
        <v>1.0261403916952934</v>
      </c>
      <c r="AE210" s="918">
        <f t="shared" si="51"/>
        <v>1.0111767608733344</v>
      </c>
      <c r="AF210" s="918">
        <f t="shared" si="51"/>
        <v>0.99923497988524701</v>
      </c>
      <c r="AG210" s="24"/>
    </row>
    <row r="211" spans="3:33" ht="123.6">
      <c r="C211" s="900" t="s">
        <v>1308</v>
      </c>
      <c r="D211" s="901">
        <v>299.60000000000002</v>
      </c>
      <c r="E211" s="902">
        <v>300</v>
      </c>
      <c r="F211" s="903">
        <v>266.7</v>
      </c>
      <c r="G211" s="904">
        <v>217.8</v>
      </c>
      <c r="H211" s="902">
        <v>214</v>
      </c>
      <c r="I211" s="904">
        <v>219.9</v>
      </c>
      <c r="J211" s="902">
        <v>216.7</v>
      </c>
      <c r="K211" s="902">
        <v>199.4</v>
      </c>
      <c r="L211" s="902">
        <v>198.4</v>
      </c>
      <c r="M211" s="902">
        <v>188.8</v>
      </c>
      <c r="N211" s="902">
        <v>186.4</v>
      </c>
      <c r="O211" s="902">
        <v>183.6</v>
      </c>
      <c r="P211" s="902">
        <v>180.9</v>
      </c>
      <c r="Q211" s="24"/>
      <c r="S211" s="900" t="s">
        <v>1308</v>
      </c>
      <c r="T211" s="901">
        <v>299.60000000000002</v>
      </c>
      <c r="U211" s="918">
        <f>E211/D211</f>
        <v>1.0013351134846462</v>
      </c>
      <c r="V211" s="918">
        <f t="shared" ref="V211:AE211" si="52">F211/E211</f>
        <v>0.88900000000000001</v>
      </c>
      <c r="W211" s="918">
        <f t="shared" si="52"/>
        <v>0.81664791901012379</v>
      </c>
      <c r="X211" s="918">
        <f t="shared" si="52"/>
        <v>0.98255280073461881</v>
      </c>
      <c r="Y211" s="918">
        <f t="shared" si="52"/>
        <v>1.0275700934579439</v>
      </c>
      <c r="Z211" s="918">
        <f t="shared" si="52"/>
        <v>0.98544793087767157</v>
      </c>
      <c r="AA211" s="918">
        <f t="shared" si="52"/>
        <v>0.92016612828795574</v>
      </c>
      <c r="AB211" s="918">
        <f t="shared" si="52"/>
        <v>0.99498495486459382</v>
      </c>
      <c r="AC211" s="918">
        <f t="shared" si="52"/>
        <v>0.95161290322580649</v>
      </c>
      <c r="AD211" s="918">
        <f t="shared" si="52"/>
        <v>0.98728813559322026</v>
      </c>
      <c r="AE211" s="918">
        <f t="shared" si="52"/>
        <v>0.98497854077253211</v>
      </c>
      <c r="AF211" s="918">
        <f>P211/O211</f>
        <v>0.98529411764705888</v>
      </c>
      <c r="AG211" s="24"/>
    </row>
    <row r="212" spans="3:33" ht="31.8">
      <c r="C212" s="895" t="s">
        <v>725</v>
      </c>
      <c r="D212" s="896">
        <v>4723.1000000000004</v>
      </c>
      <c r="E212" s="897">
        <v>5396.9</v>
      </c>
      <c r="F212" s="898">
        <v>6056.2</v>
      </c>
      <c r="G212" s="899">
        <v>6631.1</v>
      </c>
      <c r="H212" s="897">
        <v>7806.4</v>
      </c>
      <c r="I212" s="899">
        <v>9526.5</v>
      </c>
      <c r="J212" s="897">
        <v>10526.1</v>
      </c>
      <c r="K212" s="897">
        <v>6209.8</v>
      </c>
      <c r="L212" s="897">
        <v>7982.2</v>
      </c>
      <c r="M212" s="897">
        <v>9656.2999999999993</v>
      </c>
      <c r="N212" s="897">
        <v>9953.5</v>
      </c>
      <c r="O212" s="897">
        <v>9248</v>
      </c>
      <c r="P212" s="897">
        <v>8569.2999999999993</v>
      </c>
      <c r="Q212" s="24"/>
      <c r="S212" s="895" t="s">
        <v>725</v>
      </c>
      <c r="T212" s="896">
        <v>4723.1000000000004</v>
      </c>
      <c r="U212" s="919">
        <f>E212/D212</f>
        <v>1.1426605407465433</v>
      </c>
      <c r="V212" s="919">
        <f t="shared" ref="V212:AF212" si="53">F212/E212</f>
        <v>1.1221627230447109</v>
      </c>
      <c r="W212" s="919">
        <f t="shared" si="53"/>
        <v>1.0949275123014433</v>
      </c>
      <c r="X212" s="919">
        <f t="shared" si="53"/>
        <v>1.1772405784862239</v>
      </c>
      <c r="Y212" s="919">
        <f t="shared" si="53"/>
        <v>1.2203448452551753</v>
      </c>
      <c r="Z212" s="919">
        <f t="shared" si="53"/>
        <v>1.1049283577389388</v>
      </c>
      <c r="AA212" s="919">
        <f t="shared" si="53"/>
        <v>0.58994309383342358</v>
      </c>
      <c r="AB212" s="919">
        <f t="shared" si="53"/>
        <v>1.285419820284067</v>
      </c>
      <c r="AC212" s="919">
        <f t="shared" si="53"/>
        <v>1.20972914735286</v>
      </c>
      <c r="AD212" s="919">
        <f t="shared" si="53"/>
        <v>1.0307778341600822</v>
      </c>
      <c r="AE212" s="919">
        <f t="shared" si="53"/>
        <v>0.92912040990606315</v>
      </c>
      <c r="AF212" s="919">
        <f t="shared" si="53"/>
        <v>0.92661115916955006</v>
      </c>
      <c r="AG212" s="24"/>
    </row>
    <row r="213" spans="3:33" ht="73.8">
      <c r="C213" s="900" t="s">
        <v>1309</v>
      </c>
      <c r="D213" s="901">
        <v>4105</v>
      </c>
      <c r="E213" s="902">
        <v>4677.6000000000004</v>
      </c>
      <c r="F213" s="903">
        <v>5266.2</v>
      </c>
      <c r="G213" s="904">
        <v>5823.9</v>
      </c>
      <c r="H213" s="902">
        <v>6873.4</v>
      </c>
      <c r="I213" s="904">
        <v>8316</v>
      </c>
      <c r="J213" s="902">
        <v>9200.7999999999993</v>
      </c>
      <c r="K213" s="902">
        <v>7877.3</v>
      </c>
      <c r="L213" s="902">
        <v>8339.7000000000007</v>
      </c>
      <c r="M213" s="905" t="s">
        <v>1310</v>
      </c>
      <c r="N213" s="902">
        <v>9702.7999999999993</v>
      </c>
      <c r="O213" s="902">
        <v>9791.5</v>
      </c>
      <c r="P213" s="905">
        <v>9596.1</v>
      </c>
      <c r="Q213" s="24"/>
      <c r="S213" s="900" t="s">
        <v>1309</v>
      </c>
      <c r="T213" s="901">
        <v>4105</v>
      </c>
      <c r="U213" s="918">
        <f t="shared" ref="U213:Z213" si="54">G213/F213</f>
        <v>1.1059017887660931</v>
      </c>
      <c r="V213" s="918">
        <f t="shared" si="54"/>
        <v>1.1802057040814575</v>
      </c>
      <c r="W213" s="918">
        <f t="shared" si="54"/>
        <v>1.2098815724386767</v>
      </c>
      <c r="X213" s="918">
        <f t="shared" si="54"/>
        <v>1.1063973063973063</v>
      </c>
      <c r="Y213" s="918">
        <f t="shared" si="54"/>
        <v>0.85615381271193813</v>
      </c>
      <c r="Z213" s="918">
        <f t="shared" si="54"/>
        <v>1.0587003160981556</v>
      </c>
      <c r="AA213" s="918">
        <f>K213/J213</f>
        <v>0.85615381271193813</v>
      </c>
      <c r="AB213" s="918">
        <f>L213/K213</f>
        <v>1.0587003160981556</v>
      </c>
      <c r="AC213" s="918">
        <f>9095.3/L213</f>
        <v>1.0906027794764799</v>
      </c>
      <c r="AD213" s="918">
        <f>N213/9095.3</f>
        <v>1.0667927391070113</v>
      </c>
      <c r="AE213" s="918">
        <f>9095.3/N213</f>
        <v>0.93738920723914743</v>
      </c>
      <c r="AF213" s="918">
        <f>9095.3/O213</f>
        <v>0.92889751314915991</v>
      </c>
      <c r="AG213" s="24"/>
    </row>
    <row r="214" spans="3:33">
      <c r="C214" s="906" t="s">
        <v>737</v>
      </c>
      <c r="D214" s="907">
        <v>8401.7999999999993</v>
      </c>
      <c r="E214" s="902">
        <v>9463.7999999999993</v>
      </c>
      <c r="F214" s="903">
        <v>10581.3</v>
      </c>
      <c r="G214" s="904">
        <v>11264.7</v>
      </c>
      <c r="H214" s="902">
        <v>12089.8</v>
      </c>
      <c r="I214" s="904">
        <v>12847.6</v>
      </c>
      <c r="J214" s="902">
        <v>12923.6</v>
      </c>
      <c r="K214" s="902">
        <v>12311.5</v>
      </c>
      <c r="L214" s="902">
        <v>13179.1</v>
      </c>
      <c r="M214" s="902">
        <v>13220.4</v>
      </c>
      <c r="N214" s="902">
        <v>13365.2</v>
      </c>
      <c r="O214" s="902">
        <v>13977.7</v>
      </c>
      <c r="P214" s="902">
        <v>13966.7</v>
      </c>
      <c r="Q214" s="24"/>
      <c r="S214" s="906" t="s">
        <v>737</v>
      </c>
      <c r="T214" s="907">
        <v>8401.7999999999993</v>
      </c>
      <c r="U214" s="918">
        <f>E214/D214</f>
        <v>1.1264014853959865</v>
      </c>
      <c r="V214" s="918">
        <f t="shared" ref="V214:AF214" si="55">F214/E214</f>
        <v>1.1180815317314399</v>
      </c>
      <c r="W214" s="918">
        <f t="shared" si="55"/>
        <v>1.0645856369255198</v>
      </c>
      <c r="X214" s="918">
        <f t="shared" si="55"/>
        <v>1.0732465134446545</v>
      </c>
      <c r="Y214" s="918">
        <f t="shared" si="55"/>
        <v>1.0626809376499198</v>
      </c>
      <c r="Z214" s="918">
        <f t="shared" si="55"/>
        <v>1.0059155017279491</v>
      </c>
      <c r="AA214" s="918">
        <f t="shared" si="55"/>
        <v>0.95263703611996653</v>
      </c>
      <c r="AB214" s="918">
        <f t="shared" si="55"/>
        <v>1.0704706981277667</v>
      </c>
      <c r="AC214" s="918">
        <f t="shared" si="55"/>
        <v>1.0031337496490655</v>
      </c>
      <c r="AD214" s="918">
        <f t="shared" si="55"/>
        <v>1.0109527699615746</v>
      </c>
      <c r="AE214" s="918">
        <f t="shared" si="55"/>
        <v>1.045827971148954</v>
      </c>
      <c r="AF214" s="918">
        <f t="shared" si="55"/>
        <v>0.99921303218698354</v>
      </c>
      <c r="AG214" s="24"/>
    </row>
    <row r="215" spans="3:33">
      <c r="C215" s="906" t="s">
        <v>1311</v>
      </c>
      <c r="D215" s="907">
        <v>3076.3</v>
      </c>
      <c r="E215" s="902">
        <v>3607.9</v>
      </c>
      <c r="F215" s="903">
        <v>4447.1000000000004</v>
      </c>
      <c r="G215" s="904">
        <v>5186.7</v>
      </c>
      <c r="H215" s="902">
        <v>6290.1</v>
      </c>
      <c r="I215" s="904">
        <v>7938.4</v>
      </c>
      <c r="J215" s="902">
        <v>9111</v>
      </c>
      <c r="K215" s="902">
        <v>6339.5</v>
      </c>
      <c r="L215" s="902">
        <v>7975.9</v>
      </c>
      <c r="M215" s="902">
        <v>9593.9</v>
      </c>
      <c r="N215" s="902">
        <v>10426.200000000001</v>
      </c>
      <c r="O215" s="902">
        <v>10826.5</v>
      </c>
      <c r="P215" s="902">
        <v>9974.5</v>
      </c>
      <c r="Q215" s="24"/>
      <c r="S215" s="906" t="s">
        <v>1311</v>
      </c>
      <c r="T215" s="907">
        <v>3076.3</v>
      </c>
      <c r="U215" s="918">
        <f>E215/D215</f>
        <v>1.1728049930110847</v>
      </c>
      <c r="V215" s="918">
        <f t="shared" ref="V215:AF215" si="56">F215/E215</f>
        <v>1.2326006818370798</v>
      </c>
      <c r="W215" s="918">
        <f t="shared" si="56"/>
        <v>1.166310629398934</v>
      </c>
      <c r="X215" s="918">
        <f t="shared" si="56"/>
        <v>1.2127364220024295</v>
      </c>
      <c r="Y215" s="918">
        <f t="shared" si="56"/>
        <v>1.2620467083194225</v>
      </c>
      <c r="Z215" s="918">
        <f t="shared" si="56"/>
        <v>1.1477123853673286</v>
      </c>
      <c r="AA215" s="918">
        <f t="shared" si="56"/>
        <v>0.69580726594226761</v>
      </c>
      <c r="AB215" s="918">
        <f t="shared" si="56"/>
        <v>1.2581276125877434</v>
      </c>
      <c r="AC215" s="918">
        <f t="shared" si="56"/>
        <v>1.2028611191213532</v>
      </c>
      <c r="AD215" s="918">
        <f t="shared" si="56"/>
        <v>1.086753040994799</v>
      </c>
      <c r="AE215" s="918">
        <f t="shared" si="56"/>
        <v>1.0383936621204273</v>
      </c>
      <c r="AF215" s="918">
        <f t="shared" si="56"/>
        <v>0.92130420726920059</v>
      </c>
      <c r="AG215" s="24"/>
    </row>
    <row r="216" spans="3:33" ht="42">
      <c r="C216" s="908" t="s">
        <v>1312</v>
      </c>
      <c r="D216" s="909">
        <v>-247.6</v>
      </c>
      <c r="E216" s="910">
        <v>-302.7</v>
      </c>
      <c r="F216" s="911">
        <v>-424.6</v>
      </c>
      <c r="G216" s="912">
        <v>-534</v>
      </c>
      <c r="H216" s="910">
        <v>-486.5</v>
      </c>
      <c r="I216" s="912">
        <v>-573</v>
      </c>
      <c r="J216" s="910">
        <v>-605.5</v>
      </c>
      <c r="K216" s="910">
        <v>-593.70000000000005</v>
      </c>
      <c r="L216" s="910">
        <v>-686</v>
      </c>
      <c r="M216" s="910">
        <v>-697.9</v>
      </c>
      <c r="N216" s="910">
        <v>-745.4</v>
      </c>
      <c r="O216" s="910">
        <v>-787.6</v>
      </c>
      <c r="P216" s="910">
        <v>-825.8</v>
      </c>
      <c r="Q216" s="24"/>
      <c r="S216" s="908" t="s">
        <v>1312</v>
      </c>
      <c r="T216" s="909">
        <v>-247.6</v>
      </c>
      <c r="U216" s="910">
        <v>-302.7</v>
      </c>
      <c r="V216" s="911">
        <v>-424.6</v>
      </c>
      <c r="W216" s="912">
        <v>-534</v>
      </c>
      <c r="X216" s="910">
        <v>-486.5</v>
      </c>
      <c r="Y216" s="912">
        <v>-573</v>
      </c>
      <c r="Z216" s="910">
        <v>-605.5</v>
      </c>
      <c r="AA216" s="910">
        <v>-593.70000000000005</v>
      </c>
      <c r="AB216" s="910">
        <v>-686</v>
      </c>
      <c r="AC216" s="910">
        <v>-697.9</v>
      </c>
      <c r="AD216" s="910">
        <v>-745.4</v>
      </c>
      <c r="AE216" s="910">
        <v>-787.6</v>
      </c>
      <c r="AF216" s="910">
        <v>-825.8</v>
      </c>
      <c r="AG216" s="24"/>
    </row>
    <row r="217" spans="3:33">
      <c r="C217" s="913"/>
      <c r="D217" s="913"/>
      <c r="E217" s="904"/>
      <c r="F217" s="904"/>
      <c r="G217" s="904"/>
      <c r="H217" s="904"/>
      <c r="I217" s="904"/>
      <c r="J217" s="904"/>
      <c r="K217" s="904"/>
      <c r="L217" s="904"/>
      <c r="M217" s="24"/>
      <c r="N217" s="24"/>
      <c r="O217" s="24"/>
      <c r="P217" s="24"/>
      <c r="Q217" s="24"/>
      <c r="S217" s="913"/>
      <c r="T217" s="913"/>
      <c r="U217" s="904"/>
      <c r="V217" s="904"/>
      <c r="W217" s="904"/>
      <c r="X217" s="904"/>
      <c r="Y217" s="904"/>
      <c r="Z217" s="904"/>
      <c r="AA217" s="904"/>
      <c r="AB217" s="904"/>
      <c r="AC217" s="24"/>
      <c r="AD217" s="24"/>
      <c r="AE217" s="24"/>
      <c r="AF217" s="24"/>
      <c r="AG217" s="24"/>
    </row>
    <row r="218" spans="3:33">
      <c r="C218" s="914" t="s">
        <v>1313</v>
      </c>
      <c r="D218" s="915"/>
      <c r="E218" s="915"/>
      <c r="F218" s="915"/>
      <c r="G218" s="915"/>
      <c r="H218" s="915"/>
      <c r="I218" s="915"/>
      <c r="J218" s="915"/>
      <c r="K218" s="904"/>
      <c r="L218" s="904"/>
      <c r="M218" s="24"/>
      <c r="N218" s="24"/>
      <c r="O218" s="24"/>
      <c r="P218" s="24"/>
      <c r="Q218" s="24"/>
      <c r="S218" s="914" t="s">
        <v>1313</v>
      </c>
      <c r="T218" s="915"/>
      <c r="U218" s="915"/>
      <c r="V218" s="915"/>
      <c r="W218" s="915"/>
      <c r="X218" s="915"/>
      <c r="Y218" s="915"/>
      <c r="Z218" s="915"/>
      <c r="AA218" s="904"/>
      <c r="AB218" s="904"/>
      <c r="AC218" s="24"/>
      <c r="AD218" s="24"/>
      <c r="AE218" s="24"/>
      <c r="AF218" s="24"/>
      <c r="AG218" s="24"/>
    </row>
    <row r="219" spans="3:33">
      <c r="C219" s="2772" t="s">
        <v>1314</v>
      </c>
      <c r="D219" s="2773"/>
      <c r="E219" s="2773"/>
      <c r="F219" s="2773"/>
      <c r="G219" s="2773"/>
      <c r="H219" s="2773"/>
      <c r="I219" s="2773"/>
      <c r="J219" s="2773"/>
      <c r="K219" s="2773"/>
      <c r="L219" s="2773"/>
      <c r="M219" s="2773"/>
      <c r="N219" s="2773"/>
      <c r="O219" s="24"/>
      <c r="P219" s="24"/>
      <c r="Q219" s="24"/>
      <c r="S219" s="2772" t="s">
        <v>1314</v>
      </c>
      <c r="T219" s="2773"/>
      <c r="U219" s="2773"/>
      <c r="V219" s="2773"/>
      <c r="W219" s="2773"/>
      <c r="X219" s="2773"/>
      <c r="Y219" s="2773"/>
      <c r="Z219" s="2773"/>
      <c r="AA219" s="2773"/>
      <c r="AB219" s="2773"/>
      <c r="AC219" s="2773"/>
      <c r="AD219" s="2773"/>
      <c r="AE219" s="24"/>
      <c r="AF219" s="24"/>
      <c r="AG219" s="24"/>
    </row>
    <row r="220" spans="3:33">
      <c r="C220" s="916" t="s">
        <v>1315</v>
      </c>
      <c r="D220" s="24"/>
      <c r="E220" s="24"/>
      <c r="F220" s="24"/>
      <c r="G220" s="917"/>
      <c r="H220" s="917"/>
      <c r="I220" s="917"/>
      <c r="J220" s="917"/>
      <c r="K220" s="917"/>
      <c r="L220" s="917"/>
      <c r="M220" s="24"/>
      <c r="N220" s="24"/>
      <c r="O220" s="24"/>
      <c r="P220" s="24"/>
      <c r="Q220" s="24"/>
      <c r="S220" s="916" t="s">
        <v>1315</v>
      </c>
      <c r="T220" s="24"/>
      <c r="U220" s="24"/>
      <c r="V220" s="24"/>
      <c r="W220" s="917"/>
      <c r="X220" s="917"/>
      <c r="Y220" s="917"/>
      <c r="Z220" s="917"/>
      <c r="AA220" s="917"/>
      <c r="AB220" s="917"/>
      <c r="AC220" s="24"/>
      <c r="AD220" s="24"/>
      <c r="AE220" s="24"/>
      <c r="AF220" s="24"/>
      <c r="AG220" s="24"/>
    </row>
    <row r="221" spans="3:33">
      <c r="C221" s="24"/>
      <c r="D221" s="24"/>
      <c r="E221" s="24"/>
      <c r="F221" s="24"/>
      <c r="G221" s="24"/>
      <c r="H221" s="24"/>
      <c r="I221" s="24"/>
      <c r="J221" s="24"/>
      <c r="K221" s="24"/>
      <c r="L221" s="24"/>
      <c r="M221" s="24"/>
      <c r="N221" s="24"/>
      <c r="O221" s="24"/>
      <c r="P221" s="24"/>
      <c r="Q221" s="24"/>
      <c r="S221" s="24"/>
      <c r="T221" s="24"/>
      <c r="U221" s="24"/>
      <c r="V221" s="24"/>
      <c r="W221" s="24"/>
      <c r="X221" s="24"/>
      <c r="Y221" s="24"/>
      <c r="Z221" s="24"/>
      <c r="AA221" s="24"/>
      <c r="AB221" s="24"/>
      <c r="AC221" s="24"/>
      <c r="AD221" s="24"/>
      <c r="AE221" s="24"/>
      <c r="AF221" s="24"/>
      <c r="AG221" s="24"/>
    </row>
    <row r="222" spans="3:33">
      <c r="C222" s="24"/>
      <c r="D222" s="24"/>
      <c r="E222" s="24"/>
      <c r="F222" s="24"/>
      <c r="G222" s="24"/>
      <c r="H222" s="24"/>
      <c r="I222" s="24"/>
      <c r="J222" s="24"/>
      <c r="K222" s="24"/>
      <c r="L222" s="24"/>
      <c r="M222" s="24"/>
      <c r="N222" s="24"/>
      <c r="O222" s="24"/>
      <c r="P222" s="24"/>
      <c r="Q222" s="24"/>
      <c r="S222" s="24"/>
      <c r="T222" s="24"/>
      <c r="U222" s="24"/>
      <c r="V222" s="24"/>
      <c r="W222" s="24">
        <v>1.0649999999999999</v>
      </c>
      <c r="X222" s="24">
        <v>1.073</v>
      </c>
      <c r="Y222" s="24">
        <v>1.0629999999999999</v>
      </c>
      <c r="Z222" s="24">
        <v>1.006</v>
      </c>
      <c r="AA222" s="24">
        <v>0.95299999999999996</v>
      </c>
      <c r="AB222" s="24">
        <v>1.07</v>
      </c>
      <c r="AC222" s="24">
        <v>1.0029999999999999</v>
      </c>
      <c r="AD222" s="24">
        <v>1.014</v>
      </c>
      <c r="AE222" s="24">
        <v>1.046</v>
      </c>
      <c r="AF222" s="24">
        <v>0.999</v>
      </c>
      <c r="AG222" s="24"/>
    </row>
    <row r="223" spans="3:33">
      <c r="C223" s="24"/>
      <c r="D223" s="24"/>
      <c r="E223" s="24"/>
      <c r="F223" s="24"/>
      <c r="G223" s="24"/>
      <c r="H223" s="24"/>
      <c r="I223" s="24"/>
      <c r="J223" s="24"/>
      <c r="K223" s="24"/>
      <c r="L223" s="24"/>
      <c r="M223" s="24"/>
      <c r="N223" s="24"/>
      <c r="O223" s="24"/>
      <c r="P223" s="24"/>
      <c r="Q223" s="24"/>
      <c r="S223" s="24"/>
      <c r="T223" s="24"/>
      <c r="U223" s="24"/>
      <c r="V223" s="24"/>
      <c r="W223" s="24">
        <v>1.1659999999999999</v>
      </c>
      <c r="X223" s="24">
        <v>1.2130000000000001</v>
      </c>
      <c r="Y223" s="24">
        <v>1.262</v>
      </c>
      <c r="Z223" s="24">
        <v>1.1479999999999999</v>
      </c>
      <c r="AA223" s="24">
        <v>0.69599999999999995</v>
      </c>
      <c r="AB223" s="24">
        <v>1.258</v>
      </c>
      <c r="AC223" s="24">
        <v>1.2030000000000001</v>
      </c>
      <c r="AD223" s="24">
        <v>1.0880000000000001</v>
      </c>
      <c r="AE223" s="24">
        <v>1.0383899999999999</v>
      </c>
      <c r="AF223" s="24">
        <v>0.92130000000000001</v>
      </c>
      <c r="AG223" s="24"/>
    </row>
  </sheetData>
  <mergeCells count="12">
    <mergeCell ref="C203:L203"/>
    <mergeCell ref="C204:L204"/>
    <mergeCell ref="C219:N219"/>
    <mergeCell ref="S201:U201"/>
    <mergeCell ref="S203:AB203"/>
    <mergeCell ref="S204:AB204"/>
    <mergeCell ref="S219:AD219"/>
    <mergeCell ref="C111:D111"/>
    <mergeCell ref="C187:D187"/>
    <mergeCell ref="C188:D188"/>
    <mergeCell ref="BS82:BS83"/>
    <mergeCell ref="C201:E201"/>
  </mergeCells>
  <phoneticPr fontId="46" type="noConversion"/>
  <pageMargins left="0.7" right="0.7" top="0.75" bottom="0.75" header="0.3" footer="0.3"/>
  <pageSetup paperSize="9" scale="90" orientation="landscape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N6:AS23"/>
  <sheetViews>
    <sheetView topLeftCell="C4" zoomScale="110" zoomScaleNormal="110" workbookViewId="0">
      <selection activeCell="O7" sqref="O7"/>
    </sheetView>
  </sheetViews>
  <sheetFormatPr defaultRowHeight="14.4"/>
  <cols>
    <col min="14" max="14" width="9.6640625" customWidth="1"/>
  </cols>
  <sheetData>
    <row r="6" spans="14:45" ht="16.2" thickBot="1">
      <c r="AE6" s="2053" t="s">
        <v>1823</v>
      </c>
      <c r="AF6" s="2100"/>
      <c r="AG6" s="713"/>
      <c r="AH6" s="713"/>
      <c r="AI6" s="713"/>
      <c r="AJ6" s="713"/>
      <c r="AK6" s="27"/>
      <c r="AL6" s="713">
        <v>2018</v>
      </c>
      <c r="AM6" s="713">
        <v>2019</v>
      </c>
      <c r="AN6" s="713">
        <v>2020</v>
      </c>
      <c r="AO6" s="713">
        <v>2021</v>
      </c>
      <c r="AP6" s="713">
        <v>2022</v>
      </c>
      <c r="AQ6" s="713">
        <v>2023</v>
      </c>
      <c r="AR6" s="713">
        <v>2024</v>
      </c>
      <c r="AS6" s="27">
        <v>2025</v>
      </c>
    </row>
    <row r="7" spans="14:45" ht="16.2" thickBot="1">
      <c r="N7" s="2680"/>
      <c r="O7" s="2681" t="s">
        <v>2219</v>
      </c>
      <c r="P7" s="2674"/>
      <c r="Q7" s="2674"/>
      <c r="R7" s="2674"/>
      <c r="S7" s="2674"/>
      <c r="T7" s="2674"/>
      <c r="U7" s="2682"/>
      <c r="V7" s="2683"/>
      <c r="AE7" s="1078" t="s">
        <v>1822</v>
      </c>
      <c r="AF7" s="2101"/>
      <c r="AG7" s="2101"/>
      <c r="AH7" s="294"/>
      <c r="AI7" s="294"/>
      <c r="AJ7" s="294"/>
      <c r="AK7" s="80"/>
      <c r="AL7" s="294"/>
      <c r="AM7" s="294"/>
      <c r="AN7" s="294"/>
      <c r="AO7" s="294"/>
      <c r="AP7" s="294"/>
      <c r="AQ7" s="294"/>
      <c r="AR7" s="294"/>
      <c r="AS7" s="80"/>
    </row>
    <row r="8" spans="14:45" ht="16.2" thickBot="1">
      <c r="N8" s="2673" t="s">
        <v>2220</v>
      </c>
      <c r="O8" s="2674"/>
      <c r="P8" s="2675"/>
      <c r="Q8" s="2676"/>
      <c r="R8" s="2676"/>
      <c r="S8" s="2673" t="s">
        <v>2221</v>
      </c>
      <c r="T8" s="2674"/>
      <c r="U8" s="2674"/>
      <c r="V8" s="2675"/>
      <c r="AE8" s="2102" t="s">
        <v>1820</v>
      </c>
      <c r="AF8" s="1522"/>
      <c r="AG8" s="1522"/>
      <c r="AH8" s="20"/>
      <c r="AI8" s="20"/>
      <c r="AJ8" s="20"/>
      <c r="AK8" s="12"/>
      <c r="AL8" s="20"/>
      <c r="AM8" s="20"/>
      <c r="AN8" s="20"/>
      <c r="AO8" s="20"/>
      <c r="AP8" s="20"/>
      <c r="AQ8" s="20"/>
      <c r="AR8" s="20"/>
      <c r="AS8" s="12"/>
    </row>
    <row r="9" spans="14:45" ht="16.2" thickBot="1">
      <c r="N9" s="2677" t="s">
        <v>2222</v>
      </c>
      <c r="O9" s="2678"/>
      <c r="P9" s="2679"/>
      <c r="Q9" s="2676"/>
      <c r="R9" s="2676"/>
      <c r="S9" s="2673" t="s">
        <v>2223</v>
      </c>
      <c r="T9" s="2674"/>
      <c r="U9" s="2674"/>
      <c r="V9" s="2675"/>
      <c r="AE9" s="2102" t="s">
        <v>1819</v>
      </c>
      <c r="AF9" s="1522"/>
      <c r="AG9" s="1522"/>
      <c r="AH9" s="20"/>
      <c r="AI9" s="20"/>
      <c r="AJ9" s="20"/>
      <c r="AK9" s="12"/>
      <c r="AL9" s="20"/>
      <c r="AM9" s="20"/>
      <c r="AN9" s="20"/>
      <c r="AO9" s="20"/>
      <c r="AP9" s="20"/>
      <c r="AQ9" s="20"/>
      <c r="AR9" s="20"/>
      <c r="AS9" s="12"/>
    </row>
    <row r="10" spans="14:45" ht="16.2" thickBot="1">
      <c r="N10" s="2673" t="s">
        <v>2224</v>
      </c>
      <c r="O10" s="2674"/>
      <c r="P10" s="2674"/>
      <c r="Q10" s="2675"/>
      <c r="R10" s="2676"/>
      <c r="S10" s="2673" t="s">
        <v>2225</v>
      </c>
      <c r="T10" s="2674"/>
      <c r="U10" s="2674"/>
      <c r="V10" s="2675"/>
      <c r="AE10" s="2102" t="s">
        <v>1821</v>
      </c>
      <c r="AF10" s="1522"/>
      <c r="AG10" s="1522"/>
      <c r="AH10" s="20"/>
      <c r="AI10" s="20"/>
      <c r="AJ10" s="20"/>
      <c r="AK10" s="12"/>
      <c r="AL10" s="20"/>
      <c r="AM10" s="20"/>
      <c r="AN10" s="20"/>
      <c r="AO10" s="20"/>
      <c r="AP10" s="20"/>
      <c r="AQ10" s="20"/>
      <c r="AR10" s="20"/>
      <c r="AS10" s="12"/>
    </row>
    <row r="11" spans="14:45" ht="15.6">
      <c r="N11" s="2670" t="s">
        <v>2226</v>
      </c>
      <c r="O11" s="555"/>
      <c r="P11" s="555"/>
      <c r="Q11" s="555"/>
      <c r="R11" s="555"/>
      <c r="S11" s="555"/>
      <c r="T11" s="555"/>
      <c r="U11" s="555"/>
      <c r="V11" s="2670" t="s">
        <v>2227</v>
      </c>
      <c r="AE11" s="1534" t="s">
        <v>1824</v>
      </c>
      <c r="AF11" s="1457"/>
      <c r="AG11" s="1457"/>
      <c r="AH11" s="3"/>
      <c r="AI11" s="3"/>
      <c r="AJ11" s="3"/>
      <c r="AK11" s="81"/>
      <c r="AL11" s="3"/>
      <c r="AM11" s="3"/>
      <c r="AN11" s="3"/>
      <c r="AO11" s="3"/>
      <c r="AP11" s="3"/>
      <c r="AQ11" s="3"/>
      <c r="AR11" s="3"/>
      <c r="AS11" s="81"/>
    </row>
    <row r="12" spans="14:45" ht="15.6">
      <c r="N12" s="2671">
        <v>1</v>
      </c>
      <c r="O12" s="555" t="s">
        <v>2228</v>
      </c>
      <c r="P12" s="555"/>
      <c r="Q12" s="555"/>
      <c r="R12" s="555"/>
      <c r="S12" s="555"/>
      <c r="T12" s="555"/>
      <c r="U12" s="555"/>
      <c r="V12" s="2671" t="s">
        <v>2239</v>
      </c>
      <c r="AD12" s="20"/>
      <c r="AE12" s="20"/>
      <c r="AF12" s="1522"/>
      <c r="AG12" s="784"/>
      <c r="AH12" s="784"/>
    </row>
    <row r="13" spans="14:45">
      <c r="N13" s="2671">
        <v>2</v>
      </c>
      <c r="O13" s="555" t="s">
        <v>2240</v>
      </c>
      <c r="P13" s="555"/>
      <c r="Q13" s="555"/>
      <c r="R13" s="555"/>
      <c r="S13" s="555"/>
      <c r="T13" s="555"/>
      <c r="U13" s="555"/>
      <c r="V13" s="2671"/>
      <c r="AD13" s="20"/>
      <c r="AE13" s="20"/>
      <c r="AF13" s="20"/>
    </row>
    <row r="14" spans="14:45">
      <c r="N14" s="2671">
        <v>3</v>
      </c>
      <c r="O14" s="555" t="s">
        <v>2229</v>
      </c>
      <c r="P14" s="555"/>
      <c r="Q14" s="555"/>
      <c r="R14" s="555"/>
      <c r="S14" s="555"/>
      <c r="T14" s="555"/>
      <c r="U14" s="555"/>
      <c r="V14" s="2671"/>
      <c r="AD14" s="20"/>
      <c r="AE14" s="20"/>
      <c r="AF14" s="20"/>
    </row>
    <row r="15" spans="14:45">
      <c r="N15" s="2671">
        <v>4</v>
      </c>
      <c r="O15" s="555" t="s">
        <v>2230</v>
      </c>
      <c r="P15" s="555"/>
      <c r="Q15" s="555"/>
      <c r="R15" s="555"/>
      <c r="S15" s="555"/>
      <c r="T15" s="555"/>
      <c r="U15" s="555"/>
      <c r="V15" s="2671"/>
      <c r="AD15" s="20"/>
      <c r="AE15" s="20"/>
      <c r="AF15" s="20"/>
    </row>
    <row r="16" spans="14:45">
      <c r="N16" s="2671">
        <v>5</v>
      </c>
      <c r="O16" s="555" t="s">
        <v>2231</v>
      </c>
      <c r="P16" s="555"/>
      <c r="Q16" s="555"/>
      <c r="R16" s="555"/>
      <c r="S16" s="555"/>
      <c r="T16" s="555"/>
      <c r="U16" s="555"/>
      <c r="V16" s="2671"/>
      <c r="AD16" s="20"/>
      <c r="AE16" s="20"/>
      <c r="AF16" s="20"/>
    </row>
    <row r="17" spans="14:32">
      <c r="N17" s="2671">
        <v>6</v>
      </c>
      <c r="O17" s="555" t="s">
        <v>2232</v>
      </c>
      <c r="P17" s="555"/>
      <c r="Q17" s="555"/>
      <c r="R17" s="555"/>
      <c r="S17" s="555"/>
      <c r="T17" s="555"/>
      <c r="U17" s="555"/>
      <c r="V17" s="2671"/>
      <c r="AD17" s="20"/>
      <c r="AE17" s="20"/>
      <c r="AF17" s="20"/>
    </row>
    <row r="18" spans="14:32">
      <c r="N18" s="2671">
        <v>7</v>
      </c>
      <c r="O18" s="555" t="s">
        <v>2234</v>
      </c>
      <c r="P18" s="555"/>
      <c r="Q18" s="555"/>
      <c r="R18" s="555"/>
      <c r="S18" s="555"/>
      <c r="T18" s="555"/>
      <c r="U18" s="555"/>
      <c r="V18" s="2671"/>
      <c r="AD18" s="20"/>
      <c r="AE18" s="20"/>
      <c r="AF18" s="20"/>
    </row>
    <row r="19" spans="14:32">
      <c r="N19" s="2671">
        <v>8</v>
      </c>
      <c r="O19" s="555" t="s">
        <v>2235</v>
      </c>
      <c r="P19" s="555"/>
      <c r="Q19" s="555"/>
      <c r="R19" s="555"/>
      <c r="S19" s="555"/>
      <c r="T19" s="555"/>
      <c r="U19" s="555"/>
      <c r="V19" s="2671"/>
      <c r="AD19" s="20"/>
      <c r="AE19" s="20"/>
      <c r="AF19" s="20"/>
    </row>
    <row r="20" spans="14:32">
      <c r="N20" s="2671">
        <v>9</v>
      </c>
      <c r="O20" s="555" t="s">
        <v>2233</v>
      </c>
      <c r="P20" s="555"/>
      <c r="Q20" s="555"/>
      <c r="R20" s="555"/>
      <c r="S20" s="555"/>
      <c r="T20" s="555"/>
      <c r="U20" s="555"/>
      <c r="V20" s="2671"/>
    </row>
    <row r="21" spans="14:32">
      <c r="N21" s="2671">
        <v>10</v>
      </c>
      <c r="O21" s="555" t="s">
        <v>2236</v>
      </c>
      <c r="P21" s="555"/>
      <c r="Q21" s="555"/>
      <c r="R21" s="555"/>
      <c r="S21" s="555"/>
      <c r="T21" s="555"/>
      <c r="U21" s="555"/>
      <c r="V21" s="2671"/>
    </row>
    <row r="22" spans="14:32">
      <c r="N22" s="2671">
        <v>11</v>
      </c>
      <c r="O22" s="555" t="s">
        <v>2237</v>
      </c>
      <c r="P22" s="555"/>
      <c r="Q22" s="555"/>
      <c r="R22" s="555"/>
      <c r="S22" s="555"/>
      <c r="T22" s="555"/>
      <c r="U22" s="555"/>
      <c r="V22" s="2671"/>
    </row>
    <row r="23" spans="14:32" ht="15" thickBot="1">
      <c r="N23" s="2672">
        <v>12</v>
      </c>
      <c r="O23" s="2667" t="s">
        <v>2238</v>
      </c>
      <c r="P23" s="2668"/>
      <c r="Q23" s="2668"/>
      <c r="R23" s="2668"/>
      <c r="S23" s="2668"/>
      <c r="T23" s="2668"/>
      <c r="U23" s="2669"/>
      <c r="V23" s="2672"/>
    </row>
  </sheetData>
  <pageMargins left="0.7" right="0.7" top="0.75" bottom="0.75" header="0.3" footer="0.3"/>
  <pageSetup paperSize="9" orientation="portrait" verticalDpi="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C7:S217"/>
  <sheetViews>
    <sheetView topLeftCell="A147" zoomScale="80" zoomScaleNormal="80" workbookViewId="0">
      <selection activeCell="T158" sqref="T158"/>
    </sheetView>
  </sheetViews>
  <sheetFormatPr defaultRowHeight="14.4"/>
  <cols>
    <col min="3" max="3" width="10.44140625" customWidth="1"/>
    <col min="4" max="4" width="10.109375" bestFit="1" customWidth="1"/>
    <col min="5" max="5" width="10.5546875" bestFit="1" customWidth="1"/>
    <col min="7" max="8" width="9.33203125" bestFit="1" customWidth="1"/>
    <col min="10" max="11" width="9.33203125" bestFit="1" customWidth="1"/>
    <col min="20" max="20" width="12.109375" bestFit="1" customWidth="1"/>
    <col min="39" max="39" width="11.109375" customWidth="1"/>
  </cols>
  <sheetData>
    <row r="7" spans="3:19" ht="15.6">
      <c r="C7" s="935">
        <v>42278</v>
      </c>
      <c r="D7" s="57" t="s">
        <v>1323</v>
      </c>
      <c r="E7" s="57" t="s">
        <v>1324</v>
      </c>
      <c r="F7" s="57" t="s">
        <v>1332</v>
      </c>
      <c r="G7" s="57" t="s">
        <v>1325</v>
      </c>
      <c r="H7" s="57" t="s">
        <v>1333</v>
      </c>
      <c r="I7" s="57" t="s">
        <v>1334</v>
      </c>
      <c r="J7" s="57" t="s">
        <v>1332</v>
      </c>
      <c r="K7" s="57" t="s">
        <v>1335</v>
      </c>
      <c r="L7" s="57" t="s">
        <v>1326</v>
      </c>
      <c r="M7" s="57" t="s">
        <v>1327</v>
      </c>
      <c r="N7" s="57" t="s">
        <v>1332</v>
      </c>
      <c r="O7" s="57" t="s">
        <v>1328</v>
      </c>
      <c r="P7" s="57" t="s">
        <v>1329</v>
      </c>
      <c r="Q7" s="57" t="s">
        <v>1330</v>
      </c>
      <c r="R7" s="57" t="s">
        <v>1332</v>
      </c>
      <c r="S7" s="57" t="s">
        <v>1331</v>
      </c>
    </row>
    <row r="8" spans="3:19">
      <c r="C8" s="797">
        <v>42277</v>
      </c>
      <c r="D8" s="277"/>
      <c r="E8" s="277"/>
      <c r="F8" s="277"/>
      <c r="G8" s="277"/>
      <c r="H8" s="277"/>
      <c r="I8" s="277"/>
      <c r="J8" s="277"/>
      <c r="K8" s="277"/>
      <c r="L8" s="277"/>
      <c r="M8" s="277"/>
      <c r="N8" s="277"/>
      <c r="O8" s="277"/>
      <c r="P8" s="277"/>
      <c r="Q8" s="277"/>
      <c r="R8" s="277"/>
      <c r="S8" s="277"/>
    </row>
    <row r="9" spans="3:19">
      <c r="C9" s="138">
        <v>1995</v>
      </c>
      <c r="D9" s="929">
        <v>719.79349999999999</v>
      </c>
      <c r="E9" s="932">
        <f t="array" ref="E9:E44">TRANSPOSE(СЧЁТ!O121:AX121)</f>
        <v>0</v>
      </c>
      <c r="G9" s="934">
        <f t="shared" ref="G9:G44" si="0">E9-D9</f>
        <v>-719.79349999999999</v>
      </c>
      <c r="H9" s="929">
        <v>910.9</v>
      </c>
      <c r="I9" s="932" t="e">
        <f t="array" ref="I9:I44">TRANSPOSE(СЧЁТ!#REF!)</f>
        <v>#REF!</v>
      </c>
      <c r="K9" s="941" t="e">
        <f t="shared" ref="K9:K44" si="1">I9-H9</f>
        <v>#REF!</v>
      </c>
      <c r="L9" s="359">
        <v>1428.5221000000001</v>
      </c>
      <c r="M9" s="359" t="e">
        <f t="array" ref="M9:M44">TRANSPOSE(СЧЁТ!#REF!)</f>
        <v>#REF!</v>
      </c>
      <c r="O9" s="934" t="e">
        <f t="shared" ref="O9:O44" si="2">M9-L9</f>
        <v>#REF!</v>
      </c>
      <c r="P9" s="359">
        <v>486.1</v>
      </c>
      <c r="Q9" s="359" t="e">
        <f t="array" ref="Q9:Q44">TRANSPOSE(СЧЁТ!#REF!)</f>
        <v>#REF!</v>
      </c>
      <c r="S9" s="938" t="e">
        <f t="shared" ref="S9:S44" si="3">Q9-P9</f>
        <v>#REF!</v>
      </c>
    </row>
    <row r="10" spans="3:19">
      <c r="C10" s="139">
        <v>1996</v>
      </c>
      <c r="D10" s="930">
        <v>1007.2544098057782</v>
      </c>
      <c r="E10" s="249">
        <v>0</v>
      </c>
      <c r="G10" s="934">
        <f t="shared" si="0"/>
        <v>-1007.2544098057782</v>
      </c>
      <c r="H10" s="930">
        <v>1356.3289726782687</v>
      </c>
      <c r="I10" s="249" t="e">
        <v>#REF!</v>
      </c>
      <c r="K10" s="941" t="e">
        <f t="shared" si="1"/>
        <v>#REF!</v>
      </c>
      <c r="L10" s="359">
        <v>2006.6844674921085</v>
      </c>
      <c r="M10" s="359" t="e">
        <v>#REF!</v>
      </c>
      <c r="O10" s="934" t="e">
        <f t="shared" si="2"/>
        <v>#REF!</v>
      </c>
      <c r="P10" s="359">
        <v>652.32917284437849</v>
      </c>
      <c r="Q10" s="359" t="e">
        <v>#REF!</v>
      </c>
      <c r="S10" s="939" t="e">
        <f t="shared" si="3"/>
        <v>#REF!</v>
      </c>
    </row>
    <row r="11" spans="3:19">
      <c r="C11" s="139">
        <v>1997</v>
      </c>
      <c r="D11" s="930">
        <v>1234.4097279159298</v>
      </c>
      <c r="E11" s="249">
        <v>0</v>
      </c>
      <c r="G11" s="934">
        <f t="shared" si="0"/>
        <v>-1234.4097279159298</v>
      </c>
      <c r="H11" s="930">
        <v>1655.3218874757836</v>
      </c>
      <c r="I11" s="249" t="e">
        <v>#REF!</v>
      </c>
      <c r="K11" s="941" t="e">
        <f t="shared" si="1"/>
        <v>#REF!</v>
      </c>
      <c r="L11" s="359">
        <v>2340.9890119064721</v>
      </c>
      <c r="M11" s="359" t="e">
        <v>#REF!</v>
      </c>
      <c r="O11" s="934" t="e">
        <f t="shared" si="2"/>
        <v>#REF!</v>
      </c>
      <c r="P11" s="359">
        <v>838.95358882873722</v>
      </c>
      <c r="Q11" s="359" t="e">
        <v>#REF!</v>
      </c>
      <c r="S11" s="939" t="e">
        <f t="shared" si="3"/>
        <v>#REF!</v>
      </c>
    </row>
    <row r="12" spans="3:19">
      <c r="C12" s="139">
        <v>1998</v>
      </c>
      <c r="D12" s="930">
        <v>1462.680197179297</v>
      </c>
      <c r="E12" s="249">
        <v>0</v>
      </c>
      <c r="G12" s="934">
        <f t="shared" si="0"/>
        <v>-1462.680197179297</v>
      </c>
      <c r="H12" s="930">
        <v>1776.4811966693414</v>
      </c>
      <c r="I12" s="249" t="e">
        <v>#REF!</v>
      </c>
      <c r="K12" s="941" t="e">
        <f t="shared" si="1"/>
        <v>#REF!</v>
      </c>
      <c r="L12" s="359">
        <v>2630.3353807326039</v>
      </c>
      <c r="M12" s="359" t="e">
        <v>#REF!</v>
      </c>
      <c r="O12" s="934" t="e">
        <f t="shared" si="2"/>
        <v>#REF!</v>
      </c>
      <c r="P12" s="359">
        <v>842.32816200183152</v>
      </c>
      <c r="Q12" s="359" t="e">
        <v>#REF!</v>
      </c>
      <c r="S12" s="939" t="e">
        <f t="shared" si="3"/>
        <v>#REF!</v>
      </c>
    </row>
    <row r="13" spans="3:19">
      <c r="C13" s="139">
        <v>1999</v>
      </c>
      <c r="D13" s="930">
        <v>2526.6596454471814</v>
      </c>
      <c r="E13" s="249">
        <v>0</v>
      </c>
      <c r="G13" s="934">
        <f t="shared" si="0"/>
        <v>-2526.6596454471814</v>
      </c>
      <c r="H13" s="930">
        <v>2908.6660925922415</v>
      </c>
      <c r="I13" s="249" t="e">
        <v>#REF!</v>
      </c>
      <c r="K13" s="941" t="e">
        <f t="shared" si="1"/>
        <v>#REF!</v>
      </c>
      <c r="L13" s="359">
        <v>4824.1717935784</v>
      </c>
      <c r="M13" s="359" t="e">
        <v>#REF!</v>
      </c>
      <c r="O13" s="934" t="e">
        <f t="shared" si="2"/>
        <v>#REF!</v>
      </c>
      <c r="P13" s="359">
        <v>1258.2448830786559</v>
      </c>
      <c r="Q13" s="359" t="e">
        <v>#REF!</v>
      </c>
      <c r="S13" s="939" t="e">
        <f t="shared" si="3"/>
        <v>#REF!</v>
      </c>
    </row>
    <row r="14" spans="3:19">
      <c r="C14" s="139">
        <v>2000</v>
      </c>
      <c r="D14" s="930">
        <v>3295.2804277472164</v>
      </c>
      <c r="E14" s="249">
        <v>0</v>
      </c>
      <c r="G14" s="934">
        <f t="shared" si="0"/>
        <v>-3295.2804277472164</v>
      </c>
      <c r="H14" s="930">
        <v>3983.9521408980577</v>
      </c>
      <c r="I14" s="249" t="e">
        <v>#REF!</v>
      </c>
      <c r="K14" s="941" t="e">
        <f t="shared" si="1"/>
        <v>#REF!</v>
      </c>
      <c r="L14" s="359">
        <v>7305.7422155964296</v>
      </c>
      <c r="M14" s="359" t="e">
        <v>#REF!</v>
      </c>
      <c r="O14" s="934" t="e">
        <f t="shared" si="2"/>
        <v>#REF!</v>
      </c>
      <c r="P14" s="359">
        <v>1960.1256535993077</v>
      </c>
      <c r="Q14" s="359" t="e">
        <v>#REF!</v>
      </c>
      <c r="S14" s="939" t="e">
        <f t="shared" si="3"/>
        <v>#REF!</v>
      </c>
    </row>
    <row r="15" spans="3:19">
      <c r="C15" s="139">
        <v>2001</v>
      </c>
      <c r="D15" s="930">
        <v>4318.5037419386326</v>
      </c>
      <c r="E15" s="249">
        <v>0</v>
      </c>
      <c r="G15" s="934">
        <f t="shared" si="0"/>
        <v>-4318.5037419386326</v>
      </c>
      <c r="H15" s="930">
        <v>5326.2719354528454</v>
      </c>
      <c r="I15" s="249" t="e">
        <v>#REF!</v>
      </c>
      <c r="K15" s="941" t="e">
        <f t="shared" si="1"/>
        <v>#REF!</v>
      </c>
      <c r="L15" s="359">
        <v>8944.3751182516044</v>
      </c>
      <c r="M15" s="359" t="e">
        <v>#REF!</v>
      </c>
      <c r="O15" s="934" t="e">
        <f t="shared" si="2"/>
        <v>#REF!</v>
      </c>
      <c r="P15" s="359">
        <v>2419.6143904454943</v>
      </c>
      <c r="Q15" s="359" t="e">
        <v>#REF!</v>
      </c>
      <c r="S15" s="939" t="e">
        <f t="shared" si="3"/>
        <v>#REF!</v>
      </c>
    </row>
    <row r="16" spans="3:19">
      <c r="C16" s="139">
        <v>2002</v>
      </c>
      <c r="D16" s="930">
        <v>5409.7953692248584</v>
      </c>
      <c r="E16" s="249">
        <v>0</v>
      </c>
      <c r="G16" s="934">
        <f t="shared" si="0"/>
        <v>-5409.7953692248584</v>
      </c>
      <c r="H16" s="930">
        <v>6831.8052859089339</v>
      </c>
      <c r="I16" s="249" t="e">
        <v>#REF!</v>
      </c>
      <c r="K16" s="941" t="e">
        <f t="shared" si="1"/>
        <v>#REF!</v>
      </c>
      <c r="L16" s="359">
        <v>10820.531200401974</v>
      </c>
      <c r="M16" s="359" t="e">
        <v>#REF!</v>
      </c>
      <c r="O16" s="934" t="e">
        <f t="shared" si="2"/>
        <v>#REF!</v>
      </c>
      <c r="P16" s="359">
        <v>3422.7171905237205</v>
      </c>
      <c r="Q16" s="359" t="e">
        <v>#REF!</v>
      </c>
      <c r="S16" s="939" t="e">
        <f t="shared" si="3"/>
        <v>#REF!</v>
      </c>
    </row>
    <row r="17" spans="3:19">
      <c r="C17" s="139">
        <v>2003</v>
      </c>
      <c r="D17" s="930">
        <v>6537.9388096263629</v>
      </c>
      <c r="E17" s="249">
        <v>0</v>
      </c>
      <c r="G17" s="934">
        <f t="shared" si="0"/>
        <v>-6537.9388096263629</v>
      </c>
      <c r="H17" s="930">
        <v>8901.2315329079065</v>
      </c>
      <c r="I17" s="249" t="e">
        <v>#REF!</v>
      </c>
      <c r="K17" s="941" t="e">
        <f t="shared" si="1"/>
        <v>#REF!</v>
      </c>
      <c r="L17" s="359">
        <v>13209.330938809908</v>
      </c>
      <c r="M17" s="359" t="e">
        <v>#REF!</v>
      </c>
      <c r="O17" s="934" t="e">
        <f t="shared" si="2"/>
        <v>#REF!</v>
      </c>
      <c r="P17" s="359">
        <v>3965.2293434787175</v>
      </c>
      <c r="Q17" s="359" t="e">
        <v>#REF!</v>
      </c>
      <c r="S17" s="939" t="e">
        <f t="shared" si="3"/>
        <v>#REF!</v>
      </c>
    </row>
    <row r="18" spans="3:19">
      <c r="C18" s="139">
        <v>2004</v>
      </c>
      <c r="D18" s="930">
        <v>8440.1090096265998</v>
      </c>
      <c r="E18" s="249">
        <v>0</v>
      </c>
      <c r="G18" s="934">
        <f t="shared" si="0"/>
        <v>-8440.1090096265998</v>
      </c>
      <c r="H18" s="930">
        <v>10978.413589991174</v>
      </c>
      <c r="I18" s="249" t="e">
        <v>#REF!</v>
      </c>
      <c r="K18" s="941" t="e">
        <f t="shared" si="1"/>
        <v>#REF!</v>
      </c>
      <c r="L18" s="359">
        <v>17030.452560823815</v>
      </c>
      <c r="M18" s="359" t="e">
        <v>#REF!</v>
      </c>
      <c r="O18" s="934" t="e">
        <f t="shared" si="2"/>
        <v>#REF!</v>
      </c>
      <c r="P18" s="359">
        <v>4670.5945091200547</v>
      </c>
      <c r="Q18" s="359" t="e">
        <v>#REF!</v>
      </c>
      <c r="S18" s="939" t="e">
        <f t="shared" si="3"/>
        <v>#REF!</v>
      </c>
    </row>
    <row r="19" spans="3:19">
      <c r="C19" s="139">
        <v>2005</v>
      </c>
      <c r="D19" s="930">
        <v>10655.578219607823</v>
      </c>
      <c r="E19" s="249">
        <v>0</v>
      </c>
      <c r="G19" s="934">
        <f t="shared" si="0"/>
        <v>-10655.578219607823</v>
      </c>
      <c r="H19" s="930">
        <v>13822.52895713679</v>
      </c>
      <c r="I19" s="249" t="e">
        <v>#REF!</v>
      </c>
      <c r="K19" s="941" t="e">
        <f t="shared" si="1"/>
        <v>#REF!</v>
      </c>
      <c r="L19" s="359">
        <v>21615.28418940277</v>
      </c>
      <c r="M19" s="359" t="e">
        <v>#REF!</v>
      </c>
      <c r="O19" s="934" t="e">
        <f t="shared" si="2"/>
        <v>#REF!</v>
      </c>
      <c r="P19" s="359">
        <v>6822.341840879325</v>
      </c>
      <c r="Q19" s="359" t="e">
        <v>#REF!</v>
      </c>
      <c r="S19" s="939" t="e">
        <f t="shared" si="3"/>
        <v>#REF!</v>
      </c>
    </row>
    <row r="20" spans="3:19">
      <c r="C20" s="139">
        <v>2006</v>
      </c>
      <c r="D20" s="930">
        <v>12974.710795427085</v>
      </c>
      <c r="E20" s="249">
        <v>0</v>
      </c>
      <c r="G20" s="934">
        <f t="shared" si="0"/>
        <v>-12974.710795427085</v>
      </c>
      <c r="H20" s="930">
        <v>17290.056551254325</v>
      </c>
      <c r="I20" s="249" t="e">
        <v>#REF!</v>
      </c>
      <c r="K20" s="941" t="e">
        <f t="shared" si="1"/>
        <v>#REF!</v>
      </c>
      <c r="L20" s="359">
        <v>26917.135353468959</v>
      </c>
      <c r="M20" s="359" t="e">
        <v>#REF!</v>
      </c>
      <c r="O20" s="934" t="e">
        <f t="shared" si="2"/>
        <v>#REF!</v>
      </c>
      <c r="P20" s="359">
        <v>8375.1794498358668</v>
      </c>
      <c r="Q20" s="359" t="e">
        <v>#REF!</v>
      </c>
      <c r="S20" s="939" t="e">
        <f t="shared" si="3"/>
        <v>#REF!</v>
      </c>
    </row>
    <row r="21" spans="3:19">
      <c r="C21" s="139">
        <v>2007</v>
      </c>
      <c r="D21" s="930">
        <v>16031.740560919199</v>
      </c>
      <c r="E21" s="249">
        <v>0</v>
      </c>
      <c r="G21" s="934">
        <f t="shared" si="0"/>
        <v>-16031.740560919199</v>
      </c>
      <c r="H21" s="930">
        <v>21311.501011514018</v>
      </c>
      <c r="I21" s="249" t="e">
        <v>#REF!</v>
      </c>
      <c r="K21" s="941" t="e">
        <f t="shared" si="1"/>
        <v>#REF!</v>
      </c>
      <c r="L21" s="359">
        <v>33247.514778036544</v>
      </c>
      <c r="M21" s="359" t="e">
        <v>#REF!</v>
      </c>
      <c r="O21" s="934" t="e">
        <f t="shared" si="2"/>
        <v>#REF!</v>
      </c>
      <c r="P21" s="359">
        <v>11378.578540064809</v>
      </c>
      <c r="Q21" s="359" t="e">
        <v>#REF!</v>
      </c>
      <c r="S21" s="939" t="e">
        <f t="shared" si="3"/>
        <v>#REF!</v>
      </c>
    </row>
    <row r="22" spans="3:19">
      <c r="C22" s="139">
        <v>2008</v>
      </c>
      <c r="D22" s="930">
        <v>19966.955701089701</v>
      </c>
      <c r="E22" s="249">
        <v>0</v>
      </c>
      <c r="G22" s="934">
        <f t="shared" si="0"/>
        <v>-19966.955701089701</v>
      </c>
      <c r="H22" s="930">
        <v>25244.001265666637</v>
      </c>
      <c r="I22" s="249" t="e">
        <v>#REF!</v>
      </c>
      <c r="K22" s="941" t="e">
        <f t="shared" si="1"/>
        <v>#REF!</v>
      </c>
      <c r="L22" s="359">
        <v>41276.8512695108</v>
      </c>
      <c r="M22" s="359" t="e">
        <v>#REF!</v>
      </c>
      <c r="O22" s="934" t="e">
        <f t="shared" si="2"/>
        <v>#REF!</v>
      </c>
      <c r="P22" s="359">
        <v>13991.788701510823</v>
      </c>
      <c r="Q22" s="359" t="e">
        <v>#REF!</v>
      </c>
      <c r="S22" s="939" t="e">
        <f t="shared" si="3"/>
        <v>#REF!</v>
      </c>
    </row>
    <row r="23" spans="3:19">
      <c r="C23" s="139">
        <v>2009</v>
      </c>
      <c r="D23" s="930">
        <v>20986.128348580813</v>
      </c>
      <c r="E23" s="249">
        <v>0</v>
      </c>
      <c r="G23" s="934">
        <f t="shared" si="0"/>
        <v>-20986.128348580813</v>
      </c>
      <c r="H23" s="930">
        <v>28697.62628270522</v>
      </c>
      <c r="I23" s="249" t="e">
        <v>#REF!</v>
      </c>
      <c r="K23" s="941" t="e">
        <f t="shared" si="1"/>
        <v>#REF!</v>
      </c>
      <c r="L23" s="359">
        <v>38807.426685255392</v>
      </c>
      <c r="M23" s="359" t="e">
        <v>#REF!</v>
      </c>
      <c r="O23" s="934" t="e">
        <f t="shared" si="2"/>
        <v>#REF!</v>
      </c>
      <c r="P23" s="359">
        <v>16048.385885960655</v>
      </c>
      <c r="Q23" s="359" t="e">
        <v>#REF!</v>
      </c>
      <c r="S23" s="939" t="e">
        <f t="shared" si="3"/>
        <v>#REF!</v>
      </c>
    </row>
    <row r="24" spans="3:19">
      <c r="C24" s="139">
        <v>2010</v>
      </c>
      <c r="D24" s="930">
        <v>23617.627679476813</v>
      </c>
      <c r="E24" s="249">
        <v>0</v>
      </c>
      <c r="G24" s="934">
        <f t="shared" si="0"/>
        <v>-23617.627679476813</v>
      </c>
      <c r="H24" s="930">
        <v>32498.306439049404</v>
      </c>
      <c r="I24" s="249" t="e">
        <v>#REF!</v>
      </c>
      <c r="K24" s="941" t="e">
        <f t="shared" si="1"/>
        <v>#REF!</v>
      </c>
      <c r="L24" s="359">
        <v>46308.543099388698</v>
      </c>
      <c r="M24" s="359" t="e">
        <v>#REF!</v>
      </c>
      <c r="O24" s="934" t="e">
        <f t="shared" si="2"/>
        <v>#REF!</v>
      </c>
      <c r="P24" s="359">
        <v>17616.700798649668</v>
      </c>
      <c r="Q24" s="359" t="e">
        <v>#REF!</v>
      </c>
      <c r="S24" s="939" t="e">
        <f t="shared" si="3"/>
        <v>#REF!</v>
      </c>
    </row>
    <row r="25" spans="3:19">
      <c r="C25" s="139">
        <v>2011</v>
      </c>
      <c r="D25" s="930">
        <v>27192.560697429435</v>
      </c>
      <c r="E25" s="249">
        <v>0</v>
      </c>
      <c r="G25" s="934">
        <f t="shared" si="0"/>
        <v>-27192.560697429435</v>
      </c>
      <c r="H25" s="930">
        <v>35648.749420362816</v>
      </c>
      <c r="I25" s="249" t="e">
        <v>#REF!</v>
      </c>
      <c r="K25" s="941" t="e">
        <f t="shared" si="1"/>
        <v>#REF!</v>
      </c>
      <c r="L25" s="359">
        <v>55967.304588261693</v>
      </c>
      <c r="M25" s="359" t="e">
        <v>#REF!</v>
      </c>
      <c r="O25" s="934" t="e">
        <f t="shared" si="2"/>
        <v>#REF!</v>
      </c>
      <c r="P25" s="359">
        <v>19994.627718833686</v>
      </c>
      <c r="Q25" s="359" t="e">
        <v>#REF!</v>
      </c>
      <c r="S25" s="939" t="e">
        <f t="shared" si="3"/>
        <v>#REF!</v>
      </c>
    </row>
    <row r="26" spans="3:19">
      <c r="C26" s="139">
        <v>2012</v>
      </c>
      <c r="D26" s="930">
        <v>30845.994743919775</v>
      </c>
      <c r="E26" s="249">
        <v>0</v>
      </c>
      <c r="G26" s="934">
        <f t="shared" si="0"/>
        <v>-30845.994743919775</v>
      </c>
      <c r="H26" s="930">
        <v>39642.001059118389</v>
      </c>
      <c r="I26" s="249" t="e">
        <v>#REF!</v>
      </c>
      <c r="K26" s="941" t="e">
        <f t="shared" si="1"/>
        <v>#REF!</v>
      </c>
      <c r="L26" s="359">
        <v>62238.950186073838</v>
      </c>
      <c r="M26" s="359" t="e">
        <v>#REF!</v>
      </c>
      <c r="O26" s="934" t="e">
        <f t="shared" si="2"/>
        <v>#REF!</v>
      </c>
      <c r="P26" s="359">
        <v>22848.930149439464</v>
      </c>
      <c r="Q26" s="359" t="e">
        <v>#REF!</v>
      </c>
      <c r="S26" s="939" t="e">
        <f t="shared" si="3"/>
        <v>#REF!</v>
      </c>
    </row>
    <row r="27" spans="3:19">
      <c r="C27" s="139">
        <v>2013</v>
      </c>
      <c r="D27" s="930">
        <v>34611.774726952732</v>
      </c>
      <c r="E27" s="249">
        <v>0</v>
      </c>
      <c r="G27" s="934">
        <f t="shared" si="0"/>
        <v>-34611.774726952732</v>
      </c>
      <c r="H27" s="930">
        <v>43867.314042718528</v>
      </c>
      <c r="I27" s="249" t="e">
        <v>#REF!</v>
      </c>
      <c r="K27" s="941" t="e">
        <f t="shared" si="1"/>
        <v>#REF!</v>
      </c>
      <c r="L27" s="359">
        <v>67049.71606008349</v>
      </c>
      <c r="M27" s="359" t="e">
        <v>#REF!</v>
      </c>
      <c r="O27" s="934" t="e">
        <f t="shared" si="2"/>
        <v>#REF!</v>
      </c>
      <c r="P27" s="359">
        <v>25619.354917184977</v>
      </c>
      <c r="Q27" s="359" t="e">
        <v>#REF!</v>
      </c>
      <c r="S27" s="939" t="e">
        <f t="shared" si="3"/>
        <v>#REF!</v>
      </c>
    </row>
    <row r="28" spans="3:19">
      <c r="C28" s="139">
        <v>2014</v>
      </c>
      <c r="D28" s="930">
        <v>37035.801764862983</v>
      </c>
      <c r="E28" s="249">
        <v>0</v>
      </c>
      <c r="G28" s="934">
        <f t="shared" si="0"/>
        <v>-37035.801764862983</v>
      </c>
      <c r="H28" s="930">
        <v>48388.91225312114</v>
      </c>
      <c r="I28" s="249" t="e">
        <v>#REF!</v>
      </c>
      <c r="K28" s="941" t="e">
        <f t="shared" si="1"/>
        <v>#REF!</v>
      </c>
      <c r="L28" s="359">
        <v>72703.505843683612</v>
      </c>
      <c r="M28" s="359" t="e">
        <v>#REF!</v>
      </c>
      <c r="O28" s="934" t="e">
        <f t="shared" si="2"/>
        <v>#REF!</v>
      </c>
      <c r="P28" s="359">
        <v>27990.84974981819</v>
      </c>
      <c r="Q28" s="359" t="e">
        <v>#REF!</v>
      </c>
      <c r="S28" s="939" t="e">
        <f t="shared" si="3"/>
        <v>#REF!</v>
      </c>
    </row>
    <row r="29" spans="3:19">
      <c r="C29" s="139">
        <v>2015</v>
      </c>
      <c r="D29" s="930">
        <v>34916.797538938481</v>
      </c>
      <c r="E29" s="249">
        <v>0</v>
      </c>
      <c r="G29" s="934">
        <f t="shared" si="0"/>
        <v>-34916.797538938481</v>
      </c>
      <c r="H29" s="930">
        <v>45619.334124870584</v>
      </c>
      <c r="I29" s="249" t="e">
        <v>#REF!</v>
      </c>
      <c r="K29" s="941" t="e">
        <f t="shared" si="1"/>
        <v>#REF!</v>
      </c>
      <c r="L29" s="359">
        <v>67159.184809070284</v>
      </c>
      <c r="M29" s="359" t="e">
        <v>#REF!</v>
      </c>
      <c r="O29" s="934" t="e">
        <f t="shared" si="2"/>
        <v>#REF!</v>
      </c>
      <c r="P29" s="359">
        <v>24848.898379356004</v>
      </c>
      <c r="Q29" s="359" t="e">
        <v>#REF!</v>
      </c>
      <c r="S29" s="939" t="e">
        <f t="shared" si="3"/>
        <v>#REF!</v>
      </c>
    </row>
    <row r="30" spans="3:19">
      <c r="C30" s="139">
        <v>2016</v>
      </c>
      <c r="D30" s="930">
        <v>34076.617488619078</v>
      </c>
      <c r="E30" s="249">
        <v>0</v>
      </c>
      <c r="F30" s="32">
        <f>100*G30/D30</f>
        <v>-100</v>
      </c>
      <c r="G30" s="934">
        <f t="shared" si="0"/>
        <v>-34076.617488619078</v>
      </c>
      <c r="H30" s="930">
        <v>44521.203095829405</v>
      </c>
      <c r="I30" s="249" t="e">
        <v>#REF!</v>
      </c>
      <c r="J30" s="32" t="e">
        <f>100*K30/H30</f>
        <v>#REF!</v>
      </c>
      <c r="K30" s="941" t="e">
        <f t="shared" si="1"/>
        <v>#REF!</v>
      </c>
      <c r="L30" s="359">
        <v>69314.472576277083</v>
      </c>
      <c r="M30" s="359" t="e">
        <v>#REF!</v>
      </c>
      <c r="N30" s="32" t="e">
        <f>100*O30/L30</f>
        <v>#REF!</v>
      </c>
      <c r="O30" s="934" t="e">
        <f t="shared" si="2"/>
        <v>#REF!</v>
      </c>
      <c r="P30" s="359">
        <v>24953.210127459748</v>
      </c>
      <c r="Q30" s="359" t="e">
        <v>#REF!</v>
      </c>
      <c r="R30" s="32" t="e">
        <f>100*S30/P30</f>
        <v>#REF!</v>
      </c>
      <c r="S30" s="939" t="e">
        <f t="shared" si="3"/>
        <v>#REF!</v>
      </c>
    </row>
    <row r="31" spans="3:19">
      <c r="C31" s="139">
        <v>2017</v>
      </c>
      <c r="D31" s="930">
        <v>39014.470388345711</v>
      </c>
      <c r="E31" s="249">
        <v>0</v>
      </c>
      <c r="F31" s="32">
        <f t="shared" ref="F31:F44" si="4">100*G31/D31</f>
        <v>-100</v>
      </c>
      <c r="G31" s="934">
        <f t="shared" si="0"/>
        <v>-39014.470388345711</v>
      </c>
      <c r="H31" s="930">
        <v>50975.069126056347</v>
      </c>
      <c r="I31" s="249" t="e">
        <v>#REF!</v>
      </c>
      <c r="J31" s="32" t="e">
        <f t="shared" ref="J31:J44" si="5">100*K31/H31</f>
        <v>#REF!</v>
      </c>
      <c r="K31" s="941" t="e">
        <f t="shared" si="1"/>
        <v>#REF!</v>
      </c>
      <c r="L31" s="359">
        <v>78953.480801860336</v>
      </c>
      <c r="M31" s="359" t="e">
        <v>#REF!</v>
      </c>
      <c r="N31" s="32" t="e">
        <f t="shared" ref="N31:N44" si="6">100*O31/L31</f>
        <v>#REF!</v>
      </c>
      <c r="O31" s="934" t="e">
        <f t="shared" si="2"/>
        <v>#REF!</v>
      </c>
      <c r="P31" s="359">
        <v>28423.25308866972</v>
      </c>
      <c r="Q31" s="359" t="e">
        <v>#REF!</v>
      </c>
      <c r="R31" s="32" t="e">
        <f t="shared" ref="R31:R44" si="7">100*S31/P31</f>
        <v>#REF!</v>
      </c>
      <c r="S31" s="939" t="e">
        <f t="shared" si="3"/>
        <v>#REF!</v>
      </c>
    </row>
    <row r="32" spans="3:19">
      <c r="C32" s="139">
        <v>2018</v>
      </c>
      <c r="D32" s="930">
        <v>43218.286411870933</v>
      </c>
      <c r="E32" s="249">
        <v>0</v>
      </c>
      <c r="F32" s="32">
        <f t="shared" si="4"/>
        <v>-100</v>
      </c>
      <c r="G32" s="934">
        <f t="shared" si="0"/>
        <v>-43218.286411870933</v>
      </c>
      <c r="H32" s="930">
        <v>56469.535239669232</v>
      </c>
      <c r="I32" s="249" t="e">
        <v>#REF!</v>
      </c>
      <c r="J32" s="32" t="e">
        <f t="shared" si="5"/>
        <v>#REF!</v>
      </c>
      <c r="K32" s="941" t="e">
        <f t="shared" si="1"/>
        <v>#REF!</v>
      </c>
      <c r="L32" s="359">
        <v>87250.80918194777</v>
      </c>
      <c r="M32" s="359" t="e">
        <v>#REF!</v>
      </c>
      <c r="N32" s="32" t="e">
        <f t="shared" si="6"/>
        <v>#REF!</v>
      </c>
      <c r="O32" s="934" t="e">
        <f t="shared" si="2"/>
        <v>#REF!</v>
      </c>
      <c r="P32" s="359">
        <v>31410.291305501196</v>
      </c>
      <c r="Q32" s="359" t="e">
        <v>#REF!</v>
      </c>
      <c r="R32" s="32" t="e">
        <f t="shared" si="7"/>
        <v>#REF!</v>
      </c>
      <c r="S32" s="939" t="e">
        <f t="shared" si="3"/>
        <v>#REF!</v>
      </c>
    </row>
    <row r="33" spans="3:19">
      <c r="C33" s="139">
        <v>2019</v>
      </c>
      <c r="D33" s="930">
        <v>47658.573969312398</v>
      </c>
      <c r="E33" s="249">
        <v>0</v>
      </c>
      <c r="F33" s="32">
        <f t="shared" si="4"/>
        <v>-99.999999999999986</v>
      </c>
      <c r="G33" s="934">
        <f t="shared" si="0"/>
        <v>-47658.573969312398</v>
      </c>
      <c r="H33" s="930">
        <v>62273.074067850474</v>
      </c>
      <c r="I33" s="249" t="e">
        <v>#REF!</v>
      </c>
      <c r="J33" s="32" t="e">
        <f t="shared" si="5"/>
        <v>#REF!</v>
      </c>
      <c r="K33" s="941" t="e">
        <f t="shared" si="1"/>
        <v>#REF!</v>
      </c>
      <c r="L33" s="359">
        <v>96117.082759009849</v>
      </c>
      <c r="M33" s="359" t="e">
        <v>#REF!</v>
      </c>
      <c r="N33" s="32" t="e">
        <f t="shared" si="6"/>
        <v>#REF!</v>
      </c>
      <c r="O33" s="934" t="e">
        <f t="shared" si="2"/>
        <v>#REF!</v>
      </c>
      <c r="P33" s="359">
        <v>34602.149793243545</v>
      </c>
      <c r="Q33" s="359" t="e">
        <v>#REF!</v>
      </c>
      <c r="R33" s="32" t="e">
        <f t="shared" si="7"/>
        <v>#REF!</v>
      </c>
      <c r="S33" s="939" t="e">
        <f t="shared" si="3"/>
        <v>#REF!</v>
      </c>
    </row>
    <row r="34" spans="3:19">
      <c r="C34" s="139">
        <v>2020</v>
      </c>
      <c r="D34" s="930">
        <v>51180.39616342615</v>
      </c>
      <c r="E34" s="249">
        <v>0</v>
      </c>
      <c r="F34" s="32">
        <f t="shared" si="4"/>
        <v>-100</v>
      </c>
      <c r="G34" s="934">
        <f t="shared" si="0"/>
        <v>-51180.39616342615</v>
      </c>
      <c r="H34" s="930">
        <v>66876.161499707421</v>
      </c>
      <c r="I34" s="249" t="e">
        <v>#REF!</v>
      </c>
      <c r="J34" s="32" t="e">
        <f t="shared" si="5"/>
        <v>#REF!</v>
      </c>
      <c r="K34" s="941" t="e">
        <f t="shared" si="1"/>
        <v>#REF!</v>
      </c>
      <c r="L34" s="359">
        <v>103188.2063293003</v>
      </c>
      <c r="M34" s="359" t="e">
        <v>#REF!</v>
      </c>
      <c r="N34" s="32" t="e">
        <f t="shared" si="6"/>
        <v>#REF!</v>
      </c>
      <c r="O34" s="934" t="e">
        <f t="shared" si="2"/>
        <v>#REF!</v>
      </c>
      <c r="P34" s="359">
        <v>37147.754278548106</v>
      </c>
      <c r="Q34" s="359" t="e">
        <v>#REF!</v>
      </c>
      <c r="R34" s="32" t="e">
        <f t="shared" si="7"/>
        <v>#REF!</v>
      </c>
      <c r="S34" s="939" t="e">
        <f t="shared" si="3"/>
        <v>#REF!</v>
      </c>
    </row>
    <row r="35" spans="3:19">
      <c r="C35" s="139">
        <v>2021</v>
      </c>
      <c r="D35" s="930">
        <v>54881.918931660097</v>
      </c>
      <c r="E35" s="249">
        <v>0</v>
      </c>
      <c r="F35" s="32">
        <f t="shared" si="4"/>
        <v>-100</v>
      </c>
      <c r="G35" s="934">
        <f t="shared" si="0"/>
        <v>-54881.918931660097</v>
      </c>
      <c r="H35" s="930">
        <v>71714.120940609195</v>
      </c>
      <c r="I35" s="249" t="e">
        <v>#REF!</v>
      </c>
      <c r="J35" s="32" t="e">
        <f t="shared" si="5"/>
        <v>#REF!</v>
      </c>
      <c r="K35" s="941" t="e">
        <f t="shared" si="1"/>
        <v>#REF!</v>
      </c>
      <c r="L35" s="359">
        <v>110659.77854740086</v>
      </c>
      <c r="M35" s="359" t="e">
        <v>#REF!</v>
      </c>
      <c r="N35" s="32" t="e">
        <f t="shared" si="6"/>
        <v>#REF!</v>
      </c>
      <c r="O35" s="934" t="e">
        <f t="shared" si="2"/>
        <v>#REF!</v>
      </c>
      <c r="P35" s="359">
        <v>39837.520277064308</v>
      </c>
      <c r="Q35" s="359" t="e">
        <v>#REF!</v>
      </c>
      <c r="R35" s="32" t="e">
        <f t="shared" si="7"/>
        <v>#REF!</v>
      </c>
      <c r="S35" s="939" t="e">
        <f t="shared" si="3"/>
        <v>#REF!</v>
      </c>
    </row>
    <row r="36" spans="3:19">
      <c r="C36" s="139">
        <v>2022</v>
      </c>
      <c r="D36" s="930">
        <v>57534.925928686724</v>
      </c>
      <c r="E36" s="249">
        <v>0</v>
      </c>
      <c r="F36" s="32">
        <f t="shared" si="4"/>
        <v>-100</v>
      </c>
      <c r="G36" s="934">
        <f t="shared" si="0"/>
        <v>-57534.925928686724</v>
      </c>
      <c r="H36" s="930">
        <v>75181.650671398151</v>
      </c>
      <c r="I36" s="249" t="e">
        <v>#REF!</v>
      </c>
      <c r="J36" s="32" t="e">
        <f t="shared" si="5"/>
        <v>#REF!</v>
      </c>
      <c r="K36" s="941" t="e">
        <f t="shared" si="1"/>
        <v>#REF!</v>
      </c>
      <c r="L36" s="359">
        <v>116042.64651048357</v>
      </c>
      <c r="M36" s="359" t="e">
        <v>#REF!</v>
      </c>
      <c r="N36" s="32" t="e">
        <f t="shared" si="6"/>
        <v>#REF!</v>
      </c>
      <c r="O36" s="934" t="e">
        <f t="shared" si="2"/>
        <v>#REF!</v>
      </c>
      <c r="P36" s="359">
        <v>41775.352743774085</v>
      </c>
      <c r="Q36" s="359" t="e">
        <v>#REF!</v>
      </c>
      <c r="R36" s="32" t="e">
        <f t="shared" si="7"/>
        <v>#REF!</v>
      </c>
      <c r="S36" s="939" t="e">
        <f t="shared" si="3"/>
        <v>#REF!</v>
      </c>
    </row>
    <row r="37" spans="3:19">
      <c r="C37" s="139">
        <v>2023</v>
      </c>
      <c r="D37" s="930">
        <v>60317.41062983028</v>
      </c>
      <c r="E37" s="249">
        <v>0</v>
      </c>
      <c r="F37" s="32">
        <f t="shared" si="4"/>
        <v>-100</v>
      </c>
      <c r="G37" s="934">
        <f t="shared" si="0"/>
        <v>-60317.41062983028</v>
      </c>
      <c r="H37" s="930">
        <v>78818.410181453772</v>
      </c>
      <c r="I37" s="249" t="e">
        <v>#REF!</v>
      </c>
      <c r="J37" s="32" t="e">
        <f t="shared" si="5"/>
        <v>#REF!</v>
      </c>
      <c r="K37" s="941" t="e">
        <f t="shared" si="1"/>
        <v>#REF!</v>
      </c>
      <c r="L37" s="359">
        <v>121705.59631290226</v>
      </c>
      <c r="M37" s="359" t="e">
        <v>#REF!</v>
      </c>
      <c r="N37" s="32" t="e">
        <f t="shared" si="6"/>
        <v>#REF!</v>
      </c>
      <c r="O37" s="934" t="e">
        <f t="shared" si="2"/>
        <v>#REF!</v>
      </c>
      <c r="P37" s="359">
        <v>43814.014672644807</v>
      </c>
      <c r="Q37" s="359" t="e">
        <v>#REF!</v>
      </c>
      <c r="R37" s="32" t="e">
        <f t="shared" si="7"/>
        <v>#REF!</v>
      </c>
      <c r="S37" s="939" t="e">
        <f t="shared" si="3"/>
        <v>#REF!</v>
      </c>
    </row>
    <row r="38" spans="3:19">
      <c r="C38" s="139">
        <v>2024</v>
      </c>
      <c r="D38" s="930">
        <v>63237.261938087991</v>
      </c>
      <c r="E38" s="249">
        <v>0</v>
      </c>
      <c r="F38" s="32">
        <f t="shared" si="4"/>
        <v>-100.00000000000001</v>
      </c>
      <c r="G38" s="934">
        <f t="shared" si="0"/>
        <v>-63237.261938087991</v>
      </c>
      <c r="H38" s="930">
        <v>82634.710414439935</v>
      </c>
      <c r="I38" s="249" t="e">
        <v>#REF!</v>
      </c>
      <c r="J38" s="32" t="e">
        <f t="shared" si="5"/>
        <v>#REF!</v>
      </c>
      <c r="K38" s="941" t="e">
        <f t="shared" si="1"/>
        <v>#REF!</v>
      </c>
      <c r="L38" s="359">
        <v>127661.2717380469</v>
      </c>
      <c r="M38" s="359" t="e">
        <v>#REF!</v>
      </c>
      <c r="N38" s="32" t="e">
        <f t="shared" si="6"/>
        <v>#REF!</v>
      </c>
      <c r="O38" s="934" t="e">
        <f t="shared" si="2"/>
        <v>#REF!</v>
      </c>
      <c r="P38" s="359">
        <v>45958.05782569688</v>
      </c>
      <c r="Q38" s="359" t="e">
        <v>#REF!</v>
      </c>
      <c r="R38" s="32" t="e">
        <f t="shared" si="7"/>
        <v>#REF!</v>
      </c>
      <c r="S38" s="939" t="e">
        <f t="shared" si="3"/>
        <v>#REF!</v>
      </c>
    </row>
    <row r="39" spans="3:19">
      <c r="C39" s="139">
        <v>2025</v>
      </c>
      <c r="D39" s="930">
        <v>66301.947996275441</v>
      </c>
      <c r="E39" s="249">
        <v>0</v>
      </c>
      <c r="F39" s="32">
        <f t="shared" si="4"/>
        <v>-100</v>
      </c>
      <c r="G39" s="934">
        <f t="shared" si="0"/>
        <v>-66301.947996275441</v>
      </c>
      <c r="H39" s="930">
        <v>86640.312372598928</v>
      </c>
      <c r="I39" s="249" t="e">
        <v>#REF!</v>
      </c>
      <c r="J39" s="32" t="e">
        <f t="shared" si="5"/>
        <v>#REF!</v>
      </c>
      <c r="K39" s="941" t="e">
        <f t="shared" si="1"/>
        <v>#REF!</v>
      </c>
      <c r="L39" s="359">
        <v>133923.38268701494</v>
      </c>
      <c r="M39" s="359" t="e">
        <v>#REF!</v>
      </c>
      <c r="N39" s="32" t="e">
        <f t="shared" si="6"/>
        <v>#REF!</v>
      </c>
      <c r="O39" s="934" t="e">
        <f t="shared" si="2"/>
        <v>#REF!</v>
      </c>
      <c r="P39" s="359">
        <v>48212.417767325373</v>
      </c>
      <c r="Q39" s="359" t="e">
        <v>#REF!</v>
      </c>
      <c r="R39" s="32" t="e">
        <f t="shared" si="7"/>
        <v>#REF!</v>
      </c>
      <c r="S39" s="939" t="e">
        <f t="shared" si="3"/>
        <v>#REF!</v>
      </c>
    </row>
    <row r="40" spans="3:19">
      <c r="C40" s="139">
        <v>2026</v>
      </c>
      <c r="D40" s="930">
        <v>69518.787441740729</v>
      </c>
      <c r="E40" s="249">
        <v>0</v>
      </c>
      <c r="F40" s="32">
        <f t="shared" si="4"/>
        <v>-100</v>
      </c>
      <c r="G40" s="934">
        <f t="shared" si="0"/>
        <v>-69518.787441740729</v>
      </c>
      <c r="H40" s="930">
        <v>90844.781651732745</v>
      </c>
      <c r="I40" s="249" t="e">
        <v>#REF!</v>
      </c>
      <c r="J40" s="32" t="e">
        <f t="shared" si="5"/>
        <v>#REF!</v>
      </c>
      <c r="K40" s="941" t="e">
        <f t="shared" si="1"/>
        <v>#REF!</v>
      </c>
      <c r="L40" s="359">
        <v>140506.36923735868</v>
      </c>
      <c r="M40" s="359" t="e">
        <v>#REF!</v>
      </c>
      <c r="N40" s="32" t="e">
        <f t="shared" si="6"/>
        <v>#REF!</v>
      </c>
      <c r="O40" s="934" t="e">
        <f t="shared" si="2"/>
        <v>#REF!</v>
      </c>
      <c r="P40" s="359">
        <v>50582.292925449125</v>
      </c>
      <c r="Q40" s="359" t="e">
        <v>#REF!</v>
      </c>
      <c r="R40" s="32" t="e">
        <f t="shared" si="7"/>
        <v>#REF!</v>
      </c>
      <c r="S40" s="939" t="e">
        <f t="shared" si="3"/>
        <v>#REF!</v>
      </c>
    </row>
    <row r="41" spans="3:19">
      <c r="C41" s="139">
        <v>2027</v>
      </c>
      <c r="D41" s="930">
        <v>72188.835938984965</v>
      </c>
      <c r="E41" s="249">
        <v>0</v>
      </c>
      <c r="F41" s="32">
        <f t="shared" si="4"/>
        <v>-100</v>
      </c>
      <c r="G41" s="934">
        <f t="shared" si="0"/>
        <v>-72188.835938984965</v>
      </c>
      <c r="H41" s="930">
        <v>94334.584941818015</v>
      </c>
      <c r="I41" s="249" t="e">
        <v>#REF!</v>
      </c>
      <c r="J41" s="32" t="e">
        <f t="shared" si="5"/>
        <v>#REF!</v>
      </c>
      <c r="K41" s="941" t="e">
        <f t="shared" si="1"/>
        <v>#REF!</v>
      </c>
      <c r="L41" s="359">
        <v>145996.61055591574</v>
      </c>
      <c r="M41" s="359" t="e">
        <v>#REF!</v>
      </c>
      <c r="N41" s="32" t="e">
        <f t="shared" si="6"/>
        <v>#REF!</v>
      </c>
      <c r="O41" s="934" t="e">
        <f t="shared" si="2"/>
        <v>#REF!</v>
      </c>
      <c r="P41" s="359">
        <v>52558.779800129669</v>
      </c>
      <c r="Q41" s="359" t="e">
        <v>#REF!</v>
      </c>
      <c r="R41" s="32" t="e">
        <f t="shared" si="7"/>
        <v>#REF!</v>
      </c>
      <c r="S41" s="939" t="e">
        <f t="shared" si="3"/>
        <v>#REF!</v>
      </c>
    </row>
    <row r="42" spans="3:19">
      <c r="C42" s="139">
        <v>2028</v>
      </c>
      <c r="D42" s="930">
        <v>74963.79547196014</v>
      </c>
      <c r="E42" s="249">
        <v>0</v>
      </c>
      <c r="F42" s="32">
        <f t="shared" si="4"/>
        <v>-100</v>
      </c>
      <c r="G42" s="934">
        <f t="shared" si="0"/>
        <v>-74963.79547196014</v>
      </c>
      <c r="H42" s="930">
        <v>97961.50891642939</v>
      </c>
      <c r="I42" s="249" t="e">
        <v>#REF!</v>
      </c>
      <c r="J42" s="32" t="e">
        <f t="shared" si="5"/>
        <v>#REF!</v>
      </c>
      <c r="K42" s="941" t="e">
        <f t="shared" si="1"/>
        <v>#REF!</v>
      </c>
      <c r="L42" s="359">
        <v>151710.91693804259</v>
      </c>
      <c r="M42" s="359" t="e">
        <v>#REF!</v>
      </c>
      <c r="N42" s="32" t="e">
        <f t="shared" si="6"/>
        <v>#REF!</v>
      </c>
      <c r="O42" s="934" t="e">
        <f t="shared" si="2"/>
        <v>#REF!</v>
      </c>
      <c r="P42" s="359">
        <v>54615.930097695331</v>
      </c>
      <c r="Q42" s="359" t="e">
        <v>#REF!</v>
      </c>
      <c r="R42" s="32" t="e">
        <f t="shared" si="7"/>
        <v>#REF!</v>
      </c>
      <c r="S42" s="939" t="e">
        <f t="shared" si="3"/>
        <v>#REF!</v>
      </c>
    </row>
    <row r="43" spans="3:19">
      <c r="C43" s="139">
        <v>2029</v>
      </c>
      <c r="D43" s="930">
        <v>77847.890917160898</v>
      </c>
      <c r="E43" s="249">
        <v>0</v>
      </c>
      <c r="F43" s="32">
        <f t="shared" si="4"/>
        <v>-100</v>
      </c>
      <c r="G43" s="934">
        <f t="shared" si="0"/>
        <v>-77847.890917160898</v>
      </c>
      <c r="H43" s="930">
        <v>101731.07556810991</v>
      </c>
      <c r="I43" s="249" t="e">
        <v>#REF!</v>
      </c>
      <c r="J43" s="32" t="e">
        <f t="shared" si="5"/>
        <v>#REF!</v>
      </c>
      <c r="K43" s="941" t="e">
        <f t="shared" si="1"/>
        <v>#REF!</v>
      </c>
      <c r="L43" s="359">
        <v>157658.18123812909</v>
      </c>
      <c r="M43" s="359" t="e">
        <v>#REF!</v>
      </c>
      <c r="N43" s="32" t="e">
        <f t="shared" si="6"/>
        <v>#REF!</v>
      </c>
      <c r="O43" s="934" t="e">
        <f t="shared" si="2"/>
        <v>#REF!</v>
      </c>
      <c r="P43" s="359">
        <v>56756.945245726471</v>
      </c>
      <c r="Q43" s="359" t="e">
        <v>#REF!</v>
      </c>
      <c r="R43" s="32" t="e">
        <f t="shared" si="7"/>
        <v>#REF!</v>
      </c>
      <c r="S43" s="939" t="e">
        <f t="shared" si="3"/>
        <v>#REF!</v>
      </c>
    </row>
    <row r="44" spans="3:19">
      <c r="C44" s="140">
        <v>2030</v>
      </c>
      <c r="D44" s="931">
        <v>80845.357504894157</v>
      </c>
      <c r="E44" s="933">
        <v>0</v>
      </c>
      <c r="F44" s="481">
        <f t="shared" si="4"/>
        <v>-100</v>
      </c>
      <c r="G44" s="936">
        <f t="shared" si="0"/>
        <v>-80845.357504894157</v>
      </c>
      <c r="H44" s="931">
        <v>105648.82042202866</v>
      </c>
      <c r="I44" s="933" t="e">
        <v>#REF!</v>
      </c>
      <c r="J44" s="481" t="e">
        <f t="shared" si="5"/>
        <v>#REF!</v>
      </c>
      <c r="K44" s="942" t="e">
        <f t="shared" si="1"/>
        <v>#REF!</v>
      </c>
      <c r="L44" s="937">
        <v>163847.4340652111</v>
      </c>
      <c r="M44" s="937" t="e">
        <v>#REF!</v>
      </c>
      <c r="N44" s="481" t="e">
        <f t="shared" si="6"/>
        <v>#REF!</v>
      </c>
      <c r="O44" s="936" t="e">
        <f t="shared" si="2"/>
        <v>#REF!</v>
      </c>
      <c r="P44" s="937">
        <v>58985.076263475959</v>
      </c>
      <c r="Q44" s="937" t="e">
        <v>#REF!</v>
      </c>
      <c r="R44" s="481" t="e">
        <f t="shared" si="7"/>
        <v>#REF!</v>
      </c>
      <c r="S44" s="940" t="e">
        <f t="shared" si="3"/>
        <v>#REF!</v>
      </c>
    </row>
    <row r="47" spans="3:19" ht="20.399999999999999">
      <c r="C47" s="57" t="s">
        <v>1323</v>
      </c>
      <c r="D47" s="943" t="s">
        <v>1340</v>
      </c>
      <c r="E47" s="943"/>
      <c r="F47" s="943"/>
      <c r="G47" s="943"/>
      <c r="H47" s="943"/>
      <c r="I47" s="943"/>
      <c r="J47" s="943"/>
      <c r="K47" s="943"/>
      <c r="L47" s="943"/>
      <c r="M47" s="943"/>
    </row>
    <row r="48" spans="3:19" ht="20.399999999999999">
      <c r="C48" s="57" t="s">
        <v>1324</v>
      </c>
      <c r="D48" s="943" t="s">
        <v>1341</v>
      </c>
      <c r="E48" s="943"/>
      <c r="F48" s="943"/>
      <c r="G48" s="943"/>
      <c r="H48" s="943"/>
      <c r="I48" s="943"/>
      <c r="J48" s="943"/>
      <c r="K48" s="943"/>
      <c r="L48" s="943"/>
      <c r="M48" s="943"/>
    </row>
    <row r="49" spans="3:13" ht="20.399999999999999">
      <c r="C49" s="57" t="s">
        <v>1325</v>
      </c>
      <c r="D49" s="943" t="s">
        <v>1338</v>
      </c>
      <c r="E49" s="943"/>
      <c r="F49" s="943"/>
      <c r="G49" s="943"/>
      <c r="H49" s="943"/>
      <c r="I49" s="943"/>
      <c r="J49" s="943"/>
      <c r="K49" s="943"/>
      <c r="L49" s="943"/>
      <c r="M49" s="943"/>
    </row>
    <row r="50" spans="3:13" ht="20.399999999999999">
      <c r="C50" s="57" t="s">
        <v>1332</v>
      </c>
      <c r="D50" s="943" t="s">
        <v>1339</v>
      </c>
      <c r="E50" s="943"/>
      <c r="F50" s="943"/>
      <c r="G50" s="943"/>
      <c r="H50" s="943"/>
      <c r="I50" s="943"/>
      <c r="J50" s="943"/>
      <c r="K50" s="943"/>
      <c r="L50" s="943"/>
      <c r="M50" s="943"/>
    </row>
    <row r="52" spans="3:13" ht="20.399999999999999">
      <c r="C52" s="57" t="s">
        <v>1333</v>
      </c>
      <c r="D52" s="943" t="s">
        <v>1336</v>
      </c>
      <c r="E52" s="943"/>
      <c r="F52" s="943"/>
      <c r="G52" s="943"/>
      <c r="H52" s="943"/>
      <c r="I52" s="943"/>
      <c r="J52" s="943"/>
      <c r="K52" s="943"/>
      <c r="L52" s="943"/>
      <c r="M52" s="943"/>
    </row>
    <row r="53" spans="3:13" ht="20.399999999999999">
      <c r="C53" s="57" t="s">
        <v>1334</v>
      </c>
      <c r="D53" s="943" t="s">
        <v>1337</v>
      </c>
      <c r="E53" s="943"/>
      <c r="F53" s="943"/>
      <c r="G53" s="943"/>
      <c r="H53" s="943"/>
      <c r="I53" s="943"/>
      <c r="J53" s="943"/>
      <c r="K53" s="943"/>
      <c r="L53" s="943"/>
      <c r="M53" s="943"/>
    </row>
    <row r="54" spans="3:13" ht="20.399999999999999">
      <c r="C54" s="57" t="s">
        <v>1335</v>
      </c>
      <c r="D54" s="943" t="s">
        <v>1338</v>
      </c>
      <c r="E54" s="943"/>
      <c r="F54" s="943"/>
      <c r="G54" s="943"/>
      <c r="H54" s="943"/>
      <c r="I54" s="943"/>
      <c r="J54" s="943"/>
    </row>
    <row r="55" spans="3:13" ht="20.399999999999999">
      <c r="C55" s="57" t="s">
        <v>1332</v>
      </c>
      <c r="D55" s="943" t="s">
        <v>1339</v>
      </c>
      <c r="E55" s="943"/>
      <c r="F55" s="943"/>
      <c r="G55" s="943"/>
      <c r="H55" s="943"/>
      <c r="I55" s="943"/>
      <c r="J55" s="943"/>
    </row>
    <row r="57" spans="3:13" ht="20.399999999999999">
      <c r="C57" s="57" t="s">
        <v>1326</v>
      </c>
      <c r="D57" s="943" t="s">
        <v>1342</v>
      </c>
      <c r="E57" s="943"/>
      <c r="F57" s="943"/>
      <c r="G57" s="943"/>
      <c r="H57" s="943"/>
      <c r="I57" s="943"/>
      <c r="J57" s="943"/>
      <c r="K57" s="943"/>
      <c r="L57" s="943"/>
      <c r="M57" s="943"/>
    </row>
    <row r="58" spans="3:13" ht="20.399999999999999">
      <c r="C58" s="57" t="s">
        <v>1327</v>
      </c>
      <c r="D58" s="943" t="s">
        <v>1343</v>
      </c>
      <c r="E58" s="943"/>
      <c r="F58" s="943"/>
      <c r="G58" s="943"/>
      <c r="H58" s="943"/>
      <c r="I58" s="943"/>
      <c r="J58" s="943"/>
      <c r="K58" s="943"/>
      <c r="L58" s="943"/>
      <c r="M58" s="943"/>
    </row>
    <row r="59" spans="3:13" ht="20.399999999999999">
      <c r="C59" s="57" t="s">
        <v>1328</v>
      </c>
      <c r="D59" s="943" t="s">
        <v>1338</v>
      </c>
      <c r="E59" s="943"/>
      <c r="F59" s="943"/>
      <c r="G59" s="943"/>
      <c r="H59" s="943"/>
      <c r="I59" s="943"/>
      <c r="J59" s="943"/>
    </row>
    <row r="60" spans="3:13" ht="20.399999999999999">
      <c r="C60" s="57" t="s">
        <v>1332</v>
      </c>
      <c r="D60" s="943" t="s">
        <v>1339</v>
      </c>
      <c r="E60" s="943"/>
      <c r="F60" s="943"/>
      <c r="G60" s="943"/>
      <c r="H60" s="943"/>
      <c r="I60" s="943"/>
      <c r="J60" s="943"/>
    </row>
    <row r="62" spans="3:13" ht="20.399999999999999">
      <c r="C62" s="57" t="s">
        <v>1329</v>
      </c>
      <c r="D62" s="943" t="s">
        <v>1344</v>
      </c>
      <c r="E62" s="943"/>
      <c r="F62" s="943"/>
      <c r="G62" s="943"/>
      <c r="H62" s="943"/>
      <c r="I62" s="943"/>
      <c r="J62" s="943"/>
      <c r="K62" s="943"/>
      <c r="L62" s="943"/>
      <c r="M62" s="943"/>
    </row>
    <row r="63" spans="3:13" ht="20.399999999999999">
      <c r="C63" s="57" t="s">
        <v>1330</v>
      </c>
      <c r="D63" s="943" t="s">
        <v>1345</v>
      </c>
      <c r="E63" s="943"/>
      <c r="F63" s="943"/>
      <c r="G63" s="943"/>
      <c r="H63" s="943"/>
      <c r="I63" s="943"/>
      <c r="J63" s="943"/>
      <c r="K63" s="943"/>
      <c r="L63" s="943"/>
      <c r="M63" s="943"/>
    </row>
    <row r="64" spans="3:13" ht="20.399999999999999">
      <c r="C64" s="57" t="s">
        <v>1331</v>
      </c>
      <c r="D64" s="943" t="s">
        <v>1338</v>
      </c>
      <c r="E64" s="943"/>
      <c r="F64" s="943"/>
      <c r="G64" s="943"/>
      <c r="H64" s="943"/>
      <c r="I64" s="943"/>
      <c r="J64" s="943"/>
      <c r="K64" s="943"/>
      <c r="L64" s="943"/>
      <c r="M64" s="943"/>
    </row>
    <row r="65" spans="3:15" ht="20.399999999999999">
      <c r="C65" s="57" t="s">
        <v>1332</v>
      </c>
      <c r="D65" s="943" t="s">
        <v>1339</v>
      </c>
      <c r="E65" s="943"/>
      <c r="F65" s="943"/>
      <c r="G65" s="943"/>
      <c r="H65" s="943"/>
      <c r="I65" s="943"/>
      <c r="J65" s="943"/>
      <c r="K65" s="943"/>
      <c r="L65" s="943"/>
      <c r="M65" s="943"/>
    </row>
    <row r="66" spans="3:15" ht="20.399999999999999">
      <c r="D66" s="943"/>
      <c r="E66" s="943"/>
      <c r="F66" s="943"/>
      <c r="G66" s="943"/>
      <c r="H66" s="943"/>
      <c r="I66" s="943"/>
      <c r="J66" s="943"/>
      <c r="K66" s="943"/>
      <c r="L66" s="943"/>
      <c r="M66" s="943"/>
    </row>
    <row r="67" spans="3:15" ht="20.399999999999999">
      <c r="F67" s="943"/>
      <c r="G67" s="943"/>
      <c r="H67" s="943"/>
      <c r="I67" s="943"/>
      <c r="J67" s="943"/>
      <c r="K67" s="943"/>
      <c r="L67" s="943"/>
      <c r="M67" s="943"/>
      <c r="N67" s="943"/>
      <c r="O67" s="943"/>
    </row>
    <row r="68" spans="3:15" ht="20.399999999999999">
      <c r="F68" s="943"/>
      <c r="G68" s="943"/>
      <c r="H68" s="943"/>
      <c r="I68" s="943"/>
      <c r="J68" s="943"/>
      <c r="K68" s="943"/>
      <c r="L68" s="943"/>
      <c r="M68" s="943"/>
      <c r="N68" s="943"/>
      <c r="O68" s="943"/>
    </row>
    <row r="69" spans="3:15" ht="20.399999999999999">
      <c r="F69" s="943"/>
      <c r="G69" s="943"/>
      <c r="H69" s="943"/>
      <c r="I69" s="943"/>
      <c r="J69" s="943"/>
      <c r="K69" s="943"/>
      <c r="L69" s="943"/>
      <c r="M69" s="943"/>
      <c r="N69" s="943"/>
      <c r="O69" s="943"/>
    </row>
    <row r="70" spans="3:15" ht="20.399999999999999">
      <c r="F70" s="943"/>
      <c r="G70" s="943"/>
      <c r="H70" s="943"/>
      <c r="I70" s="943"/>
      <c r="J70" s="943"/>
      <c r="K70" s="943"/>
      <c r="L70" s="943"/>
      <c r="M70" s="943"/>
      <c r="N70" s="943"/>
      <c r="O70" s="943"/>
    </row>
    <row r="137" spans="14:16">
      <c r="N137" t="s">
        <v>1350</v>
      </c>
    </row>
    <row r="138" spans="14:16">
      <c r="N138" t="s">
        <v>1351</v>
      </c>
    </row>
    <row r="139" spans="14:16">
      <c r="N139" s="48">
        <v>2014</v>
      </c>
      <c r="P139" s="48">
        <v>2014</v>
      </c>
    </row>
    <row r="140" spans="14:16">
      <c r="N140" s="230">
        <v>27817.895026076414</v>
      </c>
      <c r="P140" s="956">
        <v>27990.84974981819</v>
      </c>
    </row>
    <row r="141" spans="14:16">
      <c r="N141" s="230">
        <v>1.9367010545246712</v>
      </c>
      <c r="P141" s="956">
        <v>1.9529567152613792</v>
      </c>
    </row>
    <row r="142" spans="14:16">
      <c r="N142" s="256">
        <v>48207.098087606631</v>
      </c>
      <c r="P142" s="374">
        <v>48388.91225312114</v>
      </c>
    </row>
    <row r="143" spans="14:16">
      <c r="N143" s="230">
        <v>5360.0582206391027</v>
      </c>
      <c r="P143" s="956">
        <v>5405.0477598145726</v>
      </c>
    </row>
    <row r="144" spans="14:16">
      <c r="N144" s="230">
        <v>22.683940887655208</v>
      </c>
      <c r="P144" s="956">
        <v>22.634693014815134</v>
      </c>
    </row>
    <row r="145" spans="8:16">
      <c r="N145" s="230">
        <v>24.652250724171981</v>
      </c>
      <c r="P145" s="956">
        <v>24.583072099090426</v>
      </c>
    </row>
    <row r="146" spans="8:16">
      <c r="N146" s="241">
        <v>26.763335077573071</v>
      </c>
      <c r="P146" s="957">
        <v>26.646261193912505</v>
      </c>
    </row>
    <row r="147" spans="8:16">
      <c r="N147" s="230">
        <v>600.98027833748529</v>
      </c>
      <c r="P147" s="956">
        <v>600.98027833748529</v>
      </c>
    </row>
    <row r="148" spans="8:16" ht="15.6">
      <c r="N148" s="214">
        <v>137336.61503073727</v>
      </c>
      <c r="P148" s="956">
        <v>1.9099944677915108</v>
      </c>
    </row>
    <row r="149" spans="8:16">
      <c r="N149" s="230">
        <v>71939.561171647802</v>
      </c>
      <c r="P149" s="956">
        <v>72703.505843683612</v>
      </c>
    </row>
    <row r="150" spans="8:16" ht="15" thickBot="1">
      <c r="N150" s="287">
        <v>2014</v>
      </c>
      <c r="P150" s="287">
        <v>2014</v>
      </c>
    </row>
    <row r="151" spans="8:16" ht="16.2" thickBot="1">
      <c r="H151" s="38" t="s">
        <v>1269</v>
      </c>
      <c r="I151" s="250"/>
      <c r="J151" s="38"/>
      <c r="K151" s="250"/>
      <c r="L151" s="38"/>
      <c r="M151" s="250"/>
      <c r="N151" s="805">
        <v>2.2510816721384304</v>
      </c>
      <c r="P151" s="958">
        <v>2.2510816721384304</v>
      </c>
    </row>
    <row r="152" spans="8:16" ht="15.6">
      <c r="H152" s="38" t="s">
        <v>1241</v>
      </c>
      <c r="I152" s="38"/>
      <c r="J152" s="38"/>
      <c r="K152" s="38"/>
      <c r="L152" s="38"/>
      <c r="M152" s="223">
        <v>296.96774193548384</v>
      </c>
      <c r="N152" s="247">
        <v>600.98027833748529</v>
      </c>
      <c r="P152" s="959">
        <v>600.98027833748529</v>
      </c>
    </row>
    <row r="153" spans="8:16" ht="15.6">
      <c r="H153" s="38" t="s">
        <v>1273</v>
      </c>
      <c r="I153" s="38"/>
      <c r="J153" s="38"/>
      <c r="K153" s="38"/>
      <c r="L153" s="38"/>
      <c r="M153" s="34"/>
      <c r="N153" s="247">
        <v>2.1244326923292722</v>
      </c>
      <c r="P153" s="959">
        <v>2.1244326923292722</v>
      </c>
    </row>
    <row r="154" spans="8:16" ht="15.6">
      <c r="H154" s="38" t="s">
        <v>1242</v>
      </c>
      <c r="I154" s="38"/>
      <c r="J154" s="38"/>
      <c r="K154" s="38"/>
      <c r="L154" s="38"/>
      <c r="M154" s="34"/>
      <c r="N154" s="247">
        <v>639.70279901611354</v>
      </c>
      <c r="P154" s="959">
        <v>639.70279901611354</v>
      </c>
    </row>
    <row r="155" spans="8:16" ht="15.6">
      <c r="H155" s="38" t="s">
        <v>962</v>
      </c>
      <c r="I155" s="38"/>
      <c r="J155" s="38"/>
      <c r="K155" s="38"/>
      <c r="L155" s="38"/>
      <c r="M155" s="34"/>
      <c r="N155" s="247">
        <v>560.58768933089254</v>
      </c>
      <c r="P155" s="959">
        <v>553.2220348590804</v>
      </c>
    </row>
    <row r="156" spans="8:16" ht="15.6">
      <c r="H156" s="38" t="s">
        <v>1271</v>
      </c>
      <c r="I156" s="38"/>
      <c r="J156" s="38"/>
      <c r="K156" s="38"/>
      <c r="L156" s="38"/>
      <c r="M156" s="34"/>
      <c r="N156" s="247">
        <v>13595.655964370553</v>
      </c>
      <c r="P156" s="959">
        <v>13741.951369065411</v>
      </c>
    </row>
    <row r="157" spans="8:16" ht="15.6">
      <c r="H157" s="38" t="s">
        <v>963</v>
      </c>
      <c r="I157" s="38"/>
      <c r="J157" s="38"/>
      <c r="K157" s="38"/>
      <c r="L157" s="38"/>
      <c r="M157" s="34"/>
      <c r="N157" s="247">
        <v>342.72690072419994</v>
      </c>
      <c r="P157" s="959">
        <v>347.44508110462539</v>
      </c>
    </row>
    <row r="158" spans="8:16" ht="15.6">
      <c r="H158" s="38" t="s">
        <v>964</v>
      </c>
      <c r="I158" s="38"/>
      <c r="J158" s="38"/>
      <c r="K158" s="38"/>
      <c r="L158" s="38"/>
      <c r="M158" s="34"/>
      <c r="N158" s="247">
        <v>292.75199181081268</v>
      </c>
      <c r="P158" s="959">
        <v>294.57214534223658</v>
      </c>
    </row>
    <row r="159" spans="8:16" ht="15.6">
      <c r="H159" s="38" t="s">
        <v>965</v>
      </c>
      <c r="I159" s="38"/>
      <c r="J159" s="38"/>
      <c r="K159" s="38"/>
      <c r="L159" s="38"/>
      <c r="M159" s="34"/>
      <c r="N159" s="248">
        <v>15.711563654415363</v>
      </c>
      <c r="P159" s="960">
        <v>14.895649123019354</v>
      </c>
    </row>
    <row r="160" spans="8:16" ht="15.6">
      <c r="H160" s="38" t="s">
        <v>1272</v>
      </c>
      <c r="I160" s="38"/>
      <c r="J160" s="38"/>
      <c r="K160" s="38"/>
      <c r="L160" s="38"/>
      <c r="M160" s="34"/>
      <c r="N160" s="249">
        <v>36896.695746827834</v>
      </c>
      <c r="P160" s="961">
        <v>37035.801764862983</v>
      </c>
    </row>
    <row r="161" spans="8:16" ht="15.6">
      <c r="H161" s="38" t="s">
        <v>966</v>
      </c>
      <c r="I161" s="38"/>
      <c r="J161" s="38"/>
      <c r="K161" s="38"/>
      <c r="L161" s="38"/>
      <c r="M161" s="34"/>
      <c r="N161" s="247">
        <v>1917.7213135413831</v>
      </c>
      <c r="P161" s="959">
        <v>1857.3514919198087</v>
      </c>
    </row>
    <row r="162" spans="8:16" ht="15.6">
      <c r="H162" s="38" t="s">
        <v>967</v>
      </c>
      <c r="I162" s="38"/>
      <c r="J162" s="38"/>
      <c r="K162" s="38"/>
      <c r="L162" s="38"/>
      <c r="M162" s="250"/>
      <c r="N162" s="247">
        <v>2276.1597779199983</v>
      </c>
      <c r="P162" s="959">
        <v>2219.6922221474533</v>
      </c>
    </row>
    <row r="163" spans="8:16" ht="15.6">
      <c r="H163" s="38" t="s">
        <v>968</v>
      </c>
      <c r="I163" s="38"/>
      <c r="J163" s="38"/>
      <c r="K163" s="38"/>
      <c r="L163" s="38"/>
      <c r="M163" s="34"/>
      <c r="N163" s="247">
        <v>1475.4860391378359</v>
      </c>
      <c r="P163" s="959">
        <v>1447.3221457629838</v>
      </c>
    </row>
    <row r="164" spans="8:16" ht="15.6">
      <c r="H164" s="38" t="s">
        <v>969</v>
      </c>
      <c r="I164" s="38"/>
      <c r="J164" s="38"/>
      <c r="K164" s="38"/>
      <c r="L164" s="38"/>
      <c r="M164" s="34"/>
      <c r="N164" s="247">
        <v>1023.4995121108134</v>
      </c>
      <c r="P164" s="959">
        <v>1026.5366026512015</v>
      </c>
    </row>
    <row r="165" spans="8:16" ht="15.6">
      <c r="H165" s="38" t="s">
        <v>970</v>
      </c>
      <c r="I165" s="38"/>
      <c r="J165" s="38"/>
      <c r="K165" s="38"/>
      <c r="L165" s="38"/>
      <c r="M165" s="34"/>
      <c r="N165" s="247">
        <v>2384.7609402238677</v>
      </c>
      <c r="P165" s="959">
        <v>2352.1287138947514</v>
      </c>
    </row>
    <row r="166" spans="8:16" ht="15.6">
      <c r="H166" s="38" t="s">
        <v>972</v>
      </c>
      <c r="I166" s="38"/>
      <c r="J166" s="38"/>
      <c r="K166" s="38"/>
      <c r="L166" s="38"/>
      <c r="M166" s="34"/>
      <c r="N166" s="245">
        <v>1.6693903022038423</v>
      </c>
      <c r="P166" s="962">
        <v>1.6465469549926817</v>
      </c>
    </row>
    <row r="167" spans="8:16" ht="15.6">
      <c r="H167" s="38" t="s">
        <v>161</v>
      </c>
      <c r="I167" s="38"/>
      <c r="J167" s="38"/>
      <c r="K167" s="38"/>
      <c r="L167" s="38"/>
      <c r="M167" s="34"/>
      <c r="N167" s="249">
        <v>2687.9894065194867</v>
      </c>
      <c r="P167" s="961">
        <v>2728.4693081179116</v>
      </c>
    </row>
    <row r="168" spans="8:16" ht="15.6">
      <c r="H168" s="38" t="s">
        <v>974</v>
      </c>
      <c r="I168" s="38"/>
      <c r="J168" s="38"/>
      <c r="K168" s="38"/>
      <c r="L168" s="38"/>
      <c r="M168" s="34"/>
      <c r="N168" s="244">
        <v>1.8816575581991251</v>
      </c>
      <c r="P168" s="963">
        <v>1.9099944677915108</v>
      </c>
    </row>
    <row r="169" spans="8:16" ht="15.6">
      <c r="H169" s="38" t="s">
        <v>975</v>
      </c>
      <c r="I169" s="38"/>
      <c r="J169" s="38"/>
      <c r="K169" s="38"/>
      <c r="L169" s="38"/>
      <c r="M169" s="250"/>
      <c r="N169" s="249">
        <v>5570.9564439921996</v>
      </c>
      <c r="P169" s="961">
        <v>5617.7161530969897</v>
      </c>
    </row>
    <row r="170" spans="8:16" ht="15.6">
      <c r="H170" s="38" t="s">
        <v>976</v>
      </c>
      <c r="I170" s="38"/>
      <c r="J170" s="38"/>
      <c r="K170" s="38"/>
      <c r="L170" s="38"/>
      <c r="M170" s="34"/>
      <c r="N170" s="245">
        <v>1.9367010545246712</v>
      </c>
      <c r="P170" s="962">
        <v>1.9529567152613792</v>
      </c>
    </row>
    <row r="171" spans="8:16" ht="16.2" thickBot="1">
      <c r="H171" s="38" t="s">
        <v>39</v>
      </c>
      <c r="I171" s="38"/>
      <c r="J171" s="38"/>
      <c r="K171" s="38"/>
      <c r="L171" s="38"/>
      <c r="M171" s="34"/>
      <c r="N171" s="247">
        <v>5360.0582206391027</v>
      </c>
      <c r="P171" s="959">
        <v>5405.0477598145726</v>
      </c>
    </row>
    <row r="172" spans="8:16" ht="16.2" thickBot="1">
      <c r="H172" s="38" t="s">
        <v>1210</v>
      </c>
      <c r="I172" s="38"/>
      <c r="J172" s="38"/>
      <c r="K172" s="38"/>
      <c r="L172" s="38"/>
      <c r="M172" s="34"/>
      <c r="N172" s="597">
        <v>71.540000000000006</v>
      </c>
      <c r="P172" s="964">
        <v>71.638203571954634</v>
      </c>
    </row>
    <row r="173" spans="8:16">
      <c r="H173" s="34" t="s">
        <v>1249</v>
      </c>
      <c r="I173" s="34"/>
      <c r="J173" s="34"/>
      <c r="K173" s="34"/>
      <c r="L173" s="34"/>
      <c r="M173" s="34"/>
      <c r="N173" s="249">
        <v>37345.832670326599</v>
      </c>
      <c r="P173" s="961">
        <v>37701.496894099648</v>
      </c>
    </row>
    <row r="174" spans="8:16" ht="15.6">
      <c r="H174" s="38" t="s">
        <v>978</v>
      </c>
      <c r="I174" s="38"/>
      <c r="J174" s="38"/>
      <c r="K174" s="34"/>
      <c r="L174" s="250"/>
      <c r="M174" s="34"/>
      <c r="N174" s="249">
        <v>71939.561171647802</v>
      </c>
      <c r="P174" s="961">
        <v>72703.505843683612</v>
      </c>
    </row>
    <row r="175" spans="8:16" ht="15.6">
      <c r="H175" s="801" t="s">
        <v>1316</v>
      </c>
      <c r="I175" s="801"/>
      <c r="J175" s="38"/>
      <c r="K175" s="34"/>
      <c r="L175" s="34"/>
      <c r="M175" s="34"/>
      <c r="N175" s="249">
        <v>48207.098087606631</v>
      </c>
      <c r="P175" s="961">
        <v>48388.91225312114</v>
      </c>
    </row>
    <row r="176" spans="8:16" ht="15.6">
      <c r="H176" s="38" t="s">
        <v>1272</v>
      </c>
      <c r="I176" s="38"/>
      <c r="J176" s="38"/>
      <c r="K176" s="38"/>
      <c r="L176" s="38"/>
      <c r="M176" s="34"/>
      <c r="N176" s="249">
        <v>37946.695746827834</v>
      </c>
      <c r="P176" s="961">
        <v>38085.801764862983</v>
      </c>
    </row>
    <row r="177" spans="8:16" ht="15.6">
      <c r="H177" s="38" t="s">
        <v>35</v>
      </c>
      <c r="I177" s="38"/>
      <c r="J177" s="38"/>
      <c r="K177" s="34"/>
      <c r="L177" s="34"/>
      <c r="M177" s="34"/>
      <c r="N177" s="249">
        <v>27817.895026076414</v>
      </c>
      <c r="P177" s="961">
        <v>27990.84974981819</v>
      </c>
    </row>
    <row r="178" spans="8:16" ht="15.6">
      <c r="H178" s="38" t="s">
        <v>1271</v>
      </c>
      <c r="I178" s="38"/>
      <c r="J178" s="38"/>
      <c r="K178" s="38"/>
      <c r="L178" s="38"/>
      <c r="M178" s="34"/>
      <c r="N178" s="249">
        <v>14095.655964370553</v>
      </c>
      <c r="P178" s="961">
        <v>14241.951369065411</v>
      </c>
    </row>
    <row r="179" spans="8:16" ht="15.6">
      <c r="H179" s="38" t="s">
        <v>964</v>
      </c>
      <c r="I179" s="38"/>
      <c r="J179" s="38"/>
      <c r="K179" s="34"/>
      <c r="L179" s="34"/>
      <c r="M179" s="34"/>
      <c r="N179" s="247">
        <v>292.75199181081268</v>
      </c>
      <c r="P179" s="959">
        <v>294.57214534223658</v>
      </c>
    </row>
    <row r="180" spans="8:16" ht="15.6">
      <c r="H180" s="38" t="s">
        <v>979</v>
      </c>
      <c r="I180" s="38"/>
      <c r="J180" s="38"/>
      <c r="K180" s="34"/>
      <c r="L180" s="34"/>
      <c r="M180" s="34"/>
      <c r="N180" s="249">
        <v>52335.103703009205</v>
      </c>
      <c r="P180" s="961">
        <v>52622.325279270633</v>
      </c>
    </row>
    <row r="181" spans="8:16" ht="15.6">
      <c r="H181" s="38" t="s">
        <v>1269</v>
      </c>
      <c r="I181" s="250"/>
      <c r="J181" s="38"/>
      <c r="K181" s="250"/>
      <c r="L181" s="38"/>
      <c r="M181" s="250"/>
      <c r="N181" s="244">
        <v>2.2510816721384304</v>
      </c>
      <c r="P181" s="963">
        <v>2.2510816721384304</v>
      </c>
    </row>
    <row r="182" spans="8:16" ht="15.6">
      <c r="H182" s="38" t="s">
        <v>1241</v>
      </c>
      <c r="I182" s="38"/>
      <c r="J182" s="38"/>
      <c r="K182" s="38"/>
      <c r="L182" s="38"/>
      <c r="M182" s="223">
        <v>296.96774193548384</v>
      </c>
      <c r="N182" s="247">
        <v>600.98027833748529</v>
      </c>
      <c r="P182" s="959">
        <v>600.98027833748529</v>
      </c>
    </row>
    <row r="183" spans="8:16" ht="15.6">
      <c r="H183" s="38" t="s">
        <v>1273</v>
      </c>
      <c r="I183" s="38"/>
      <c r="J183" s="38"/>
      <c r="K183" s="38"/>
      <c r="L183" s="38"/>
      <c r="M183" s="34"/>
      <c r="N183" s="248">
        <v>2.1244326923292722</v>
      </c>
      <c r="P183" s="960">
        <v>2.1244326923292722</v>
      </c>
    </row>
    <row r="184" spans="8:16" ht="15.6">
      <c r="H184" s="38" t="s">
        <v>1242</v>
      </c>
      <c r="I184" s="38"/>
      <c r="J184" s="38"/>
      <c r="K184" s="38"/>
      <c r="L184" s="38"/>
      <c r="M184" s="38"/>
      <c r="N184" s="247">
        <v>639.70279901611354</v>
      </c>
      <c r="P184" s="959">
        <v>639.70279901611354</v>
      </c>
    </row>
    <row r="185" spans="8:16" ht="15.6">
      <c r="H185" s="38" t="s">
        <v>962</v>
      </c>
      <c r="I185" s="38"/>
      <c r="J185" s="38"/>
      <c r="K185" s="38"/>
      <c r="L185" s="38"/>
      <c r="M185" s="38"/>
      <c r="N185" s="247">
        <v>560.58768933089254</v>
      </c>
      <c r="P185" s="959">
        <v>553.2220348590804</v>
      </c>
    </row>
    <row r="186" spans="8:16" ht="15.6">
      <c r="H186" s="38" t="s">
        <v>980</v>
      </c>
      <c r="I186" s="38"/>
      <c r="J186" s="38"/>
      <c r="K186" s="38"/>
      <c r="L186" s="38"/>
      <c r="M186" s="38"/>
      <c r="N186" s="247">
        <v>14618.265227780905</v>
      </c>
      <c r="P186" s="959">
        <v>15430.533659753501</v>
      </c>
    </row>
    <row r="187" spans="8:16" ht="15.6">
      <c r="H187" s="38" t="s">
        <v>968</v>
      </c>
      <c r="I187" s="38"/>
      <c r="J187" s="38"/>
      <c r="K187" s="38"/>
      <c r="L187" s="38"/>
      <c r="M187" s="38"/>
      <c r="N187" s="247">
        <v>1475.4860391378359</v>
      </c>
      <c r="P187" s="959">
        <v>1447.3221457629838</v>
      </c>
    </row>
    <row r="188" spans="8:16" ht="15.6">
      <c r="H188" s="38" t="s">
        <v>981</v>
      </c>
      <c r="I188" s="38"/>
      <c r="J188" s="38"/>
      <c r="K188" s="38"/>
      <c r="L188" s="38"/>
      <c r="M188" s="38"/>
      <c r="N188" s="249">
        <v>15980.087759142305</v>
      </c>
      <c r="P188" s="961">
        <v>14545.587564917989</v>
      </c>
    </row>
    <row r="189" spans="8:16" ht="15.6">
      <c r="H189" s="38" t="s">
        <v>982</v>
      </c>
      <c r="I189" s="38"/>
      <c r="J189" s="38"/>
      <c r="K189" s="38"/>
      <c r="L189" s="38"/>
      <c r="M189" s="38"/>
      <c r="N189" s="249">
        <v>21437.26</v>
      </c>
      <c r="P189" s="961">
        <v>19196.234469577466</v>
      </c>
    </row>
    <row r="190" spans="8:16" ht="15.6">
      <c r="H190" s="38" t="s">
        <v>1193</v>
      </c>
      <c r="I190" s="38"/>
      <c r="J190" s="38"/>
      <c r="K190" s="38"/>
      <c r="L190" s="38"/>
      <c r="M190" s="38"/>
      <c r="N190" s="249">
        <v>71939.561171647802</v>
      </c>
      <c r="P190" s="961">
        <v>72703.505843683612</v>
      </c>
    </row>
    <row r="191" spans="8:16" ht="15.6">
      <c r="H191" s="38" t="s">
        <v>1194</v>
      </c>
      <c r="I191" s="38"/>
      <c r="J191" s="38"/>
      <c r="K191" s="38"/>
      <c r="L191" s="38"/>
      <c r="M191" s="92"/>
      <c r="N191" s="247">
        <v>26.763335077573071</v>
      </c>
      <c r="P191" s="959">
        <v>26.646261193912505</v>
      </c>
    </row>
    <row r="192" spans="8:16" ht="15.6">
      <c r="H192" s="38" t="s">
        <v>983</v>
      </c>
      <c r="I192" s="38"/>
      <c r="J192" s="38"/>
      <c r="K192" s="38"/>
      <c r="L192" s="38"/>
      <c r="M192" s="38"/>
      <c r="N192" s="245">
        <v>0.92015699261946859</v>
      </c>
      <c r="P192" s="962">
        <v>0.92074305943448864</v>
      </c>
    </row>
    <row r="193" spans="8:16" ht="15.6">
      <c r="H193" s="38" t="s">
        <v>984</v>
      </c>
      <c r="I193" s="38"/>
      <c r="J193" s="92"/>
      <c r="K193" s="92"/>
      <c r="L193" s="92"/>
      <c r="M193" s="38"/>
      <c r="N193" s="245">
        <v>0.47618076100428841</v>
      </c>
      <c r="P193" s="962">
        <v>0.47354724001868786</v>
      </c>
    </row>
    <row r="194" spans="8:16" ht="15.6">
      <c r="H194" s="38" t="s">
        <v>985</v>
      </c>
      <c r="I194" s="38"/>
      <c r="J194" s="38"/>
      <c r="K194" s="38"/>
      <c r="L194" s="38"/>
      <c r="M194" s="38"/>
      <c r="N194" s="249">
        <v>137336.61503073727</v>
      </c>
      <c r="O194" s="359"/>
      <c r="P194" s="961">
        <v>138100.72122380821</v>
      </c>
    </row>
    <row r="195" spans="8:16" ht="15.6">
      <c r="H195" s="38" t="s">
        <v>986</v>
      </c>
      <c r="I195" s="38"/>
      <c r="J195" s="38"/>
      <c r="K195" s="38"/>
      <c r="L195" s="38"/>
      <c r="M195" s="38"/>
      <c r="N195" s="248">
        <v>24.652250724171981</v>
      </c>
      <c r="P195" s="960">
        <v>24.583072099090426</v>
      </c>
    </row>
    <row r="196" spans="8:16" ht="15.6">
      <c r="H196" s="38" t="s">
        <v>987</v>
      </c>
      <c r="I196" s="38"/>
      <c r="J196" s="38"/>
      <c r="K196" s="38"/>
      <c r="L196" s="38"/>
      <c r="M196" s="38"/>
      <c r="N196" s="249">
        <v>126956.6024056171</v>
      </c>
      <c r="P196" s="961">
        <v>127347.37083727632</v>
      </c>
    </row>
    <row r="197" spans="8:16" ht="15.6">
      <c r="H197" s="38" t="s">
        <v>988</v>
      </c>
      <c r="I197" s="38"/>
      <c r="J197" s="38"/>
      <c r="K197" s="38"/>
      <c r="L197" s="38"/>
      <c r="M197" s="38"/>
      <c r="N197" s="247">
        <v>10380.01262512018</v>
      </c>
      <c r="P197" s="959">
        <v>10753.3503865319</v>
      </c>
    </row>
    <row r="198" spans="8:16" ht="15.6">
      <c r="H198" s="38" t="s">
        <v>989</v>
      </c>
      <c r="I198" s="38"/>
      <c r="J198" s="38"/>
      <c r="K198" s="38"/>
      <c r="L198" s="38"/>
      <c r="M198" s="38"/>
      <c r="N198" s="247">
        <v>22.789013642806154</v>
      </c>
      <c r="P198" s="959">
        <v>22.66888667329178</v>
      </c>
    </row>
    <row r="199" spans="8:16" ht="15.6">
      <c r="H199" s="38" t="s">
        <v>36</v>
      </c>
      <c r="I199" s="38"/>
      <c r="J199" s="38"/>
      <c r="K199" s="38"/>
      <c r="L199" s="38"/>
      <c r="M199" s="38"/>
      <c r="N199" s="249">
        <v>27817.895026076414</v>
      </c>
      <c r="P199" s="961">
        <v>27990.84974981819</v>
      </c>
    </row>
    <row r="200" spans="8:16" ht="15.6">
      <c r="H200" s="38" t="s">
        <v>991</v>
      </c>
      <c r="I200" s="38"/>
      <c r="J200" s="38"/>
      <c r="K200" s="38"/>
      <c r="L200" s="38"/>
      <c r="M200" s="38"/>
      <c r="N200" s="249">
        <v>11193.420478196816</v>
      </c>
      <c r="P200" s="961">
        <v>12698.046097107941</v>
      </c>
    </row>
    <row r="201" spans="8:16" ht="15.6">
      <c r="H201" s="38" t="s">
        <v>769</v>
      </c>
      <c r="I201" s="38"/>
      <c r="J201" s="38"/>
      <c r="K201" s="38"/>
      <c r="L201" s="38"/>
      <c r="M201" s="38"/>
      <c r="N201" s="249">
        <v>23400.308023124388</v>
      </c>
      <c r="P201" s="961">
        <v>22303.962852476023</v>
      </c>
    </row>
    <row r="202" spans="8:16" ht="15.6">
      <c r="H202" s="38" t="s">
        <v>992</v>
      </c>
      <c r="I202" s="38"/>
      <c r="J202" s="38"/>
      <c r="K202" s="38"/>
      <c r="L202" s="38"/>
      <c r="M202" s="38"/>
      <c r="N202" s="249">
        <v>65397.053859089472</v>
      </c>
      <c r="P202" s="961">
        <v>65397.215380124602</v>
      </c>
    </row>
    <row r="203" spans="8:16" ht="15.6">
      <c r="H203" s="38" t="s">
        <v>993</v>
      </c>
      <c r="I203" s="38"/>
      <c r="J203" s="38"/>
      <c r="K203" s="38"/>
      <c r="L203" s="38"/>
      <c r="M203" s="38"/>
      <c r="N203" s="249">
        <v>2882.9670374727129</v>
      </c>
      <c r="P203" s="961">
        <v>2889.2468449790781</v>
      </c>
    </row>
    <row r="204" spans="8:16" ht="15.6">
      <c r="H204" s="38" t="s">
        <v>994</v>
      </c>
      <c r="I204" s="38"/>
      <c r="J204" s="38"/>
      <c r="K204" s="38"/>
      <c r="L204" s="38"/>
      <c r="M204" s="38"/>
      <c r="N204" s="247">
        <v>22.683940887655208</v>
      </c>
      <c r="P204" s="959">
        <v>22.634693014815134</v>
      </c>
    </row>
    <row r="205" spans="8:16">
      <c r="H205" s="34" t="s">
        <v>1108</v>
      </c>
      <c r="I205" s="85"/>
      <c r="J205" s="85"/>
      <c r="K205" s="85"/>
      <c r="L205" s="85"/>
      <c r="M205" s="85"/>
      <c r="N205" s="598">
        <v>74.923933752293848</v>
      </c>
      <c r="P205" s="598">
        <v>75.449236445266948</v>
      </c>
    </row>
    <row r="206" spans="8:16">
      <c r="H206" s="34" t="s">
        <v>1211</v>
      </c>
      <c r="I206" s="85"/>
      <c r="J206" s="85"/>
      <c r="K206" s="85"/>
      <c r="L206" s="85"/>
      <c r="M206" s="85"/>
      <c r="N206" s="30">
        <v>37.573237440865064</v>
      </c>
      <c r="P206" s="30">
        <v>38.086791293941232</v>
      </c>
    </row>
    <row r="207" spans="8:16">
      <c r="H207" s="34"/>
      <c r="I207" s="85"/>
      <c r="J207" s="85"/>
      <c r="K207" s="85"/>
      <c r="L207" s="85"/>
      <c r="M207" s="85"/>
      <c r="N207" s="35"/>
      <c r="P207" s="35"/>
    </row>
    <row r="208" spans="8:16">
      <c r="H208" s="34" t="s">
        <v>1246</v>
      </c>
      <c r="I208" s="85"/>
      <c r="J208" s="85"/>
      <c r="K208" s="85"/>
      <c r="L208" s="85"/>
      <c r="M208" s="85"/>
      <c r="N208" s="30">
        <v>765.54382907972251</v>
      </c>
      <c r="P208" s="30">
        <v>781.61827729161337</v>
      </c>
    </row>
    <row r="209" spans="8:16">
      <c r="H209" s="34" t="s">
        <v>1195</v>
      </c>
      <c r="I209" s="85"/>
      <c r="J209" s="85"/>
      <c r="K209" s="85"/>
      <c r="L209" s="85"/>
      <c r="M209" s="85"/>
      <c r="N209" s="35">
        <v>0.69636444350555171</v>
      </c>
      <c r="P209" s="35">
        <v>0.70150420974170191</v>
      </c>
    </row>
    <row r="210" spans="8:16">
      <c r="H210" s="34" t="s">
        <v>121</v>
      </c>
      <c r="I210" s="34"/>
      <c r="J210" s="34"/>
      <c r="K210" s="34"/>
      <c r="L210" s="34"/>
      <c r="M210" s="34"/>
      <c r="N210" s="256">
        <v>7697.2026223167868</v>
      </c>
      <c r="P210" s="374">
        <v>7704.9398774167639</v>
      </c>
    </row>
    <row r="211" spans="8:16">
      <c r="H211" s="34" t="s">
        <v>1261</v>
      </c>
      <c r="I211" s="34"/>
      <c r="J211" s="34"/>
      <c r="K211" s="34"/>
      <c r="L211" s="34"/>
      <c r="M211" s="34"/>
      <c r="N211" s="241">
        <v>1.9367010545246712</v>
      </c>
      <c r="P211" s="957">
        <v>1.9529567152613792</v>
      </c>
    </row>
    <row r="212" spans="8:16">
      <c r="H212" s="34" t="s">
        <v>997</v>
      </c>
      <c r="I212" s="34"/>
      <c r="J212" s="39"/>
      <c r="K212" s="34"/>
      <c r="L212" s="34"/>
      <c r="M212" s="34"/>
      <c r="N212" s="256">
        <v>36.744591121007645</v>
      </c>
      <c r="P212" s="374">
        <v>39.162915739934277</v>
      </c>
    </row>
    <row r="213" spans="8:16">
      <c r="N213" s="257">
        <v>2014</v>
      </c>
      <c r="P213" s="238">
        <v>2014</v>
      </c>
    </row>
    <row r="214" spans="8:16">
      <c r="N214" s="256">
        <v>6228.9764165500592</v>
      </c>
      <c r="P214" s="374">
        <v>6235.2378055132203</v>
      </c>
    </row>
    <row r="215" spans="8:16">
      <c r="N215" s="256">
        <v>5360.0582206391027</v>
      </c>
      <c r="P215" s="374">
        <v>5405.0477598145726</v>
      </c>
    </row>
    <row r="217" spans="8:16">
      <c r="N217" s="252"/>
      <c r="P217" s="965">
        <v>0</v>
      </c>
    </row>
  </sheetData>
  <pageMargins left="0.7" right="0.7" top="0.75" bottom="0.75" header="0.3" footer="0.3"/>
  <pageSetup paperSize="9" orientation="portrait" verticalDpi="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C1:AW196"/>
  <sheetViews>
    <sheetView topLeftCell="O160" zoomScale="70" zoomScaleNormal="70" workbookViewId="0">
      <selection activeCell="AN206" sqref="AN206"/>
    </sheetView>
  </sheetViews>
  <sheetFormatPr defaultRowHeight="14.4"/>
  <cols>
    <col min="4" max="4" width="10.88671875" bestFit="1" customWidth="1"/>
    <col min="14" max="29" width="9.44140625" bestFit="1" customWidth="1"/>
    <col min="30" max="32" width="9.6640625" bestFit="1" customWidth="1"/>
    <col min="33" max="42" width="9.44140625" bestFit="1" customWidth="1"/>
    <col min="43" max="48" width="9.5546875" bestFit="1" customWidth="1"/>
  </cols>
  <sheetData>
    <row r="1" spans="3:49" ht="15" thickBot="1"/>
    <row r="2" spans="3:49" ht="18" thickBot="1">
      <c r="C2" s="951" t="s">
        <v>695</v>
      </c>
      <c r="D2" s="189">
        <v>42316</v>
      </c>
      <c r="E2" s="270" t="s">
        <v>3</v>
      </c>
      <c r="F2" s="190"/>
      <c r="G2" s="190"/>
      <c r="H2" s="190"/>
      <c r="I2" s="190"/>
      <c r="J2" s="190"/>
      <c r="K2" s="190"/>
      <c r="L2" s="191"/>
      <c r="M2" s="192" t="s">
        <v>889</v>
      </c>
      <c r="N2" s="193" t="s">
        <v>890</v>
      </c>
      <c r="O2" s="193" t="s">
        <v>891</v>
      </c>
      <c r="P2" s="193" t="s">
        <v>892</v>
      </c>
      <c r="Q2" s="193" t="s">
        <v>893</v>
      </c>
      <c r="R2" s="193" t="s">
        <v>891</v>
      </c>
      <c r="S2" s="193"/>
      <c r="T2" s="193"/>
      <c r="U2" s="193"/>
      <c r="V2" s="193"/>
      <c r="W2" s="193"/>
      <c r="X2" s="193"/>
      <c r="Y2" s="193"/>
      <c r="Z2" s="193"/>
      <c r="AA2" s="193"/>
      <c r="AB2" s="194" t="s">
        <v>894</v>
      </c>
      <c r="AC2" s="195" t="s">
        <v>895</v>
      </c>
      <c r="AD2" s="195" t="s">
        <v>890</v>
      </c>
      <c r="AE2" s="195" t="s">
        <v>896</v>
      </c>
      <c r="AF2" s="195" t="s">
        <v>897</v>
      </c>
      <c r="AG2" s="195" t="s">
        <v>890</v>
      </c>
      <c r="AH2" s="195" t="s">
        <v>898</v>
      </c>
      <c r="AI2" s="195"/>
      <c r="AJ2" s="195"/>
      <c r="AK2" s="195"/>
      <c r="AL2" s="195"/>
      <c r="AM2" s="195"/>
      <c r="AN2" s="195"/>
      <c r="AO2" s="195"/>
      <c r="AP2" s="195"/>
      <c r="AQ2" s="195"/>
      <c r="AR2" s="195"/>
      <c r="AS2" s="195"/>
      <c r="AT2" s="195"/>
      <c r="AU2" s="195"/>
      <c r="AV2" s="195"/>
      <c r="AW2" s="196"/>
    </row>
    <row r="3" spans="3:49" ht="16.2" thickBot="1">
      <c r="C3" s="105"/>
      <c r="D3" s="198" t="s">
        <v>899</v>
      </c>
      <c r="E3" s="199"/>
      <c r="F3" s="200"/>
      <c r="G3" s="201" t="s">
        <v>900</v>
      </c>
      <c r="H3" s="202"/>
      <c r="I3" s="202"/>
      <c r="J3" s="202"/>
      <c r="K3" s="202"/>
      <c r="L3" s="203"/>
      <c r="M3" s="42">
        <v>1995</v>
      </c>
      <c r="N3" s="48">
        <v>1996</v>
      </c>
      <c r="O3" s="48">
        <v>1997</v>
      </c>
      <c r="P3" s="48">
        <v>1998</v>
      </c>
      <c r="Q3" s="48">
        <v>1999</v>
      </c>
      <c r="R3" s="48">
        <v>2000</v>
      </c>
      <c r="S3" s="48">
        <v>2001</v>
      </c>
      <c r="T3" s="48">
        <v>2002</v>
      </c>
      <c r="U3" s="48">
        <v>2003</v>
      </c>
      <c r="V3" s="48">
        <v>2004</v>
      </c>
      <c r="W3" s="48">
        <v>2005</v>
      </c>
      <c r="X3" s="48">
        <v>2006</v>
      </c>
      <c r="Y3" s="48">
        <v>2007</v>
      </c>
      <c r="Z3" s="48">
        <v>2008</v>
      </c>
      <c r="AA3" s="48">
        <v>2009</v>
      </c>
      <c r="AB3" s="48">
        <v>2010</v>
      </c>
      <c r="AC3" s="48">
        <v>2011</v>
      </c>
      <c r="AD3" s="48">
        <v>2012</v>
      </c>
      <c r="AE3" s="48">
        <v>2013</v>
      </c>
      <c r="AF3" s="48">
        <v>2014</v>
      </c>
      <c r="AG3" s="48">
        <v>2015</v>
      </c>
      <c r="AH3" s="48">
        <v>2016</v>
      </c>
      <c r="AI3" s="48">
        <v>2017</v>
      </c>
      <c r="AJ3" s="48">
        <v>2018</v>
      </c>
      <c r="AK3" s="48">
        <v>2019</v>
      </c>
      <c r="AL3" s="48">
        <v>2020</v>
      </c>
      <c r="AM3" s="48">
        <v>2021</v>
      </c>
      <c r="AN3" s="48">
        <v>2022</v>
      </c>
      <c r="AO3" s="48">
        <v>2023</v>
      </c>
      <c r="AP3" s="48">
        <v>2024</v>
      </c>
      <c r="AQ3" s="48">
        <v>2025</v>
      </c>
      <c r="AR3" s="48">
        <v>2026</v>
      </c>
      <c r="AS3" s="48">
        <v>2027</v>
      </c>
      <c r="AT3" s="48">
        <v>2028</v>
      </c>
      <c r="AU3" s="48">
        <v>2029</v>
      </c>
      <c r="AV3" s="48">
        <v>2030</v>
      </c>
      <c r="AW3" s="16"/>
    </row>
    <row r="4" spans="3:49" ht="17.399999999999999">
      <c r="C4" s="105">
        <v>1</v>
      </c>
      <c r="D4" s="517">
        <v>40873</v>
      </c>
      <c r="E4" s="205" t="s">
        <v>458</v>
      </c>
      <c r="F4" s="243" t="s">
        <v>901</v>
      </c>
      <c r="G4" s="38" t="s">
        <v>861</v>
      </c>
      <c r="H4" s="38"/>
      <c r="I4" s="38"/>
      <c r="J4" s="38"/>
      <c r="K4" s="38"/>
      <c r="L4" s="38"/>
      <c r="M4" s="60">
        <v>148.30000000000001</v>
      </c>
      <c r="N4" s="206">
        <v>148.30000000000001</v>
      </c>
      <c r="O4" s="206">
        <v>148</v>
      </c>
      <c r="P4" s="206">
        <v>147.80000000000001</v>
      </c>
      <c r="Q4" s="206">
        <v>147.5</v>
      </c>
      <c r="R4" s="206">
        <v>146.30000000000001</v>
      </c>
      <c r="S4" s="206">
        <v>146.304</v>
      </c>
      <c r="T4" s="206">
        <v>145.16999999999999</v>
      </c>
      <c r="U4" s="206">
        <v>144.19999999999999</v>
      </c>
      <c r="V4" s="206">
        <v>143.5</v>
      </c>
      <c r="W4" s="206">
        <v>142.80000000000001</v>
      </c>
      <c r="X4" s="206">
        <v>142.19999999999999</v>
      </c>
      <c r="Y4" s="206">
        <v>142</v>
      </c>
      <c r="Z4" s="206">
        <v>141.9</v>
      </c>
      <c r="AA4" s="206">
        <v>141.9</v>
      </c>
      <c r="AB4" s="515">
        <v>142.9</v>
      </c>
      <c r="AC4" s="206">
        <v>142.9</v>
      </c>
      <c r="AD4" s="206">
        <v>143</v>
      </c>
      <c r="AE4" s="206">
        <v>143.69999999999999</v>
      </c>
      <c r="AF4" s="206">
        <v>146.27964828533638</v>
      </c>
      <c r="AG4" s="206">
        <v>146.60860505285606</v>
      </c>
      <c r="AH4" s="206">
        <v>146.95209669376763</v>
      </c>
      <c r="AI4" s="206">
        <v>147.30774804928996</v>
      </c>
      <c r="AJ4" s="206">
        <v>147.67365978221639</v>
      </c>
      <c r="AK4" s="206">
        <v>148.04831323934812</v>
      </c>
      <c r="AL4" s="206">
        <v>148.43049449760025</v>
      </c>
      <c r="AM4" s="206">
        <v>148.81923367037399</v>
      </c>
      <c r="AN4" s="206">
        <v>149.21375637262125</v>
      </c>
      <c r="AO4" s="206">
        <v>149.6134448859481</v>
      </c>
      <c r="AP4" s="206">
        <v>150.01780707036897</v>
      </c>
      <c r="AQ4" s="206">
        <v>150.42645146791489</v>
      </c>
      <c r="AR4" s="271">
        <v>150.8390673587233</v>
      </c>
      <c r="AS4" s="271">
        <v>151.25540878048454</v>
      </c>
      <c r="AT4" s="271">
        <v>151.67528172107441</v>
      </c>
      <c r="AU4" s="271">
        <v>152.09853385264347</v>
      </c>
      <c r="AV4" s="271">
        <v>152.52504630178834</v>
      </c>
      <c r="AW4" s="38" t="s">
        <v>458</v>
      </c>
    </row>
    <row r="5" spans="3:49" ht="17.399999999999999">
      <c r="C5" s="105">
        <v>2</v>
      </c>
      <c r="D5" s="517">
        <v>40873</v>
      </c>
      <c r="E5" s="205" t="s">
        <v>902</v>
      </c>
      <c r="F5" s="243" t="s">
        <v>809</v>
      </c>
      <c r="G5" s="38" t="s">
        <v>903</v>
      </c>
      <c r="H5" s="38"/>
      <c r="I5" s="38"/>
      <c r="J5" s="38"/>
      <c r="K5" s="38"/>
      <c r="L5" s="38"/>
      <c r="M5" s="216">
        <v>0.47700606877950091</v>
      </c>
      <c r="N5" s="219">
        <v>0.46972353337828721</v>
      </c>
      <c r="O5" s="219">
        <v>0.4599932432432432</v>
      </c>
      <c r="P5" s="219">
        <v>0.45560893098782135</v>
      </c>
      <c r="Q5" s="219">
        <v>0.48932203389830509</v>
      </c>
      <c r="R5" s="219">
        <v>0.49740259740259735</v>
      </c>
      <c r="S5" s="219">
        <v>0.48901602143482065</v>
      </c>
      <c r="T5" s="219">
        <v>0.49842942756767933</v>
      </c>
      <c r="U5" s="219">
        <v>0.50119972260748957</v>
      </c>
      <c r="V5" s="219">
        <v>0.50860627177700346</v>
      </c>
      <c r="W5" s="219">
        <v>0.51527310924369751</v>
      </c>
      <c r="X5" s="209">
        <v>0.52334036568213782</v>
      </c>
      <c r="Y5" s="209">
        <v>0.53020422535211265</v>
      </c>
      <c r="Z5" s="209">
        <v>0.53347427766032418</v>
      </c>
      <c r="AA5" s="209">
        <v>0.53343199436222688</v>
      </c>
      <c r="AB5" s="538">
        <v>0.52818754373687893</v>
      </c>
      <c r="AC5" s="209">
        <v>0.53029391182645202</v>
      </c>
      <c r="AD5" s="209">
        <v>0.52920279720279717</v>
      </c>
      <c r="AE5" s="209">
        <v>0.53029391182645202</v>
      </c>
      <c r="AF5" s="209">
        <v>0.53029391182645202</v>
      </c>
      <c r="AG5" s="209">
        <v>0.53029391182645202</v>
      </c>
      <c r="AH5" s="209">
        <v>0.53029391182645202</v>
      </c>
      <c r="AI5" s="209">
        <v>0.53029391182645202</v>
      </c>
      <c r="AJ5" s="209">
        <v>0.53029391182645202</v>
      </c>
      <c r="AK5" s="209">
        <v>0.53029391182645202</v>
      </c>
      <c r="AL5" s="209">
        <v>0.53029391182645202</v>
      </c>
      <c r="AM5" s="209">
        <v>0.53029391182645202</v>
      </c>
      <c r="AN5" s="209">
        <v>0.53029391182645202</v>
      </c>
      <c r="AO5" s="209">
        <v>0.53029391182645202</v>
      </c>
      <c r="AP5" s="209">
        <v>0.53029391182645202</v>
      </c>
      <c r="AQ5" s="209">
        <v>0.53029391182645202</v>
      </c>
      <c r="AR5" s="272">
        <v>0.53029391182645202</v>
      </c>
      <c r="AS5" s="272">
        <v>0.53029391182645202</v>
      </c>
      <c r="AT5" s="272">
        <v>0.53029391182645202</v>
      </c>
      <c r="AU5" s="272">
        <v>0.53029391182645202</v>
      </c>
      <c r="AV5" s="272">
        <v>0.53029391182645202</v>
      </c>
      <c r="AW5" s="38" t="s">
        <v>902</v>
      </c>
    </row>
    <row r="6" spans="3:49" ht="17.399999999999999">
      <c r="C6" s="105">
        <v>3</v>
      </c>
      <c r="D6" s="517">
        <v>41558</v>
      </c>
      <c r="E6" s="205" t="s">
        <v>1075</v>
      </c>
      <c r="F6" s="243" t="s">
        <v>809</v>
      </c>
      <c r="G6" s="38" t="s">
        <v>1192</v>
      </c>
      <c r="H6" s="38"/>
      <c r="I6" s="38"/>
      <c r="J6" s="38"/>
      <c r="K6" s="38"/>
      <c r="L6" s="38"/>
      <c r="M6" s="216">
        <v>0.18688841024307026</v>
      </c>
      <c r="N6" s="948">
        <v>0.18724637981433837</v>
      </c>
      <c r="O6" s="948">
        <v>0.17451210637530107</v>
      </c>
      <c r="P6" s="948">
        <v>0.15480774828968824</v>
      </c>
      <c r="Q6" s="948">
        <v>0.13900199594342622</v>
      </c>
      <c r="R6" s="948">
        <v>0.15949772330898129</v>
      </c>
      <c r="S6" s="948">
        <v>0.16824354034590119</v>
      </c>
      <c r="T6" s="948">
        <v>0.16289540782927425</v>
      </c>
      <c r="U6" s="948">
        <v>0.16553310859775969</v>
      </c>
      <c r="V6" s="948">
        <v>0.16826028537684393</v>
      </c>
      <c r="W6" s="948">
        <v>0.1671050062991197</v>
      </c>
      <c r="X6" s="948">
        <v>0.17572406320071596</v>
      </c>
      <c r="Y6" s="948">
        <v>0.2020067473798311</v>
      </c>
      <c r="Z6" s="948">
        <v>0.21274918435392595</v>
      </c>
      <c r="AA6" s="948">
        <v>0.205529105293528</v>
      </c>
      <c r="AB6" s="952">
        <v>0.19763308889390407</v>
      </c>
      <c r="AC6" s="948">
        <v>0.19718146836183256</v>
      </c>
      <c r="AD6" s="948">
        <v>0.20242538618696554</v>
      </c>
      <c r="AE6" s="953">
        <v>0.20320561534126705</v>
      </c>
      <c r="AF6" s="953">
        <v>0.18944660422595175</v>
      </c>
      <c r="AG6" s="953">
        <v>0.18</v>
      </c>
      <c r="AH6" s="953">
        <v>0.17499999999999999</v>
      </c>
      <c r="AI6" s="953">
        <v>0.17249999999999999</v>
      </c>
      <c r="AJ6" s="953">
        <v>0.17124999999999999</v>
      </c>
      <c r="AK6" s="953">
        <v>0.17062499999999997</v>
      </c>
      <c r="AL6" s="948">
        <v>0.17031249999999998</v>
      </c>
      <c r="AM6" s="948">
        <v>0.17015624999999998</v>
      </c>
      <c r="AN6" s="948">
        <v>0.17007812499999997</v>
      </c>
      <c r="AO6" s="948">
        <v>0.17003906249999995</v>
      </c>
      <c r="AP6" s="948">
        <v>0.17001953124999994</v>
      </c>
      <c r="AQ6" s="948">
        <v>0.17000976562499992</v>
      </c>
      <c r="AR6" s="948">
        <v>0.17000488281249992</v>
      </c>
      <c r="AS6" s="948">
        <v>0.17000244140624993</v>
      </c>
      <c r="AT6" s="948">
        <v>0.17000122070312493</v>
      </c>
      <c r="AU6" s="948">
        <v>0.17000061035156244</v>
      </c>
      <c r="AV6" s="948">
        <v>0.17000030517578119</v>
      </c>
      <c r="AW6" s="38" t="s">
        <v>1075</v>
      </c>
    </row>
    <row r="7" spans="3:49" ht="17.399999999999999">
      <c r="C7" s="105">
        <v>4</v>
      </c>
      <c r="D7" s="517">
        <v>40635</v>
      </c>
      <c r="E7" s="205" t="s">
        <v>499</v>
      </c>
      <c r="F7" s="243" t="s">
        <v>901</v>
      </c>
      <c r="G7" s="38" t="s">
        <v>905</v>
      </c>
      <c r="H7" s="38"/>
      <c r="I7" s="38"/>
      <c r="J7" s="38"/>
      <c r="K7" s="38"/>
      <c r="L7" s="38"/>
      <c r="M7" s="61"/>
      <c r="N7" s="212"/>
      <c r="O7" s="212"/>
      <c r="P7" s="212"/>
      <c r="Q7" s="212"/>
      <c r="R7" s="212"/>
      <c r="S7" s="212"/>
      <c r="T7" s="212"/>
      <c r="U7" s="212"/>
      <c r="V7" s="212"/>
      <c r="W7" s="212"/>
      <c r="X7" s="212"/>
      <c r="Y7" s="212"/>
      <c r="Z7" s="212"/>
      <c r="AA7" s="212"/>
      <c r="AB7" s="515"/>
      <c r="AC7" s="206"/>
      <c r="AD7" s="206"/>
      <c r="AE7" s="206"/>
      <c r="AF7" s="206"/>
      <c r="AG7" s="206"/>
      <c r="AH7" s="206"/>
      <c r="AI7" s="206"/>
      <c r="AJ7" s="206"/>
      <c r="AK7" s="206"/>
      <c r="AL7" s="206"/>
      <c r="AM7" s="206"/>
      <c r="AN7" s="206"/>
      <c r="AO7" s="206"/>
      <c r="AP7" s="206"/>
      <c r="AQ7" s="206"/>
      <c r="AR7" s="271"/>
      <c r="AS7" s="271"/>
      <c r="AT7" s="271"/>
      <c r="AU7" s="271"/>
      <c r="AV7" s="271"/>
      <c r="AW7" s="38" t="s">
        <v>499</v>
      </c>
    </row>
    <row r="8" spans="3:49" ht="17.399999999999999">
      <c r="C8" s="105">
        <v>5</v>
      </c>
      <c r="D8" s="517">
        <v>40873</v>
      </c>
      <c r="E8" s="205" t="s">
        <v>906</v>
      </c>
      <c r="F8" s="243" t="s">
        <v>396</v>
      </c>
      <c r="G8" s="38" t="s">
        <v>907</v>
      </c>
      <c r="H8" s="38"/>
      <c r="I8" s="38"/>
      <c r="J8" s="38"/>
      <c r="K8" s="38"/>
      <c r="L8" s="38"/>
      <c r="M8" s="213">
        <v>5182.04</v>
      </c>
      <c r="N8" s="214"/>
      <c r="O8" s="214"/>
      <c r="P8" s="214"/>
      <c r="Q8" s="214"/>
      <c r="R8" s="214"/>
      <c r="S8" s="214"/>
      <c r="T8" s="214"/>
      <c r="U8" s="214"/>
      <c r="V8" s="214"/>
      <c r="W8" s="214"/>
      <c r="X8" s="21"/>
      <c r="Y8" s="21"/>
      <c r="Z8" s="21"/>
      <c r="AA8" s="21"/>
      <c r="AB8" s="38"/>
      <c r="AC8" s="21"/>
      <c r="AD8" s="21"/>
      <c r="AE8" s="21"/>
      <c r="AF8" s="21"/>
      <c r="AG8" s="21"/>
      <c r="AH8" s="21"/>
      <c r="AI8" s="21"/>
      <c r="AJ8" s="21"/>
      <c r="AK8" s="21"/>
      <c r="AL8" s="21"/>
      <c r="AM8" s="21"/>
      <c r="AN8" s="21"/>
      <c r="AO8" s="21"/>
      <c r="AP8" s="21"/>
      <c r="AQ8" s="21"/>
      <c r="AW8" s="38" t="s">
        <v>906</v>
      </c>
    </row>
    <row r="9" spans="3:49" ht="17.399999999999999">
      <c r="C9" s="105">
        <v>6</v>
      </c>
      <c r="D9" s="518">
        <v>41926</v>
      </c>
      <c r="E9" s="205" t="s">
        <v>768</v>
      </c>
      <c r="F9" s="243" t="s">
        <v>809</v>
      </c>
      <c r="G9" s="38" t="s">
        <v>908</v>
      </c>
      <c r="H9" s="38"/>
      <c r="I9" s="38"/>
      <c r="J9" s="38"/>
      <c r="K9" s="38"/>
      <c r="L9" s="38"/>
      <c r="M9" s="216">
        <v>0.50338504971343634</v>
      </c>
      <c r="N9" s="209">
        <v>0.4953618002876285</v>
      </c>
      <c r="O9" s="209">
        <v>0.48426929267941665</v>
      </c>
      <c r="P9" s="209">
        <v>0.45447359805696708</v>
      </c>
      <c r="Q9" s="209">
        <v>0.45181578644747206</v>
      </c>
      <c r="R9" s="209">
        <v>0.45421840440510231</v>
      </c>
      <c r="S9" s="209">
        <v>0.47453367284444886</v>
      </c>
      <c r="T9" s="209">
        <v>0.46500098778747362</v>
      </c>
      <c r="U9" s="209">
        <v>0.46872864665390768</v>
      </c>
      <c r="V9" s="209">
        <v>0.46217016187985543</v>
      </c>
      <c r="W9" s="209">
        <v>0.46127374316494563</v>
      </c>
      <c r="X9" s="209">
        <v>0.46341299624141757</v>
      </c>
      <c r="Y9" s="209">
        <v>0.46816891313324255</v>
      </c>
      <c r="Z9" s="209">
        <v>0.46873776285343211</v>
      </c>
      <c r="AA9" s="209">
        <v>0.46906554432792302</v>
      </c>
      <c r="AB9" s="538">
        <v>0.47569154866767077</v>
      </c>
      <c r="AC9" s="209">
        <v>0.47165870183613501</v>
      </c>
      <c r="AD9" s="209">
        <v>0.47199853571887007</v>
      </c>
      <c r="AE9" s="209">
        <v>0.47520359541325385</v>
      </c>
      <c r="AF9" s="209">
        <v>0.47618076100428836</v>
      </c>
      <c r="AG9" s="209">
        <v>0.4779637096785983</v>
      </c>
      <c r="AH9" s="209">
        <v>0.47956836348547721</v>
      </c>
      <c r="AI9" s="209">
        <v>0.48101255191166825</v>
      </c>
      <c r="AJ9" s="209">
        <v>0.48231232149524023</v>
      </c>
      <c r="AK9" s="209">
        <v>0.48348211412045494</v>
      </c>
      <c r="AL9" s="209">
        <v>0.48453492748314825</v>
      </c>
      <c r="AM9" s="209">
        <v>0.48548245950957214</v>
      </c>
      <c r="AN9" s="209">
        <v>0.48633523833335374</v>
      </c>
      <c r="AO9" s="209">
        <v>0.48710273927475706</v>
      </c>
      <c r="AP9" s="209">
        <v>0.48779349012202011</v>
      </c>
      <c r="AQ9" s="209">
        <v>0.48841516588455691</v>
      </c>
      <c r="AR9" s="221">
        <v>0.48897467407084</v>
      </c>
      <c r="AS9" s="209">
        <v>0.48947823143849484</v>
      </c>
      <c r="AT9" s="209">
        <v>0.48993143306938414</v>
      </c>
      <c r="AU9" s="209">
        <v>0.49033931453718449</v>
      </c>
      <c r="AV9" s="209">
        <v>0.49070640785820474</v>
      </c>
      <c r="AW9" s="38" t="s">
        <v>768</v>
      </c>
    </row>
    <row r="10" spans="3:49" ht="17.399999999999999">
      <c r="C10" s="105">
        <v>7</v>
      </c>
      <c r="D10" s="518">
        <v>41926</v>
      </c>
      <c r="E10" s="205" t="s">
        <v>453</v>
      </c>
      <c r="F10" s="243" t="s">
        <v>809</v>
      </c>
      <c r="G10" s="38" t="s">
        <v>909</v>
      </c>
      <c r="H10" s="38"/>
      <c r="I10" s="38"/>
      <c r="J10" s="38"/>
      <c r="K10" s="38"/>
      <c r="L10" s="38"/>
      <c r="M10" s="216">
        <v>0.50338504971343634</v>
      </c>
      <c r="N10" s="209">
        <v>0.50747241555941625</v>
      </c>
      <c r="O10" s="209">
        <v>0.50747241555941636</v>
      </c>
      <c r="P10" s="209">
        <v>0.50851040836118788</v>
      </c>
      <c r="Q10" s="209">
        <v>0.50572313279423808</v>
      </c>
      <c r="R10" s="209">
        <v>0.50301229074374942</v>
      </c>
      <c r="S10" s="209">
        <v>0.50206474506356591</v>
      </c>
      <c r="T10" s="209">
        <v>0.50063389662984059</v>
      </c>
      <c r="U10" s="209">
        <v>0.50202618130466459</v>
      </c>
      <c r="V10" s="209">
        <v>0.5057148762579633</v>
      </c>
      <c r="W10" s="209">
        <v>0.502441464842453</v>
      </c>
      <c r="X10" s="280">
        <v>0.50563972907211574</v>
      </c>
      <c r="Y10" s="280">
        <v>0.50700285481915963</v>
      </c>
      <c r="Z10" s="280">
        <v>0.50606381263786271</v>
      </c>
      <c r="AA10" s="280">
        <v>0.50873085468625434</v>
      </c>
      <c r="AB10" s="538">
        <v>0.51107023156870091</v>
      </c>
      <c r="AC10" s="209">
        <v>0.51107023156870091</v>
      </c>
      <c r="AD10" s="209">
        <v>0.51295435399040157</v>
      </c>
      <c r="AE10" s="209">
        <v>0.51534652317512464</v>
      </c>
      <c r="AF10" s="209">
        <v>0.51630813721644386</v>
      </c>
      <c r="AG10" s="209">
        <v>0.5194371324810011</v>
      </c>
      <c r="AH10" s="209">
        <v>0.5211810238166642</v>
      </c>
      <c r="AI10" s="209">
        <v>0.52275052601876104</v>
      </c>
      <c r="AJ10" s="209">
        <v>0.52416307800064821</v>
      </c>
      <c r="AK10" s="209">
        <v>0.52543437478434663</v>
      </c>
      <c r="AL10" s="209">
        <v>0.52657854188967523</v>
      </c>
      <c r="AM10" s="209">
        <v>0.52760829228447093</v>
      </c>
      <c r="AN10" s="209">
        <v>0.52853506763978708</v>
      </c>
      <c r="AO10" s="209">
        <v>0.52936916545957158</v>
      </c>
      <c r="AP10" s="209">
        <v>0.53011985349737767</v>
      </c>
      <c r="AQ10" s="209">
        <v>0.53079547273140315</v>
      </c>
      <c r="AR10" s="221">
        <v>0.53140353004202612</v>
      </c>
      <c r="AS10" s="209">
        <v>0.53195078162158682</v>
      </c>
      <c r="AT10" s="209">
        <v>0.5324433080431914</v>
      </c>
      <c r="AU10" s="209">
        <v>0.53288658182263549</v>
      </c>
      <c r="AV10" s="209">
        <v>0.53328552822413511</v>
      </c>
      <c r="AW10" s="38" t="s">
        <v>453</v>
      </c>
    </row>
    <row r="11" spans="3:49" ht="17.399999999999999">
      <c r="C11" s="105">
        <v>8</v>
      </c>
      <c r="D11" s="518">
        <v>41926</v>
      </c>
      <c r="E11" s="205" t="s">
        <v>455</v>
      </c>
      <c r="F11" s="243" t="s">
        <v>809</v>
      </c>
      <c r="G11" s="38" t="s">
        <v>1</v>
      </c>
      <c r="H11" s="38"/>
      <c r="I11" s="38"/>
      <c r="J11" s="38"/>
      <c r="K11" s="38"/>
      <c r="L11" s="38"/>
      <c r="M11" s="216">
        <v>1.0000000000000002</v>
      </c>
      <c r="N11" s="209">
        <v>0.97613542155106592</v>
      </c>
      <c r="O11" s="209">
        <v>0.95427707562307296</v>
      </c>
      <c r="P11" s="209">
        <v>0.89373509486586711</v>
      </c>
      <c r="Q11" s="209">
        <v>0.89340541721135958</v>
      </c>
      <c r="R11" s="209">
        <v>0.9029966320176771</v>
      </c>
      <c r="S11" s="209">
        <v>0.9451642990474638</v>
      </c>
      <c r="T11" s="209">
        <v>0.92882441823807771</v>
      </c>
      <c r="U11" s="209">
        <v>0.93367370888063383</v>
      </c>
      <c r="V11" s="209">
        <v>0.91389473313437619</v>
      </c>
      <c r="W11" s="209">
        <v>0.91806464124051534</v>
      </c>
      <c r="X11" s="209">
        <v>0.91648849882071737</v>
      </c>
      <c r="Y11" s="209">
        <v>0.92340488556071632</v>
      </c>
      <c r="Z11" s="209">
        <v>0.92624240490568133</v>
      </c>
      <c r="AA11" s="209">
        <v>0.92203085385337247</v>
      </c>
      <c r="AB11" s="538">
        <v>0.93077530109230333</v>
      </c>
      <c r="AC11" s="209">
        <v>0.92288431746142907</v>
      </c>
      <c r="AD11" s="209">
        <v>0.92015699261946826</v>
      </c>
      <c r="AE11" s="209">
        <v>0.92015699261946826</v>
      </c>
      <c r="AF11" s="209">
        <v>0.92015699261946826</v>
      </c>
      <c r="AG11" s="209">
        <v>0.92015699261946826</v>
      </c>
      <c r="AH11" s="209">
        <v>0.92015699261946826</v>
      </c>
      <c r="AI11" s="209">
        <v>0.92015699261946826</v>
      </c>
      <c r="AJ11" s="209">
        <v>0.92015699261946826</v>
      </c>
      <c r="AK11" s="209">
        <v>0.92015699261946826</v>
      </c>
      <c r="AL11" s="209">
        <v>0.92015699261946826</v>
      </c>
      <c r="AM11" s="209">
        <v>0.92015699261946826</v>
      </c>
      <c r="AN11" s="209">
        <v>0.92015699261946826</v>
      </c>
      <c r="AO11" s="209">
        <v>0.92015699261946826</v>
      </c>
      <c r="AP11" s="209">
        <v>0.92015699261946826</v>
      </c>
      <c r="AQ11" s="209">
        <v>0.92015699261946826</v>
      </c>
      <c r="AR11" s="221">
        <v>0.92015699261946826</v>
      </c>
      <c r="AS11" s="209">
        <v>0.92015699261946826</v>
      </c>
      <c r="AT11" s="209">
        <v>0.92015699261946826</v>
      </c>
      <c r="AU11" s="209">
        <v>0.92015699261946826</v>
      </c>
      <c r="AV11" s="209">
        <v>0.92015699261946826</v>
      </c>
      <c r="AW11" s="38" t="s">
        <v>455</v>
      </c>
    </row>
    <row r="12" spans="3:49" ht="17.399999999999999">
      <c r="C12" s="105">
        <v>9</v>
      </c>
      <c r="D12" s="518"/>
      <c r="E12" s="205"/>
      <c r="F12" s="243"/>
      <c r="G12" s="38"/>
      <c r="H12" s="38"/>
      <c r="I12" s="38"/>
      <c r="J12" s="38"/>
      <c r="K12" s="38"/>
      <c r="L12" s="38"/>
      <c r="M12" s="216">
        <v>1</v>
      </c>
      <c r="N12" s="217"/>
      <c r="O12" s="217"/>
      <c r="P12" s="217"/>
      <c r="Q12" s="217"/>
      <c r="R12" s="217"/>
      <c r="S12" s="217"/>
      <c r="T12" s="217"/>
      <c r="U12" s="217"/>
      <c r="V12" s="217"/>
      <c r="W12" s="217"/>
      <c r="X12" s="217"/>
      <c r="Y12" s="217"/>
      <c r="Z12" s="217"/>
      <c r="AA12" s="217"/>
      <c r="AB12" s="217"/>
      <c r="AC12" s="217"/>
      <c r="AD12" s="217"/>
      <c r="AE12" s="217"/>
      <c r="AF12" s="217"/>
      <c r="AG12" s="217"/>
      <c r="AH12" s="217"/>
      <c r="AI12" s="217"/>
      <c r="AJ12" s="217"/>
      <c r="AK12" s="217"/>
      <c r="AL12" s="217"/>
      <c r="AM12" s="217"/>
      <c r="AN12" s="217"/>
      <c r="AO12" s="217"/>
      <c r="AP12" s="217"/>
      <c r="AQ12" s="217"/>
      <c r="AW12" s="38">
        <v>0</v>
      </c>
    </row>
    <row r="13" spans="3:49" ht="17.399999999999999">
      <c r="C13" s="105">
        <v>10</v>
      </c>
      <c r="D13" s="517">
        <v>41613</v>
      </c>
      <c r="E13" s="205" t="s">
        <v>625</v>
      </c>
      <c r="F13" s="243" t="s">
        <v>4</v>
      </c>
      <c r="G13" s="38" t="s">
        <v>910</v>
      </c>
      <c r="H13" s="38"/>
      <c r="I13" s="38"/>
      <c r="J13" s="38"/>
      <c r="K13" s="38"/>
      <c r="L13" s="38"/>
      <c r="M13" s="218">
        <v>43.206939348996954</v>
      </c>
      <c r="N13" s="206">
        <v>42.749286899313503</v>
      </c>
      <c r="O13" s="206">
        <v>45.447241894736841</v>
      </c>
      <c r="P13" s="206">
        <v>44.298503885723704</v>
      </c>
      <c r="Q13" s="206">
        <v>43.416737397690277</v>
      </c>
      <c r="R13" s="206">
        <v>46.046768151253758</v>
      </c>
      <c r="S13" s="206">
        <v>48.263748607689806</v>
      </c>
      <c r="T13" s="206">
        <v>49.226295399031507</v>
      </c>
      <c r="U13" s="206">
        <v>53.222993601114709</v>
      </c>
      <c r="V13" s="206">
        <v>56.644052738523989</v>
      </c>
      <c r="W13" s="206">
        <v>58.979127328817569</v>
      </c>
      <c r="X13" s="206">
        <v>63.457556425113935</v>
      </c>
      <c r="Y13" s="206">
        <v>67.479917249698346</v>
      </c>
      <c r="Z13" s="206">
        <v>70.621402348481183</v>
      </c>
      <c r="AA13" s="206">
        <v>66.896281588517056</v>
      </c>
      <c r="AB13" s="515">
        <v>69.714794668000067</v>
      </c>
      <c r="AC13" s="206">
        <v>71.765360256224923</v>
      </c>
      <c r="AD13" s="206">
        <v>73.776100365909457</v>
      </c>
      <c r="AE13" s="206">
        <v>75.25659244385453</v>
      </c>
      <c r="AF13" s="206">
        <v>75.710193822968179</v>
      </c>
      <c r="AG13" s="206">
        <v>76.11843506417047</v>
      </c>
      <c r="AH13" s="206">
        <v>76.485852181252525</v>
      </c>
      <c r="AI13" s="206">
        <v>76.816527586626378</v>
      </c>
      <c r="AJ13" s="206">
        <v>77.114135451462843</v>
      </c>
      <c r="AK13" s="206">
        <v>77.381982529815659</v>
      </c>
      <c r="AL13" s="206">
        <v>77.623044900333198</v>
      </c>
      <c r="AM13" s="206">
        <v>77.840001033798984</v>
      </c>
      <c r="AN13" s="206">
        <v>78.03526155391819</v>
      </c>
      <c r="AO13" s="206">
        <v>78.210996022025469</v>
      </c>
      <c r="AP13" s="206">
        <v>78.369157043322019</v>
      </c>
      <c r="AQ13" s="206">
        <v>78.511501962488921</v>
      </c>
      <c r="AR13" s="206">
        <v>78.639612389739128</v>
      </c>
      <c r="AS13" s="206">
        <v>78.754911774264315</v>
      </c>
      <c r="AT13" s="206">
        <v>78.85868122033699</v>
      </c>
      <c r="AU13" s="206">
        <v>78.952073721802392</v>
      </c>
      <c r="AV13" s="206">
        <v>79.036126973121256</v>
      </c>
      <c r="AW13" s="38" t="s">
        <v>625</v>
      </c>
    </row>
    <row r="14" spans="3:49" ht="17.399999999999999">
      <c r="C14" s="105">
        <v>11</v>
      </c>
      <c r="D14" s="517">
        <v>41976</v>
      </c>
      <c r="E14" s="205" t="s">
        <v>667</v>
      </c>
      <c r="F14" s="243" t="s">
        <v>784</v>
      </c>
      <c r="G14" s="38" t="s">
        <v>911</v>
      </c>
      <c r="H14" s="38"/>
      <c r="I14" s="38"/>
      <c r="J14" s="38"/>
      <c r="K14" s="38"/>
      <c r="L14" s="38"/>
      <c r="M14" s="216">
        <v>0.52160205427817563</v>
      </c>
      <c r="N14" s="209">
        <v>0.5075047014598465</v>
      </c>
      <c r="O14" s="209">
        <v>0.51667647317297627</v>
      </c>
      <c r="P14" s="209">
        <v>0.49180137717267253</v>
      </c>
      <c r="Q14" s="209">
        <v>0.51928728248372014</v>
      </c>
      <c r="R14" s="209">
        <v>0.56527391744994016</v>
      </c>
      <c r="S14" s="209">
        <v>0.58768319068878805</v>
      </c>
      <c r="T14" s="209">
        <v>0.60746658522682651</v>
      </c>
      <c r="U14" s="209">
        <v>0.64524584965850473</v>
      </c>
      <c r="V14" s="209">
        <v>0.68589125751100888</v>
      </c>
      <c r="W14" s="209">
        <v>0.71146914542604145</v>
      </c>
      <c r="X14" s="209">
        <v>0.75663076110249916</v>
      </c>
      <c r="Y14" s="209">
        <v>0.79846194770079459</v>
      </c>
      <c r="Z14" s="209">
        <v>0.80925197402107563</v>
      </c>
      <c r="AA14" s="209">
        <v>0.80925197402107563</v>
      </c>
      <c r="AB14" s="538">
        <v>0.80925197402107563</v>
      </c>
      <c r="AC14" s="209">
        <v>0.80925197402107563</v>
      </c>
      <c r="AD14" s="209">
        <v>0.80925197402107563</v>
      </c>
      <c r="AE14" s="209">
        <v>0.80925197402107563</v>
      </c>
      <c r="AF14" s="209">
        <v>0.80925197402107563</v>
      </c>
      <c r="AG14" s="209">
        <v>0.80925197402107563</v>
      </c>
      <c r="AH14" s="209">
        <v>0.80925197402107563</v>
      </c>
      <c r="AI14" s="209">
        <v>0.80925197402107563</v>
      </c>
      <c r="AJ14" s="209">
        <v>0.80925197402107563</v>
      </c>
      <c r="AK14" s="209">
        <v>0.80925197402107563</v>
      </c>
      <c r="AL14" s="209">
        <v>0.80925197402107563</v>
      </c>
      <c r="AM14" s="209">
        <v>0.80925197402107563</v>
      </c>
      <c r="AN14" s="209">
        <v>0.80925197402107563</v>
      </c>
      <c r="AO14" s="209">
        <v>0.80925197402107563</v>
      </c>
      <c r="AP14" s="209">
        <v>0.80925197402107563</v>
      </c>
      <c r="AQ14" s="209">
        <v>0.80925197402107563</v>
      </c>
      <c r="AR14" s="209">
        <v>0.80925197402107563</v>
      </c>
      <c r="AS14" s="209">
        <v>0.80925197402107563</v>
      </c>
      <c r="AT14" s="209">
        <v>0.80925197402107563</v>
      </c>
      <c r="AU14" s="209">
        <v>0.80925197402107563</v>
      </c>
      <c r="AV14" s="209">
        <v>0.80925197402107563</v>
      </c>
      <c r="AW14" s="38" t="s">
        <v>667</v>
      </c>
    </row>
    <row r="15" spans="3:49" ht="17.399999999999999">
      <c r="C15" s="105">
        <v>12</v>
      </c>
      <c r="D15" s="517">
        <v>42288</v>
      </c>
      <c r="E15" s="205" t="s">
        <v>590</v>
      </c>
      <c r="F15" s="243" t="s">
        <v>809</v>
      </c>
      <c r="G15" s="38" t="s">
        <v>912</v>
      </c>
      <c r="H15" s="38"/>
      <c r="I15" s="38"/>
      <c r="J15" s="38"/>
      <c r="K15" s="38"/>
      <c r="L15" s="38"/>
      <c r="M15" s="61">
        <v>1</v>
      </c>
      <c r="N15" s="212">
        <v>1.218</v>
      </c>
      <c r="O15" s="212">
        <v>1.3519800000000002</v>
      </c>
      <c r="P15" s="212">
        <v>2.4930511200000005</v>
      </c>
      <c r="Q15" s="212">
        <v>3.4030147788000007</v>
      </c>
      <c r="R15" s="212">
        <v>4.0904237641176007</v>
      </c>
      <c r="S15" s="212">
        <v>4.8512425842434741</v>
      </c>
      <c r="T15" s="212">
        <v>5.5837802144642392</v>
      </c>
      <c r="U15" s="212">
        <v>6.2538338401999489</v>
      </c>
      <c r="V15" s="212">
        <v>6.9855323995033425</v>
      </c>
      <c r="W15" s="212">
        <v>7.7469554310492068</v>
      </c>
      <c r="X15" s="212">
        <v>8.4441814198436358</v>
      </c>
      <c r="Y15" s="212">
        <v>9.4490390088050287</v>
      </c>
      <c r="Z15" s="212">
        <v>10.705761196976098</v>
      </c>
      <c r="AA15" s="212">
        <v>11.647868182309995</v>
      </c>
      <c r="AB15" s="539">
        <v>12.672880582353276</v>
      </c>
      <c r="AC15" s="212">
        <v>13.445926297876825</v>
      </c>
      <c r="AD15" s="212">
        <v>14.333357433536698</v>
      </c>
      <c r="AE15" s="212">
        <v>15.308025739017193</v>
      </c>
      <c r="AF15" s="212">
        <v>17.053140673265155</v>
      </c>
      <c r="AG15" s="212">
        <v>19.133623835403505</v>
      </c>
      <c r="AH15" s="212">
        <v>21.046986218943857</v>
      </c>
      <c r="AI15" s="212">
        <v>22.941214978648805</v>
      </c>
      <c r="AJ15" s="212">
        <v>24.77651217694071</v>
      </c>
      <c r="AK15" s="212">
        <v>26.510868029326559</v>
      </c>
      <c r="AL15" s="212">
        <v>28.101520111086153</v>
      </c>
      <c r="AM15" s="212">
        <v>29.787611317751324</v>
      </c>
      <c r="AN15" s="212">
        <v>31.276991883638892</v>
      </c>
      <c r="AO15" s="212">
        <v>32.840841477820838</v>
      </c>
      <c r="AP15" s="212">
        <v>34.482883551711879</v>
      </c>
      <c r="AQ15" s="212">
        <v>36.207027729297472</v>
      </c>
      <c r="AR15" s="212">
        <v>38.017379115762346</v>
      </c>
      <c r="AS15" s="212">
        <v>39.538074280392841</v>
      </c>
      <c r="AT15" s="212">
        <v>41.119597251608553</v>
      </c>
      <c r="AU15" s="212">
        <v>42.764381141672899</v>
      </c>
      <c r="AV15" s="212">
        <v>44.474956387339816</v>
      </c>
      <c r="AW15" s="38" t="s">
        <v>590</v>
      </c>
    </row>
    <row r="16" spans="3:49" ht="17.399999999999999">
      <c r="C16" s="105">
        <v>13</v>
      </c>
      <c r="D16" s="518">
        <v>42288</v>
      </c>
      <c r="E16" s="205" t="s">
        <v>913</v>
      </c>
      <c r="F16" s="243" t="s">
        <v>809</v>
      </c>
      <c r="G16" s="38" t="s">
        <v>914</v>
      </c>
      <c r="H16" s="38"/>
      <c r="I16" s="38"/>
      <c r="J16" s="38"/>
      <c r="K16" s="38"/>
      <c r="L16" s="38"/>
      <c r="M16" s="61">
        <v>2.3130000000000002</v>
      </c>
      <c r="N16" s="55">
        <v>1.218</v>
      </c>
      <c r="O16" s="55">
        <v>1.1100000000000001</v>
      </c>
      <c r="P16" s="55">
        <v>1.8440000000000001</v>
      </c>
      <c r="Q16" s="55">
        <v>1.365</v>
      </c>
      <c r="R16" s="55">
        <v>1.202</v>
      </c>
      <c r="S16" s="55">
        <v>1.1859999999999999</v>
      </c>
      <c r="T16" s="55">
        <v>1.151</v>
      </c>
      <c r="U16" s="55">
        <v>1.1200000000000001</v>
      </c>
      <c r="V16" s="55">
        <v>1.117</v>
      </c>
      <c r="W16" s="55">
        <v>1.109</v>
      </c>
      <c r="X16" s="55">
        <v>1.0900000000000001</v>
      </c>
      <c r="Y16" s="55">
        <v>1.119</v>
      </c>
      <c r="Z16" s="55">
        <v>1.133</v>
      </c>
      <c r="AA16" s="219">
        <v>1.0880000000000001</v>
      </c>
      <c r="AB16" s="538">
        <v>1.0880000000000001</v>
      </c>
      <c r="AC16" s="219">
        <v>1.0609999999999999</v>
      </c>
      <c r="AD16" s="219">
        <v>1.0660000000000001</v>
      </c>
      <c r="AE16" s="219">
        <v>1.0680000000000001</v>
      </c>
      <c r="AF16" s="219">
        <v>1.1140000000000001</v>
      </c>
      <c r="AG16" s="219">
        <v>1.1220000000000001</v>
      </c>
      <c r="AH16" s="219">
        <v>1.1000000000000001</v>
      </c>
      <c r="AI16" s="219">
        <v>1.0900000000000001</v>
      </c>
      <c r="AJ16" s="219">
        <v>1.08</v>
      </c>
      <c r="AK16" s="219">
        <v>1.07</v>
      </c>
      <c r="AL16" s="219">
        <v>1.06</v>
      </c>
      <c r="AM16" s="219">
        <v>1.06</v>
      </c>
      <c r="AN16" s="219">
        <v>1.05</v>
      </c>
      <c r="AO16" s="219">
        <v>1.05</v>
      </c>
      <c r="AP16" s="219">
        <v>1.05</v>
      </c>
      <c r="AQ16" s="219">
        <v>1.05</v>
      </c>
      <c r="AR16" s="219">
        <v>1.05</v>
      </c>
      <c r="AS16" s="219">
        <v>1.04</v>
      </c>
      <c r="AT16" s="219">
        <v>1.04</v>
      </c>
      <c r="AU16" s="219">
        <v>1.04</v>
      </c>
      <c r="AV16" s="219">
        <v>1.04</v>
      </c>
      <c r="AW16" s="38" t="s">
        <v>913</v>
      </c>
    </row>
    <row r="17" spans="3:49" ht="17.399999999999999">
      <c r="C17" s="105">
        <v>14</v>
      </c>
      <c r="D17" s="517">
        <v>40878</v>
      </c>
      <c r="E17" s="205"/>
      <c r="F17" s="243"/>
      <c r="G17" s="38"/>
      <c r="H17" s="38"/>
      <c r="I17" s="38"/>
      <c r="J17" s="38"/>
      <c r="K17" s="38"/>
      <c r="L17" s="38"/>
      <c r="M17" s="207"/>
      <c r="N17" s="206"/>
      <c r="O17" s="206"/>
      <c r="P17" s="206"/>
      <c r="Q17" s="206"/>
      <c r="R17" s="206"/>
      <c r="S17" s="206"/>
      <c r="T17" s="206"/>
      <c r="U17" s="206"/>
      <c r="V17" s="206"/>
      <c r="W17" s="206"/>
      <c r="X17" s="206"/>
      <c r="Y17" s="206"/>
      <c r="Z17" s="206"/>
      <c r="AA17" s="206"/>
      <c r="AB17" s="206"/>
      <c r="AC17" s="206"/>
      <c r="AD17" s="206"/>
      <c r="AE17" s="206"/>
      <c r="AF17" s="206"/>
      <c r="AG17" s="206"/>
      <c r="AH17" s="206"/>
      <c r="AI17" s="206"/>
      <c r="AJ17" s="206"/>
      <c r="AK17" s="206"/>
      <c r="AL17" s="206"/>
      <c r="AM17" s="206"/>
      <c r="AN17" s="206"/>
      <c r="AO17" s="206"/>
      <c r="AP17" s="206"/>
      <c r="AQ17" s="206"/>
      <c r="AR17" s="206"/>
      <c r="AS17" s="206"/>
      <c r="AT17" s="206"/>
      <c r="AU17" s="206"/>
      <c r="AV17" s="206"/>
      <c r="AW17" s="38">
        <v>0</v>
      </c>
    </row>
    <row r="18" spans="3:49" ht="17.399999999999999">
      <c r="C18" s="365">
        <v>15</v>
      </c>
      <c r="D18" s="519">
        <v>0</v>
      </c>
      <c r="E18" s="205"/>
      <c r="F18" s="243"/>
      <c r="G18" s="38"/>
      <c r="H18" s="38"/>
      <c r="I18" s="38"/>
      <c r="J18" s="38"/>
      <c r="K18" s="38"/>
      <c r="L18" s="38"/>
      <c r="M18" s="207"/>
      <c r="N18" s="949"/>
      <c r="O18" s="949"/>
      <c r="P18" s="949"/>
      <c r="Q18" s="949"/>
      <c r="R18" s="949"/>
      <c r="S18" s="949"/>
      <c r="T18" s="949"/>
      <c r="U18" s="949"/>
      <c r="V18" s="949"/>
      <c r="W18" s="949"/>
      <c r="X18" s="949"/>
      <c r="Y18" s="949"/>
      <c r="Z18" s="949"/>
      <c r="AA18" s="949"/>
      <c r="AB18" s="39"/>
      <c r="AW18" s="38">
        <v>0</v>
      </c>
    </row>
    <row r="19" spans="3:49" ht="17.399999999999999">
      <c r="C19" s="105">
        <v>16</v>
      </c>
      <c r="D19" s="517">
        <v>41988</v>
      </c>
      <c r="E19" s="205" t="s">
        <v>1247</v>
      </c>
      <c r="F19" s="243" t="s">
        <v>809</v>
      </c>
      <c r="G19" s="38" t="s">
        <v>1248</v>
      </c>
      <c r="H19" s="38"/>
      <c r="I19" s="38"/>
      <c r="J19" s="38"/>
      <c r="K19" s="38"/>
      <c r="L19" s="38"/>
      <c r="M19" s="216">
        <v>0.22522731577966831</v>
      </c>
      <c r="N19" s="209">
        <v>0.25702596448827286</v>
      </c>
      <c r="O19" s="209">
        <v>0.26483194861824283</v>
      </c>
      <c r="P19" s="209">
        <v>0.26202444669725911</v>
      </c>
      <c r="Q19" s="209">
        <v>0.21976386096355607</v>
      </c>
      <c r="R19" s="209">
        <v>0.21943110087328907</v>
      </c>
      <c r="S19" s="209">
        <v>0.22610677441782925</v>
      </c>
      <c r="T19" s="209">
        <v>0.25046267181993459</v>
      </c>
      <c r="U19" s="209">
        <v>0.25064314572485402</v>
      </c>
      <c r="V19" s="209">
        <v>0.24779782683499524</v>
      </c>
      <c r="W19" s="209">
        <v>0.23533261359456661</v>
      </c>
      <c r="X19" s="209">
        <v>0.23893569788919095</v>
      </c>
      <c r="Y19" s="209">
        <v>0.24835746079537857</v>
      </c>
      <c r="Z19" s="209">
        <v>0.25174794241925696</v>
      </c>
      <c r="AA19" s="209">
        <v>0.27925764408083448</v>
      </c>
      <c r="AB19" s="538">
        <v>0.26035814335616153</v>
      </c>
      <c r="AC19" s="209">
        <v>0.26208612752359067</v>
      </c>
      <c r="AD19" s="209">
        <v>0.26510250485845077</v>
      </c>
      <c r="AE19" s="209">
        <v>0.27170633864113053</v>
      </c>
      <c r="AF19" s="209">
        <v>0.2719291768037842</v>
      </c>
      <c r="AG19" s="209">
        <v>0.2719291768037842</v>
      </c>
      <c r="AH19" s="209">
        <v>0.27</v>
      </c>
      <c r="AI19" s="209">
        <v>0.27</v>
      </c>
      <c r="AJ19" s="209">
        <v>0.27</v>
      </c>
      <c r="AK19" s="209">
        <v>0.27</v>
      </c>
      <c r="AL19" s="209">
        <v>0.27</v>
      </c>
      <c r="AM19" s="209">
        <v>0.27</v>
      </c>
      <c r="AN19" s="209">
        <v>0.27</v>
      </c>
      <c r="AO19" s="209">
        <v>0.27</v>
      </c>
      <c r="AP19" s="209">
        <v>0.27</v>
      </c>
      <c r="AQ19" s="209">
        <v>0.27</v>
      </c>
      <c r="AR19" s="209">
        <v>0.27</v>
      </c>
      <c r="AS19" s="209">
        <v>0.27</v>
      </c>
      <c r="AT19" s="209">
        <v>0.27</v>
      </c>
      <c r="AU19" s="209">
        <v>0.27</v>
      </c>
      <c r="AV19" s="209">
        <v>0.27</v>
      </c>
      <c r="AW19" s="38" t="s">
        <v>1247</v>
      </c>
    </row>
    <row r="20" spans="3:49" ht="17.399999999999999">
      <c r="C20" s="105">
        <v>17</v>
      </c>
      <c r="D20" s="517">
        <v>41715</v>
      </c>
      <c r="E20" s="205" t="s">
        <v>636</v>
      </c>
      <c r="F20" s="243" t="s">
        <v>809</v>
      </c>
      <c r="G20" s="38" t="s">
        <v>916</v>
      </c>
      <c r="H20" s="38"/>
      <c r="I20" s="38"/>
      <c r="J20" s="38"/>
      <c r="K20" s="38"/>
      <c r="L20" s="38"/>
      <c r="M20" s="61">
        <v>1</v>
      </c>
      <c r="N20" s="208">
        <v>1.5208627234830072</v>
      </c>
      <c r="O20" s="208">
        <v>1.7178414165358655</v>
      </c>
      <c r="P20" s="208">
        <v>2.3960063610370872</v>
      </c>
      <c r="Q20" s="208">
        <v>4.6635438415007853</v>
      </c>
      <c r="R20" s="208">
        <v>5.0821555739588433</v>
      </c>
      <c r="S20" s="208">
        <v>6.2597323676099617</v>
      </c>
      <c r="T20" s="208">
        <v>7.0728069310904971</v>
      </c>
      <c r="U20" s="208">
        <v>7.8586429903564081</v>
      </c>
      <c r="V20" s="208">
        <v>9.0480534412004499</v>
      </c>
      <c r="W20" s="208">
        <v>10.070168753275144</v>
      </c>
      <c r="X20" s="208">
        <v>11.237649593940652</v>
      </c>
      <c r="Y20" s="208">
        <v>12.985985567555964</v>
      </c>
      <c r="Z20" s="208">
        <v>15.397267606350976</v>
      </c>
      <c r="AA20" s="208">
        <v>18.209619166526906</v>
      </c>
      <c r="AB20" s="540">
        <v>20.205803391972641</v>
      </c>
      <c r="AC20" s="368">
        <v>22.295526856292707</v>
      </c>
      <c r="AD20" s="208">
        <v>23.909137236205797</v>
      </c>
      <c r="AE20" s="208">
        <v>25.146053890352416</v>
      </c>
      <c r="AF20" s="208">
        <v>26.076679003117256</v>
      </c>
      <c r="AG20" s="208">
        <v>30.217935317352151</v>
      </c>
      <c r="AH20" s="208">
        <v>33.085108849087369</v>
      </c>
      <c r="AI20" s="208">
        <v>35.923610645505235</v>
      </c>
      <c r="AJ20" s="208">
        <v>38.673803497145649</v>
      </c>
      <c r="AK20" s="208">
        <v>41.272735741945844</v>
      </c>
      <c r="AL20" s="208">
        <v>43.656327886462599</v>
      </c>
      <c r="AM20" s="208">
        <v>46.182935559650353</v>
      </c>
      <c r="AN20" s="208">
        <v>48.414772337632876</v>
      </c>
      <c r="AO20" s="208">
        <v>50.758200954514521</v>
      </c>
      <c r="AP20" s="208">
        <v>53.218801002240248</v>
      </c>
      <c r="AQ20" s="208">
        <v>55.802431052352262</v>
      </c>
      <c r="AR20" s="212">
        <v>58.51524260496987</v>
      </c>
      <c r="AS20" s="212">
        <v>60.79400430916867</v>
      </c>
      <c r="AT20" s="212">
        <v>63.163916481535416</v>
      </c>
      <c r="AU20" s="212">
        <v>65.628625140796842</v>
      </c>
      <c r="AV20" s="212">
        <v>68.191922146428709</v>
      </c>
      <c r="AW20" s="38" t="s">
        <v>636</v>
      </c>
    </row>
    <row r="21" spans="3:49" ht="17.399999999999999">
      <c r="C21" s="105">
        <v>18</v>
      </c>
      <c r="D21" s="517">
        <v>41929</v>
      </c>
      <c r="E21" s="205" t="s">
        <v>638</v>
      </c>
      <c r="F21" s="243" t="s">
        <v>809</v>
      </c>
      <c r="G21" s="38" t="s">
        <v>917</v>
      </c>
      <c r="H21" s="38"/>
      <c r="I21" s="38"/>
      <c r="J21" s="38"/>
      <c r="K21" s="38"/>
      <c r="L21" s="38"/>
      <c r="M21" s="37">
        <v>1</v>
      </c>
      <c r="N21" s="950">
        <v>1.4723042021668387</v>
      </c>
      <c r="O21" s="950">
        <v>1.718558670886825</v>
      </c>
      <c r="P21" s="950">
        <v>2.1060897046594418</v>
      </c>
      <c r="Q21" s="950">
        <v>3.7278422973468679</v>
      </c>
      <c r="R21" s="950">
        <v>4.5918326760987345</v>
      </c>
      <c r="S21" s="950">
        <v>5.5611795404054956</v>
      </c>
      <c r="T21" s="950">
        <v>6.4682386989177063</v>
      </c>
      <c r="U21" s="950">
        <v>7.2584827706254744</v>
      </c>
      <c r="V21" s="950">
        <v>8.3282279936178867</v>
      </c>
      <c r="W21" s="950">
        <v>9.3704714639566831</v>
      </c>
      <c r="X21" s="950">
        <v>10.171880121895711</v>
      </c>
      <c r="Y21" s="950">
        <v>10.996054426330467</v>
      </c>
      <c r="Z21" s="950">
        <v>12.382630991276981</v>
      </c>
      <c r="AA21" s="950">
        <v>13.714036448863869</v>
      </c>
      <c r="AB21" s="954">
        <v>14.629133800462956</v>
      </c>
      <c r="AC21" s="955">
        <v>15.771052522494816</v>
      </c>
      <c r="AD21" s="950">
        <v>16.688503927625046</v>
      </c>
      <c r="AE21" s="950">
        <v>17.765646059756737</v>
      </c>
      <c r="AF21" s="950">
        <v>19.239863209681968</v>
      </c>
      <c r="AG21" s="950">
        <v>21.854248310558759</v>
      </c>
      <c r="AH21" s="950">
        <v>23.972723141614637</v>
      </c>
      <c r="AI21" s="950">
        <v>26.070013224359954</v>
      </c>
      <c r="AJ21" s="950">
        <v>28.102054282308753</v>
      </c>
      <c r="AK21" s="950">
        <v>30.022333082070364</v>
      </c>
      <c r="AL21" s="950">
        <v>31.783503066994587</v>
      </c>
      <c r="AM21" s="950">
        <v>33.650343251014263</v>
      </c>
      <c r="AN21" s="950">
        <v>35.299385413564977</v>
      </c>
      <c r="AO21" s="950">
        <v>37.030879684243232</v>
      </c>
      <c r="AP21" s="950">
        <v>38.848948668455392</v>
      </c>
      <c r="AQ21" s="950">
        <v>40.757921101878161</v>
      </c>
      <c r="AR21" s="212">
        <v>42.762342156972068</v>
      </c>
      <c r="AS21" s="212">
        <v>44.446055843250953</v>
      </c>
      <c r="AT21" s="212">
        <v>46.197118076980985</v>
      </c>
      <c r="AU21" s="212">
        <v>48.018222800060229</v>
      </c>
      <c r="AV21" s="212">
        <v>49.912171712062644</v>
      </c>
      <c r="AW21" s="38" t="s">
        <v>638</v>
      </c>
    </row>
    <row r="22" spans="3:49" ht="17.399999999999999">
      <c r="C22" s="105">
        <v>19</v>
      </c>
      <c r="D22" s="517">
        <v>41929</v>
      </c>
      <c r="E22" s="205" t="s">
        <v>640</v>
      </c>
      <c r="F22" s="243" t="s">
        <v>809</v>
      </c>
      <c r="G22" s="38" t="s">
        <v>918</v>
      </c>
      <c r="H22" s="38"/>
      <c r="I22" s="38"/>
      <c r="J22" s="38"/>
      <c r="K22" s="38"/>
      <c r="L22" s="38"/>
      <c r="M22" s="37">
        <v>1</v>
      </c>
      <c r="N22" s="950">
        <v>1.2574010596187222</v>
      </c>
      <c r="O22" s="950">
        <v>1.5370492125151638</v>
      </c>
      <c r="P22" s="950">
        <v>1.6424177215539968</v>
      </c>
      <c r="Q22" s="950">
        <v>2.6523824724539464</v>
      </c>
      <c r="R22" s="950">
        <v>3.3750397713637965</v>
      </c>
      <c r="S22" s="950">
        <v>4.5425128855561185</v>
      </c>
      <c r="T22" s="950">
        <v>5.3918665327028812</v>
      </c>
      <c r="U22" s="950">
        <v>6.2907469924887183</v>
      </c>
      <c r="V22" s="950">
        <v>7.2515654792621174</v>
      </c>
      <c r="W22" s="950">
        <v>8.2840192414373099</v>
      </c>
      <c r="X22" s="950">
        <v>9.3051844381184523</v>
      </c>
      <c r="Y22" s="950">
        <v>9.9014369824413517</v>
      </c>
      <c r="Z22" s="950">
        <v>11.241989200565998</v>
      </c>
      <c r="AA22" s="950">
        <v>18.957400451088031</v>
      </c>
      <c r="AB22" s="954">
        <v>17.586687099744541</v>
      </c>
      <c r="AC22" s="955">
        <v>17.362623607579621</v>
      </c>
      <c r="AD22" s="950">
        <v>18.612523237401486</v>
      </c>
      <c r="AE22" s="950">
        <v>19.986273859764378</v>
      </c>
      <c r="AF22" s="950">
        <v>24.298592247822913</v>
      </c>
      <c r="AG22" s="950">
        <v>25</v>
      </c>
      <c r="AH22" s="950">
        <v>23.972723141614637</v>
      </c>
      <c r="AI22" s="950">
        <v>26.070013224359954</v>
      </c>
      <c r="AJ22" s="950">
        <v>28.102054282308753</v>
      </c>
      <c r="AK22" s="950">
        <v>30.022333082070364</v>
      </c>
      <c r="AL22" s="950">
        <v>31.783503066994587</v>
      </c>
      <c r="AM22" s="208">
        <v>33.650343251014263</v>
      </c>
      <c r="AN22" s="208">
        <v>35.299385413564977</v>
      </c>
      <c r="AO22" s="208">
        <v>37.030879684243232</v>
      </c>
      <c r="AP22" s="208">
        <v>38.848948668455392</v>
      </c>
      <c r="AQ22" s="208">
        <v>40.757921101878161</v>
      </c>
      <c r="AR22" s="208">
        <v>42.762342156972068</v>
      </c>
      <c r="AS22" s="208">
        <v>44.446055843250953</v>
      </c>
      <c r="AT22" s="208">
        <v>46.197118076980985</v>
      </c>
      <c r="AU22" s="208">
        <v>48.018222800060229</v>
      </c>
      <c r="AV22" s="208">
        <v>49.912171712062644</v>
      </c>
      <c r="AW22" s="38" t="s">
        <v>640</v>
      </c>
    </row>
    <row r="23" spans="3:49" ht="17.399999999999999">
      <c r="C23" s="105">
        <v>20</v>
      </c>
      <c r="D23" s="517">
        <v>41929</v>
      </c>
      <c r="E23" s="205" t="s">
        <v>642</v>
      </c>
      <c r="F23" s="243" t="s">
        <v>809</v>
      </c>
      <c r="G23" s="38" t="s">
        <v>919</v>
      </c>
      <c r="H23" s="38"/>
      <c r="I23" s="38"/>
      <c r="J23" s="38"/>
      <c r="K23" s="38"/>
      <c r="L23" s="38"/>
      <c r="M23" s="37">
        <v>1</v>
      </c>
      <c r="N23" s="950">
        <v>1.4997486735151189</v>
      </c>
      <c r="O23" s="950">
        <v>1.9526312539350381</v>
      </c>
      <c r="P23" s="950">
        <v>2.0059060303554479</v>
      </c>
      <c r="Q23" s="950">
        <v>2.3429902839701637</v>
      </c>
      <c r="R23" s="950">
        <v>3.2406114791110681</v>
      </c>
      <c r="S23" s="950">
        <v>3.97066356566005</v>
      </c>
      <c r="T23" s="950">
        <v>5.2843734476785453</v>
      </c>
      <c r="U23" s="950">
        <v>6.1715081316356093</v>
      </c>
      <c r="V23" s="950">
        <v>6.7016025302099056</v>
      </c>
      <c r="W23" s="950">
        <v>7.6444391008680617</v>
      </c>
      <c r="X23" s="950">
        <v>8.6255823418854529</v>
      </c>
      <c r="Y23" s="950">
        <v>10.098705571453516</v>
      </c>
      <c r="Z23" s="950">
        <v>11.941266045828566</v>
      </c>
      <c r="AA23" s="950">
        <v>12.996640727607122</v>
      </c>
      <c r="AB23" s="954">
        <v>13.587422805401822</v>
      </c>
      <c r="AC23" s="955">
        <v>14.818436121445298</v>
      </c>
      <c r="AD23" s="950">
        <v>16.428758704855532</v>
      </c>
      <c r="AE23" s="950">
        <v>17.275900572651576</v>
      </c>
      <c r="AF23" s="950">
        <v>18.632899834163972</v>
      </c>
      <c r="AG23" s="950">
        <v>21.396858768633287</v>
      </c>
      <c r="AH23" s="950">
        <v>23.584214645496616</v>
      </c>
      <c r="AI23" s="950">
        <v>25.749696963591312</v>
      </c>
      <c r="AJ23" s="950">
        <v>27.847808720678618</v>
      </c>
      <c r="AK23" s="950">
        <v>29.830524331126121</v>
      </c>
      <c r="AL23" s="950">
        <v>31.648957790993691</v>
      </c>
      <c r="AM23" s="208">
        <v>33.576497258453315</v>
      </c>
      <c r="AN23" s="208">
        <v>35.279157121375981</v>
      </c>
      <c r="AO23" s="208">
        <v>37.066949977444779</v>
      </c>
      <c r="AP23" s="208">
        <v>38.944132476317016</v>
      </c>
      <c r="AQ23" s="208">
        <v>40.915174100132866</v>
      </c>
      <c r="AR23" s="208">
        <v>42.984767805139512</v>
      </c>
      <c r="AS23" s="208">
        <v>44.723226517345097</v>
      </c>
      <c r="AT23" s="208">
        <v>46.531223578038897</v>
      </c>
      <c r="AU23" s="208">
        <v>48.411540521160454</v>
      </c>
      <c r="AV23" s="208">
        <v>50.367070142006874</v>
      </c>
      <c r="AW23" s="38" t="s">
        <v>642</v>
      </c>
    </row>
    <row r="24" spans="3:49" ht="17.399999999999999">
      <c r="C24" s="105">
        <v>21</v>
      </c>
      <c r="D24" s="517">
        <v>42021</v>
      </c>
      <c r="E24" s="205" t="s">
        <v>644</v>
      </c>
      <c r="F24" s="243" t="s">
        <v>809</v>
      </c>
      <c r="G24" s="38" t="s">
        <v>920</v>
      </c>
      <c r="H24" s="38"/>
      <c r="I24" s="38"/>
      <c r="J24" s="38"/>
      <c r="K24" s="38"/>
      <c r="L24" s="38"/>
      <c r="M24" s="61">
        <v>1</v>
      </c>
      <c r="N24" s="208">
        <v>1.2062700474653716</v>
      </c>
      <c r="O24" s="208">
        <v>1.3416177583578945</v>
      </c>
      <c r="P24" s="208">
        <v>1.8660673788361899</v>
      </c>
      <c r="Q24" s="208">
        <v>4.2606518536034752</v>
      </c>
      <c r="R24" s="208">
        <v>6.0082118596068304</v>
      </c>
      <c r="S24" s="208">
        <v>5.9105900050191611</v>
      </c>
      <c r="T24" s="208">
        <v>6.1936348205467269</v>
      </c>
      <c r="U24" s="208">
        <v>6.7152546240758211</v>
      </c>
      <c r="V24" s="208">
        <v>7.5604196927091616</v>
      </c>
      <c r="W24" s="208">
        <v>9.215042167890525</v>
      </c>
      <c r="X24" s="208">
        <v>10.249953881504441</v>
      </c>
      <c r="Y24" s="208">
        <v>10.650833844352405</v>
      </c>
      <c r="Z24" s="208">
        <v>13.643325842032947</v>
      </c>
      <c r="AA24" s="208">
        <v>12.010355196687106</v>
      </c>
      <c r="AB24" s="542">
        <v>14.006747557636276</v>
      </c>
      <c r="AC24" s="370">
        <v>17.486286005422922</v>
      </c>
      <c r="AD24" s="208">
        <v>18.750240835974356</v>
      </c>
      <c r="AE24" s="208">
        <v>18.491376806783382</v>
      </c>
      <c r="AF24" s="208">
        <v>20.945061278816716</v>
      </c>
      <c r="AG24" s="208">
        <v>19.889571545030872</v>
      </c>
      <c r="AH24" s="208">
        <v>21.458528699533961</v>
      </c>
      <c r="AI24" s="208">
        <v>23.011796282492018</v>
      </c>
      <c r="AJ24" s="208">
        <v>25.21673998509138</v>
      </c>
      <c r="AK24" s="208">
        <v>26.778911784047779</v>
      </c>
      <c r="AL24" s="208">
        <v>28.195246491090646</v>
      </c>
      <c r="AM24" s="208">
        <v>29.667441280556083</v>
      </c>
      <c r="AN24" s="208">
        <v>30.960413344583891</v>
      </c>
      <c r="AO24" s="208">
        <v>32.300114011813086</v>
      </c>
      <c r="AP24" s="208">
        <v>33.692463712403736</v>
      </c>
      <c r="AQ24" s="208">
        <v>35.142962098023929</v>
      </c>
      <c r="AR24" s="208">
        <v>36.656810362925121</v>
      </c>
      <c r="AS24" s="208">
        <v>37.927268500322128</v>
      </c>
      <c r="AT24" s="208">
        <v>39.242907818639011</v>
      </c>
      <c r="AU24" s="208">
        <v>40.606662994027772</v>
      </c>
      <c r="AV24" s="208">
        <v>42.021360603903446</v>
      </c>
      <c r="AW24" s="38" t="s">
        <v>644</v>
      </c>
    </row>
    <row r="25" spans="3:49" ht="17.399999999999999">
      <c r="C25" s="105">
        <v>22</v>
      </c>
      <c r="D25" s="517">
        <v>42021</v>
      </c>
      <c r="E25" s="205" t="s">
        <v>646</v>
      </c>
      <c r="F25" s="243" t="s">
        <v>809</v>
      </c>
      <c r="G25" s="38" t="s">
        <v>921</v>
      </c>
      <c r="H25" s="38"/>
      <c r="I25" s="38"/>
      <c r="J25" s="38"/>
      <c r="K25" s="38"/>
      <c r="L25" s="38"/>
      <c r="M25" s="61">
        <v>1</v>
      </c>
      <c r="N25" s="208">
        <v>1.170751567490661</v>
      </c>
      <c r="O25" s="208">
        <v>1.4027022303089887</v>
      </c>
      <c r="P25" s="208">
        <v>2.0776657762662092</v>
      </c>
      <c r="Q25" s="208">
        <v>4.8943006185343938</v>
      </c>
      <c r="R25" s="208">
        <v>5.1416113994451775</v>
      </c>
      <c r="S25" s="208">
        <v>5.3433855590626722</v>
      </c>
      <c r="T25" s="208">
        <v>5.6965406483895409</v>
      </c>
      <c r="U25" s="208">
        <v>5.788123461724906</v>
      </c>
      <c r="V25" s="208">
        <v>5.6171649663435321</v>
      </c>
      <c r="W25" s="208">
        <v>5.9336563381172764</v>
      </c>
      <c r="X25" s="208">
        <v>5.9494755268032087</v>
      </c>
      <c r="Y25" s="208">
        <v>5.9724865903412292</v>
      </c>
      <c r="Z25" s="208">
        <v>6.6180737006266304</v>
      </c>
      <c r="AA25" s="208">
        <v>8.3015732196072296</v>
      </c>
      <c r="AB25" s="543">
        <v>8.121605375451491</v>
      </c>
      <c r="AC25" s="371">
        <v>8.3888214759526587</v>
      </c>
      <c r="AD25" s="208">
        <v>8.7888020042866657</v>
      </c>
      <c r="AE25" s="208">
        <v>9.1783617848285548</v>
      </c>
      <c r="AF25" s="208">
        <v>10.830388994042856</v>
      </c>
      <c r="AG25" s="208">
        <v>13.122962241847754</v>
      </c>
      <c r="AH25" s="208">
        <v>14.357458466032529</v>
      </c>
      <c r="AI25" s="208">
        <v>15.222659727975456</v>
      </c>
      <c r="AJ25" s="208">
        <v>16.068472506213492</v>
      </c>
      <c r="AK25" s="208">
        <v>16.881075581648435</v>
      </c>
      <c r="AL25" s="208">
        <v>17.646400116547344</v>
      </c>
      <c r="AM25" s="208">
        <v>18.443124123540183</v>
      </c>
      <c r="AN25" s="208">
        <v>19.175130329717195</v>
      </c>
      <c r="AO25" s="208">
        <v>19.931636846203055</v>
      </c>
      <c r="AP25" s="208">
        <v>20.713868688513205</v>
      </c>
      <c r="AQ25" s="208">
        <v>21.523112122938866</v>
      </c>
      <c r="AR25" s="208">
        <v>22.36071772908581</v>
      </c>
      <c r="AS25" s="208">
        <v>23.103026438249245</v>
      </c>
      <c r="AT25" s="208">
        <v>23.865347495779215</v>
      </c>
      <c r="AU25" s="208">
        <v>24.648481395610382</v>
      </c>
      <c r="AV25" s="208">
        <v>25.4532606514348</v>
      </c>
      <c r="AW25" s="38" t="s">
        <v>646</v>
      </c>
    </row>
    <row r="26" spans="3:49" ht="17.399999999999999">
      <c r="C26" s="105">
        <v>23</v>
      </c>
      <c r="D26" s="517">
        <v>41715</v>
      </c>
      <c r="E26" s="205" t="s">
        <v>648</v>
      </c>
      <c r="F26" s="243" t="s">
        <v>809</v>
      </c>
      <c r="G26" s="38" t="s">
        <v>922</v>
      </c>
      <c r="H26" s="38"/>
      <c r="I26" s="38"/>
      <c r="J26" s="38"/>
      <c r="K26" s="38"/>
      <c r="L26" s="38"/>
      <c r="M26" s="61">
        <v>1</v>
      </c>
      <c r="N26" s="208">
        <v>1.7194377618988257</v>
      </c>
      <c r="O26" s="208">
        <v>1.9680277801214476</v>
      </c>
      <c r="P26" s="208">
        <v>2.2270348811115843</v>
      </c>
      <c r="Q26" s="208">
        <v>3.493098424873764</v>
      </c>
      <c r="R26" s="208">
        <v>5.1712627496070169</v>
      </c>
      <c r="S26" s="208">
        <v>6.0707268468539191</v>
      </c>
      <c r="T26" s="208">
        <v>6.9167509862711283</v>
      </c>
      <c r="U26" s="208">
        <v>7.6273689193439225</v>
      </c>
      <c r="V26" s="208">
        <v>8.7904133177964692</v>
      </c>
      <c r="W26" s="208">
        <v>10.054085870175701</v>
      </c>
      <c r="X26" s="208">
        <v>11.28478682823815</v>
      </c>
      <c r="Y26" s="208">
        <v>13.059083510568804</v>
      </c>
      <c r="Z26" s="208">
        <v>15.593657080025292</v>
      </c>
      <c r="AA26" s="208">
        <v>16.373566297801105</v>
      </c>
      <c r="AB26" s="539">
        <v>17.674409856030426</v>
      </c>
      <c r="AC26" s="208">
        <v>19.234650102023785</v>
      </c>
      <c r="AD26" s="208">
        <v>20.540184008281191</v>
      </c>
      <c r="AE26" s="208">
        <v>21.776163164959733</v>
      </c>
      <c r="AF26" s="208">
        <v>22.509390886207097</v>
      </c>
      <c r="AG26" s="208">
        <v>25.752095588703153</v>
      </c>
      <c r="AH26" s="208">
        <v>28.050235147573471</v>
      </c>
      <c r="AI26" s="208">
        <v>30.325393310855084</v>
      </c>
      <c r="AJ26" s="208">
        <v>32.52976877572349</v>
      </c>
      <c r="AK26" s="208">
        <v>34.612903590024132</v>
      </c>
      <c r="AL26" s="208">
        <v>36.523435805425578</v>
      </c>
      <c r="AM26" s="208">
        <v>38.548599953751115</v>
      </c>
      <c r="AN26" s="208">
        <v>40.337494951438671</v>
      </c>
      <c r="AO26" s="208">
        <v>42.215834699010607</v>
      </c>
      <c r="AP26" s="208">
        <v>44.188091433961141</v>
      </c>
      <c r="AQ26" s="208">
        <v>46.258961005659195</v>
      </c>
      <c r="AR26" s="208">
        <v>48.433374055942153</v>
      </c>
      <c r="AS26" s="208">
        <v>50.25988101817984</v>
      </c>
      <c r="AT26" s="208">
        <v>52.159448258907034</v>
      </c>
      <c r="AU26" s="208">
        <v>54.134998189263321</v>
      </c>
      <c r="AV26" s="208">
        <v>56.189570116833856</v>
      </c>
      <c r="AW26" s="38" t="s">
        <v>648</v>
      </c>
    </row>
    <row r="27" spans="3:49" ht="17.399999999999999">
      <c r="C27" s="105">
        <v>24</v>
      </c>
      <c r="D27" s="517">
        <v>42273</v>
      </c>
      <c r="E27" s="205" t="s">
        <v>650</v>
      </c>
      <c r="F27" s="243" t="s">
        <v>809</v>
      </c>
      <c r="G27" s="38" t="s">
        <v>923</v>
      </c>
      <c r="H27" s="38"/>
      <c r="I27" s="38"/>
      <c r="J27" s="38"/>
      <c r="K27" s="38"/>
      <c r="L27" s="38"/>
      <c r="M27" s="61">
        <v>1</v>
      </c>
      <c r="N27" s="208">
        <v>2.4661634872716665</v>
      </c>
      <c r="O27" s="208">
        <v>2.5165818894824628</v>
      </c>
      <c r="P27" s="208">
        <v>2.6836249787031963</v>
      </c>
      <c r="Q27" s="208">
        <v>2.701164323022275</v>
      </c>
      <c r="R27" s="208">
        <v>3.2947518370474893</v>
      </c>
      <c r="S27" s="208">
        <v>3.7846782806927575</v>
      </c>
      <c r="T27" s="208">
        <v>4.5228031897927927</v>
      </c>
      <c r="U27" s="208">
        <v>5.542638112686384</v>
      </c>
      <c r="V27" s="208">
        <v>6.2728522161048463</v>
      </c>
      <c r="W27" s="208">
        <v>7.3244397581202456</v>
      </c>
      <c r="X27" s="208">
        <v>8.1861967165379976</v>
      </c>
      <c r="Y27" s="208">
        <v>10.097240670067599</v>
      </c>
      <c r="Z27" s="208">
        <v>12.014838376677151</v>
      </c>
      <c r="AA27" s="208">
        <v>12.870829474853368</v>
      </c>
      <c r="AB27" s="539">
        <v>14.148307151553455</v>
      </c>
      <c r="AC27" s="208">
        <v>15.766970202222982</v>
      </c>
      <c r="AD27" s="208">
        <v>16.974068796381736</v>
      </c>
      <c r="AE27" s="208">
        <v>17.953158422730532</v>
      </c>
      <c r="AF27" s="208">
        <v>18.972773849202014</v>
      </c>
      <c r="AG27" s="208">
        <v>20.133623835403505</v>
      </c>
      <c r="AH27" s="208">
        <v>22.046986218943857</v>
      </c>
      <c r="AI27" s="208">
        <v>23.941214978648805</v>
      </c>
      <c r="AJ27" s="208">
        <v>25.77651217694071</v>
      </c>
      <c r="AK27" s="208">
        <v>27.510868029326559</v>
      </c>
      <c r="AL27" s="208">
        <v>29.101520111086153</v>
      </c>
      <c r="AM27" s="208">
        <v>30.787611317751324</v>
      </c>
      <c r="AN27" s="208">
        <v>32.276991883638892</v>
      </c>
      <c r="AO27" s="208">
        <v>33.840841477820838</v>
      </c>
      <c r="AP27" s="208">
        <v>35.482883551711879</v>
      </c>
      <c r="AQ27" s="208">
        <v>37.207027729297472</v>
      </c>
      <c r="AR27" s="208">
        <v>39.017379115762346</v>
      </c>
      <c r="AS27" s="208">
        <v>40.538074280392841</v>
      </c>
      <c r="AT27" s="208">
        <v>42.119597251608553</v>
      </c>
      <c r="AU27" s="208">
        <v>43.764381141672899</v>
      </c>
      <c r="AV27" s="208">
        <v>45.474956387339816</v>
      </c>
      <c r="AW27" s="38" t="s">
        <v>650</v>
      </c>
    </row>
    <row r="28" spans="3:49" ht="17.399999999999999">
      <c r="C28" s="105">
        <v>25</v>
      </c>
      <c r="D28" s="517">
        <v>42273</v>
      </c>
      <c r="E28" s="205" t="s">
        <v>652</v>
      </c>
      <c r="F28" s="243" t="s">
        <v>809</v>
      </c>
      <c r="G28" s="38" t="s">
        <v>924</v>
      </c>
      <c r="H28" s="38"/>
      <c r="I28" s="38"/>
      <c r="J28" s="38"/>
      <c r="K28" s="38"/>
      <c r="L28" s="38"/>
      <c r="M28" s="61">
        <v>1</v>
      </c>
      <c r="N28" s="208">
        <v>1.6953967315458069</v>
      </c>
      <c r="O28" s="208">
        <v>2.415292468742241</v>
      </c>
      <c r="P28" s="208">
        <v>2.6727462335842294</v>
      </c>
      <c r="Q28" s="208">
        <v>3.4893420575027583</v>
      </c>
      <c r="R28" s="208">
        <v>3.9448052793534916</v>
      </c>
      <c r="S28" s="208">
        <v>4.3960246162225971</v>
      </c>
      <c r="T28" s="208">
        <v>5.8843823618297426</v>
      </c>
      <c r="U28" s="208">
        <v>5.9009164044902702</v>
      </c>
      <c r="V28" s="208">
        <v>5.7361386042739939</v>
      </c>
      <c r="W28" s="208">
        <v>7.7188495068870884</v>
      </c>
      <c r="X28" s="208">
        <v>7.333907061981483</v>
      </c>
      <c r="Y28" s="208">
        <v>7.9418012798076241</v>
      </c>
      <c r="Z28" s="208">
        <v>9.313557709187231</v>
      </c>
      <c r="AA28" s="208">
        <v>10.66694831320229</v>
      </c>
      <c r="AB28" s="539">
        <v>11.27644871677545</v>
      </c>
      <c r="AC28" s="208">
        <v>12.282914423380722</v>
      </c>
      <c r="AD28" s="208">
        <v>13.244482492357399</v>
      </c>
      <c r="AE28" s="208">
        <v>14.15863931501705</v>
      </c>
      <c r="AF28" s="208">
        <v>15.223681746824138</v>
      </c>
      <c r="AG28" s="208">
        <v>17.133623835403505</v>
      </c>
      <c r="AH28" s="208">
        <v>19.046986218943857</v>
      </c>
      <c r="AI28" s="208">
        <v>20.941214978648805</v>
      </c>
      <c r="AJ28" s="208">
        <v>22.77651217694071</v>
      </c>
      <c r="AK28" s="208">
        <v>24.510868029326559</v>
      </c>
      <c r="AL28" s="208">
        <v>26.101520111086153</v>
      </c>
      <c r="AM28" s="208">
        <v>27.787611317751324</v>
      </c>
      <c r="AN28" s="208">
        <v>29.276991883638892</v>
      </c>
      <c r="AO28" s="208">
        <v>30.840841477820838</v>
      </c>
      <c r="AP28" s="208">
        <v>32.482883551711879</v>
      </c>
      <c r="AQ28" s="208">
        <v>34.207027729297472</v>
      </c>
      <c r="AR28" s="208">
        <v>36.017379115762346</v>
      </c>
      <c r="AS28" s="208">
        <v>37.538074280392841</v>
      </c>
      <c r="AT28" s="208">
        <v>39.119597251608553</v>
      </c>
      <c r="AU28" s="208">
        <v>40.764381141672899</v>
      </c>
      <c r="AV28" s="208">
        <v>42.474956387339816</v>
      </c>
      <c r="AW28" s="38" t="s">
        <v>652</v>
      </c>
    </row>
    <row r="29" spans="3:49" ht="17.399999999999999">
      <c r="C29" s="105">
        <v>26</v>
      </c>
      <c r="D29" s="518">
        <v>42034</v>
      </c>
      <c r="E29" s="205" t="s">
        <v>583</v>
      </c>
      <c r="F29" s="243" t="s">
        <v>809</v>
      </c>
      <c r="G29" s="38" t="s">
        <v>925</v>
      </c>
      <c r="H29" s="38"/>
      <c r="I29" s="38"/>
      <c r="J29" s="38"/>
      <c r="K29" s="38"/>
      <c r="L29" s="38"/>
      <c r="M29" s="216">
        <v>0.28818310642293049</v>
      </c>
      <c r="N29" s="209">
        <v>0.28433461270782301</v>
      </c>
      <c r="O29" s="209">
        <v>0.28058607691733017</v>
      </c>
      <c r="P29" s="209">
        <v>0.26044927261758316</v>
      </c>
      <c r="Q29" s="209">
        <v>0.21938600451690032</v>
      </c>
      <c r="R29" s="209">
        <v>0.25231167119353354</v>
      </c>
      <c r="S29" s="209">
        <v>0.27504848703353324</v>
      </c>
      <c r="T29" s="209">
        <v>0.29933564721059347</v>
      </c>
      <c r="U29" s="209">
        <v>0.32453951698884714</v>
      </c>
      <c r="V29" s="209">
        <v>0.36204962174753269</v>
      </c>
      <c r="W29" s="209">
        <v>0.38359427990878225</v>
      </c>
      <c r="X29" s="209">
        <v>0.40963499537623782</v>
      </c>
      <c r="Y29" s="209">
        <v>0.44339706971049203</v>
      </c>
      <c r="Z29" s="209">
        <v>0.45833654411137259</v>
      </c>
      <c r="AA29" s="209">
        <v>0.39491098900885713</v>
      </c>
      <c r="AB29" s="538">
        <v>0.44364310801429258</v>
      </c>
      <c r="AC29" s="209">
        <v>0.47305544373762487</v>
      </c>
      <c r="AD29" s="209">
        <v>0.48222020368234592</v>
      </c>
      <c r="AE29" s="209">
        <v>0.49316013444846718</v>
      </c>
      <c r="AF29" s="209">
        <v>0.47015007849035906</v>
      </c>
      <c r="AG29" s="209">
        <v>0.42</v>
      </c>
      <c r="AH29" s="209">
        <v>0.4</v>
      </c>
      <c r="AI29" s="209">
        <v>0.4</v>
      </c>
      <c r="AJ29" s="209">
        <v>0.4</v>
      </c>
      <c r="AK29" s="209">
        <v>0.4</v>
      </c>
      <c r="AL29" s="209">
        <v>0.4</v>
      </c>
      <c r="AM29" s="219">
        <v>0.4</v>
      </c>
      <c r="AN29" s="219">
        <v>0.4</v>
      </c>
      <c r="AO29" s="219">
        <v>0.4</v>
      </c>
      <c r="AP29" s="219">
        <v>0.4</v>
      </c>
      <c r="AQ29" s="219">
        <v>0.4</v>
      </c>
      <c r="AR29" s="219">
        <v>0.4</v>
      </c>
      <c r="AS29" s="219">
        <v>0.4</v>
      </c>
      <c r="AT29" s="219">
        <v>0.4</v>
      </c>
      <c r="AU29" s="219">
        <v>0.4</v>
      </c>
      <c r="AV29" s="219">
        <v>0.4</v>
      </c>
      <c r="AW29" s="38" t="s">
        <v>583</v>
      </c>
    </row>
    <row r="30" spans="3:49" ht="17.399999999999999">
      <c r="C30" s="105">
        <v>27</v>
      </c>
      <c r="D30" s="517">
        <v>41928</v>
      </c>
      <c r="E30" s="205" t="s">
        <v>791</v>
      </c>
      <c r="F30" s="243" t="s">
        <v>809</v>
      </c>
      <c r="G30" s="38" t="s">
        <v>926</v>
      </c>
      <c r="H30" s="38"/>
      <c r="I30" s="38"/>
      <c r="J30" s="38"/>
      <c r="K30" s="38"/>
      <c r="L30" s="38"/>
      <c r="M30" s="207">
        <v>1.3068917176995491</v>
      </c>
      <c r="N30" s="209">
        <v>1.2033552559031906</v>
      </c>
      <c r="O30" s="209">
        <v>1.2985546011051801</v>
      </c>
      <c r="P30" s="209">
        <v>1.1938981194701628</v>
      </c>
      <c r="Q30" s="209">
        <v>1.189908383982313</v>
      </c>
      <c r="R30" s="209">
        <v>1.1251749559172211</v>
      </c>
      <c r="S30" s="209">
        <v>1.0426791739220176</v>
      </c>
      <c r="T30" s="209">
        <v>0.99289398725980449</v>
      </c>
      <c r="U30" s="209">
        <v>1.0087896140041985</v>
      </c>
      <c r="V30" s="209">
        <v>1.0165801825358778</v>
      </c>
      <c r="W30" s="209">
        <v>1.0133177037488763</v>
      </c>
      <c r="X30" s="209">
        <v>1.028236909028827</v>
      </c>
      <c r="Y30" s="209">
        <v>1.0199176624751358</v>
      </c>
      <c r="Z30" s="209">
        <v>0.98933685256256187</v>
      </c>
      <c r="AA30" s="209">
        <v>0.87664119188811451</v>
      </c>
      <c r="AB30" s="538">
        <v>0.99396469187314029</v>
      </c>
      <c r="AC30" s="209">
        <v>0.84113112090613917</v>
      </c>
      <c r="AD30" s="209">
        <v>0.82527531586836844</v>
      </c>
      <c r="AE30" s="209">
        <v>0.82431946475462903</v>
      </c>
      <c r="AF30" s="209">
        <v>0.80783307545953642</v>
      </c>
      <c r="AG30" s="209">
        <v>0.79464396402346238</v>
      </c>
      <c r="AH30" s="209">
        <v>0.7840926748746031</v>
      </c>
      <c r="AI30" s="209">
        <v>0.77565164355551564</v>
      </c>
      <c r="AJ30" s="209">
        <v>0.76889881850024566</v>
      </c>
      <c r="AK30" s="209">
        <v>0.76349655845602971</v>
      </c>
      <c r="AL30" s="209">
        <v>0.75917475042065696</v>
      </c>
      <c r="AM30" s="209">
        <v>0.75571730399235881</v>
      </c>
      <c r="AN30" s="209">
        <v>0.75295134684972032</v>
      </c>
      <c r="AO30" s="209">
        <v>0.75073858113560954</v>
      </c>
      <c r="AP30" s="209">
        <v>0.74896836856432092</v>
      </c>
      <c r="AQ30" s="209">
        <v>0.74755219850729004</v>
      </c>
      <c r="AR30" s="219">
        <v>0.74641926246166534</v>
      </c>
      <c r="AS30" s="219">
        <v>0.74551291362516559</v>
      </c>
      <c r="AT30" s="219">
        <v>0.74478783455596576</v>
      </c>
      <c r="AU30" s="219">
        <v>0.74420777130060589</v>
      </c>
      <c r="AV30" s="219">
        <v>0.743743720696318</v>
      </c>
      <c r="AW30" s="38" t="s">
        <v>791</v>
      </c>
    </row>
    <row r="31" spans="3:49" ht="17.399999999999999">
      <c r="C31" s="105">
        <v>28</v>
      </c>
      <c r="D31" s="517">
        <v>42273</v>
      </c>
      <c r="E31" s="205" t="s">
        <v>537</v>
      </c>
      <c r="F31" s="243" t="s">
        <v>809</v>
      </c>
      <c r="G31" s="38" t="s">
        <v>927</v>
      </c>
      <c r="H31" s="38"/>
      <c r="I31" s="38"/>
      <c r="J31" s="38"/>
      <c r="K31" s="38"/>
      <c r="L31" s="38"/>
      <c r="M31" s="216">
        <v>3.9346290432521365E-2</v>
      </c>
      <c r="N31" s="209">
        <v>4.7278242416808509E-2</v>
      </c>
      <c r="O31" s="209">
        <v>4.9588252516273142E-2</v>
      </c>
      <c r="P31" s="209">
        <v>5.3861945523556415E-2</v>
      </c>
      <c r="Q31" s="209">
        <v>5.9658936395862713E-2</v>
      </c>
      <c r="R31" s="209">
        <v>6.6398456303956632E-2</v>
      </c>
      <c r="S31" s="209">
        <v>6.8925699444092325E-2</v>
      </c>
      <c r="T31" s="209">
        <v>6.5843864838066993E-2</v>
      </c>
      <c r="U31" s="209">
        <v>6.8254797026411129E-2</v>
      </c>
      <c r="V31" s="209">
        <v>7.3528457822385887E-2</v>
      </c>
      <c r="W31" s="209">
        <v>8.3523763335885251E-2</v>
      </c>
      <c r="X31" s="209">
        <v>8.5234323701588219E-2</v>
      </c>
      <c r="Y31" s="209">
        <v>8.2473872285148936E-2</v>
      </c>
      <c r="Z31" s="209">
        <v>8.5111867102295305E-2</v>
      </c>
      <c r="AA31" s="209">
        <v>7.304977354972729E-2</v>
      </c>
      <c r="AB31" s="538">
        <v>7.6393864573101322E-2</v>
      </c>
      <c r="AC31" s="209">
        <v>8.4441086736470314E-2</v>
      </c>
      <c r="AD31" s="209">
        <v>8.4669944078923129E-2</v>
      </c>
      <c r="AE31" s="209">
        <v>7.9550154410808066E-2</v>
      </c>
      <c r="AF31" s="209">
        <v>8.1760321467620842E-2</v>
      </c>
      <c r="AG31" s="209">
        <v>8.4669944078923129E-2</v>
      </c>
      <c r="AH31" s="209">
        <v>7.9550154410808066E-2</v>
      </c>
      <c r="AI31" s="209">
        <v>8.1760321467620842E-2</v>
      </c>
      <c r="AJ31" s="209">
        <v>8.4669944078923129E-2</v>
      </c>
      <c r="AK31" s="209">
        <v>7.9550154410808066E-2</v>
      </c>
      <c r="AL31" s="209">
        <v>8.1760321467620842E-2</v>
      </c>
      <c r="AM31" s="209">
        <v>8.4669944078923129E-2</v>
      </c>
      <c r="AN31" s="209">
        <v>7.9550154410808066E-2</v>
      </c>
      <c r="AO31" s="209">
        <v>8.1760321467620842E-2</v>
      </c>
      <c r="AP31" s="209">
        <v>8.4669944078923129E-2</v>
      </c>
      <c r="AQ31" s="209">
        <v>7.9550154410808066E-2</v>
      </c>
      <c r="AR31" s="208">
        <v>8.1760321467620842E-2</v>
      </c>
      <c r="AS31" s="208">
        <v>8.4669944078923129E-2</v>
      </c>
      <c r="AT31" s="208">
        <v>7.9550154410808066E-2</v>
      </c>
      <c r="AU31" s="208">
        <v>8.1760321467620842E-2</v>
      </c>
      <c r="AV31" s="208">
        <v>8.4669944078923129E-2</v>
      </c>
      <c r="AW31" s="38" t="s">
        <v>537</v>
      </c>
    </row>
    <row r="32" spans="3:49" ht="17.399999999999999">
      <c r="C32" s="105">
        <v>29</v>
      </c>
      <c r="D32" s="517">
        <v>42273</v>
      </c>
      <c r="E32" s="205" t="s">
        <v>540</v>
      </c>
      <c r="F32" s="243" t="s">
        <v>809</v>
      </c>
      <c r="G32" s="38" t="s">
        <v>928</v>
      </c>
      <c r="H32" s="38"/>
      <c r="I32" s="38"/>
      <c r="J32" s="38"/>
      <c r="K32" s="38"/>
      <c r="L32" s="38"/>
      <c r="M32" s="216">
        <v>5.4136428377645138E-2</v>
      </c>
      <c r="N32" s="209">
        <v>6.7443827250803473E-2</v>
      </c>
      <c r="O32" s="209">
        <v>7.3378422743912652E-2</v>
      </c>
      <c r="P32" s="209">
        <v>8.0444251496902736E-2</v>
      </c>
      <c r="Q32" s="209">
        <v>7.9254765355388307E-2</v>
      </c>
      <c r="R32" s="209">
        <v>8.725766032131918E-2</v>
      </c>
      <c r="S32" s="209">
        <v>7.7539085692981194E-2</v>
      </c>
      <c r="T32" s="209">
        <v>8.5441880577529258E-2</v>
      </c>
      <c r="U32" s="209">
        <v>7.9938087537364033E-2</v>
      </c>
      <c r="V32" s="209">
        <v>8.6441962043970547E-2</v>
      </c>
      <c r="W32" s="209">
        <v>0.10195514871018198</v>
      </c>
      <c r="X32" s="209">
        <v>0.10383564125667144</v>
      </c>
      <c r="Y32" s="209">
        <v>9.757961920258694E-2</v>
      </c>
      <c r="Z32" s="209">
        <v>0.10182322919675864</v>
      </c>
      <c r="AA32" s="209">
        <v>8.5111435576858616E-2</v>
      </c>
      <c r="AB32" s="538">
        <v>8.949031890021944E-2</v>
      </c>
      <c r="AC32" s="209">
        <v>9.8615252625125036E-2</v>
      </c>
      <c r="AD32" s="209">
        <v>8.0504922009478522E-2</v>
      </c>
      <c r="AE32" s="209">
        <v>7.6539785207523053E-2</v>
      </c>
      <c r="AF32" s="209">
        <v>7.8310337711713154E-2</v>
      </c>
      <c r="AG32" s="209">
        <v>9.8615252625125036E-2</v>
      </c>
      <c r="AH32" s="209">
        <v>8.0504922009478522E-2</v>
      </c>
      <c r="AI32" s="209">
        <v>7.6539785207523053E-2</v>
      </c>
      <c r="AJ32" s="209">
        <v>7.8310337711713154E-2</v>
      </c>
      <c r="AK32" s="209">
        <v>9.8615252625125036E-2</v>
      </c>
      <c r="AL32" s="209">
        <v>8.0504922009478522E-2</v>
      </c>
      <c r="AM32" s="209">
        <v>7.6539785207523053E-2</v>
      </c>
      <c r="AN32" s="209">
        <v>7.8310337711713154E-2</v>
      </c>
      <c r="AO32" s="209">
        <v>9.8615252625125036E-2</v>
      </c>
      <c r="AP32" s="209">
        <v>8.0504922009478522E-2</v>
      </c>
      <c r="AQ32" s="209">
        <v>7.6539785207523053E-2</v>
      </c>
      <c r="AR32" s="208">
        <v>7.8310337711713154E-2</v>
      </c>
      <c r="AS32" s="208">
        <v>9.8615252625125036E-2</v>
      </c>
      <c r="AT32" s="208">
        <v>8.0504922009478522E-2</v>
      </c>
      <c r="AU32" s="208">
        <v>7.6539785207523053E-2</v>
      </c>
      <c r="AV32" s="208">
        <v>7.8310337711713154E-2</v>
      </c>
      <c r="AW32" s="38" t="s">
        <v>540</v>
      </c>
    </row>
    <row r="33" spans="3:49" ht="17.399999999999999">
      <c r="C33" s="105">
        <v>30</v>
      </c>
      <c r="D33" s="517">
        <v>40875</v>
      </c>
      <c r="E33" s="205" t="s">
        <v>476</v>
      </c>
      <c r="F33" s="243" t="s">
        <v>809</v>
      </c>
      <c r="G33" s="38" t="s">
        <v>929</v>
      </c>
      <c r="H33" s="38"/>
      <c r="I33" s="38"/>
      <c r="J33" s="38"/>
      <c r="K33" s="38"/>
      <c r="L33" s="38"/>
      <c r="M33" s="216">
        <v>0.34814482345900655</v>
      </c>
      <c r="N33" s="209">
        <v>0.37225193107546045</v>
      </c>
      <c r="O33" s="209">
        <v>0.24807644576818072</v>
      </c>
      <c r="P33" s="209">
        <v>0.21669287800494275</v>
      </c>
      <c r="Q33" s="209">
        <v>0.13888277985484934</v>
      </c>
      <c r="R33" s="209">
        <v>0.13467532467532461</v>
      </c>
      <c r="S33" s="209">
        <v>0.1748676424789786</v>
      </c>
      <c r="T33" s="209">
        <v>0.26325026325026357</v>
      </c>
      <c r="U33" s="209">
        <v>0.27620492079541636</v>
      </c>
      <c r="V33" s="209">
        <v>0.33886339569361118</v>
      </c>
      <c r="W33" s="209">
        <v>0.34910339565051479</v>
      </c>
      <c r="X33" s="209">
        <v>0.33180952380952383</v>
      </c>
      <c r="Y33" s="209">
        <v>0.3436601017924315</v>
      </c>
      <c r="Z33" s="209">
        <v>0.32403661911858617</v>
      </c>
      <c r="AA33" s="209">
        <v>0.34166136218968773</v>
      </c>
      <c r="AB33" s="538">
        <v>0.378</v>
      </c>
      <c r="AC33" s="209">
        <v>0.38</v>
      </c>
      <c r="AD33" s="209">
        <v>0.36799999999999999</v>
      </c>
      <c r="AE33" s="209">
        <v>0.3584</v>
      </c>
      <c r="AF33" s="209">
        <v>0.35071999999999998</v>
      </c>
      <c r="AG33" s="209">
        <v>0.34457599999999994</v>
      </c>
      <c r="AH33" s="209">
        <v>0.33966079999999993</v>
      </c>
      <c r="AI33" s="209">
        <v>0.33572863999999991</v>
      </c>
      <c r="AJ33" s="209">
        <v>0.3325829119999999</v>
      </c>
      <c r="AK33" s="209">
        <v>0.33006632959999987</v>
      </c>
      <c r="AL33" s="209">
        <v>0.32805306367999987</v>
      </c>
      <c r="AM33" s="209">
        <v>0.32644245094399987</v>
      </c>
      <c r="AN33" s="209">
        <v>0.32515396075519987</v>
      </c>
      <c r="AO33" s="209">
        <v>0.32412316860415985</v>
      </c>
      <c r="AP33" s="209">
        <v>0.32329853488332783</v>
      </c>
      <c r="AQ33" s="209">
        <v>0.32329853488332783</v>
      </c>
      <c r="AR33" s="208">
        <v>0.32329853488332783</v>
      </c>
      <c r="AS33" s="208">
        <v>0.32329853488332783</v>
      </c>
      <c r="AT33" s="208">
        <v>0.32329853488332783</v>
      </c>
      <c r="AU33" s="208">
        <v>0.32329853488332783</v>
      </c>
      <c r="AV33" s="208">
        <v>0.32329853488332783</v>
      </c>
      <c r="AW33" s="38" t="s">
        <v>476</v>
      </c>
    </row>
    <row r="34" spans="3:49" ht="17.399999999999999">
      <c r="C34" s="365">
        <v>31</v>
      </c>
      <c r="D34" s="517">
        <v>40558</v>
      </c>
      <c r="E34" s="205" t="s">
        <v>491</v>
      </c>
      <c r="F34" s="243" t="s">
        <v>396</v>
      </c>
      <c r="G34" s="38" t="s">
        <v>930</v>
      </c>
      <c r="H34" s="38"/>
      <c r="I34" s="38"/>
      <c r="J34" s="38"/>
      <c r="K34" s="38"/>
      <c r="L34" s="38"/>
      <c r="M34" s="218">
        <v>486.1</v>
      </c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38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W34" s="38" t="s">
        <v>491</v>
      </c>
    </row>
    <row r="35" spans="3:49" ht="17.399999999999999">
      <c r="C35" s="365">
        <v>32</v>
      </c>
      <c r="D35" s="517">
        <v>40558</v>
      </c>
      <c r="E35" s="205" t="s">
        <v>489</v>
      </c>
      <c r="F35" s="243" t="s">
        <v>396</v>
      </c>
      <c r="G35" s="38" t="s">
        <v>931</v>
      </c>
      <c r="H35" s="38"/>
      <c r="I35" s="38"/>
      <c r="J35" s="38"/>
      <c r="K35" s="38"/>
      <c r="L35" s="38"/>
      <c r="M35" s="218">
        <v>610.79200000000003</v>
      </c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38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W35" s="38" t="s">
        <v>489</v>
      </c>
    </row>
    <row r="36" spans="3:49" ht="17.399999999999999">
      <c r="C36" s="365">
        <v>33</v>
      </c>
      <c r="D36" s="517">
        <v>40558</v>
      </c>
      <c r="E36" s="205" t="s">
        <v>932</v>
      </c>
      <c r="F36" s="243" t="s">
        <v>396</v>
      </c>
      <c r="G36" s="38" t="s">
        <v>933</v>
      </c>
      <c r="H36" s="38"/>
      <c r="I36" s="38"/>
      <c r="J36" s="38"/>
      <c r="K36" s="38"/>
      <c r="L36" s="38"/>
      <c r="M36" s="61">
        <v>910.9</v>
      </c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38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W36" s="38" t="s">
        <v>932</v>
      </c>
    </row>
    <row r="37" spans="3:49" ht="17.399999999999999">
      <c r="C37" s="365">
        <v>34</v>
      </c>
      <c r="D37" s="517">
        <v>40558</v>
      </c>
      <c r="E37" s="205" t="s">
        <v>398</v>
      </c>
      <c r="F37" s="243" t="s">
        <v>396</v>
      </c>
      <c r="G37" s="38" t="s">
        <v>934</v>
      </c>
      <c r="H37" s="38"/>
      <c r="I37" s="38"/>
      <c r="J37" s="38"/>
      <c r="K37" s="38"/>
      <c r="L37" s="38"/>
      <c r="M37" s="218">
        <v>2767.6205</v>
      </c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38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W37" s="38" t="s">
        <v>398</v>
      </c>
    </row>
    <row r="38" spans="3:49" ht="17.399999999999999">
      <c r="C38" s="365">
        <v>35</v>
      </c>
      <c r="D38" s="517">
        <v>40558</v>
      </c>
      <c r="E38" s="205" t="s">
        <v>427</v>
      </c>
      <c r="F38" s="243" t="s">
        <v>396</v>
      </c>
      <c r="G38" s="38" t="s">
        <v>935</v>
      </c>
      <c r="H38" s="38"/>
      <c r="I38" s="38"/>
      <c r="J38" s="38"/>
      <c r="K38" s="38"/>
      <c r="L38" s="38"/>
      <c r="M38" s="218">
        <v>108.89559999999999</v>
      </c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38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W38" s="38" t="s">
        <v>427</v>
      </c>
    </row>
    <row r="39" spans="3:49" ht="17.399999999999999">
      <c r="C39" s="365">
        <v>36</v>
      </c>
      <c r="D39" s="517">
        <v>40558</v>
      </c>
      <c r="E39" s="205" t="s">
        <v>936</v>
      </c>
      <c r="F39" s="243" t="s">
        <v>396</v>
      </c>
      <c r="G39" s="38" t="s">
        <v>937</v>
      </c>
      <c r="H39" s="38"/>
      <c r="I39" s="38"/>
      <c r="J39" s="38"/>
      <c r="K39" s="38"/>
      <c r="L39" s="38"/>
      <c r="M39" s="61">
        <v>2876.5161000000003</v>
      </c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38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W39" s="38" t="s">
        <v>936</v>
      </c>
    </row>
    <row r="40" spans="3:49" ht="17.399999999999999">
      <c r="C40" s="105">
        <v>37</v>
      </c>
      <c r="D40" s="517">
        <v>42273</v>
      </c>
      <c r="E40" s="205" t="s">
        <v>794</v>
      </c>
      <c r="F40" s="243" t="s">
        <v>809</v>
      </c>
      <c r="G40" s="38" t="s">
        <v>938</v>
      </c>
      <c r="H40" s="38"/>
      <c r="I40" s="38"/>
      <c r="J40" s="38"/>
      <c r="K40" s="38"/>
      <c r="L40" s="38"/>
      <c r="M40" s="216">
        <v>0.80701590809149359</v>
      </c>
      <c r="N40" s="209">
        <v>0.83499483177664324</v>
      </c>
      <c r="O40" s="209">
        <v>0.77973464546216686</v>
      </c>
      <c r="P40" s="209">
        <v>0.83791078704066091</v>
      </c>
      <c r="Q40" s="209">
        <v>0.89303662587642096</v>
      </c>
      <c r="R40" s="209">
        <v>0.99719539911793087</v>
      </c>
      <c r="S40" s="209">
        <v>1.0693134213844868</v>
      </c>
      <c r="T40" s="209">
        <v>1.0958197641540484</v>
      </c>
      <c r="U40" s="209">
        <v>1.1131971038726729</v>
      </c>
      <c r="V40" s="209">
        <v>1.1056351693502098</v>
      </c>
      <c r="W40" s="209">
        <v>1.1045459834675206</v>
      </c>
      <c r="X40" s="209">
        <v>1.1147466941063877</v>
      </c>
      <c r="Y40" s="209">
        <v>1.1276365658003269</v>
      </c>
      <c r="Z40" s="209">
        <v>1.1444304358295734</v>
      </c>
      <c r="AA40" s="209">
        <v>1.1798455326378989</v>
      </c>
      <c r="AB40" s="538">
        <v>1.0781457205437925</v>
      </c>
      <c r="AC40" s="209">
        <v>1.2954205891742936</v>
      </c>
      <c r="AD40" s="209">
        <v>1.3104358474452877</v>
      </c>
      <c r="AE40" s="209">
        <v>1.2873835370755577</v>
      </c>
      <c r="AF40" s="209">
        <v>1.2643312267058278</v>
      </c>
      <c r="AG40" s="209">
        <v>1.2412789163360978</v>
      </c>
      <c r="AH40" s="209">
        <v>1.2182266059663678</v>
      </c>
      <c r="AI40" s="209">
        <v>1.1951742955966378</v>
      </c>
      <c r="AJ40" s="209">
        <v>1.1721219852269078</v>
      </c>
      <c r="AK40" s="209">
        <v>1.1490696748571778</v>
      </c>
      <c r="AL40" s="209">
        <v>1.1260173644874478</v>
      </c>
      <c r="AM40" s="209">
        <v>1.1029650541177178</v>
      </c>
      <c r="AN40" s="209">
        <v>1.0799127437479878</v>
      </c>
      <c r="AO40" s="209">
        <v>1.0568604333782579</v>
      </c>
      <c r="AP40" s="209">
        <v>1.0338081230085279</v>
      </c>
      <c r="AQ40" s="209">
        <v>1.0107558126387979</v>
      </c>
      <c r="AR40" s="209">
        <v>0.98770350226906789</v>
      </c>
      <c r="AS40" s="209">
        <v>0.9646511918993379</v>
      </c>
      <c r="AT40" s="209">
        <v>0.94159888152960791</v>
      </c>
      <c r="AU40" s="209">
        <v>0.91854657115987792</v>
      </c>
      <c r="AV40" s="209">
        <v>0.89549426079014793</v>
      </c>
      <c r="AW40" s="38" t="s">
        <v>794</v>
      </c>
    </row>
    <row r="41" spans="3:49" ht="17.399999999999999">
      <c r="C41" s="105">
        <v>38</v>
      </c>
      <c r="D41" s="517">
        <v>40874</v>
      </c>
      <c r="E41" s="205" t="s">
        <v>579</v>
      </c>
      <c r="F41" s="243" t="s">
        <v>809</v>
      </c>
      <c r="G41" s="38" t="s">
        <v>939</v>
      </c>
      <c r="H41" s="38"/>
      <c r="I41" s="38"/>
      <c r="J41" s="38"/>
      <c r="K41" s="38"/>
      <c r="L41" s="38"/>
      <c r="M41" s="216">
        <v>3.3000000000000002E-2</v>
      </c>
      <c r="N41" s="209">
        <v>3.3561209950998976E-2</v>
      </c>
      <c r="O41" s="209">
        <v>3.3800349104344582E-2</v>
      </c>
      <c r="P41" s="209">
        <v>3.5519854995165967E-2</v>
      </c>
      <c r="Q41" s="209">
        <v>3.754522720369069E-2</v>
      </c>
      <c r="R41" s="209">
        <v>3.7133613686563406E-2</v>
      </c>
      <c r="S41" s="209">
        <v>4.5847628530670419E-2</v>
      </c>
      <c r="T41" s="209">
        <v>4.3571305960750373E-2</v>
      </c>
      <c r="U41" s="209">
        <v>4.6458845526733947E-2</v>
      </c>
      <c r="V41" s="209">
        <v>4.9621904539870115E-2</v>
      </c>
      <c r="W41" s="209">
        <v>5.2693222479582635E-2</v>
      </c>
      <c r="X41" s="209">
        <v>5.7683838369769688E-2</v>
      </c>
      <c r="Y41" s="209">
        <v>6.6398404931141519E-2</v>
      </c>
      <c r="Z41" s="209">
        <v>6.7131977155365022E-2</v>
      </c>
      <c r="AA41" s="209">
        <v>6.416779673349142E-2</v>
      </c>
      <c r="AB41" s="538">
        <v>5.7035583477791654E-2</v>
      </c>
      <c r="AC41" s="209">
        <v>6.8941067554336086E-2</v>
      </c>
      <c r="AD41" s="209">
        <v>7.0916741312827491E-2</v>
      </c>
      <c r="AE41" s="209">
        <v>6.9331039858081464E-2</v>
      </c>
      <c r="AF41" s="209">
        <v>6.7985629066360576E-2</v>
      </c>
      <c r="AG41" s="209">
        <v>6.7985629066360576E-2</v>
      </c>
      <c r="AH41" s="209">
        <v>6.6048237526282486E-2</v>
      </c>
      <c r="AI41" s="209">
        <v>6.5359387200921382E-2</v>
      </c>
      <c r="AJ41" s="209">
        <v>6.4808306940632499E-2</v>
      </c>
      <c r="AK41" s="209">
        <v>6.4367442732401386E-2</v>
      </c>
      <c r="AL41" s="209">
        <v>6.4014751365816497E-2</v>
      </c>
      <c r="AM41" s="209">
        <v>6.3732598272548582E-2</v>
      </c>
      <c r="AN41" s="209">
        <v>6.3506875797934251E-2</v>
      </c>
      <c r="AO41" s="209">
        <v>6.3326297818242783E-2</v>
      </c>
      <c r="AP41" s="209">
        <v>6.3181835434489603E-2</v>
      </c>
      <c r="AQ41" s="209">
        <v>6.3066265527487064E-2</v>
      </c>
      <c r="AR41" s="209">
        <v>6.2973809601885034E-2</v>
      </c>
      <c r="AS41" s="209">
        <v>6.2899844861403403E-2</v>
      </c>
      <c r="AT41" s="209">
        <v>6.2840673069018096E-2</v>
      </c>
      <c r="AU41" s="209">
        <v>6.2793335635109845E-2</v>
      </c>
      <c r="AV41" s="209">
        <v>6.275546568798325E-2</v>
      </c>
      <c r="AW41" s="38" t="s">
        <v>579</v>
      </c>
    </row>
    <row r="42" spans="3:49" ht="17.399999999999999">
      <c r="C42" s="105">
        <v>39</v>
      </c>
      <c r="D42" s="517">
        <v>41928</v>
      </c>
      <c r="E42" s="205" t="s">
        <v>516</v>
      </c>
      <c r="F42" s="243" t="s">
        <v>809</v>
      </c>
      <c r="G42" s="38" t="s">
        <v>940</v>
      </c>
      <c r="H42" s="38"/>
      <c r="I42" s="38"/>
      <c r="J42" s="38"/>
      <c r="K42" s="38"/>
      <c r="L42" s="38"/>
      <c r="M42" s="216">
        <v>0.56058732771034769</v>
      </c>
      <c r="N42" s="221">
        <v>0.5996342883407384</v>
      </c>
      <c r="O42" s="221">
        <v>0.58793746277546166</v>
      </c>
      <c r="P42" s="221">
        <v>0.58499061869136681</v>
      </c>
      <c r="Q42" s="221">
        <v>0.55898974562798098</v>
      </c>
      <c r="R42" s="221">
        <v>0.5624698229682159</v>
      </c>
      <c r="S42" s="221">
        <v>0.60757113333884427</v>
      </c>
      <c r="T42" s="221">
        <v>0.56758373023989717</v>
      </c>
      <c r="U42" s="221">
        <v>0.5968293525687911</v>
      </c>
      <c r="V42" s="221">
        <v>0.61884371587039855</v>
      </c>
      <c r="W42" s="221">
        <v>0.53454512799460463</v>
      </c>
      <c r="X42" s="221">
        <v>0.5588415440825294</v>
      </c>
      <c r="Y42" s="221">
        <v>0.5054202818665039</v>
      </c>
      <c r="Z42" s="221">
        <v>0.52601170057751012</v>
      </c>
      <c r="AA42" s="221">
        <v>0.50265137117327074</v>
      </c>
      <c r="AB42" s="544">
        <v>0.49222175549336711</v>
      </c>
      <c r="AC42" s="221">
        <v>0.50527447410800919</v>
      </c>
      <c r="AD42" s="221">
        <v>0.51149040567773596</v>
      </c>
      <c r="AE42" s="221">
        <v>0.51481758260876442</v>
      </c>
      <c r="AF42" s="221">
        <v>0.50457975650203735</v>
      </c>
      <c r="AG42" s="221">
        <v>0.50457975650203735</v>
      </c>
      <c r="AH42" s="221">
        <v>0.50457975650203735</v>
      </c>
      <c r="AI42" s="221">
        <v>0.50457975650203735</v>
      </c>
      <c r="AJ42" s="221">
        <v>0.50457975650203735</v>
      </c>
      <c r="AK42" s="221">
        <v>0.50457975650203735</v>
      </c>
      <c r="AL42" s="221">
        <v>0.50457975650203735</v>
      </c>
      <c r="AM42" s="221">
        <v>0.50457975650203735</v>
      </c>
      <c r="AN42" s="221">
        <v>0.50457975650203735</v>
      </c>
      <c r="AO42" s="221">
        <v>0.50457975650203735</v>
      </c>
      <c r="AP42" s="221">
        <v>0.50457975650203735</v>
      </c>
      <c r="AQ42" s="221">
        <v>0.50457975650203735</v>
      </c>
      <c r="AR42" s="209">
        <v>0.50457975650203735</v>
      </c>
      <c r="AS42" s="209">
        <v>0.50457975650203735</v>
      </c>
      <c r="AT42" s="209">
        <v>0.50457975650203735</v>
      </c>
      <c r="AU42" s="209">
        <v>0.50457975650203735</v>
      </c>
      <c r="AV42" s="209">
        <v>0.50457975650203735</v>
      </c>
      <c r="AW42" s="38" t="s">
        <v>516</v>
      </c>
    </row>
    <row r="43" spans="3:49" ht="17.399999999999999">
      <c r="C43" s="105">
        <v>40</v>
      </c>
      <c r="D43" s="517">
        <v>41928</v>
      </c>
      <c r="E43" s="205" t="s">
        <v>519</v>
      </c>
      <c r="F43" s="243" t="s">
        <v>809</v>
      </c>
      <c r="G43" s="38" t="s">
        <v>941</v>
      </c>
      <c r="H43" s="38"/>
      <c r="I43" s="38"/>
      <c r="J43" s="38"/>
      <c r="K43" s="38"/>
      <c r="L43" s="38"/>
      <c r="M43" s="216">
        <v>0</v>
      </c>
      <c r="N43" s="221">
        <v>0</v>
      </c>
      <c r="O43" s="221">
        <v>0</v>
      </c>
      <c r="P43" s="221">
        <v>0</v>
      </c>
      <c r="Q43" s="221">
        <v>0</v>
      </c>
      <c r="R43" s="221">
        <v>0</v>
      </c>
      <c r="S43" s="221">
        <v>0</v>
      </c>
      <c r="T43" s="221">
        <v>0</v>
      </c>
      <c r="U43" s="221">
        <v>0</v>
      </c>
      <c r="V43" s="221">
        <v>0</v>
      </c>
      <c r="W43" s="221">
        <v>0</v>
      </c>
      <c r="X43" s="221">
        <v>0</v>
      </c>
      <c r="Y43" s="221">
        <v>0</v>
      </c>
      <c r="Z43" s="221">
        <v>0</v>
      </c>
      <c r="AA43" s="221">
        <v>0</v>
      </c>
      <c r="AB43" s="544">
        <v>0</v>
      </c>
      <c r="AC43" s="221">
        <v>0</v>
      </c>
      <c r="AD43" s="221">
        <v>0</v>
      </c>
      <c r="AE43" s="221">
        <v>0</v>
      </c>
      <c r="AF43" s="221">
        <v>0</v>
      </c>
      <c r="AG43" s="221">
        <v>0</v>
      </c>
      <c r="AH43" s="221">
        <v>0</v>
      </c>
      <c r="AI43" s="221">
        <v>0</v>
      </c>
      <c r="AJ43" s="221">
        <v>0</v>
      </c>
      <c r="AK43" s="221">
        <v>0</v>
      </c>
      <c r="AL43" s="221">
        <v>0</v>
      </c>
      <c r="AM43" s="221">
        <v>0</v>
      </c>
      <c r="AN43" s="221">
        <v>0</v>
      </c>
      <c r="AO43" s="221">
        <v>0</v>
      </c>
      <c r="AP43" s="221">
        <v>0</v>
      </c>
      <c r="AQ43" s="221">
        <v>0</v>
      </c>
      <c r="AR43" s="209">
        <v>0</v>
      </c>
      <c r="AS43" s="209">
        <v>0</v>
      </c>
      <c r="AT43" s="209">
        <v>0</v>
      </c>
      <c r="AU43" s="209">
        <v>0</v>
      </c>
      <c r="AV43" s="209">
        <v>0</v>
      </c>
      <c r="AW43" s="38" t="s">
        <v>519</v>
      </c>
    </row>
    <row r="44" spans="3:49" ht="17.399999999999999">
      <c r="C44" s="105">
        <v>41</v>
      </c>
      <c r="D44" s="517">
        <v>41928</v>
      </c>
      <c r="E44" s="205" t="s">
        <v>522</v>
      </c>
      <c r="F44" s="243" t="s">
        <v>809</v>
      </c>
      <c r="G44" s="38" t="s">
        <v>162</v>
      </c>
      <c r="H44" s="38"/>
      <c r="I44" s="38"/>
      <c r="J44" s="38"/>
      <c r="K44" s="38"/>
      <c r="L44" s="38"/>
      <c r="M44" s="216">
        <v>0.18412751259012028</v>
      </c>
      <c r="N44" s="221">
        <v>0.16657824595487686</v>
      </c>
      <c r="O44" s="221">
        <v>0.19359545261144048</v>
      </c>
      <c r="P44" s="221">
        <v>0.19506713300983194</v>
      </c>
      <c r="Q44" s="221">
        <v>0.20204166379774025</v>
      </c>
      <c r="R44" s="221">
        <v>0.14326863278604252</v>
      </c>
      <c r="S44" s="221">
        <v>0.16519107231144708</v>
      </c>
      <c r="T44" s="221">
        <v>0.16321890642630238</v>
      </c>
      <c r="U44" s="221">
        <v>0.20207947863551601</v>
      </c>
      <c r="V44" s="221">
        <v>0.18389780313087339</v>
      </c>
      <c r="W44" s="221">
        <v>0.20264787232420456</v>
      </c>
      <c r="X44" s="221">
        <v>0.19705596139723491</v>
      </c>
      <c r="Y44" s="221">
        <v>0.17400970608532609</v>
      </c>
      <c r="Z44" s="221">
        <v>0.13771012347521919</v>
      </c>
      <c r="AA44" s="221">
        <v>0.21351414024282442</v>
      </c>
      <c r="AB44" s="544">
        <v>0.20520339865598441</v>
      </c>
      <c r="AC44" s="221">
        <v>0.14090210329698841</v>
      </c>
      <c r="AD44" s="221">
        <v>0.13962673029629044</v>
      </c>
      <c r="AE44" s="221">
        <v>0.15683614316944677</v>
      </c>
      <c r="AF44" s="221">
        <v>0.15097764346053011</v>
      </c>
      <c r="AG44" s="221">
        <v>0.15097764346053011</v>
      </c>
      <c r="AH44" s="221">
        <v>0.15097764346053011</v>
      </c>
      <c r="AI44" s="221">
        <v>0.15097764346053011</v>
      </c>
      <c r="AJ44" s="221">
        <v>0.15097764346053011</v>
      </c>
      <c r="AK44" s="221">
        <v>0.15097764346053011</v>
      </c>
      <c r="AL44" s="221">
        <v>0.15097764346053011</v>
      </c>
      <c r="AM44" s="221">
        <v>0.15097764346053011</v>
      </c>
      <c r="AN44" s="221">
        <v>0.15097764346053011</v>
      </c>
      <c r="AO44" s="221">
        <v>0.15097764346053011</v>
      </c>
      <c r="AP44" s="221">
        <v>0.15097764346053011</v>
      </c>
      <c r="AQ44" s="221">
        <v>0.15097764346053011</v>
      </c>
      <c r="AR44" s="209">
        <v>0.15097764346053011</v>
      </c>
      <c r="AS44" s="209">
        <v>0.15097764346053011</v>
      </c>
      <c r="AT44" s="209">
        <v>0.15097764346053011</v>
      </c>
      <c r="AU44" s="209">
        <v>0.15097764346053011</v>
      </c>
      <c r="AV44" s="209">
        <v>0.15097764346053011</v>
      </c>
      <c r="AW44" s="38" t="s">
        <v>522</v>
      </c>
    </row>
    <row r="45" spans="3:49" ht="17.399999999999999">
      <c r="C45" s="105">
        <v>42</v>
      </c>
      <c r="D45" s="517">
        <v>41928</v>
      </c>
      <c r="E45" s="205" t="s">
        <v>525</v>
      </c>
      <c r="F45" s="243" t="s">
        <v>809</v>
      </c>
      <c r="G45" s="38" t="s">
        <v>943</v>
      </c>
      <c r="H45" s="38"/>
      <c r="I45" s="38"/>
      <c r="J45" s="38"/>
      <c r="K45" s="38"/>
      <c r="L45" s="38"/>
      <c r="M45" s="216">
        <v>0.79020035130091115</v>
      </c>
      <c r="N45" s="221">
        <v>0.74263281998378905</v>
      </c>
      <c r="O45" s="221">
        <v>0.74572186669886498</v>
      </c>
      <c r="P45" s="221">
        <v>0.82335810810810817</v>
      </c>
      <c r="Q45" s="221">
        <v>0.86866610501702146</v>
      </c>
      <c r="R45" s="221">
        <v>0.82713855769472122</v>
      </c>
      <c r="S45" s="221">
        <v>0.81079295129370244</v>
      </c>
      <c r="T45" s="221">
        <v>0.79185444298052987</v>
      </c>
      <c r="U45" s="221">
        <v>0.73449823043649232</v>
      </c>
      <c r="V45" s="221">
        <v>0.76879131401291878</v>
      </c>
      <c r="W45" s="221">
        <v>0.77088485418626529</v>
      </c>
      <c r="X45" s="221">
        <v>0.75041459563565283</v>
      </c>
      <c r="Y45" s="221">
        <v>0.75225769185650937</v>
      </c>
      <c r="Z45" s="221">
        <v>0.79095843368721275</v>
      </c>
      <c r="AA45" s="221">
        <v>0.73128446728809127</v>
      </c>
      <c r="AB45" s="544">
        <v>0.7267341060917033</v>
      </c>
      <c r="AC45" s="221">
        <v>0.76279143418974615</v>
      </c>
      <c r="AD45" s="221">
        <v>0.77733560545308744</v>
      </c>
      <c r="AE45" s="221">
        <v>0.77652676371780516</v>
      </c>
      <c r="AF45" s="221">
        <v>0.79409561586638833</v>
      </c>
      <c r="AG45" s="221">
        <v>0.77200000000000002</v>
      </c>
      <c r="AH45" s="221">
        <v>0.76400000000000001</v>
      </c>
      <c r="AI45" s="221">
        <v>0.75760000000000005</v>
      </c>
      <c r="AJ45" s="221">
        <v>0.75248000000000004</v>
      </c>
      <c r="AK45" s="221">
        <v>0.74838400000000005</v>
      </c>
      <c r="AL45" s="221">
        <v>0.74510720000000008</v>
      </c>
      <c r="AM45" s="221">
        <v>0.74248576000000011</v>
      </c>
      <c r="AN45" s="221">
        <v>0.74038860800000017</v>
      </c>
      <c r="AO45" s="221">
        <v>0.73871088640000027</v>
      </c>
      <c r="AP45" s="221">
        <v>0.7373687091200003</v>
      </c>
      <c r="AQ45" s="221">
        <v>0.7362949672960003</v>
      </c>
      <c r="AR45" s="209">
        <v>0.73543597383680026</v>
      </c>
      <c r="AS45" s="209">
        <v>0.73474877906944025</v>
      </c>
      <c r="AT45" s="209">
        <v>0.7341990232555522</v>
      </c>
      <c r="AU45" s="209">
        <v>0.73375921860444171</v>
      </c>
      <c r="AV45" s="209">
        <v>0.73340737488355334</v>
      </c>
      <c r="AW45" s="38" t="s">
        <v>525</v>
      </c>
    </row>
    <row r="46" spans="3:49" ht="17.399999999999999">
      <c r="C46" s="365">
        <v>43</v>
      </c>
      <c r="D46" s="517"/>
      <c r="E46" s="205" t="s">
        <v>528</v>
      </c>
      <c r="F46" s="243" t="s">
        <v>809</v>
      </c>
      <c r="G46" s="38" t="s">
        <v>944</v>
      </c>
      <c r="H46" s="38"/>
      <c r="I46" s="38"/>
      <c r="J46" s="38"/>
      <c r="K46" s="38"/>
      <c r="L46" s="38"/>
      <c r="M46" s="216"/>
      <c r="N46" s="221"/>
      <c r="O46" s="221"/>
      <c r="P46" s="221"/>
      <c r="Q46" s="221"/>
      <c r="R46" s="221"/>
      <c r="S46" s="221"/>
      <c r="T46" s="221"/>
      <c r="U46" s="221"/>
      <c r="V46" s="221"/>
      <c r="W46" s="221"/>
      <c r="X46" s="221"/>
      <c r="Y46" s="221"/>
      <c r="Z46" s="221"/>
      <c r="AA46" s="221"/>
      <c r="AB46" s="544"/>
      <c r="AC46" s="221"/>
      <c r="AD46" s="221"/>
      <c r="AE46" s="221"/>
      <c r="AF46" s="221"/>
      <c r="AG46" s="221"/>
      <c r="AH46" s="221"/>
      <c r="AI46" s="221"/>
      <c r="AJ46" s="221"/>
      <c r="AK46" s="221"/>
      <c r="AL46" s="221"/>
      <c r="AM46" s="221"/>
      <c r="AN46" s="221"/>
      <c r="AO46" s="221"/>
      <c r="AP46" s="221"/>
      <c r="AQ46" s="221"/>
      <c r="AR46" s="209"/>
      <c r="AS46" s="209"/>
      <c r="AT46" s="209"/>
      <c r="AU46" s="209"/>
      <c r="AV46" s="209"/>
      <c r="AW46" s="38" t="s">
        <v>528</v>
      </c>
    </row>
    <row r="47" spans="3:49" ht="17.399999999999999">
      <c r="C47" s="365">
        <v>44</v>
      </c>
      <c r="D47" s="517">
        <v>40585</v>
      </c>
      <c r="E47" s="205" t="s">
        <v>531</v>
      </c>
      <c r="F47" s="243" t="s">
        <v>809</v>
      </c>
      <c r="G47" s="38" t="s">
        <v>945</v>
      </c>
      <c r="H47" s="38"/>
      <c r="I47" s="38"/>
      <c r="J47" s="38"/>
      <c r="K47" s="38"/>
      <c r="L47" s="38"/>
      <c r="M47" s="216"/>
      <c r="N47" s="221"/>
      <c r="O47" s="221"/>
      <c r="P47" s="221"/>
      <c r="Q47" s="221"/>
      <c r="R47" s="221"/>
      <c r="S47" s="221"/>
      <c r="T47" s="221"/>
      <c r="U47" s="221"/>
      <c r="V47" s="221"/>
      <c r="W47" s="221"/>
      <c r="X47" s="221"/>
      <c r="Y47" s="221"/>
      <c r="Z47" s="221"/>
      <c r="AA47" s="221"/>
      <c r="AB47" s="544"/>
      <c r="AC47" s="221"/>
      <c r="AD47" s="221"/>
      <c r="AE47" s="221"/>
      <c r="AF47" s="221"/>
      <c r="AG47" s="221"/>
      <c r="AH47" s="221"/>
      <c r="AI47" s="221"/>
      <c r="AJ47" s="221"/>
      <c r="AK47" s="221"/>
      <c r="AL47" s="221"/>
      <c r="AM47" s="221"/>
      <c r="AN47" s="221"/>
      <c r="AO47" s="221"/>
      <c r="AP47" s="221"/>
      <c r="AQ47" s="221"/>
      <c r="AR47" s="209"/>
      <c r="AS47" s="209"/>
      <c r="AT47" s="209"/>
      <c r="AU47" s="209"/>
      <c r="AV47" s="209"/>
      <c r="AW47" s="38" t="s">
        <v>531</v>
      </c>
    </row>
    <row r="48" spans="3:49" ht="17.399999999999999">
      <c r="C48" s="365">
        <v>45</v>
      </c>
      <c r="D48" s="517">
        <v>40615</v>
      </c>
      <c r="E48" s="205" t="s">
        <v>534</v>
      </c>
      <c r="F48" s="243" t="s">
        <v>809</v>
      </c>
      <c r="G48" s="38" t="s">
        <v>946</v>
      </c>
      <c r="H48" s="38"/>
      <c r="I48" s="38"/>
      <c r="J48" s="38"/>
      <c r="K48" s="38"/>
      <c r="L48" s="38"/>
      <c r="M48" s="216"/>
      <c r="N48" s="221"/>
      <c r="O48" s="221"/>
      <c r="P48" s="221"/>
      <c r="Q48" s="221"/>
      <c r="R48" s="221"/>
      <c r="S48" s="221"/>
      <c r="T48" s="221"/>
      <c r="U48" s="221"/>
      <c r="V48" s="221"/>
      <c r="W48" s="221"/>
      <c r="X48" s="221"/>
      <c r="Y48" s="221"/>
      <c r="Z48" s="221"/>
      <c r="AA48" s="221"/>
      <c r="AB48" s="544"/>
      <c r="AC48" s="221"/>
      <c r="AD48" s="221"/>
      <c r="AE48" s="221"/>
      <c r="AF48" s="221"/>
      <c r="AG48" s="221"/>
      <c r="AH48" s="221"/>
      <c r="AI48" s="221"/>
      <c r="AJ48" s="221"/>
      <c r="AK48" s="221"/>
      <c r="AL48" s="221"/>
      <c r="AM48" s="221"/>
      <c r="AN48" s="221"/>
      <c r="AO48" s="221"/>
      <c r="AP48" s="221"/>
      <c r="AQ48" s="221"/>
      <c r="AR48" s="209"/>
      <c r="AS48" s="209"/>
      <c r="AT48" s="209"/>
      <c r="AU48" s="209"/>
      <c r="AV48" s="209"/>
      <c r="AW48" s="38" t="s">
        <v>534</v>
      </c>
    </row>
    <row r="49" spans="3:49" ht="17.399999999999999">
      <c r="C49" s="105">
        <v>46</v>
      </c>
      <c r="D49" s="517">
        <v>41928</v>
      </c>
      <c r="E49" s="205" t="s">
        <v>947</v>
      </c>
      <c r="F49" s="243" t="s">
        <v>809</v>
      </c>
      <c r="G49" s="38" t="s">
        <v>23</v>
      </c>
      <c r="H49" s="38"/>
      <c r="I49" s="38"/>
      <c r="J49" s="38"/>
      <c r="K49" s="38"/>
      <c r="L49" s="38"/>
      <c r="M49" s="216">
        <v>4.9988274017691826E-2</v>
      </c>
      <c r="N49" s="221">
        <v>5.6168990347786107E-2</v>
      </c>
      <c r="O49" s="221">
        <v>5.6403097081596187E-2</v>
      </c>
      <c r="P49" s="221">
        <v>5.8051894074337966E-2</v>
      </c>
      <c r="Q49" s="221">
        <v>4.4754451510333859E-2</v>
      </c>
      <c r="R49" s="221">
        <v>4.0363501862149896E-2</v>
      </c>
      <c r="S49" s="221">
        <v>4.0829089856989333E-2</v>
      </c>
      <c r="T49" s="221">
        <v>3.8721327762031375E-2</v>
      </c>
      <c r="U49" s="221">
        <v>3.9072208630734691E-2</v>
      </c>
      <c r="V49" s="221">
        <v>3.202582607019723E-2</v>
      </c>
      <c r="W49" s="221">
        <v>2.04341113685013E-2</v>
      </c>
      <c r="X49" s="221">
        <v>1.8457780112713727E-2</v>
      </c>
      <c r="Y49" s="221">
        <v>1.633557374216708E-2</v>
      </c>
      <c r="Z49" s="221">
        <v>1.5488549426277757E-2</v>
      </c>
      <c r="AA49" s="221">
        <v>1.3521457101375223E-2</v>
      </c>
      <c r="AB49" s="544">
        <v>1.2813182945727633E-2</v>
      </c>
      <c r="AC49" s="221">
        <v>1.1708861392575997E-2</v>
      </c>
      <c r="AD49" s="221">
        <v>1.1223210374134759E-2</v>
      </c>
      <c r="AE49" s="221">
        <v>1.0834689559381768E-2</v>
      </c>
      <c r="AF49" s="221">
        <v>1.0523872907579376E-2</v>
      </c>
      <c r="AG49" s="221">
        <v>1.0275219586137464E-2</v>
      </c>
      <c r="AH49" s="221">
        <v>1.0026566264695551E-2</v>
      </c>
      <c r="AI49" s="221">
        <v>9.7779129432536381E-3</v>
      </c>
      <c r="AJ49" s="221">
        <v>9.7779129432536381E-3</v>
      </c>
      <c r="AK49" s="221">
        <v>9.7779129432536381E-3</v>
      </c>
      <c r="AL49" s="221">
        <v>9.7779129432536381E-3</v>
      </c>
      <c r="AM49" s="221">
        <v>9.7779129432536381E-3</v>
      </c>
      <c r="AN49" s="221">
        <v>9.7779129432536381E-3</v>
      </c>
      <c r="AO49" s="221">
        <v>9.7779129432536381E-3</v>
      </c>
      <c r="AP49" s="221">
        <v>9.7779129432536381E-3</v>
      </c>
      <c r="AQ49" s="221">
        <v>9.7779129432536381E-3</v>
      </c>
      <c r="AR49" s="209">
        <v>9.7779129432536381E-3</v>
      </c>
      <c r="AS49" s="209">
        <v>9.7779129432536381E-3</v>
      </c>
      <c r="AT49" s="209">
        <v>9.7779129432536381E-3</v>
      </c>
      <c r="AU49" s="209">
        <v>9.7779129432536381E-3</v>
      </c>
      <c r="AV49" s="209">
        <v>9.7779129432536381E-3</v>
      </c>
      <c r="AW49" s="38" t="s">
        <v>947</v>
      </c>
    </row>
    <row r="50" spans="3:49" ht="17.399999999999999">
      <c r="C50" s="105">
        <v>47</v>
      </c>
      <c r="D50" s="517">
        <v>41928</v>
      </c>
      <c r="E50" s="205" t="s">
        <v>586</v>
      </c>
      <c r="F50" s="243" t="s">
        <v>809</v>
      </c>
      <c r="G50" s="38" t="s">
        <v>950</v>
      </c>
      <c r="H50" s="38"/>
      <c r="I50" s="38"/>
      <c r="J50" s="38"/>
      <c r="K50" s="38"/>
      <c r="L50" s="38"/>
      <c r="M50" s="216">
        <v>0.30591082006570569</v>
      </c>
      <c r="N50" s="209">
        <v>0.27816166467080888</v>
      </c>
      <c r="O50" s="209">
        <v>0.30377623832039924</v>
      </c>
      <c r="P50" s="209">
        <v>0.26117813318403943</v>
      </c>
      <c r="Q50" s="209">
        <v>0.25161546729373147</v>
      </c>
      <c r="R50" s="209">
        <v>0.28713406421821713</v>
      </c>
      <c r="S50" s="209">
        <v>0.30006990710858972</v>
      </c>
      <c r="T50" s="209">
        <v>0.32527321790330338</v>
      </c>
      <c r="U50" s="209">
        <v>0.31334242432928466</v>
      </c>
      <c r="V50" s="209">
        <v>0.31889581974440651</v>
      </c>
      <c r="W50" s="209">
        <v>0.39702420648664605</v>
      </c>
      <c r="X50" s="209">
        <v>0.39475872109052162</v>
      </c>
      <c r="Y50" s="209">
        <v>0.40208306466662297</v>
      </c>
      <c r="Z50" s="209">
        <v>0.38772000068261031</v>
      </c>
      <c r="AA50" s="209">
        <v>0.35044252977777157</v>
      </c>
      <c r="AB50" s="538">
        <v>0.34619747575290699</v>
      </c>
      <c r="AC50" s="209">
        <v>0.37263593566999492</v>
      </c>
      <c r="AD50" s="209">
        <v>0.37134614707263147</v>
      </c>
      <c r="AE50" s="209">
        <v>0.36928030022616676</v>
      </c>
      <c r="AF50" s="209">
        <v>0.37484175087947302</v>
      </c>
      <c r="AG50" s="209">
        <v>0.38484175087947303</v>
      </c>
      <c r="AH50" s="209">
        <v>0.38484175087947303</v>
      </c>
      <c r="AI50" s="209">
        <v>0.38484175087947303</v>
      </c>
      <c r="AJ50" s="209">
        <v>0.38484175087947303</v>
      </c>
      <c r="AK50" s="209">
        <v>0.38484175087947303</v>
      </c>
      <c r="AL50" s="209">
        <v>0.38484175087947303</v>
      </c>
      <c r="AM50" s="209">
        <v>0.38484175087947303</v>
      </c>
      <c r="AN50" s="209">
        <v>0.38484175087947303</v>
      </c>
      <c r="AO50" s="209">
        <v>0.38484175087947303</v>
      </c>
      <c r="AP50" s="209">
        <v>0.38484175087947303</v>
      </c>
      <c r="AQ50" s="209">
        <v>0.38484175087947303</v>
      </c>
      <c r="AR50" s="209">
        <v>0.38484175087947303</v>
      </c>
      <c r="AS50" s="209">
        <v>0.38484175087947303</v>
      </c>
      <c r="AT50" s="209">
        <v>0.38484175087947303</v>
      </c>
      <c r="AU50" s="209">
        <v>0.38484175087947303</v>
      </c>
      <c r="AV50" s="209">
        <v>0.38484175087947303</v>
      </c>
      <c r="AW50" s="38" t="s">
        <v>586</v>
      </c>
    </row>
    <row r="51" spans="3:49" ht="17.399999999999999">
      <c r="C51" s="105">
        <v>48</v>
      </c>
      <c r="D51" s="517">
        <v>41928</v>
      </c>
      <c r="E51" s="205" t="s">
        <v>810</v>
      </c>
      <c r="F51" s="243" t="s">
        <v>809</v>
      </c>
      <c r="G51" s="38" t="s">
        <v>949</v>
      </c>
      <c r="H51" s="38"/>
      <c r="I51" s="38"/>
      <c r="J51" s="38"/>
      <c r="K51" s="38"/>
      <c r="L51" s="38"/>
      <c r="M51" s="216">
        <v>0.34028203577560534</v>
      </c>
      <c r="N51" s="209">
        <v>0.32507809942817723</v>
      </c>
      <c r="O51" s="209">
        <v>0.35837570555083637</v>
      </c>
      <c r="P51" s="209">
        <v>0.32023603080122254</v>
      </c>
      <c r="Q51" s="209">
        <v>0.26082091121911194</v>
      </c>
      <c r="R51" s="209">
        <v>0.26829931795496376</v>
      </c>
      <c r="S51" s="209">
        <v>0.27051799130250104</v>
      </c>
      <c r="T51" s="209">
        <v>0.31631692817415186</v>
      </c>
      <c r="U51" s="209">
        <v>0.30018396555033727</v>
      </c>
      <c r="V51" s="209">
        <v>0.27424958276588063</v>
      </c>
      <c r="W51" s="209">
        <v>0.31562582203865192</v>
      </c>
      <c r="X51" s="209">
        <v>0.31114675985594847</v>
      </c>
      <c r="Y51" s="209">
        <v>0.34223846853003126</v>
      </c>
      <c r="Z51" s="209">
        <v>0.33897422577496544</v>
      </c>
      <c r="AA51" s="209">
        <v>0.41353903767234651</v>
      </c>
      <c r="AB51" s="538">
        <v>0.38042010436044621</v>
      </c>
      <c r="AC51" s="209">
        <v>0.35725550597673883</v>
      </c>
      <c r="AD51" s="209">
        <v>0.36711625246134028</v>
      </c>
      <c r="AE51" s="209">
        <v>0.38209490543147689</v>
      </c>
      <c r="AF51" s="209">
        <v>0.38668424679020369</v>
      </c>
      <c r="AG51" s="209">
        <v>0.39</v>
      </c>
      <c r="AH51" s="209">
        <v>0.39</v>
      </c>
      <c r="AI51" s="209">
        <v>0.39</v>
      </c>
      <c r="AJ51" s="209">
        <v>0.39</v>
      </c>
      <c r="AK51" s="209">
        <v>0.39</v>
      </c>
      <c r="AL51" s="209">
        <v>0.39</v>
      </c>
      <c r="AM51" s="209">
        <v>0.39</v>
      </c>
      <c r="AN51" s="209">
        <v>0.39</v>
      </c>
      <c r="AO51" s="209">
        <v>0.39</v>
      </c>
      <c r="AP51" s="209">
        <v>0.39</v>
      </c>
      <c r="AQ51" s="209">
        <v>0.39</v>
      </c>
      <c r="AR51" s="209">
        <v>0.39</v>
      </c>
      <c r="AS51" s="209">
        <v>0.39</v>
      </c>
      <c r="AT51" s="209">
        <v>0.39</v>
      </c>
      <c r="AU51" s="209">
        <v>0.39</v>
      </c>
      <c r="AV51" s="209">
        <v>0.39</v>
      </c>
      <c r="AW51" s="38" t="s">
        <v>810</v>
      </c>
    </row>
    <row r="52" spans="3:49" ht="17.399999999999999">
      <c r="C52" s="105">
        <v>49</v>
      </c>
      <c r="D52" s="517">
        <v>41928</v>
      </c>
      <c r="E52" s="205" t="s">
        <v>628</v>
      </c>
      <c r="F52" s="243" t="s">
        <v>809</v>
      </c>
      <c r="G52" s="38" t="s">
        <v>22</v>
      </c>
      <c r="H52" s="38"/>
      <c r="I52" s="38"/>
      <c r="J52" s="38"/>
      <c r="K52" s="38"/>
      <c r="L52" s="38"/>
      <c r="M52" s="216">
        <v>2.2490438989016016E-2</v>
      </c>
      <c r="N52" s="209">
        <v>2.7958204381156079E-2</v>
      </c>
      <c r="O52" s="209">
        <v>2.9747212180728889E-2</v>
      </c>
      <c r="P52" s="209">
        <v>-1.0512157616833476E-2</v>
      </c>
      <c r="Q52" s="209">
        <v>-1.8366803715713885E-2</v>
      </c>
      <c r="R52" s="209">
        <v>9.4033448320917194E-3</v>
      </c>
      <c r="S52" s="209">
        <v>1.5435898035414669E-2</v>
      </c>
      <c r="T52" s="209">
        <v>1.0420706842907277E-2</v>
      </c>
      <c r="U52" s="209">
        <v>1.1378312982583559E-2</v>
      </c>
      <c r="V52" s="209">
        <v>1.1495203825421829E-2</v>
      </c>
      <c r="W52" s="209">
        <v>1.1017693783579027E-2</v>
      </c>
      <c r="X52" s="209">
        <v>1.164388659610574E-2</v>
      </c>
      <c r="Y52" s="209">
        <v>1.4011430848958683E-2</v>
      </c>
      <c r="Z52" s="209">
        <v>1.4635325905782108E-2</v>
      </c>
      <c r="AA52" s="209">
        <v>-2.5634571644029994E-2</v>
      </c>
      <c r="AB52" s="538">
        <v>-7.157309506491928E-3</v>
      </c>
      <c r="AC52" s="209">
        <v>4.642414228178471E-3</v>
      </c>
      <c r="AD52" s="209">
        <v>4.9478788555848852E-4</v>
      </c>
      <c r="AE52" s="209">
        <v>-9.1361415038074684E-3</v>
      </c>
      <c r="AF52" s="209">
        <v>-1.4760121332373852E-2</v>
      </c>
      <c r="AG52" s="209">
        <v>-8.0000000000000002E-3</v>
      </c>
      <c r="AH52" s="209">
        <v>8.9999999999999993E-3</v>
      </c>
      <c r="AI52" s="209">
        <v>1.0999999999999999E-2</v>
      </c>
      <c r="AJ52" s="209">
        <v>1.0999999999999999E-2</v>
      </c>
      <c r="AK52" s="209">
        <v>1.0999999999999999E-2</v>
      </c>
      <c r="AL52" s="209">
        <v>1.0999999999999999E-2</v>
      </c>
      <c r="AM52" s="209">
        <v>1.0999999999999999E-2</v>
      </c>
      <c r="AN52" s="209">
        <v>1.0999999999999999E-2</v>
      </c>
      <c r="AO52" s="209">
        <v>1.0999999999999999E-2</v>
      </c>
      <c r="AP52" s="209">
        <v>1.0999999999999999E-2</v>
      </c>
      <c r="AQ52" s="209">
        <v>1.0999999999999999E-2</v>
      </c>
      <c r="AR52" s="209">
        <v>1.0999999999999999E-2</v>
      </c>
      <c r="AS52" s="209">
        <v>1.0999999999999999E-2</v>
      </c>
      <c r="AT52" s="209">
        <v>1.0999999999999999E-2</v>
      </c>
      <c r="AU52" s="209">
        <v>1.0999999999999999E-2</v>
      </c>
      <c r="AV52" s="209">
        <v>1.0999999999999999E-2</v>
      </c>
      <c r="AW52" s="38" t="s">
        <v>628</v>
      </c>
    </row>
    <row r="53" spans="3:49" ht="17.399999999999999">
      <c r="C53" s="105">
        <v>50</v>
      </c>
      <c r="D53" s="519">
        <v>40614</v>
      </c>
      <c r="E53" s="205" t="s">
        <v>107</v>
      </c>
      <c r="F53" s="243" t="s">
        <v>809</v>
      </c>
      <c r="G53" s="38" t="s">
        <v>109</v>
      </c>
      <c r="H53" s="38"/>
      <c r="I53" s="38"/>
      <c r="J53" s="38"/>
      <c r="K53" s="38"/>
      <c r="L53" s="38"/>
      <c r="M53" s="216">
        <v>0.24458015167192756</v>
      </c>
      <c r="N53" s="209">
        <v>0.26390378728192782</v>
      </c>
      <c r="O53" s="209">
        <v>0.2748882770104617</v>
      </c>
      <c r="P53" s="209">
        <v>0.27014591073472544</v>
      </c>
      <c r="Q53" s="209">
        <v>0.16917775593934054</v>
      </c>
      <c r="R53" s="209">
        <v>0.19664547860075432</v>
      </c>
      <c r="S53" s="209">
        <v>0.18172846925747252</v>
      </c>
      <c r="T53" s="209">
        <v>0.20806667151453984</v>
      </c>
      <c r="U53" s="209">
        <v>0.21956988388304299</v>
      </c>
      <c r="V53" s="209">
        <v>0.20362889412419991</v>
      </c>
      <c r="W53" s="209">
        <v>0.19973857695478286</v>
      </c>
      <c r="X53" s="209">
        <v>0.20107749480509063</v>
      </c>
      <c r="Y53" s="209">
        <v>0.18715506526272721</v>
      </c>
      <c r="Z53" s="209">
        <v>0.1907508130412558</v>
      </c>
      <c r="AA53" s="209">
        <v>0.23350703954320939</v>
      </c>
      <c r="AB53" s="538">
        <v>0.23</v>
      </c>
      <c r="AC53" s="209">
        <v>0.215</v>
      </c>
      <c r="AD53" s="209">
        <v>0.215</v>
      </c>
      <c r="AE53" s="209">
        <v>0.215</v>
      </c>
      <c r="AF53" s="209">
        <v>0.215</v>
      </c>
      <c r="AG53" s="209">
        <v>0.215</v>
      </c>
      <c r="AH53" s="209">
        <v>0.215</v>
      </c>
      <c r="AI53" s="209">
        <v>0.215</v>
      </c>
      <c r="AJ53" s="209">
        <v>0.215</v>
      </c>
      <c r="AK53" s="209">
        <v>0.215</v>
      </c>
      <c r="AL53" s="209">
        <v>0.215</v>
      </c>
      <c r="AM53" s="209">
        <v>0.215</v>
      </c>
      <c r="AN53" s="209">
        <v>0.215</v>
      </c>
      <c r="AO53" s="209">
        <v>0.215</v>
      </c>
      <c r="AP53" s="209">
        <v>0.215</v>
      </c>
      <c r="AQ53" s="209">
        <v>0.215</v>
      </c>
      <c r="AR53" s="209">
        <v>0.215</v>
      </c>
      <c r="AS53" s="209">
        <v>0.215</v>
      </c>
      <c r="AT53" s="209">
        <v>0.215</v>
      </c>
      <c r="AU53" s="209">
        <v>0.215</v>
      </c>
      <c r="AV53" s="209">
        <v>0.215</v>
      </c>
      <c r="AW53" s="38" t="s">
        <v>107</v>
      </c>
    </row>
    <row r="54" spans="3:49" ht="17.399999999999999">
      <c r="C54" s="105">
        <v>51</v>
      </c>
      <c r="D54" s="519">
        <v>40614</v>
      </c>
      <c r="E54" s="205" t="s">
        <v>108</v>
      </c>
      <c r="F54" s="243" t="s">
        <v>809</v>
      </c>
      <c r="G54" s="38" t="s">
        <v>110</v>
      </c>
      <c r="H54" s="38"/>
      <c r="I54" s="38"/>
      <c r="J54" s="38"/>
      <c r="K54" s="38"/>
      <c r="L54" s="38"/>
      <c r="M54" s="216">
        <v>0.24548014811767122</v>
      </c>
      <c r="N54" s="209">
        <v>0.29108932128083342</v>
      </c>
      <c r="O54" s="209">
        <v>0.29201572364502681</v>
      </c>
      <c r="P54" s="209">
        <v>0.28260776629853934</v>
      </c>
      <c r="Q54" s="209">
        <v>0.30283076311605722</v>
      </c>
      <c r="R54" s="209">
        <v>0.28048477118514364</v>
      </c>
      <c r="S54" s="209">
        <v>0.33459601554104323</v>
      </c>
      <c r="T54" s="209">
        <v>0.30339596178008937</v>
      </c>
      <c r="U54" s="209">
        <v>0.31652008877903609</v>
      </c>
      <c r="V54" s="209">
        <v>0.30086866393986761</v>
      </c>
      <c r="W54" s="209">
        <v>0.25731064715714158</v>
      </c>
      <c r="X54" s="209">
        <v>0.24773283026076987</v>
      </c>
      <c r="Y54" s="209">
        <v>0.21726212185740609</v>
      </c>
      <c r="Z54" s="209">
        <v>0.2381545517985264</v>
      </c>
      <c r="AA54" s="209">
        <v>0.26644114952985676</v>
      </c>
      <c r="AB54" s="538">
        <v>0.28341310816865495</v>
      </c>
      <c r="AC54" s="209">
        <v>0.29359628335193388</v>
      </c>
      <c r="AD54" s="209">
        <v>0.29970618846190122</v>
      </c>
      <c r="AE54" s="209">
        <v>0.30337213152788162</v>
      </c>
      <c r="AF54" s="209">
        <v>0.30557169736746986</v>
      </c>
      <c r="AG54" s="209">
        <v>0.30689143687122283</v>
      </c>
      <c r="AH54" s="209">
        <v>0.3076832805734746</v>
      </c>
      <c r="AI54" s="209">
        <v>0.30815838679482566</v>
      </c>
      <c r="AJ54" s="209">
        <v>0.30844345052763628</v>
      </c>
      <c r="AK54" s="209">
        <v>0.30861448876732267</v>
      </c>
      <c r="AL54" s="209">
        <v>0.30871711171113453</v>
      </c>
      <c r="AM54" s="209">
        <v>0.30877868547742165</v>
      </c>
      <c r="AN54" s="209">
        <v>0.30881562973719395</v>
      </c>
      <c r="AO54" s="209">
        <v>0.30883779629305735</v>
      </c>
      <c r="AP54" s="209">
        <v>0.30885109622657542</v>
      </c>
      <c r="AQ54" s="209">
        <v>0.30885907618668623</v>
      </c>
      <c r="AR54" s="209">
        <v>0.30886386416275274</v>
      </c>
      <c r="AS54" s="209">
        <v>0.30886673694839267</v>
      </c>
      <c r="AT54" s="209">
        <v>0.30886846061977663</v>
      </c>
      <c r="AU54" s="209">
        <v>0.308869494822607</v>
      </c>
      <c r="AV54" s="209">
        <v>0.30887011534430525</v>
      </c>
      <c r="AW54" s="38" t="s">
        <v>108</v>
      </c>
    </row>
    <row r="55" spans="3:49" ht="17.399999999999999">
      <c r="C55" s="105">
        <v>52</v>
      </c>
      <c r="D55" s="519"/>
      <c r="E55" s="205"/>
      <c r="F55" s="243"/>
      <c r="G55" s="38"/>
      <c r="H55" s="38"/>
      <c r="I55" s="38"/>
      <c r="J55" s="38"/>
      <c r="K55" s="38"/>
      <c r="L55" s="38"/>
      <c r="M55" s="216"/>
      <c r="N55" s="209"/>
      <c r="O55" s="209"/>
      <c r="P55" s="209"/>
      <c r="Q55" s="209"/>
      <c r="R55" s="209"/>
      <c r="S55" s="209"/>
      <c r="T55" s="209"/>
      <c r="U55" s="209"/>
      <c r="V55" s="209"/>
      <c r="W55" s="209"/>
      <c r="X55" s="209"/>
      <c r="Y55" s="209"/>
      <c r="Z55" s="209"/>
      <c r="AA55" s="209"/>
      <c r="AB55" s="538"/>
      <c r="AC55" s="209"/>
      <c r="AD55" s="209"/>
      <c r="AE55" s="209"/>
      <c r="AF55" s="209"/>
      <c r="AG55" s="209"/>
      <c r="AH55" s="209"/>
      <c r="AI55" s="209"/>
      <c r="AJ55" s="209"/>
      <c r="AK55" s="209"/>
      <c r="AL55" s="209"/>
      <c r="AM55" s="209"/>
      <c r="AN55" s="209"/>
      <c r="AO55" s="209"/>
      <c r="AP55" s="209"/>
      <c r="AQ55" s="209"/>
      <c r="AR55" s="209"/>
      <c r="AS55" s="209"/>
      <c r="AT55" s="209"/>
      <c r="AU55" s="209"/>
      <c r="AV55" s="209"/>
      <c r="AW55" s="38">
        <v>0</v>
      </c>
    </row>
    <row r="56" spans="3:49" ht="20.399999999999999">
      <c r="C56" s="105">
        <v>53</v>
      </c>
      <c r="D56" s="519">
        <v>42273</v>
      </c>
      <c r="E56" s="343" t="s">
        <v>1190</v>
      </c>
      <c r="F56" s="243" t="s">
        <v>809</v>
      </c>
      <c r="G56" s="38" t="s">
        <v>162</v>
      </c>
      <c r="H56" s="38"/>
      <c r="I56" s="38"/>
      <c r="J56" s="38"/>
      <c r="K56" s="38"/>
      <c r="L56" s="38"/>
      <c r="M56" s="216">
        <v>0.18412751259012028</v>
      </c>
      <c r="N56" s="209">
        <v>0.16657824595487689</v>
      </c>
      <c r="O56" s="209">
        <v>0.19359545261144043</v>
      </c>
      <c r="P56" s="209">
        <v>0.19506713300983194</v>
      </c>
      <c r="Q56" s="209">
        <v>0.2020416637977403</v>
      </c>
      <c r="R56" s="209">
        <v>0.14326863278604252</v>
      </c>
      <c r="S56" s="209">
        <v>0.16519107231144711</v>
      </c>
      <c r="T56" s="209">
        <v>0.16321802239003</v>
      </c>
      <c r="U56" s="209">
        <v>0.20207922619394944</v>
      </c>
      <c r="V56" s="209">
        <v>0.18389806125704877</v>
      </c>
      <c r="W56" s="209">
        <v>0.20264786951092276</v>
      </c>
      <c r="X56" s="209">
        <v>0.19705594455935252</v>
      </c>
      <c r="Y56" s="209">
        <v>0.17400970608532609</v>
      </c>
      <c r="Z56" s="209">
        <v>0.13771012347521919</v>
      </c>
      <c r="AA56" s="209">
        <v>0.21351385469365744</v>
      </c>
      <c r="AB56" s="538">
        <v>0.20520344296820808</v>
      </c>
      <c r="AC56" s="209">
        <v>0.14090210329698841</v>
      </c>
      <c r="AD56" s="209">
        <v>0.13960655154257318</v>
      </c>
      <c r="AE56" s="209">
        <v>0.15683633272810615</v>
      </c>
      <c r="AF56" s="209">
        <v>0.15097764346053008</v>
      </c>
      <c r="AG56" s="209">
        <v>0.14629069204646922</v>
      </c>
      <c r="AH56" s="209">
        <v>0.14254113091522053</v>
      </c>
      <c r="AI56" s="209">
        <v>0.13954148201022157</v>
      </c>
      <c r="AJ56" s="209">
        <v>0.1371417628862224</v>
      </c>
      <c r="AK56" s="209">
        <v>0.13522198758702306</v>
      </c>
      <c r="AL56" s="209">
        <v>0.13368616734766359</v>
      </c>
      <c r="AM56" s="209">
        <v>0.13245751115617602</v>
      </c>
      <c r="AN56" s="209">
        <v>0.13147458620298597</v>
      </c>
      <c r="AO56" s="209">
        <v>0.13068824624043393</v>
      </c>
      <c r="AP56" s="209">
        <v>0.13005917427039229</v>
      </c>
      <c r="AQ56" s="209">
        <v>0.12955591669435898</v>
      </c>
      <c r="AR56" s="209">
        <v>0.12915331063353233</v>
      </c>
      <c r="AS56" s="209">
        <v>0.12883122578487102</v>
      </c>
      <c r="AT56" s="209">
        <v>0.12857355790594197</v>
      </c>
      <c r="AU56" s="209">
        <v>0.12836742360279871</v>
      </c>
      <c r="AV56" s="209">
        <v>0.12820251616028411</v>
      </c>
      <c r="AW56" s="546" t="s">
        <v>1190</v>
      </c>
    </row>
    <row r="57" spans="3:49" ht="17.399999999999999">
      <c r="C57" s="105">
        <v>54</v>
      </c>
      <c r="D57" s="518">
        <v>42034</v>
      </c>
      <c r="E57" s="205" t="s">
        <v>738</v>
      </c>
      <c r="F57" s="243" t="s">
        <v>809</v>
      </c>
      <c r="G57" s="38" t="s">
        <v>951</v>
      </c>
      <c r="H57" s="38"/>
      <c r="I57" s="38"/>
      <c r="J57" s="38"/>
      <c r="K57" s="38"/>
      <c r="L57" s="38"/>
      <c r="M57" s="61">
        <v>1</v>
      </c>
      <c r="N57" s="209">
        <v>1.0369999999999999</v>
      </c>
      <c r="O57" s="209">
        <v>1.0318149999999999</v>
      </c>
      <c r="P57" s="209">
        <v>1.0514194849999998</v>
      </c>
      <c r="Q57" s="209">
        <v>1.1691784673199999</v>
      </c>
      <c r="R57" s="209">
        <v>1.2802504217153998</v>
      </c>
      <c r="S57" s="209">
        <v>1.3340209394274467</v>
      </c>
      <c r="T57" s="209">
        <v>1.4714250961884736</v>
      </c>
      <c r="U57" s="209">
        <v>1.6568246583082211</v>
      </c>
      <c r="V57" s="209">
        <v>1.8523299679885914</v>
      </c>
      <c r="W57" s="209">
        <v>1.9727314159078497</v>
      </c>
      <c r="X57" s="209">
        <v>2.1167408092691224</v>
      </c>
      <c r="Y57" s="209">
        <v>2.2500954802530773</v>
      </c>
      <c r="Z57" s="209">
        <v>2.2635960531345956</v>
      </c>
      <c r="AA57" s="209">
        <v>2.1572070386372695</v>
      </c>
      <c r="AB57" s="538">
        <v>2.3082115313418785</v>
      </c>
      <c r="AC57" s="209">
        <v>2.315136165935904</v>
      </c>
      <c r="AD57" s="209">
        <v>2.3406026637611985</v>
      </c>
      <c r="AE57" s="209">
        <v>2.4482703862942139</v>
      </c>
      <c r="AF57" s="209">
        <v>2.4458221159079199</v>
      </c>
      <c r="AG57" s="209">
        <v>2.4430000000000001</v>
      </c>
      <c r="AH57" s="209">
        <v>2.44</v>
      </c>
      <c r="AI57" s="209">
        <v>2.44</v>
      </c>
      <c r="AJ57" s="209">
        <v>2.4499999999999997</v>
      </c>
      <c r="AK57" s="209">
        <v>2.4599999999999995</v>
      </c>
      <c r="AL57" s="209">
        <v>2.4699999999999993</v>
      </c>
      <c r="AM57" s="209">
        <v>2.4799999999999991</v>
      </c>
      <c r="AN57" s="209">
        <v>2.4899999999999989</v>
      </c>
      <c r="AO57" s="209">
        <v>2.4999999999999987</v>
      </c>
      <c r="AP57" s="209">
        <v>2.5099999999999985</v>
      </c>
      <c r="AQ57" s="209">
        <v>2.5199999999999982</v>
      </c>
      <c r="AR57" s="209">
        <v>2.529999999999998</v>
      </c>
      <c r="AS57" s="209">
        <v>2.5399999999999978</v>
      </c>
      <c r="AT57" s="209">
        <v>2.5499999999999976</v>
      </c>
      <c r="AU57" s="209">
        <v>2.5599999999999974</v>
      </c>
      <c r="AV57" s="209">
        <v>2.5699999999999972</v>
      </c>
      <c r="AW57" s="546" t="s">
        <v>738</v>
      </c>
    </row>
    <row r="58" spans="3:49" ht="17.399999999999999">
      <c r="C58" s="105">
        <v>55</v>
      </c>
      <c r="D58" s="520"/>
      <c r="E58" s="205" t="s">
        <v>952</v>
      </c>
      <c r="F58" s="243" t="s">
        <v>396</v>
      </c>
      <c r="G58" s="38" t="s">
        <v>737</v>
      </c>
      <c r="H58" s="38"/>
      <c r="I58" s="38"/>
      <c r="J58" s="38"/>
      <c r="K58" s="38"/>
      <c r="L58" s="38"/>
      <c r="M58" s="218">
        <v>418.46850000000001</v>
      </c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W58" s="38" t="s">
        <v>952</v>
      </c>
    </row>
    <row r="59" spans="3:49" ht="17.399999999999999">
      <c r="C59" s="105">
        <v>56</v>
      </c>
      <c r="D59" s="520"/>
      <c r="E59" s="205" t="s">
        <v>660</v>
      </c>
      <c r="F59" s="243" t="s">
        <v>396</v>
      </c>
      <c r="G59" s="38" t="s">
        <v>953</v>
      </c>
      <c r="H59" s="38"/>
      <c r="I59" s="38"/>
      <c r="J59" s="38"/>
      <c r="K59" s="514">
        <v>392.29556398346608</v>
      </c>
      <c r="L59" s="224">
        <v>296.96774193548384</v>
      </c>
      <c r="M59" s="224">
        <v>266.97399999999999</v>
      </c>
      <c r="N59" s="206">
        <v>375.95800000000003</v>
      </c>
      <c r="O59" s="206">
        <v>408.79700000000003</v>
      </c>
      <c r="P59" s="206">
        <v>407.08600000000001</v>
      </c>
      <c r="Q59" s="206">
        <v>670.43899999999996</v>
      </c>
      <c r="R59" s="206">
        <v>1165.2339999999999</v>
      </c>
      <c r="S59" s="206">
        <v>1504.7</v>
      </c>
      <c r="T59" s="206">
        <v>1762.4</v>
      </c>
      <c r="U59" s="206"/>
      <c r="V59" s="206"/>
      <c r="W59" s="206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W59" s="38" t="s">
        <v>660</v>
      </c>
    </row>
    <row r="60" spans="3:49" ht="17.399999999999999">
      <c r="C60" s="105">
        <v>57</v>
      </c>
      <c r="D60" s="520"/>
      <c r="E60" s="205" t="s">
        <v>425</v>
      </c>
      <c r="F60" s="243" t="s">
        <v>396</v>
      </c>
      <c r="G60" s="38" t="s">
        <v>954</v>
      </c>
      <c r="H60" s="38"/>
      <c r="I60" s="38"/>
      <c r="J60" s="38"/>
      <c r="K60" s="38"/>
      <c r="L60" s="515">
        <v>610.83799999999997</v>
      </c>
      <c r="M60" s="218">
        <v>1428.5209000000002</v>
      </c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W60" s="38" t="s">
        <v>425</v>
      </c>
    </row>
    <row r="61" spans="3:49" ht="17.399999999999999">
      <c r="C61" s="105">
        <v>58</v>
      </c>
      <c r="D61" s="518">
        <v>40880</v>
      </c>
      <c r="E61" s="205" t="s">
        <v>423</v>
      </c>
      <c r="F61" s="243" t="s">
        <v>396</v>
      </c>
      <c r="G61" s="38" t="s">
        <v>955</v>
      </c>
      <c r="H61" s="38"/>
      <c r="I61" s="38"/>
      <c r="J61" s="38"/>
      <c r="K61" s="38"/>
      <c r="L61" s="38"/>
      <c r="M61" s="61">
        <v>0</v>
      </c>
      <c r="N61" s="206">
        <v>11.9298</v>
      </c>
      <c r="O61" s="206">
        <v>0</v>
      </c>
      <c r="P61" s="206">
        <v>56.941099999999999</v>
      </c>
      <c r="Q61" s="206">
        <v>0</v>
      </c>
      <c r="R61" s="206">
        <v>0</v>
      </c>
      <c r="S61" s="206">
        <v>-40.022599999999997</v>
      </c>
      <c r="T61" s="206">
        <v>-1.7070000000000001</v>
      </c>
      <c r="U61" s="206">
        <v>-107.4624</v>
      </c>
      <c r="V61" s="206">
        <v>-96.143500000000003</v>
      </c>
      <c r="W61" s="206">
        <v>-126.09529999999999</v>
      </c>
      <c r="X61" s="206">
        <v>-17.179400000000001</v>
      </c>
      <c r="Y61" s="206">
        <v>378.2842</v>
      </c>
      <c r="Z61" s="206">
        <v>-605.34550000000002</v>
      </c>
      <c r="AA61" s="206">
        <v>-694.86199999999997</v>
      </c>
      <c r="AB61" s="206">
        <v>-418.459</v>
      </c>
      <c r="AC61" s="206">
        <v>-321.14400000000001</v>
      </c>
      <c r="AD61" s="206">
        <v>-745.13</v>
      </c>
      <c r="AE61" s="206">
        <v>-794.27</v>
      </c>
      <c r="AF61" s="206">
        <v>-470.98</v>
      </c>
      <c r="AG61" s="206">
        <v>0</v>
      </c>
      <c r="AH61" s="206">
        <v>0</v>
      </c>
      <c r="AI61" s="206">
        <v>0</v>
      </c>
      <c r="AJ61" s="206">
        <v>0</v>
      </c>
      <c r="AK61" s="206">
        <v>0</v>
      </c>
      <c r="AL61" s="206">
        <v>0</v>
      </c>
      <c r="AM61" s="206">
        <v>0</v>
      </c>
      <c r="AN61" s="206">
        <v>0</v>
      </c>
      <c r="AO61" s="206">
        <v>0</v>
      </c>
      <c r="AP61" s="206">
        <v>0</v>
      </c>
      <c r="AQ61" s="206">
        <v>0</v>
      </c>
      <c r="AR61" s="206">
        <v>0</v>
      </c>
      <c r="AS61" s="206">
        <v>0</v>
      </c>
      <c r="AT61" s="206">
        <v>0</v>
      </c>
      <c r="AU61" s="206">
        <v>0</v>
      </c>
      <c r="AV61" s="206">
        <v>0</v>
      </c>
      <c r="AW61" s="38" t="s">
        <v>423</v>
      </c>
    </row>
    <row r="62" spans="3:49" ht="17.399999999999999">
      <c r="C62" s="105">
        <v>59</v>
      </c>
      <c r="D62" s="521">
        <v>42018</v>
      </c>
      <c r="E62" s="227" t="s">
        <v>21</v>
      </c>
      <c r="F62" s="3" t="s">
        <v>809</v>
      </c>
      <c r="G62" s="516" t="s">
        <v>956</v>
      </c>
      <c r="H62" s="516"/>
      <c r="I62" s="516"/>
      <c r="J62" s="516"/>
      <c r="K62" s="38"/>
      <c r="L62" s="38"/>
      <c r="M62" s="68">
        <v>0</v>
      </c>
      <c r="N62" s="209">
        <v>-1.1516836355032743E-16</v>
      </c>
      <c r="O62" s="209">
        <v>-1.1357826780111186E-16</v>
      </c>
      <c r="P62" s="209">
        <v>-1.1993481288396183E-16</v>
      </c>
      <c r="Q62" s="209">
        <v>-1.12720688800716E-16</v>
      </c>
      <c r="R62" s="209">
        <v>2.0494670691039277E-16</v>
      </c>
      <c r="S62" s="209">
        <v>0</v>
      </c>
      <c r="T62" s="209">
        <v>0</v>
      </c>
      <c r="U62" s="209">
        <v>0</v>
      </c>
      <c r="V62" s="209">
        <v>-1.6191871158680822E-16</v>
      </c>
      <c r="W62" s="209">
        <v>0</v>
      </c>
      <c r="X62" s="209">
        <v>-2.8129249577294936E-16</v>
      </c>
      <c r="Y62" s="209">
        <v>-2.5925575647276438E-16</v>
      </c>
      <c r="Z62" s="209">
        <v>-1.232204165745078E-16</v>
      </c>
      <c r="AA62" s="209">
        <v>-1.3378981169870552E-16</v>
      </c>
      <c r="AB62" s="209">
        <v>-1.2802852794134502E-16</v>
      </c>
      <c r="AC62" s="209">
        <v>-1.2275026648259352E-16</v>
      </c>
      <c r="AD62" s="209">
        <v>-3.5614197238663486E-16</v>
      </c>
      <c r="AE62" s="209">
        <v>0</v>
      </c>
      <c r="AF62" s="209">
        <v>0</v>
      </c>
      <c r="AG62" s="209">
        <v>0</v>
      </c>
      <c r="AH62" s="209">
        <v>0</v>
      </c>
      <c r="AI62" s="209">
        <v>0</v>
      </c>
      <c r="AJ62" s="209">
        <v>0</v>
      </c>
      <c r="AK62" s="209">
        <v>0</v>
      </c>
      <c r="AL62" s="209">
        <v>0</v>
      </c>
      <c r="AM62" s="209">
        <v>0</v>
      </c>
      <c r="AN62" s="209">
        <v>0</v>
      </c>
      <c r="AO62" s="209">
        <v>0</v>
      </c>
      <c r="AP62" s="209">
        <v>0</v>
      </c>
      <c r="AQ62" s="209">
        <v>0</v>
      </c>
      <c r="AR62" s="209">
        <v>0</v>
      </c>
      <c r="AS62" s="209">
        <v>0</v>
      </c>
      <c r="AT62" s="209">
        <v>0</v>
      </c>
      <c r="AU62" s="209">
        <v>0</v>
      </c>
      <c r="AV62" s="209">
        <v>0</v>
      </c>
      <c r="AW62" s="38" t="s">
        <v>21</v>
      </c>
    </row>
    <row r="63" spans="3:49" ht="15.6">
      <c r="K63" s="47">
        <v>1993</v>
      </c>
      <c r="L63" s="48">
        <v>1994</v>
      </c>
      <c r="M63" s="58">
        <v>1995</v>
      </c>
      <c r="N63" s="48">
        <v>1996</v>
      </c>
      <c r="O63" s="48">
        <v>1997</v>
      </c>
      <c r="P63" s="48">
        <v>1998</v>
      </c>
      <c r="Q63" s="48">
        <v>1999</v>
      </c>
      <c r="R63" s="48">
        <v>2000</v>
      </c>
      <c r="S63" s="48">
        <v>2001</v>
      </c>
      <c r="T63" s="48">
        <v>2002</v>
      </c>
      <c r="U63" s="48">
        <v>2003</v>
      </c>
      <c r="V63" s="48">
        <v>2004</v>
      </c>
      <c r="W63" s="48">
        <v>2005</v>
      </c>
      <c r="X63" s="48">
        <v>2006</v>
      </c>
      <c r="Y63" s="48">
        <v>2007</v>
      </c>
      <c r="Z63" s="48">
        <v>2008</v>
      </c>
      <c r="AA63" s="48">
        <v>2009</v>
      </c>
      <c r="AB63" s="48">
        <v>2010</v>
      </c>
      <c r="AC63" s="48">
        <v>2011</v>
      </c>
      <c r="AD63" s="48">
        <v>2012</v>
      </c>
      <c r="AE63" s="48">
        <v>2013</v>
      </c>
      <c r="AF63" s="48">
        <v>2014</v>
      </c>
      <c r="AG63" s="48">
        <v>2015</v>
      </c>
      <c r="AH63" s="48">
        <v>2016</v>
      </c>
      <c r="AI63" s="48">
        <v>2017</v>
      </c>
      <c r="AJ63" s="48">
        <v>2018</v>
      </c>
      <c r="AK63" s="48">
        <v>2019</v>
      </c>
      <c r="AL63" s="48">
        <v>2020</v>
      </c>
      <c r="AM63" s="48">
        <v>2021</v>
      </c>
      <c r="AN63" s="48">
        <v>2022</v>
      </c>
      <c r="AO63" s="48">
        <v>2023</v>
      </c>
      <c r="AP63" s="48">
        <v>2024</v>
      </c>
      <c r="AQ63" s="229">
        <v>2025</v>
      </c>
      <c r="AR63" s="48">
        <v>2026</v>
      </c>
      <c r="AS63" s="229">
        <v>2027</v>
      </c>
      <c r="AT63" s="48">
        <v>2028</v>
      </c>
      <c r="AU63" s="229">
        <v>2029</v>
      </c>
      <c r="AV63" s="48">
        <v>2030</v>
      </c>
      <c r="AW63" s="38">
        <v>0</v>
      </c>
    </row>
    <row r="65" spans="3:49" ht="15" thickBot="1"/>
    <row r="66" spans="3:49" ht="18" thickBot="1">
      <c r="C66" s="188" t="s">
        <v>695</v>
      </c>
      <c r="D66" s="189">
        <v>42309</v>
      </c>
      <c r="E66" s="270" t="s">
        <v>3</v>
      </c>
      <c r="F66" s="190"/>
      <c r="G66" s="190"/>
      <c r="H66" s="190"/>
      <c r="I66" s="190"/>
      <c r="J66" s="190"/>
      <c r="K66" s="190"/>
      <c r="L66" s="191"/>
      <c r="M66" s="192" t="s">
        <v>889</v>
      </c>
      <c r="N66" s="193" t="s">
        <v>890</v>
      </c>
      <c r="O66" s="193" t="s">
        <v>891</v>
      </c>
      <c r="P66" s="193" t="s">
        <v>892</v>
      </c>
      <c r="Q66" s="193" t="s">
        <v>893</v>
      </c>
      <c r="R66" s="193" t="s">
        <v>891</v>
      </c>
      <c r="S66" s="193"/>
      <c r="T66" s="193"/>
      <c r="U66" s="193"/>
      <c r="V66" s="193"/>
      <c r="W66" s="193"/>
      <c r="X66" s="193"/>
      <c r="Y66" s="193"/>
      <c r="Z66" s="193"/>
      <c r="AA66" s="193"/>
      <c r="AB66" s="194" t="s">
        <v>894</v>
      </c>
      <c r="AC66" s="195" t="s">
        <v>895</v>
      </c>
      <c r="AD66" s="195" t="s">
        <v>890</v>
      </c>
      <c r="AE66" s="195" t="s">
        <v>896</v>
      </c>
      <c r="AF66" s="195" t="s">
        <v>897</v>
      </c>
      <c r="AG66" s="195" t="s">
        <v>890</v>
      </c>
      <c r="AH66" s="195" t="s">
        <v>898</v>
      </c>
      <c r="AI66" s="195"/>
      <c r="AJ66" s="195"/>
      <c r="AK66" s="195"/>
      <c r="AL66" s="195"/>
      <c r="AM66" s="195"/>
      <c r="AN66" s="195"/>
      <c r="AO66" s="195"/>
      <c r="AP66" s="195"/>
      <c r="AQ66" s="195"/>
      <c r="AR66" s="195"/>
      <c r="AS66" s="195"/>
      <c r="AT66" s="195"/>
      <c r="AU66" s="195"/>
      <c r="AV66" s="195"/>
      <c r="AW66" s="196"/>
    </row>
    <row r="67" spans="3:49" ht="16.2" thickBot="1">
      <c r="C67" s="105"/>
      <c r="D67" s="198" t="s">
        <v>899</v>
      </c>
      <c r="E67" s="199"/>
      <c r="F67" s="200"/>
      <c r="G67" s="201" t="s">
        <v>900</v>
      </c>
      <c r="H67" s="202"/>
      <c r="I67" s="202"/>
      <c r="J67" s="202"/>
      <c r="K67" s="202"/>
      <c r="L67" s="203"/>
      <c r="M67" s="42">
        <v>1995</v>
      </c>
      <c r="N67" s="48">
        <v>1996</v>
      </c>
      <c r="O67" s="48">
        <v>1997</v>
      </c>
      <c r="P67" s="48">
        <v>1998</v>
      </c>
      <c r="Q67" s="48">
        <v>1999</v>
      </c>
      <c r="R67" s="48">
        <v>2000</v>
      </c>
      <c r="S67" s="48">
        <v>2001</v>
      </c>
      <c r="T67" s="48">
        <v>2002</v>
      </c>
      <c r="U67" s="48">
        <v>2003</v>
      </c>
      <c r="V67" s="48">
        <v>2004</v>
      </c>
      <c r="W67" s="48">
        <v>2005</v>
      </c>
      <c r="X67" s="48">
        <v>2006</v>
      </c>
      <c r="Y67" s="48">
        <v>2007</v>
      </c>
      <c r="Z67" s="48">
        <v>2008</v>
      </c>
      <c r="AA67" s="48">
        <v>2009</v>
      </c>
      <c r="AB67" s="48">
        <v>2010</v>
      </c>
      <c r="AC67" s="48">
        <v>2011</v>
      </c>
      <c r="AD67" s="48">
        <v>2012</v>
      </c>
      <c r="AE67" s="48">
        <v>2013</v>
      </c>
      <c r="AF67" s="48">
        <v>2014</v>
      </c>
      <c r="AG67" s="48">
        <v>2015</v>
      </c>
      <c r="AH67" s="48">
        <v>2016</v>
      </c>
      <c r="AI67" s="48">
        <v>2017</v>
      </c>
      <c r="AJ67" s="48">
        <v>2018</v>
      </c>
      <c r="AK67" s="48">
        <v>2019</v>
      </c>
      <c r="AL67" s="48">
        <v>2020</v>
      </c>
      <c r="AM67" s="48">
        <v>2021</v>
      </c>
      <c r="AN67" s="48">
        <v>2022</v>
      </c>
      <c r="AO67" s="48">
        <v>2023</v>
      </c>
      <c r="AP67" s="48">
        <v>2024</v>
      </c>
      <c r="AQ67" s="48">
        <v>2025</v>
      </c>
      <c r="AR67" s="48">
        <v>2026</v>
      </c>
      <c r="AS67" s="48">
        <v>2027</v>
      </c>
      <c r="AT67" s="48">
        <v>2028</v>
      </c>
      <c r="AU67" s="48">
        <v>2029</v>
      </c>
      <c r="AV67" s="48">
        <v>2030</v>
      </c>
      <c r="AW67" s="16"/>
    </row>
    <row r="68" spans="3:49" ht="17.399999999999999">
      <c r="C68" s="105">
        <v>1</v>
      </c>
      <c r="D68" s="517">
        <v>42309</v>
      </c>
      <c r="E68" s="205" t="s">
        <v>458</v>
      </c>
      <c r="F68" s="51" t="s">
        <v>901</v>
      </c>
      <c r="G68" s="38" t="s">
        <v>861</v>
      </c>
      <c r="H68" s="38"/>
      <c r="I68" s="38"/>
      <c r="J68" s="38"/>
      <c r="K68" s="38"/>
      <c r="L68" s="38"/>
      <c r="M68" s="60">
        <v>148.30000000000001</v>
      </c>
      <c r="N68" s="206">
        <f>СЧЁТ!P6</f>
        <v>148.29163800000001</v>
      </c>
      <c r="O68" s="206">
        <f>СЧЁТ!Q6</f>
        <v>148.02861300000001</v>
      </c>
      <c r="P68" s="206">
        <f>СЧЁТ!R6</f>
        <v>147.802133</v>
      </c>
      <c r="Q68" s="206">
        <f>СЧЁТ!S6</f>
        <v>147.53942599999999</v>
      </c>
      <c r="R68" s="206">
        <f>СЧЁТ!T6</f>
        <v>146.890128</v>
      </c>
      <c r="S68" s="206">
        <f>СЧЁТ!U6</f>
        <v>146.30361099999999</v>
      </c>
      <c r="T68" s="206">
        <f>СЧЁТ!V6</f>
        <v>145.166731</v>
      </c>
      <c r="U68" s="206">
        <f>СЧЁТ!W6</f>
        <v>144.96365</v>
      </c>
      <c r="V68" s="206">
        <f>СЧЁТ!X6</f>
        <v>144.168205</v>
      </c>
      <c r="W68" s="206">
        <f>СЧЁТ!Y6</f>
        <v>143.47421900000001</v>
      </c>
      <c r="X68" s="206">
        <f>СЧЁТ!Z6</f>
        <v>142.75355099999999</v>
      </c>
      <c r="Y68" s="206">
        <f>СЧЁТ!AA6</f>
        <v>142.220968</v>
      </c>
      <c r="Z68" s="206">
        <f>СЧЁТ!AB6</f>
        <v>142.008838</v>
      </c>
      <c r="AA68" s="206">
        <f>СЧЁТ!AC6</f>
        <v>141.90397899999999</v>
      </c>
      <c r="AB68" s="206">
        <f>СЧЁТ!AD6</f>
        <v>142.85653600000001</v>
      </c>
      <c r="AC68" s="206">
        <f>СЧЁТ!AE6</f>
        <v>142.865433</v>
      </c>
      <c r="AD68" s="206">
        <f>СЧЁТ!AF6</f>
        <v>143.05638300000001</v>
      </c>
      <c r="AE68" s="206">
        <f>СЧЁТ!AG6</f>
        <v>143.347059</v>
      </c>
      <c r="AF68" s="206">
        <f>СЧЁТ!AH6</f>
        <v>143.66693100000001</v>
      </c>
      <c r="AG68" s="206">
        <f>СЧЁТ!AI6</f>
        <v>146.26728800000001</v>
      </c>
      <c r="AH68" s="206">
        <f>СЧЁТ!AJ6</f>
        <v>146.54471000000001</v>
      </c>
      <c r="AI68" s="206">
        <f>СЧЁТ!AK6</f>
        <v>146.804372</v>
      </c>
      <c r="AJ68" s="206">
        <f>СЧЁТ!AL6</f>
        <v>146.88043200000001</v>
      </c>
      <c r="AK68" s="206">
        <f>СЧЁТ!AM6</f>
        <v>146.74509800000001</v>
      </c>
      <c r="AL68" s="206">
        <f>СЧЁТ!AN6</f>
        <v>146.69999999999999</v>
      </c>
      <c r="AM68" s="206">
        <f>СЧЁТ!AO6</f>
        <v>146.63999999999999</v>
      </c>
      <c r="AN68" s="206">
        <f>СЧЁТ!AP6</f>
        <v>146.55999999999997</v>
      </c>
      <c r="AO68" s="206">
        <f>СЧЁТ!AQ6</f>
        <v>146.43999999999997</v>
      </c>
      <c r="AP68" s="206">
        <f>СЧЁТ!AR6</f>
        <v>146.31999999999996</v>
      </c>
      <c r="AQ68" s="206">
        <f>СЧЁТ!AS6</f>
        <v>146.15999999999997</v>
      </c>
      <c r="AR68" s="206">
        <f>СЧЁТ!AT6</f>
        <v>145.99999999999997</v>
      </c>
      <c r="AS68" s="206">
        <f>СЧЁТ!AU6</f>
        <v>145.83999999999997</v>
      </c>
      <c r="AT68" s="206">
        <f>СЧЁТ!AV6</f>
        <v>145.67999999999998</v>
      </c>
      <c r="AU68" s="206">
        <f>СЧЁТ!AW6</f>
        <v>145.49999999999997</v>
      </c>
      <c r="AV68" s="206">
        <f>СЧЁТ!AX6</f>
        <v>145.31999999999996</v>
      </c>
      <c r="AW68" s="44" t="s">
        <v>458</v>
      </c>
    </row>
    <row r="69" spans="3:49" ht="17.399999999999999">
      <c r="C69" s="105">
        <v>2</v>
      </c>
      <c r="D69" s="517">
        <v>42309</v>
      </c>
      <c r="E69" s="205" t="s">
        <v>902</v>
      </c>
      <c r="F69" s="51" t="s">
        <v>809</v>
      </c>
      <c r="G69" s="38" t="s">
        <v>903</v>
      </c>
      <c r="H69" s="38"/>
      <c r="I69" s="38"/>
      <c r="J69" s="38"/>
      <c r="K69" s="38"/>
      <c r="L69" s="38"/>
      <c r="M69" s="216">
        <v>0.47700606877950091</v>
      </c>
      <c r="N69" s="212">
        <f>СЧЁТ!P7</f>
        <v>0.46972353337828721</v>
      </c>
      <c r="O69" s="212">
        <f>СЧЁТ!Q7</f>
        <v>0.4599932432432432</v>
      </c>
      <c r="P69" s="212">
        <f>СЧЁТ!R7</f>
        <v>0.45560893098782135</v>
      </c>
      <c r="Q69" s="212">
        <f>СЧЁТ!S7</f>
        <v>0.48932203389830509</v>
      </c>
      <c r="R69" s="212">
        <f>СЧЁТ!T7</f>
        <v>0.49740259740259735</v>
      </c>
      <c r="S69" s="212">
        <f>СЧЁТ!U7</f>
        <v>0.48901602143482065</v>
      </c>
      <c r="T69" s="212">
        <f>СЧЁТ!V7</f>
        <v>0.49842942756767933</v>
      </c>
      <c r="U69" s="212">
        <f>СЧЁТ!W7</f>
        <v>0.50119972260748957</v>
      </c>
      <c r="V69" s="212">
        <f>СЧЁТ!X7</f>
        <v>0.50860627177700346</v>
      </c>
      <c r="W69" s="212">
        <f>СЧЁТ!Y7</f>
        <v>0.51527310924369751</v>
      </c>
      <c r="X69" s="212">
        <f>СЧЁТ!Z7</f>
        <v>0.52334036568213782</v>
      </c>
      <c r="Y69" s="212">
        <f>СЧЁТ!AA7</f>
        <v>0.53020422535211265</v>
      </c>
      <c r="Z69" s="212">
        <f>СЧЁТ!AB7</f>
        <v>0.53347427766032418</v>
      </c>
      <c r="AA69" s="212">
        <f>СЧЁТ!AC7</f>
        <v>0.53343199436222688</v>
      </c>
      <c r="AB69" s="212">
        <f>СЧЁТ!AD7</f>
        <v>0.52834824442334227</v>
      </c>
      <c r="AC69" s="212">
        <f>СЧЁТ!AE7</f>
        <v>0.53042221906820519</v>
      </c>
      <c r="AD69" s="212">
        <f>СЧЁТ!AF7</f>
        <v>0.52829519672673386</v>
      </c>
      <c r="AE69" s="212">
        <f>СЧЁТ!AG7</f>
        <v>0.52689605581653398</v>
      </c>
      <c r="AF69" s="212">
        <f>СЧЁТ!AH7</f>
        <v>0.52501991568261452</v>
      </c>
      <c r="AG69" s="212">
        <f>СЧЁТ!AI7</f>
        <v>0.52361673650502083</v>
      </c>
      <c r="AH69" s="212">
        <f>СЧЁТ!AJ7</f>
        <v>0.52295302914721375</v>
      </c>
      <c r="AI69" s="212">
        <f>СЧЁТ!AK7</f>
        <v>0.51843823833802438</v>
      </c>
      <c r="AJ69" s="212">
        <f>СЧЁТ!AL7</f>
        <v>0.51947014970653127</v>
      </c>
      <c r="AK69" s="212">
        <f>СЧЁТ!AM7</f>
        <v>0.51722341007942907</v>
      </c>
      <c r="AL69" s="212">
        <f>СЧЁТ!AN7</f>
        <v>0.51672341007942912</v>
      </c>
      <c r="AM69" s="212">
        <f>СЧЁТ!AO7</f>
        <v>0.51622341007942918</v>
      </c>
      <c r="AN69" s="212">
        <f>СЧЁТ!AP7</f>
        <v>0.51572341007942923</v>
      </c>
      <c r="AO69" s="212">
        <f>СЧЁТ!AQ7</f>
        <v>0.51522341007942929</v>
      </c>
      <c r="AP69" s="212">
        <f>СЧЁТ!AR7</f>
        <v>0.51472341007942934</v>
      </c>
      <c r="AQ69" s="212">
        <f>СЧЁТ!AS7</f>
        <v>0.5142234100794294</v>
      </c>
      <c r="AR69" s="212">
        <f>СЧЁТ!AT7</f>
        <v>0.51372341007942945</v>
      </c>
      <c r="AS69" s="212">
        <f>СЧЁТ!AU7</f>
        <v>0.51322341007942951</v>
      </c>
      <c r="AT69" s="212">
        <f>СЧЁТ!AV7</f>
        <v>0.51272341007942956</v>
      </c>
      <c r="AU69" s="212">
        <f>СЧЁТ!AW7</f>
        <v>0.51222341007942962</v>
      </c>
      <c r="AV69" s="212">
        <f>СЧЁТ!AX7</f>
        <v>0.51172341007942967</v>
      </c>
      <c r="AW69" s="44" t="s">
        <v>902</v>
      </c>
    </row>
    <row r="70" spans="3:49" ht="17.399999999999999">
      <c r="C70" s="105">
        <v>3</v>
      </c>
      <c r="D70" s="517">
        <v>42309</v>
      </c>
      <c r="E70" s="205" t="s">
        <v>1075</v>
      </c>
      <c r="F70" s="51" t="s">
        <v>809</v>
      </c>
      <c r="G70" s="38" t="s">
        <v>1192</v>
      </c>
      <c r="H70" s="38"/>
      <c r="I70" s="38"/>
      <c r="J70" s="38"/>
      <c r="K70" s="38"/>
      <c r="L70" s="38"/>
      <c r="M70" s="216">
        <v>0.18688841024307026</v>
      </c>
      <c r="N70" s="212">
        <f>СЧЁТ!P8</f>
        <v>69.66</v>
      </c>
      <c r="O70" s="212">
        <f>СЧЁТ!Q8</f>
        <v>68.078999999999994</v>
      </c>
      <c r="P70" s="212">
        <f>СЧЁТ!R8</f>
        <v>67.338999999999999</v>
      </c>
      <c r="Q70" s="212">
        <f>СЧЁТ!S8</f>
        <v>72.174999999999997</v>
      </c>
      <c r="R70" s="212">
        <f>СЧЁТ!T8</f>
        <v>72.77</v>
      </c>
      <c r="S70" s="212">
        <f>СЧЁТ!U8</f>
        <v>71.545000000000002</v>
      </c>
      <c r="T70" s="212">
        <f>СЧЁТ!V8</f>
        <v>72.356999999999999</v>
      </c>
      <c r="U70" s="212">
        <f>СЧЁТ!W8</f>
        <v>72.272999999999996</v>
      </c>
      <c r="V70" s="212">
        <f>СЧЁТ!X8</f>
        <v>72.984999999999999</v>
      </c>
      <c r="W70" s="212">
        <f>СЧЁТ!Y8</f>
        <v>73.581000000000003</v>
      </c>
      <c r="X70" s="212">
        <f>СЧЁТ!Z8</f>
        <v>74.418999999999997</v>
      </c>
      <c r="Y70" s="212">
        <f>СЧЁТ!AA8</f>
        <v>75.289000000000001</v>
      </c>
      <c r="Z70" s="212">
        <f>СЧЁТ!AB8</f>
        <v>75.7</v>
      </c>
      <c r="AA70" s="212">
        <f>СЧЁТ!AC8</f>
        <v>75.694000000000003</v>
      </c>
      <c r="AB70" s="212">
        <f>СЧЁТ!AD8</f>
        <v>75.477999999999994</v>
      </c>
      <c r="AC70" s="212">
        <f>СЧЁТ!AE8</f>
        <v>75.778999999999996</v>
      </c>
      <c r="AD70" s="212">
        <f>СЧЁТ!AF8</f>
        <v>75.575999999999993</v>
      </c>
      <c r="AE70" s="212">
        <f>СЧЁТ!AG8</f>
        <v>75.528999999999996</v>
      </c>
      <c r="AF70" s="212">
        <f>СЧЁТ!AH8</f>
        <v>75.427999999999997</v>
      </c>
      <c r="AG70" s="212">
        <f>СЧЁТ!AI8</f>
        <v>76.587999999999994</v>
      </c>
      <c r="AH70" s="212">
        <f>СЧЁТ!AJ8</f>
        <v>76.635999999999996</v>
      </c>
      <c r="AI70" s="212">
        <f>СЧЁТ!AK8</f>
        <v>76.108999999999995</v>
      </c>
      <c r="AJ70" s="212">
        <f>СЧЁТ!AL8</f>
        <v>76.3</v>
      </c>
      <c r="AK70" s="212">
        <f>СЧЁТ!AM8</f>
        <v>75.900000000000006</v>
      </c>
      <c r="AL70" s="212">
        <f>СЧЁТ!AN8</f>
        <v>77.751000000000005</v>
      </c>
      <c r="AM70" s="212">
        <f>СЧЁТ!AO8</f>
        <v>77.719200000000001</v>
      </c>
      <c r="AN70" s="212">
        <f>СЧЁТ!AP8</f>
        <v>77.676799999999986</v>
      </c>
      <c r="AO70" s="212">
        <f>СЧЁТ!AQ8</f>
        <v>77.613199999999992</v>
      </c>
      <c r="AP70" s="212">
        <f>СЧЁТ!AR8</f>
        <v>77.549599999999984</v>
      </c>
      <c r="AQ70" s="212">
        <f>СЧЁТ!AS8</f>
        <v>77.464799999999983</v>
      </c>
      <c r="AR70" s="212">
        <f>СЧЁТ!AT8</f>
        <v>77.38</v>
      </c>
      <c r="AS70" s="212">
        <f>СЧЁТ!AU8</f>
        <v>77.295199999999994</v>
      </c>
      <c r="AT70" s="212">
        <f>СЧЁТ!AV8</f>
        <v>77.210399999999993</v>
      </c>
      <c r="AU70" s="212">
        <f>СЧЁТ!AW8</f>
        <v>77.114999999999995</v>
      </c>
      <c r="AV70" s="212">
        <f>СЧЁТ!AX8</f>
        <v>77.019599999999983</v>
      </c>
      <c r="AW70" s="44" t="s">
        <v>1075</v>
      </c>
    </row>
    <row r="71" spans="3:49" ht="17.399999999999999">
      <c r="C71" s="105">
        <v>4</v>
      </c>
      <c r="D71" s="517">
        <v>40635</v>
      </c>
      <c r="E71" s="205" t="s">
        <v>499</v>
      </c>
      <c r="F71" s="51" t="s">
        <v>901</v>
      </c>
      <c r="G71" s="38" t="s">
        <v>905</v>
      </c>
      <c r="H71" s="38"/>
      <c r="I71" s="38"/>
      <c r="J71" s="38"/>
      <c r="K71" s="38"/>
      <c r="L71" s="38"/>
      <c r="M71" s="61"/>
      <c r="N71" s="212">
        <f>СЧЁТ!P9</f>
        <v>11.9298</v>
      </c>
      <c r="O71" s="206">
        <f>СЧЁТ!Q9</f>
        <v>0</v>
      </c>
      <c r="P71" s="206">
        <f>СЧЁТ!R9</f>
        <v>56.941099999999999</v>
      </c>
      <c r="Q71" s="206">
        <f>СЧЁТ!S9</f>
        <v>0</v>
      </c>
      <c r="R71" s="206">
        <f>СЧЁТ!T9</f>
        <v>0</v>
      </c>
      <c r="S71" s="206">
        <f>СЧЁТ!U9</f>
        <v>-40.022599999999997</v>
      </c>
      <c r="T71" s="206">
        <f>СЧЁТ!V9</f>
        <v>-1.7070000000000001</v>
      </c>
      <c r="U71" s="206">
        <f>СЧЁТ!W9</f>
        <v>-107.4624</v>
      </c>
      <c r="V71" s="206">
        <f>СЧЁТ!X9</f>
        <v>-96.143500000000003</v>
      </c>
      <c r="W71" s="206">
        <f>СЧЁТ!Y9</f>
        <v>-126.09529999999999</v>
      </c>
      <c r="X71" s="206">
        <f>СЧЁТ!Z9</f>
        <v>-17.179400000000001</v>
      </c>
      <c r="Y71" s="206">
        <f>СЧЁТ!AA9</f>
        <v>378.2842</v>
      </c>
      <c r="Z71" s="206">
        <f>СЧЁТ!AB9</f>
        <v>-605.34550000000002</v>
      </c>
      <c r="AA71" s="206">
        <f>СЧЁТ!AC9</f>
        <v>-694.86199999999997</v>
      </c>
      <c r="AB71" s="206">
        <f>СЧЁТ!AD9</f>
        <v>-418.459</v>
      </c>
      <c r="AC71" s="206">
        <f>СЧЁТ!AE9</f>
        <v>0</v>
      </c>
      <c r="AD71" s="206">
        <f>СЧЁТ!AF9</f>
        <v>0</v>
      </c>
      <c r="AE71" s="206">
        <f>СЧЁТ!AG9</f>
        <v>0</v>
      </c>
      <c r="AF71" s="206">
        <f>СЧЁТ!AH9</f>
        <v>-317.8</v>
      </c>
      <c r="AG71" s="206">
        <f>СЧЁТ!AI9</f>
        <v>-450.2</v>
      </c>
      <c r="AH71" s="206">
        <f>СЧЁТ!AJ9</f>
        <v>-67.02</v>
      </c>
      <c r="AI71" s="206">
        <f>СЧЁТ!AK9</f>
        <v>0</v>
      </c>
      <c r="AJ71" s="206">
        <f>СЧЁТ!AL9</f>
        <v>0</v>
      </c>
      <c r="AK71" s="206">
        <f>СЧЁТ!AM9</f>
        <v>0</v>
      </c>
      <c r="AL71" s="206">
        <f>СЧЁТ!AN9</f>
        <v>0</v>
      </c>
      <c r="AM71" s="206">
        <f>СЧЁТ!AO9</f>
        <v>0</v>
      </c>
      <c r="AN71" s="206">
        <f>СЧЁТ!AP9</f>
        <v>0</v>
      </c>
      <c r="AO71" s="206">
        <f>СЧЁТ!AQ9</f>
        <v>0</v>
      </c>
      <c r="AP71" s="206">
        <f>СЧЁТ!AR9</f>
        <v>0</v>
      </c>
      <c r="AQ71" s="206">
        <f>СЧЁТ!AS9</f>
        <v>0</v>
      </c>
      <c r="AR71" s="206">
        <f>СЧЁТ!AT9</f>
        <v>0</v>
      </c>
      <c r="AS71" s="206">
        <f>СЧЁТ!AU9</f>
        <v>0</v>
      </c>
      <c r="AT71" s="206">
        <f>СЧЁТ!AV9</f>
        <v>0</v>
      </c>
      <c r="AU71" s="206">
        <f>СЧЁТ!AW9</f>
        <v>0</v>
      </c>
      <c r="AV71" s="206">
        <f>СЧЁТ!AX9</f>
        <v>0</v>
      </c>
      <c r="AW71" s="44" t="s">
        <v>499</v>
      </c>
    </row>
    <row r="72" spans="3:49" ht="17.399999999999999">
      <c r="C72" s="105">
        <v>5</v>
      </c>
      <c r="D72" s="517">
        <v>40873</v>
      </c>
      <c r="E72" s="205" t="s">
        <v>906</v>
      </c>
      <c r="F72" s="51" t="s">
        <v>396</v>
      </c>
      <c r="G72" s="38" t="s">
        <v>907</v>
      </c>
      <c r="H72" s="38"/>
      <c r="I72" s="38"/>
      <c r="J72" s="38"/>
      <c r="K72" s="38"/>
      <c r="L72" s="38"/>
      <c r="M72" s="213">
        <v>5182.04</v>
      </c>
      <c r="N72" s="209" t="e">
        <f>СЧЁТ!#REF!</f>
        <v>#REF!</v>
      </c>
      <c r="O72" s="209" t="e">
        <f>СЧЁТ!#REF!</f>
        <v>#REF!</v>
      </c>
      <c r="P72" s="209" t="e">
        <f>СЧЁТ!#REF!</f>
        <v>#REF!</v>
      </c>
      <c r="Q72" s="209" t="e">
        <f>СЧЁТ!#REF!</f>
        <v>#REF!</v>
      </c>
      <c r="R72" s="209" t="e">
        <f>СЧЁТ!#REF!</f>
        <v>#REF!</v>
      </c>
      <c r="S72" s="209" t="e">
        <f>СЧЁТ!#REF!</f>
        <v>#REF!</v>
      </c>
      <c r="T72" s="209" t="e">
        <f>СЧЁТ!#REF!</f>
        <v>#REF!</v>
      </c>
      <c r="U72" s="209" t="e">
        <f>СЧЁТ!#REF!</f>
        <v>#REF!</v>
      </c>
      <c r="V72" s="209" t="e">
        <f>СЧЁТ!#REF!</f>
        <v>#REF!</v>
      </c>
      <c r="W72" s="209" t="e">
        <f>СЧЁТ!#REF!</f>
        <v>#REF!</v>
      </c>
      <c r="X72" s="209" t="e">
        <f>СЧЁТ!#REF!</f>
        <v>#REF!</v>
      </c>
      <c r="Y72" s="209" t="e">
        <f>СЧЁТ!#REF!</f>
        <v>#REF!</v>
      </c>
      <c r="Z72" s="209" t="e">
        <f>СЧЁТ!#REF!</f>
        <v>#REF!</v>
      </c>
      <c r="AA72" s="209" t="e">
        <f>СЧЁТ!#REF!</f>
        <v>#REF!</v>
      </c>
      <c r="AB72" s="209" t="e">
        <f>СЧЁТ!#REF!</f>
        <v>#REF!</v>
      </c>
      <c r="AC72" s="209" t="e">
        <f>СЧЁТ!#REF!</f>
        <v>#REF!</v>
      </c>
      <c r="AD72" s="209" t="e">
        <f>СЧЁТ!#REF!</f>
        <v>#REF!</v>
      </c>
      <c r="AE72" s="209" t="e">
        <f>СЧЁТ!#REF!</f>
        <v>#REF!</v>
      </c>
      <c r="AF72" s="209" t="e">
        <f>СЧЁТ!#REF!</f>
        <v>#REF!</v>
      </c>
      <c r="AG72" s="209" t="e">
        <f>СЧЁТ!#REF!</f>
        <v>#REF!</v>
      </c>
      <c r="AH72" s="209" t="e">
        <f>СЧЁТ!#REF!</f>
        <v>#REF!</v>
      </c>
      <c r="AI72" s="209" t="e">
        <f>СЧЁТ!#REF!</f>
        <v>#REF!</v>
      </c>
      <c r="AJ72" s="209" t="e">
        <f>СЧЁТ!#REF!</f>
        <v>#REF!</v>
      </c>
      <c r="AK72" s="209" t="e">
        <f>СЧЁТ!#REF!</f>
        <v>#REF!</v>
      </c>
      <c r="AL72" s="209" t="e">
        <f>СЧЁТ!#REF!</f>
        <v>#REF!</v>
      </c>
      <c r="AM72" s="209" t="e">
        <f>СЧЁТ!#REF!</f>
        <v>#REF!</v>
      </c>
      <c r="AN72" s="209" t="e">
        <f>СЧЁТ!#REF!</f>
        <v>#REF!</v>
      </c>
      <c r="AO72" s="209" t="e">
        <f>СЧЁТ!#REF!</f>
        <v>#REF!</v>
      </c>
      <c r="AP72" s="209" t="e">
        <f>СЧЁТ!#REF!</f>
        <v>#REF!</v>
      </c>
      <c r="AQ72" s="209" t="e">
        <f>СЧЁТ!#REF!</f>
        <v>#REF!</v>
      </c>
      <c r="AR72" s="209" t="e">
        <f>СЧЁТ!#REF!</f>
        <v>#REF!</v>
      </c>
      <c r="AS72" s="209" t="e">
        <f>СЧЁТ!#REF!</f>
        <v>#REF!</v>
      </c>
      <c r="AT72" s="209" t="e">
        <f>СЧЁТ!#REF!</f>
        <v>#REF!</v>
      </c>
      <c r="AU72" s="209" t="e">
        <f>СЧЁТ!#REF!</f>
        <v>#REF!</v>
      </c>
      <c r="AV72" s="209" t="e">
        <f>СЧЁТ!#REF!</f>
        <v>#REF!</v>
      </c>
      <c r="AW72" s="44" t="s">
        <v>906</v>
      </c>
    </row>
    <row r="73" spans="3:49" ht="17.399999999999999">
      <c r="C73" s="105">
        <v>6</v>
      </c>
      <c r="D73" s="518">
        <v>42309</v>
      </c>
      <c r="E73" s="205" t="s">
        <v>768</v>
      </c>
      <c r="F73" s="51" t="s">
        <v>809</v>
      </c>
      <c r="G73" s="38" t="s">
        <v>908</v>
      </c>
      <c r="H73" s="38"/>
      <c r="I73" s="38"/>
      <c r="J73" s="38"/>
      <c r="K73" s="38"/>
      <c r="L73" s="38"/>
      <c r="M73" s="216">
        <v>0.50338504971343634</v>
      </c>
      <c r="N73" s="209" t="e">
        <f>СЧЁТ!#REF!</f>
        <v>#REF!</v>
      </c>
      <c r="O73" s="209" t="e">
        <f>СЧЁТ!#REF!</f>
        <v>#REF!</v>
      </c>
      <c r="P73" s="209" t="e">
        <f>СЧЁТ!#REF!</f>
        <v>#REF!</v>
      </c>
      <c r="Q73" s="209" t="e">
        <f>СЧЁТ!#REF!</f>
        <v>#REF!</v>
      </c>
      <c r="R73" s="209" t="e">
        <f>СЧЁТ!#REF!</f>
        <v>#REF!</v>
      </c>
      <c r="S73" s="209" t="e">
        <f>СЧЁТ!#REF!</f>
        <v>#REF!</v>
      </c>
      <c r="T73" s="209" t="e">
        <f>СЧЁТ!#REF!</f>
        <v>#REF!</v>
      </c>
      <c r="U73" s="209" t="e">
        <f>СЧЁТ!#REF!</f>
        <v>#REF!</v>
      </c>
      <c r="V73" s="209" t="e">
        <f>СЧЁТ!#REF!</f>
        <v>#REF!</v>
      </c>
      <c r="W73" s="209" t="e">
        <f>СЧЁТ!#REF!</f>
        <v>#REF!</v>
      </c>
      <c r="X73" s="209" t="e">
        <f>СЧЁТ!#REF!</f>
        <v>#REF!</v>
      </c>
      <c r="Y73" s="209" t="e">
        <f>СЧЁТ!#REF!</f>
        <v>#REF!</v>
      </c>
      <c r="Z73" s="209" t="e">
        <f>СЧЁТ!#REF!</f>
        <v>#REF!</v>
      </c>
      <c r="AA73" s="209" t="e">
        <f>СЧЁТ!#REF!</f>
        <v>#REF!</v>
      </c>
      <c r="AB73" s="209" t="e">
        <f>СЧЁТ!#REF!</f>
        <v>#REF!</v>
      </c>
      <c r="AC73" s="209" t="e">
        <f>СЧЁТ!#REF!</f>
        <v>#REF!</v>
      </c>
      <c r="AD73" s="209" t="e">
        <f>СЧЁТ!#REF!</f>
        <v>#REF!</v>
      </c>
      <c r="AE73" s="209" t="e">
        <f>СЧЁТ!#REF!</f>
        <v>#REF!</v>
      </c>
      <c r="AF73" s="209" t="e">
        <f>СЧЁТ!#REF!</f>
        <v>#REF!</v>
      </c>
      <c r="AG73" s="209" t="e">
        <f>СЧЁТ!#REF!</f>
        <v>#REF!</v>
      </c>
      <c r="AH73" s="209" t="e">
        <f>СЧЁТ!#REF!</f>
        <v>#REF!</v>
      </c>
      <c r="AI73" s="209" t="e">
        <f>СЧЁТ!#REF!</f>
        <v>#REF!</v>
      </c>
      <c r="AJ73" s="209" t="e">
        <f>СЧЁТ!#REF!</f>
        <v>#REF!</v>
      </c>
      <c r="AK73" s="209" t="e">
        <f>СЧЁТ!#REF!</f>
        <v>#REF!</v>
      </c>
      <c r="AL73" s="209" t="e">
        <f>СЧЁТ!#REF!</f>
        <v>#REF!</v>
      </c>
      <c r="AM73" s="209" t="e">
        <f>СЧЁТ!#REF!</f>
        <v>#REF!</v>
      </c>
      <c r="AN73" s="209" t="e">
        <f>СЧЁТ!#REF!</f>
        <v>#REF!</v>
      </c>
      <c r="AO73" s="209" t="e">
        <f>СЧЁТ!#REF!</f>
        <v>#REF!</v>
      </c>
      <c r="AP73" s="209" t="e">
        <f>СЧЁТ!#REF!</f>
        <v>#REF!</v>
      </c>
      <c r="AQ73" s="209" t="e">
        <f>СЧЁТ!#REF!</f>
        <v>#REF!</v>
      </c>
      <c r="AR73" s="209" t="e">
        <f>СЧЁТ!#REF!</f>
        <v>#REF!</v>
      </c>
      <c r="AS73" s="209" t="e">
        <f>СЧЁТ!#REF!</f>
        <v>#REF!</v>
      </c>
      <c r="AT73" s="209" t="e">
        <f>СЧЁТ!#REF!</f>
        <v>#REF!</v>
      </c>
      <c r="AU73" s="209" t="e">
        <f>СЧЁТ!#REF!</f>
        <v>#REF!</v>
      </c>
      <c r="AV73" s="209" t="e">
        <f>СЧЁТ!#REF!</f>
        <v>#REF!</v>
      </c>
      <c r="AW73" s="44" t="s">
        <v>768</v>
      </c>
    </row>
    <row r="74" spans="3:49" ht="17.399999999999999">
      <c r="C74" s="105">
        <v>7</v>
      </c>
      <c r="D74" s="518">
        <v>42309</v>
      </c>
      <c r="E74" s="205" t="s">
        <v>453</v>
      </c>
      <c r="F74" s="51" t="s">
        <v>809</v>
      </c>
      <c r="G74" s="38" t="s">
        <v>909</v>
      </c>
      <c r="H74" s="38"/>
      <c r="I74" s="38"/>
      <c r="J74" s="38"/>
      <c r="K74" s="38"/>
      <c r="L74" s="38"/>
      <c r="M74" s="216">
        <v>0.50338504971343634</v>
      </c>
      <c r="N74" s="209">
        <f>СЧЁТ!P10</f>
        <v>0.50747241555941625</v>
      </c>
      <c r="O74" s="209">
        <f>СЧЁТ!Q10</f>
        <v>0.50747241555941636</v>
      </c>
      <c r="P74" s="209">
        <f>СЧЁТ!R10</f>
        <v>0.50851040836118788</v>
      </c>
      <c r="Q74" s="209">
        <f>СЧЁТ!S10</f>
        <v>0.50572313279423808</v>
      </c>
      <c r="R74" s="209">
        <f>СЧЁТ!T10</f>
        <v>0.50301229074374942</v>
      </c>
      <c r="S74" s="209">
        <f>СЧЁТ!U10</f>
        <v>0.50206474506356591</v>
      </c>
      <c r="T74" s="209">
        <f>СЧЁТ!V10</f>
        <v>0.50063389662984059</v>
      </c>
      <c r="U74" s="209">
        <f>СЧЁТ!W10</f>
        <v>0.50202618130466459</v>
      </c>
      <c r="V74" s="209">
        <f>СЧЁТ!X10</f>
        <v>0.5057148762579633</v>
      </c>
      <c r="W74" s="209">
        <f>СЧЁТ!Y10</f>
        <v>0.502441464842453</v>
      </c>
      <c r="X74" s="209">
        <f>СЧЁТ!Z10</f>
        <v>0.50563972907211574</v>
      </c>
      <c r="Y74" s="209">
        <f>СЧЁТ!AA10</f>
        <v>0.50700285481915963</v>
      </c>
      <c r="Z74" s="209">
        <f>СЧЁТ!AB10</f>
        <v>0.50606381263786271</v>
      </c>
      <c r="AA74" s="209">
        <f>СЧЁТ!AC10</f>
        <v>0.50873085468625434</v>
      </c>
      <c r="AB74" s="209">
        <f>СЧЁТ!AD10</f>
        <v>0.51107023156870091</v>
      </c>
      <c r="AC74" s="209">
        <f>СЧЁТ!AE10</f>
        <v>0.51107023156870091</v>
      </c>
      <c r="AD74" s="209">
        <f>СЧЁТ!AF10</f>
        <v>0.51221890324681785</v>
      </c>
      <c r="AE74" s="209">
        <f>СЧЁТ!AG10</f>
        <v>0.51372211702384318</v>
      </c>
      <c r="AF74" s="209">
        <f>СЧЁТ!AH10</f>
        <v>0.51401831827360078</v>
      </c>
      <c r="AG74" s="209">
        <f>СЧЁТ!AI10</f>
        <v>0.51894214483617829</v>
      </c>
      <c r="AH74" s="209">
        <f>СЧЁТ!AJ10</f>
        <v>0.52322032734257595</v>
      </c>
      <c r="AI74" s="209">
        <f>СЧЁТ!AK10</f>
        <v>0.52740668544395819</v>
      </c>
      <c r="AJ74" s="209">
        <f>СЧЁТ!AL10</f>
        <v>0.52832881874065285</v>
      </c>
      <c r="AK74" s="209">
        <f>СЧЁТ!AM10</f>
        <v>0.52932881874065285</v>
      </c>
      <c r="AL74" s="209">
        <f>СЧЁТ!AN10</f>
        <v>0.53032881874065285</v>
      </c>
      <c r="AM74" s="209">
        <f>СЧЁТ!AO10</f>
        <v>0.53132881874065285</v>
      </c>
      <c r="AN74" s="209">
        <f>СЧЁТ!AP10</f>
        <v>0.53232881874065285</v>
      </c>
      <c r="AO74" s="209">
        <f>СЧЁТ!AQ10</f>
        <v>0.53332881874065285</v>
      </c>
      <c r="AP74" s="209">
        <f>СЧЁТ!AR10</f>
        <v>0.53432881874065286</v>
      </c>
      <c r="AQ74" s="209">
        <f>СЧЁТ!AS10</f>
        <v>0.53532881874065286</v>
      </c>
      <c r="AR74" s="209">
        <f>СЧЁТ!AT10</f>
        <v>0.53632881874065286</v>
      </c>
      <c r="AS74" s="209">
        <f>СЧЁТ!AU10</f>
        <v>0.53732881874065286</v>
      </c>
      <c r="AT74" s="209">
        <f>СЧЁТ!AV10</f>
        <v>0.53832881874065286</v>
      </c>
      <c r="AU74" s="209">
        <f>СЧЁТ!AW10</f>
        <v>0.53932881874065286</v>
      </c>
      <c r="AV74" s="209">
        <f>СЧЁТ!AX10</f>
        <v>0.54032881874065286</v>
      </c>
      <c r="AW74" s="44" t="s">
        <v>453</v>
      </c>
    </row>
    <row r="75" spans="3:49" ht="17.399999999999999">
      <c r="C75" s="105">
        <v>8</v>
      </c>
      <c r="D75" s="518">
        <v>42309</v>
      </c>
      <c r="E75" s="205" t="s">
        <v>455</v>
      </c>
      <c r="F75" s="51" t="s">
        <v>809</v>
      </c>
      <c r="G75" s="38" t="s">
        <v>1</v>
      </c>
      <c r="H75" s="38"/>
      <c r="I75" s="38"/>
      <c r="J75" s="38"/>
      <c r="K75" s="38"/>
      <c r="L75" s="38"/>
      <c r="M75" s="216">
        <v>1.0000000000000002</v>
      </c>
      <c r="N75" s="209">
        <f>СЧЁТ!P13</f>
        <v>0.13929134853086492</v>
      </c>
      <c r="O75" s="209">
        <f>СЧЁТ!Q13</f>
        <v>0.1379176665926907</v>
      </c>
      <c r="P75" s="209">
        <f>СЧЁТ!R13</f>
        <v>0.12004214183937038</v>
      </c>
      <c r="Q75" s="209">
        <f>СЧЁТ!S13</f>
        <v>9.4172946811604347E-2</v>
      </c>
      <c r="R75" s="209">
        <f>СЧЁТ!T13</f>
        <v>0.11397164678113725</v>
      </c>
      <c r="S75" s="209">
        <f>СЧЁТ!U13</f>
        <v>0.12896505693918964</v>
      </c>
      <c r="T75" s="209">
        <f>СЧЁТ!V13</f>
        <v>0.14156509123784608</v>
      </c>
      <c r="U75" s="209">
        <f>СЧЁТ!W13</f>
        <v>0.15432700002044</v>
      </c>
      <c r="V75" s="209">
        <f>СЧЁТ!X13</f>
        <v>0.17618999169000235</v>
      </c>
      <c r="W75" s="209">
        <f>СЧЁТ!Y13</f>
        <v>0.19435906368074052</v>
      </c>
      <c r="X75" s="209">
        <f>СЧЁТ!Z13</f>
        <v>0.2164899396186761</v>
      </c>
      <c r="Y75" s="209">
        <f>СЧЁТ!AA13</f>
        <v>0.25111241157975112</v>
      </c>
      <c r="Z75" s="209">
        <f>СЧЁТ!AB13</f>
        <v>0.27454956999386115</v>
      </c>
      <c r="AA75" s="209">
        <f>СЧЁТ!AC13</f>
        <v>0.20635691222000796</v>
      </c>
      <c r="AB75" s="209">
        <f>СЧЁТ!AD13</f>
        <v>0.24723523387882859</v>
      </c>
      <c r="AC75" s="209">
        <f>СЧЁТ!AE13</f>
        <v>0.28516201951699982</v>
      </c>
      <c r="AD75" s="209">
        <f>СЧЁТ!AF13</f>
        <v>0.30108059231005663</v>
      </c>
      <c r="AE75" s="209">
        <f>СЧЁТ!AG13</f>
        <v>0.30520902354643348</v>
      </c>
      <c r="AF75" s="209">
        <f>СЧЁТ!AH13</f>
        <v>0.2806832984400236</v>
      </c>
      <c r="AG75" s="209">
        <f>СЧЁТ!AI13</f>
        <v>0.21300080094384774</v>
      </c>
      <c r="AH75" s="209">
        <f>СЧЁТ!AJ13</f>
        <v>0.20289799615599724</v>
      </c>
      <c r="AI75" s="209">
        <f>СЧЁТ!AK13</f>
        <v>0.23239243657282024</v>
      </c>
      <c r="AJ75" s="209">
        <f>СЧЁТ!AL13</f>
        <v>0.23284588522954772</v>
      </c>
      <c r="AK75" s="209">
        <f>СЧЁТ!AM13</f>
        <v>0.23384588522954772</v>
      </c>
      <c r="AL75" s="209">
        <f>СЧЁТ!AN13</f>
        <v>0.23484588522954772</v>
      </c>
      <c r="AM75" s="209">
        <f>СЧЁТ!AO13</f>
        <v>0.23584588522954772</v>
      </c>
      <c r="AN75" s="209">
        <f>СЧЁТ!AP13</f>
        <v>0.23684588522954772</v>
      </c>
      <c r="AO75" s="209">
        <f>СЧЁТ!AQ13</f>
        <v>0.23784588522954772</v>
      </c>
      <c r="AP75" s="209">
        <f>СЧЁТ!AR13</f>
        <v>0.23884588522954772</v>
      </c>
      <c r="AQ75" s="209">
        <f>СЧЁТ!AS13</f>
        <v>0.23984588522954772</v>
      </c>
      <c r="AR75" s="209">
        <f>СЧЁТ!AT13</f>
        <v>0.24084588522954772</v>
      </c>
      <c r="AS75" s="209">
        <f>СЧЁТ!AU13</f>
        <v>0.24184588522954772</v>
      </c>
      <c r="AT75" s="209">
        <f>СЧЁТ!AV13</f>
        <v>0.24284588522954773</v>
      </c>
      <c r="AU75" s="209">
        <f>СЧЁТ!AW13</f>
        <v>0.24384588522954773</v>
      </c>
      <c r="AV75" s="209">
        <f>СЧЁТ!AX13</f>
        <v>0.24484588522954773</v>
      </c>
      <c r="AW75" s="44" t="s">
        <v>455</v>
      </c>
    </row>
    <row r="76" spans="3:49" ht="17.399999999999999">
      <c r="C76" s="105">
        <v>9</v>
      </c>
      <c r="D76" s="518"/>
      <c r="E76" s="205"/>
      <c r="F76" s="51"/>
      <c r="G76" s="38"/>
      <c r="H76" s="38"/>
      <c r="I76" s="38"/>
      <c r="J76" s="38"/>
      <c r="K76" s="38"/>
      <c r="L76" s="38"/>
      <c r="M76" s="216">
        <v>1</v>
      </c>
      <c r="N76" s="209" t="e">
        <f>СЧЁТ!#REF!</f>
        <v>#REF!</v>
      </c>
      <c r="O76" s="209" t="e">
        <f>СЧЁТ!#REF!</f>
        <v>#REF!</v>
      </c>
      <c r="P76" s="209" t="e">
        <f>СЧЁТ!#REF!</f>
        <v>#REF!</v>
      </c>
      <c r="Q76" s="209" t="e">
        <f>СЧЁТ!#REF!</f>
        <v>#REF!</v>
      </c>
      <c r="R76" s="209" t="e">
        <f>СЧЁТ!#REF!</f>
        <v>#REF!</v>
      </c>
      <c r="S76" s="209" t="e">
        <f>СЧЁТ!#REF!</f>
        <v>#REF!</v>
      </c>
      <c r="T76" s="209" t="e">
        <f>СЧЁТ!#REF!</f>
        <v>#REF!</v>
      </c>
      <c r="U76" s="209" t="e">
        <f>СЧЁТ!#REF!</f>
        <v>#REF!</v>
      </c>
      <c r="V76" s="209" t="e">
        <f>СЧЁТ!#REF!</f>
        <v>#REF!</v>
      </c>
      <c r="W76" s="209" t="e">
        <f>СЧЁТ!#REF!</f>
        <v>#REF!</v>
      </c>
      <c r="X76" s="209" t="e">
        <f>СЧЁТ!#REF!</f>
        <v>#REF!</v>
      </c>
      <c r="Y76" s="209" t="e">
        <f>СЧЁТ!#REF!</f>
        <v>#REF!</v>
      </c>
      <c r="Z76" s="209" t="e">
        <f>СЧЁТ!#REF!</f>
        <v>#REF!</v>
      </c>
      <c r="AA76" s="209" t="e">
        <f>СЧЁТ!#REF!</f>
        <v>#REF!</v>
      </c>
      <c r="AB76" s="209" t="e">
        <f>СЧЁТ!#REF!</f>
        <v>#REF!</v>
      </c>
      <c r="AC76" s="209" t="e">
        <f>СЧЁТ!#REF!</f>
        <v>#REF!</v>
      </c>
      <c r="AD76" s="209" t="e">
        <f>СЧЁТ!#REF!</f>
        <v>#REF!</v>
      </c>
      <c r="AE76" s="209" t="e">
        <f>СЧЁТ!#REF!</f>
        <v>#REF!</v>
      </c>
      <c r="AF76" s="209" t="e">
        <f>СЧЁТ!#REF!</f>
        <v>#REF!</v>
      </c>
      <c r="AG76" s="209" t="e">
        <f>СЧЁТ!#REF!</f>
        <v>#REF!</v>
      </c>
      <c r="AH76" s="209" t="e">
        <f>СЧЁТ!#REF!</f>
        <v>#REF!</v>
      </c>
      <c r="AI76" s="209" t="e">
        <f>СЧЁТ!#REF!</f>
        <v>#REF!</v>
      </c>
      <c r="AJ76" s="209" t="e">
        <f>СЧЁТ!#REF!</f>
        <v>#REF!</v>
      </c>
      <c r="AK76" s="209" t="e">
        <f>СЧЁТ!#REF!</f>
        <v>#REF!</v>
      </c>
      <c r="AL76" s="209" t="e">
        <f>СЧЁТ!#REF!</f>
        <v>#REF!</v>
      </c>
      <c r="AM76" s="209" t="e">
        <f>СЧЁТ!#REF!</f>
        <v>#REF!</v>
      </c>
      <c r="AN76" s="209" t="e">
        <f>СЧЁТ!#REF!</f>
        <v>#REF!</v>
      </c>
      <c r="AO76" s="209" t="e">
        <f>СЧЁТ!#REF!</f>
        <v>#REF!</v>
      </c>
      <c r="AP76" s="209" t="e">
        <f>СЧЁТ!#REF!</f>
        <v>#REF!</v>
      </c>
      <c r="AQ76" s="209" t="e">
        <f>СЧЁТ!#REF!</f>
        <v>#REF!</v>
      </c>
      <c r="AR76" s="209" t="e">
        <f>СЧЁТ!#REF!</f>
        <v>#REF!</v>
      </c>
      <c r="AS76" s="209" t="e">
        <f>СЧЁТ!#REF!</f>
        <v>#REF!</v>
      </c>
      <c r="AT76" s="209" t="e">
        <f>СЧЁТ!#REF!</f>
        <v>#REF!</v>
      </c>
      <c r="AU76" s="209" t="e">
        <f>СЧЁТ!#REF!</f>
        <v>#REF!</v>
      </c>
      <c r="AV76" s="209" t="e">
        <f>СЧЁТ!#REF!</f>
        <v>#REF!</v>
      </c>
      <c r="AW76" s="44">
        <v>0</v>
      </c>
    </row>
    <row r="77" spans="3:49" ht="17.399999999999999">
      <c r="C77" s="105">
        <v>10</v>
      </c>
      <c r="D77" s="517">
        <v>42309</v>
      </c>
      <c r="E77" s="205" t="s">
        <v>625</v>
      </c>
      <c r="F77" s="51" t="s">
        <v>4</v>
      </c>
      <c r="G77" s="38" t="s">
        <v>910</v>
      </c>
      <c r="H77" s="38"/>
      <c r="I77" s="38"/>
      <c r="J77" s="38"/>
      <c r="K77" s="38"/>
      <c r="L77" s="38"/>
      <c r="M77" s="218">
        <v>43.206939348996954</v>
      </c>
      <c r="N77" s="209" t="e">
        <f>СЧЁТ!#REF!</f>
        <v>#REF!</v>
      </c>
      <c r="O77" s="209" t="e">
        <f>СЧЁТ!#REF!</f>
        <v>#REF!</v>
      </c>
      <c r="P77" s="209" t="e">
        <f>СЧЁТ!#REF!</f>
        <v>#REF!</v>
      </c>
      <c r="Q77" s="209" t="e">
        <f>СЧЁТ!#REF!</f>
        <v>#REF!</v>
      </c>
      <c r="R77" s="209" t="e">
        <f>СЧЁТ!#REF!</f>
        <v>#REF!</v>
      </c>
      <c r="S77" s="209" t="e">
        <f>СЧЁТ!#REF!</f>
        <v>#REF!</v>
      </c>
      <c r="T77" s="209" t="e">
        <f>СЧЁТ!#REF!</f>
        <v>#REF!</v>
      </c>
      <c r="U77" s="209" t="e">
        <f>СЧЁТ!#REF!</f>
        <v>#REF!</v>
      </c>
      <c r="V77" s="209" t="e">
        <f>СЧЁТ!#REF!</f>
        <v>#REF!</v>
      </c>
      <c r="W77" s="209" t="e">
        <f>СЧЁТ!#REF!</f>
        <v>#REF!</v>
      </c>
      <c r="X77" s="209" t="e">
        <f>СЧЁТ!#REF!</f>
        <v>#REF!</v>
      </c>
      <c r="Y77" s="209" t="e">
        <f>СЧЁТ!#REF!</f>
        <v>#REF!</v>
      </c>
      <c r="Z77" s="209" t="e">
        <f>СЧЁТ!#REF!</f>
        <v>#REF!</v>
      </c>
      <c r="AA77" s="209" t="e">
        <f>СЧЁТ!#REF!</f>
        <v>#REF!</v>
      </c>
      <c r="AB77" s="209" t="e">
        <f>СЧЁТ!#REF!</f>
        <v>#REF!</v>
      </c>
      <c r="AC77" s="209" t="e">
        <f>СЧЁТ!#REF!</f>
        <v>#REF!</v>
      </c>
      <c r="AD77" s="209" t="e">
        <f>СЧЁТ!#REF!</f>
        <v>#REF!</v>
      </c>
      <c r="AE77" s="209" t="e">
        <f>СЧЁТ!#REF!</f>
        <v>#REF!</v>
      </c>
      <c r="AF77" s="209" t="e">
        <f>СЧЁТ!#REF!</f>
        <v>#REF!</v>
      </c>
      <c r="AG77" s="209" t="e">
        <f>СЧЁТ!#REF!</f>
        <v>#REF!</v>
      </c>
      <c r="AH77" s="209" t="e">
        <f>СЧЁТ!#REF!</f>
        <v>#REF!</v>
      </c>
      <c r="AI77" s="209" t="e">
        <f>СЧЁТ!#REF!</f>
        <v>#REF!</v>
      </c>
      <c r="AJ77" s="209" t="e">
        <f>СЧЁТ!#REF!</f>
        <v>#REF!</v>
      </c>
      <c r="AK77" s="209" t="e">
        <f>СЧЁТ!#REF!</f>
        <v>#REF!</v>
      </c>
      <c r="AL77" s="209" t="e">
        <f>СЧЁТ!#REF!</f>
        <v>#REF!</v>
      </c>
      <c r="AM77" s="209" t="e">
        <f>СЧЁТ!#REF!</f>
        <v>#REF!</v>
      </c>
      <c r="AN77" s="209" t="e">
        <f>СЧЁТ!#REF!</f>
        <v>#REF!</v>
      </c>
      <c r="AO77" s="209" t="e">
        <f>СЧЁТ!#REF!</f>
        <v>#REF!</v>
      </c>
      <c r="AP77" s="209" t="e">
        <f>СЧЁТ!#REF!</f>
        <v>#REF!</v>
      </c>
      <c r="AQ77" s="209" t="e">
        <f>СЧЁТ!#REF!</f>
        <v>#REF!</v>
      </c>
      <c r="AR77" s="209" t="e">
        <f>СЧЁТ!#REF!</f>
        <v>#REF!</v>
      </c>
      <c r="AS77" s="209" t="e">
        <f>СЧЁТ!#REF!</f>
        <v>#REF!</v>
      </c>
      <c r="AT77" s="209" t="e">
        <f>СЧЁТ!#REF!</f>
        <v>#REF!</v>
      </c>
      <c r="AU77" s="209" t="e">
        <f>СЧЁТ!#REF!</f>
        <v>#REF!</v>
      </c>
      <c r="AV77" s="209" t="e">
        <f>СЧЁТ!#REF!</f>
        <v>#REF!</v>
      </c>
      <c r="AW77" s="44" t="s">
        <v>625</v>
      </c>
    </row>
    <row r="78" spans="3:49" ht="17.399999999999999">
      <c r="C78" s="105">
        <v>11</v>
      </c>
      <c r="D78" s="517">
        <v>42309</v>
      </c>
      <c r="E78" s="205" t="s">
        <v>667</v>
      </c>
      <c r="F78" s="51" t="s">
        <v>784</v>
      </c>
      <c r="G78" s="38" t="s">
        <v>911</v>
      </c>
      <c r="H78" s="38"/>
      <c r="I78" s="38"/>
      <c r="J78" s="38"/>
      <c r="K78" s="38"/>
      <c r="L78" s="38"/>
      <c r="M78" s="216">
        <v>0.52160205427817563</v>
      </c>
      <c r="N78" s="209" t="e">
        <f>СЧЁТ!#REF!</f>
        <v>#REF!</v>
      </c>
      <c r="O78" s="209" t="e">
        <f>СЧЁТ!#REF!</f>
        <v>#REF!</v>
      </c>
      <c r="P78" s="209" t="e">
        <f>СЧЁТ!#REF!</f>
        <v>#REF!</v>
      </c>
      <c r="Q78" s="209" t="e">
        <f>СЧЁТ!#REF!</f>
        <v>#REF!</v>
      </c>
      <c r="R78" s="209" t="e">
        <f>СЧЁТ!#REF!</f>
        <v>#REF!</v>
      </c>
      <c r="S78" s="209" t="e">
        <f>СЧЁТ!#REF!</f>
        <v>#REF!</v>
      </c>
      <c r="T78" s="209" t="e">
        <f>СЧЁТ!#REF!</f>
        <v>#REF!</v>
      </c>
      <c r="U78" s="209" t="e">
        <f>СЧЁТ!#REF!</f>
        <v>#REF!</v>
      </c>
      <c r="V78" s="209" t="e">
        <f>СЧЁТ!#REF!</f>
        <v>#REF!</v>
      </c>
      <c r="W78" s="209" t="e">
        <f>СЧЁТ!#REF!</f>
        <v>#REF!</v>
      </c>
      <c r="X78" s="209" t="e">
        <f>СЧЁТ!#REF!</f>
        <v>#REF!</v>
      </c>
      <c r="Y78" s="209" t="e">
        <f>СЧЁТ!#REF!</f>
        <v>#REF!</v>
      </c>
      <c r="Z78" s="209" t="e">
        <f>СЧЁТ!#REF!</f>
        <v>#REF!</v>
      </c>
      <c r="AA78" s="209" t="e">
        <f>СЧЁТ!#REF!</f>
        <v>#REF!</v>
      </c>
      <c r="AB78" s="209" t="e">
        <f>СЧЁТ!#REF!</f>
        <v>#REF!</v>
      </c>
      <c r="AC78" s="209" t="e">
        <f>СЧЁТ!#REF!</f>
        <v>#REF!</v>
      </c>
      <c r="AD78" s="209" t="e">
        <f>СЧЁТ!#REF!</f>
        <v>#REF!</v>
      </c>
      <c r="AE78" s="209" t="e">
        <f>СЧЁТ!#REF!</f>
        <v>#REF!</v>
      </c>
      <c r="AF78" s="209" t="e">
        <f>СЧЁТ!#REF!</f>
        <v>#REF!</v>
      </c>
      <c r="AG78" s="209" t="e">
        <f>СЧЁТ!#REF!</f>
        <v>#REF!</v>
      </c>
      <c r="AH78" s="209" t="e">
        <f>СЧЁТ!#REF!</f>
        <v>#REF!</v>
      </c>
      <c r="AI78" s="209" t="e">
        <f>СЧЁТ!#REF!</f>
        <v>#REF!</v>
      </c>
      <c r="AJ78" s="209" t="e">
        <f>СЧЁТ!#REF!</f>
        <v>#REF!</v>
      </c>
      <c r="AK78" s="209" t="e">
        <f>СЧЁТ!#REF!</f>
        <v>#REF!</v>
      </c>
      <c r="AL78" s="209" t="e">
        <f>СЧЁТ!#REF!</f>
        <v>#REF!</v>
      </c>
      <c r="AM78" s="209" t="e">
        <f>СЧЁТ!#REF!</f>
        <v>#REF!</v>
      </c>
      <c r="AN78" s="209" t="e">
        <f>СЧЁТ!#REF!</f>
        <v>#REF!</v>
      </c>
      <c r="AO78" s="209" t="e">
        <f>СЧЁТ!#REF!</f>
        <v>#REF!</v>
      </c>
      <c r="AP78" s="209" t="e">
        <f>СЧЁТ!#REF!</f>
        <v>#REF!</v>
      </c>
      <c r="AQ78" s="209" t="e">
        <f>СЧЁТ!#REF!</f>
        <v>#REF!</v>
      </c>
      <c r="AR78" s="209" t="e">
        <f>СЧЁТ!#REF!</f>
        <v>#REF!</v>
      </c>
      <c r="AS78" s="209" t="e">
        <f>СЧЁТ!#REF!</f>
        <v>#REF!</v>
      </c>
      <c r="AT78" s="209" t="e">
        <f>СЧЁТ!#REF!</f>
        <v>#REF!</v>
      </c>
      <c r="AU78" s="209" t="e">
        <f>СЧЁТ!#REF!</f>
        <v>#REF!</v>
      </c>
      <c r="AV78" s="209" t="e">
        <f>СЧЁТ!#REF!</f>
        <v>#REF!</v>
      </c>
      <c r="AW78" s="44" t="s">
        <v>667</v>
      </c>
    </row>
    <row r="79" spans="3:49" ht="17.399999999999999">
      <c r="C79" s="105">
        <v>12</v>
      </c>
      <c r="D79" s="517">
        <v>42291</v>
      </c>
      <c r="E79" s="205" t="s">
        <v>590</v>
      </c>
      <c r="F79" s="51" t="s">
        <v>809</v>
      </c>
      <c r="G79" s="38" t="s">
        <v>912</v>
      </c>
      <c r="H79" s="38"/>
      <c r="I79" s="38"/>
      <c r="J79" s="38"/>
      <c r="K79" s="38"/>
      <c r="L79" s="38"/>
      <c r="M79" s="61">
        <v>1</v>
      </c>
      <c r="N79" s="209">
        <f>СЧЁТ!P14</f>
        <v>1.218</v>
      </c>
      <c r="O79" s="209">
        <f>СЧЁТ!Q14</f>
        <v>1.3519800000000002</v>
      </c>
      <c r="P79" s="209">
        <f>СЧЁТ!R14</f>
        <v>2.4930511200000005</v>
      </c>
      <c r="Q79" s="209">
        <f>СЧЁТ!S14</f>
        <v>3.4030147788000007</v>
      </c>
      <c r="R79" s="209">
        <f>СЧЁТ!T14</f>
        <v>4.0904237641176007</v>
      </c>
      <c r="S79" s="209">
        <f>СЧЁТ!U14</f>
        <v>4.8512425842434741</v>
      </c>
      <c r="T79" s="209">
        <f>СЧЁТ!V14</f>
        <v>5.5837802144642392</v>
      </c>
      <c r="U79" s="209">
        <f>СЧЁТ!W14</f>
        <v>6.2538338401999489</v>
      </c>
      <c r="V79" s="209">
        <f>СЧЁТ!X14</f>
        <v>6.9855323995033425</v>
      </c>
      <c r="W79" s="209">
        <f>СЧЁТ!Y14</f>
        <v>7.7469554310492068</v>
      </c>
      <c r="X79" s="209">
        <f>СЧЁТ!Z14</f>
        <v>8.4441814198436358</v>
      </c>
      <c r="Y79" s="209">
        <f>СЧЁТ!AA14</f>
        <v>9.4465057543790749</v>
      </c>
      <c r="Z79" s="209">
        <f>СЧЁТ!AB14</f>
        <v>10.701001718560617</v>
      </c>
      <c r="AA79" s="209">
        <f>СЧЁТ!AC14</f>
        <v>11.642689869793951</v>
      </c>
      <c r="AB79" s="209">
        <f>СЧЁТ!AD14</f>
        <v>12.664918040361862</v>
      </c>
      <c r="AC79" s="209">
        <f>СЧЁТ!AE14</f>
        <v>13.437478040823935</v>
      </c>
      <c r="AD79" s="209">
        <f>СЧЁТ!AF14</f>
        <v>14.321664095910151</v>
      </c>
      <c r="AE79" s="209">
        <f>СЧЁТ!AG14</f>
        <v>15.245411430096356</v>
      </c>
      <c r="AF79" s="209">
        <f>СЧЁТ!AH14</f>
        <v>17.318787384589459</v>
      </c>
      <c r="AG79" s="209">
        <f>СЧЁТ!AI14</f>
        <v>19.552910957201501</v>
      </c>
      <c r="AH79" s="209">
        <f>СЧЁТ!AJ14</f>
        <v>20.606812857794662</v>
      </c>
      <c r="AI79" s="209">
        <f>СЧЁТ!AK14</f>
        <v>21.124043860525305</v>
      </c>
      <c r="AJ79" s="209">
        <f>СЧЁТ!AL14</f>
        <v>22.02392812898368</v>
      </c>
      <c r="AK79" s="209">
        <f>СЧЁТ!AM14</f>
        <v>22.693455544104783</v>
      </c>
      <c r="AL79" s="209">
        <f>СЧЁТ!AN14</f>
        <v>23.807704211320324</v>
      </c>
      <c r="AM79" s="209">
        <f>СЧЁТ!AO14</f>
        <v>24.998089421886341</v>
      </c>
      <c r="AN79" s="209">
        <f>СЧЁТ!AP14</f>
        <v>26.247993892980659</v>
      </c>
      <c r="AO79" s="209">
        <f>СЧЁТ!AQ14</f>
        <v>27.560393587629694</v>
      </c>
      <c r="AP79" s="209">
        <f>СЧЁТ!AR14</f>
        <v>28.938413267011178</v>
      </c>
      <c r="AQ79" s="209">
        <f>СЧЁТ!AS14</f>
        <v>30.385333930361739</v>
      </c>
      <c r="AR79" s="209">
        <f>СЧЁТ!AT14</f>
        <v>31.904600626879827</v>
      </c>
      <c r="AS79" s="209">
        <f>СЧЁТ!AU14</f>
        <v>33.499830658223821</v>
      </c>
      <c r="AT79" s="209">
        <f>СЧЁТ!AV14</f>
        <v>35.174822191135014</v>
      </c>
      <c r="AU79" s="209">
        <f>СЧЁТ!AW14</f>
        <v>36.933563300691766</v>
      </c>
      <c r="AV79" s="209">
        <f>СЧЁТ!AX14</f>
        <v>38.780241465726355</v>
      </c>
      <c r="AW79" s="44" t="s">
        <v>590</v>
      </c>
    </row>
    <row r="80" spans="3:49" ht="17.399999999999999">
      <c r="C80" s="105">
        <v>13</v>
      </c>
      <c r="D80" s="518">
        <v>42291</v>
      </c>
      <c r="E80" s="205" t="s">
        <v>913</v>
      </c>
      <c r="F80" s="51" t="s">
        <v>809</v>
      </c>
      <c r="G80" s="38" t="s">
        <v>914</v>
      </c>
      <c r="H80" s="38"/>
      <c r="I80" s="38"/>
      <c r="J80" s="38"/>
      <c r="K80" s="38"/>
      <c r="L80" s="38"/>
      <c r="M80" s="61">
        <v>2.3130000000000002</v>
      </c>
      <c r="N80" s="209">
        <f>СЧЁТ!P15</f>
        <v>1.218</v>
      </c>
      <c r="O80" s="209">
        <f>СЧЁТ!Q15</f>
        <v>1.1100000000000001</v>
      </c>
      <c r="P80" s="209">
        <f>СЧЁТ!R15</f>
        <v>1.8440000000000001</v>
      </c>
      <c r="Q80" s="209">
        <f>СЧЁТ!S15</f>
        <v>1.365</v>
      </c>
      <c r="R80" s="209">
        <f>СЧЁТ!T15</f>
        <v>1.202</v>
      </c>
      <c r="S80" s="209">
        <f>СЧЁТ!U15</f>
        <v>1.1859999999999999</v>
      </c>
      <c r="T80" s="209">
        <f>СЧЁТ!V15</f>
        <v>1.151</v>
      </c>
      <c r="U80" s="209">
        <f>СЧЁТ!W15</f>
        <v>1.1200000000000001</v>
      </c>
      <c r="V80" s="209">
        <f>СЧЁТ!X15</f>
        <v>1.117</v>
      </c>
      <c r="W80" s="209">
        <f>СЧЁТ!Y15</f>
        <v>1.109</v>
      </c>
      <c r="X80" s="209">
        <f>СЧЁТ!Z15</f>
        <v>1.0900000000000001</v>
      </c>
      <c r="Y80" s="209">
        <f>СЧЁТ!AA15</f>
        <v>1.1187</v>
      </c>
      <c r="Z80" s="209">
        <f>СЧЁТ!AB15</f>
        <v>1.1328</v>
      </c>
      <c r="AA80" s="209">
        <f>СЧЁТ!AC15</f>
        <v>1.0880000000000001</v>
      </c>
      <c r="AB80" s="209">
        <f>СЧЁТ!AD15</f>
        <v>1.0878000000000001</v>
      </c>
      <c r="AC80" s="209">
        <f>СЧЁТ!AE15</f>
        <v>1.0609999999999999</v>
      </c>
      <c r="AD80" s="209">
        <f>СЧЁТ!AF15</f>
        <v>1.0658000000000001</v>
      </c>
      <c r="AE80" s="209">
        <f>СЧЁТ!AG15</f>
        <v>1.0645</v>
      </c>
      <c r="AF80" s="209">
        <f>СЧЁТ!AH15</f>
        <v>1.1359999999999999</v>
      </c>
      <c r="AG80" s="209">
        <f>СЧЁТ!AI15</f>
        <v>1.129</v>
      </c>
      <c r="AH80" s="209">
        <f>СЧЁТ!AJ15</f>
        <v>1.0539000000000001</v>
      </c>
      <c r="AI80" s="209">
        <f>СЧЁТ!AK15</f>
        <v>1.0250999999999999</v>
      </c>
      <c r="AJ80" s="209">
        <f>СЧЁТ!AL15</f>
        <v>1.0426</v>
      </c>
      <c r="AK80" s="209">
        <f>СЧЁТ!AM15</f>
        <v>1.0304</v>
      </c>
      <c r="AL80" s="209">
        <f>СЧЁТ!AN15</f>
        <v>1.0490999999999999</v>
      </c>
      <c r="AM80" s="209">
        <f>СЧЁТ!AO15</f>
        <v>1.05</v>
      </c>
      <c r="AN80" s="209">
        <f>СЧЁТ!AP15</f>
        <v>1.05</v>
      </c>
      <c r="AO80" s="209">
        <f>СЧЁТ!AQ15</f>
        <v>1.05</v>
      </c>
      <c r="AP80" s="209">
        <f>СЧЁТ!AR15</f>
        <v>1.05</v>
      </c>
      <c r="AQ80" s="209">
        <f>СЧЁТ!AS15</f>
        <v>1.05</v>
      </c>
      <c r="AR80" s="209">
        <f>СЧЁТ!AT15</f>
        <v>1.05</v>
      </c>
      <c r="AS80" s="209">
        <f>СЧЁТ!AU15</f>
        <v>1.05</v>
      </c>
      <c r="AT80" s="209">
        <f>СЧЁТ!AV15</f>
        <v>1.05</v>
      </c>
      <c r="AU80" s="209">
        <f>СЧЁТ!AW15</f>
        <v>1.05</v>
      </c>
      <c r="AV80" s="209">
        <f>СЧЁТ!AX15</f>
        <v>1.05</v>
      </c>
      <c r="AW80" s="44" t="s">
        <v>913</v>
      </c>
    </row>
    <row r="81" spans="3:49" ht="17.399999999999999">
      <c r="C81" s="105">
        <v>14</v>
      </c>
      <c r="D81" s="517"/>
      <c r="E81" s="205"/>
      <c r="F81" s="51"/>
      <c r="G81" s="38"/>
      <c r="H81" s="38"/>
      <c r="I81" s="38"/>
      <c r="J81" s="38"/>
      <c r="K81" s="38"/>
      <c r="L81" s="38"/>
      <c r="M81" s="207"/>
      <c r="N81" s="209">
        <f>СЧЁТ!P16</f>
        <v>0</v>
      </c>
      <c r="O81" s="209">
        <f>СЧЁТ!Q16</f>
        <v>0</v>
      </c>
      <c r="P81" s="209">
        <f>СЧЁТ!R16</f>
        <v>0</v>
      </c>
      <c r="Q81" s="209">
        <f>СЧЁТ!S16</f>
        <v>0</v>
      </c>
      <c r="R81" s="209">
        <f>СЧЁТ!T16</f>
        <v>0</v>
      </c>
      <c r="S81" s="209">
        <f>СЧЁТ!U16</f>
        <v>0</v>
      </c>
      <c r="T81" s="209">
        <f>СЧЁТ!V16</f>
        <v>0</v>
      </c>
      <c r="U81" s="209">
        <f>СЧЁТ!W16</f>
        <v>0</v>
      </c>
      <c r="V81" s="209">
        <f>СЧЁТ!X16</f>
        <v>0</v>
      </c>
      <c r="W81" s="209">
        <f>СЧЁТ!Y16</f>
        <v>0</v>
      </c>
      <c r="X81" s="209">
        <f>СЧЁТ!Z16</f>
        <v>0</v>
      </c>
      <c r="Y81" s="209">
        <f>СЧЁТ!AA16</f>
        <v>0</v>
      </c>
      <c r="Z81" s="209">
        <f>СЧЁТ!AB16</f>
        <v>0</v>
      </c>
      <c r="AA81" s="209">
        <f>СЧЁТ!AC16</f>
        <v>0</v>
      </c>
      <c r="AB81" s="209">
        <f>СЧЁТ!AD16</f>
        <v>0</v>
      </c>
      <c r="AC81" s="209">
        <f>СЧЁТ!AE16</f>
        <v>0</v>
      </c>
      <c r="AD81" s="209">
        <f>СЧЁТ!AF16</f>
        <v>0</v>
      </c>
      <c r="AE81" s="209">
        <f>СЧЁТ!AG16</f>
        <v>0</v>
      </c>
      <c r="AF81" s="209">
        <f>СЧЁТ!AH16</f>
        <v>0</v>
      </c>
      <c r="AG81" s="209">
        <f>СЧЁТ!AI16</f>
        <v>0</v>
      </c>
      <c r="AH81" s="209">
        <f>СЧЁТ!AJ16</f>
        <v>0</v>
      </c>
      <c r="AI81" s="209">
        <f>СЧЁТ!AK16</f>
        <v>0</v>
      </c>
      <c r="AJ81" s="209">
        <f>СЧЁТ!AL16</f>
        <v>0</v>
      </c>
      <c r="AK81" s="209">
        <f>СЧЁТ!AM16</f>
        <v>0</v>
      </c>
      <c r="AL81" s="209">
        <f>СЧЁТ!AN16</f>
        <v>0</v>
      </c>
      <c r="AM81" s="209">
        <f>СЧЁТ!AO16</f>
        <v>0</v>
      </c>
      <c r="AN81" s="209">
        <f>СЧЁТ!AP16</f>
        <v>0</v>
      </c>
      <c r="AO81" s="209">
        <f>СЧЁТ!AQ16</f>
        <v>0</v>
      </c>
      <c r="AP81" s="209">
        <f>СЧЁТ!AR16</f>
        <v>0</v>
      </c>
      <c r="AQ81" s="209">
        <f>СЧЁТ!AS16</f>
        <v>0</v>
      </c>
      <c r="AR81" s="209">
        <f>СЧЁТ!AT16</f>
        <v>0</v>
      </c>
      <c r="AS81" s="209">
        <f>СЧЁТ!AU16</f>
        <v>0</v>
      </c>
      <c r="AT81" s="209">
        <f>СЧЁТ!AV16</f>
        <v>0</v>
      </c>
      <c r="AU81" s="209">
        <f>СЧЁТ!AW16</f>
        <v>0</v>
      </c>
      <c r="AV81" s="209">
        <f>СЧЁТ!AX16</f>
        <v>0</v>
      </c>
      <c r="AW81" s="44">
        <v>0</v>
      </c>
    </row>
    <row r="82" spans="3:49" ht="17.399999999999999">
      <c r="C82" s="365">
        <v>15</v>
      </c>
      <c r="D82" s="519"/>
      <c r="E82" s="205"/>
      <c r="F82" s="51"/>
      <c r="G82" s="38"/>
      <c r="H82" s="38"/>
      <c r="I82" s="38"/>
      <c r="J82" s="38"/>
      <c r="K82" s="38"/>
      <c r="L82" s="38"/>
      <c r="M82" s="207"/>
      <c r="N82" s="209">
        <f>СЧЁТ!P12</f>
        <v>4.5999999999999996</v>
      </c>
      <c r="O82" s="209">
        <f>СЧЁТ!Q12</f>
        <v>5.5</v>
      </c>
      <c r="P82" s="209">
        <f>СЧЁТ!R12</f>
        <v>9.6999999999999993</v>
      </c>
      <c r="Q82" s="209">
        <f>СЧЁТ!S12</f>
        <v>24.62</v>
      </c>
      <c r="R82" s="209">
        <f>СЧЁТ!T12</f>
        <v>28.14</v>
      </c>
      <c r="S82" s="209">
        <f>СЧЁТ!U12</f>
        <v>29.17</v>
      </c>
      <c r="T82" s="209">
        <f>СЧЁТ!V12</f>
        <v>31.35</v>
      </c>
      <c r="U82" s="209">
        <f>СЧЁТ!W12</f>
        <v>30.69</v>
      </c>
      <c r="V82" s="209">
        <f>СЧЁТ!X12</f>
        <v>28.81</v>
      </c>
      <c r="W82" s="209">
        <f>СЧЁТ!Y12</f>
        <v>28.3</v>
      </c>
      <c r="X82" s="209">
        <f>СЧЁТ!Z12</f>
        <v>27.17</v>
      </c>
      <c r="Y82" s="209">
        <f>СЧЁТ!AA12</f>
        <v>25.58</v>
      </c>
      <c r="Z82" s="209">
        <f>СЧЁТ!AB12</f>
        <v>24.86</v>
      </c>
      <c r="AA82" s="209">
        <f>СЧЁТ!AC12</f>
        <v>31.83</v>
      </c>
      <c r="AB82" s="209">
        <f>СЧЁТ!AD12</f>
        <v>30.36</v>
      </c>
      <c r="AC82" s="209">
        <f>СЧЁТ!AE12</f>
        <v>29.39</v>
      </c>
      <c r="AD82" s="209">
        <f>СЧЁТ!AF12</f>
        <v>31.08</v>
      </c>
      <c r="AE82" s="209">
        <f>СЧЁТ!AG12</f>
        <v>31.85</v>
      </c>
      <c r="AF82" s="209">
        <f>СЧЁТ!AH12</f>
        <v>32.729999999999997</v>
      </c>
      <c r="AG82" s="209">
        <f>СЧЁТ!AI12</f>
        <v>56.26</v>
      </c>
      <c r="AH82" s="209">
        <f>СЧЁТ!AJ12</f>
        <v>72.88</v>
      </c>
      <c r="AI82" s="209">
        <f>СЧЁТ!AK12</f>
        <v>60.66</v>
      </c>
      <c r="AJ82" s="209">
        <f>СЧЁТ!AL12</f>
        <v>57.6</v>
      </c>
      <c r="AK82" s="209">
        <f>СЧЁТ!AM12</f>
        <v>69.47</v>
      </c>
      <c r="AL82" s="209">
        <f>СЧЁТ!AN12</f>
        <v>61.9</v>
      </c>
      <c r="AM82" s="209">
        <f>СЧЁТ!AO12</f>
        <v>73.87</v>
      </c>
      <c r="AN82" s="209">
        <f>СЧЁТ!AP12</f>
        <v>75.17</v>
      </c>
      <c r="AO82" s="209">
        <f>СЧЁТ!AQ12</f>
        <v>76.47</v>
      </c>
      <c r="AP82" s="209">
        <f>СЧЁТ!AR12</f>
        <v>77.77</v>
      </c>
      <c r="AQ82" s="209">
        <f>СЧЁТ!AS12</f>
        <v>79.069999999999993</v>
      </c>
      <c r="AR82" s="209">
        <f>СЧЁТ!AT12</f>
        <v>80.36999999999999</v>
      </c>
      <c r="AS82" s="209">
        <f>СЧЁТ!AU12</f>
        <v>81.669999999999987</v>
      </c>
      <c r="AT82" s="209">
        <f>СЧЁТ!AV12</f>
        <v>82.969999999999985</v>
      </c>
      <c r="AU82" s="209">
        <f>СЧЁТ!AW12</f>
        <v>84.269999999999982</v>
      </c>
      <c r="AV82" s="209">
        <f>СЧЁТ!AX12</f>
        <v>85.569999999999979</v>
      </c>
      <c r="AW82" s="44">
        <v>0</v>
      </c>
    </row>
    <row r="83" spans="3:49" ht="17.399999999999999">
      <c r="C83" s="105">
        <v>16</v>
      </c>
      <c r="D83" s="517">
        <v>42309</v>
      </c>
      <c r="E83" s="205" t="s">
        <v>1247</v>
      </c>
      <c r="F83" s="51" t="s">
        <v>809</v>
      </c>
      <c r="G83" s="38" t="s">
        <v>1248</v>
      </c>
      <c r="H83" s="38"/>
      <c r="I83" s="38"/>
      <c r="J83" s="38"/>
      <c r="K83" s="38"/>
      <c r="L83" s="38"/>
      <c r="M83" s="216">
        <v>0.22522731577966831</v>
      </c>
      <c r="N83" s="209">
        <f>СЧЁТ!P11</f>
        <v>20.5</v>
      </c>
      <c r="O83" s="209">
        <f>СЧЁТ!Q11</f>
        <v>19.100000000000001</v>
      </c>
      <c r="P83" s="209">
        <f>СЧЁТ!R11</f>
        <v>12.7</v>
      </c>
      <c r="Q83" s="209">
        <f>СЧЁТ!S11</f>
        <v>17.7</v>
      </c>
      <c r="R83" s="209">
        <f>СЧЁТ!T11</f>
        <v>28.3</v>
      </c>
      <c r="S83" s="209">
        <f>СЧЁТ!U11</f>
        <v>24.4</v>
      </c>
      <c r="T83" s="209">
        <f>СЧЁТ!V11</f>
        <v>25</v>
      </c>
      <c r="U83" s="209">
        <f>СЧЁТ!W11</f>
        <v>28.9</v>
      </c>
      <c r="V83" s="209">
        <f>СЧЁТ!X11</f>
        <v>38.299999999999997</v>
      </c>
      <c r="W83" s="209">
        <f>СЧЁТ!Y11</f>
        <v>54.4</v>
      </c>
      <c r="X83" s="209">
        <f>СЧЁТ!Z11</f>
        <v>65.400000000000006</v>
      </c>
      <c r="Y83" s="209">
        <f>СЧЁТ!AA11</f>
        <v>72.7</v>
      </c>
      <c r="Z83" s="209">
        <f>СЧЁТ!AB11</f>
        <v>97.7</v>
      </c>
      <c r="AA83" s="209">
        <f>СЧЁТ!AC11</f>
        <v>61.9</v>
      </c>
      <c r="AB83" s="209">
        <f>СЧЁТ!AD11</f>
        <v>79.599999999999994</v>
      </c>
      <c r="AC83" s="209">
        <f>СЧЁТ!AE11</f>
        <v>111</v>
      </c>
      <c r="AD83" s="209">
        <f>СЧЁТ!AF11</f>
        <v>111.4</v>
      </c>
      <c r="AE83" s="209">
        <f>СЧЁТ!AG11</f>
        <v>108.8</v>
      </c>
      <c r="AF83" s="209">
        <f>СЧЁТ!AH11</f>
        <v>98.9</v>
      </c>
      <c r="AG83" s="209">
        <f>СЧЁТ!AI11</f>
        <v>52.4</v>
      </c>
      <c r="AH83" s="209">
        <f>СЧЁТ!AJ11</f>
        <v>44</v>
      </c>
      <c r="AI83" s="209">
        <f>СЧЁТ!AK11</f>
        <v>55</v>
      </c>
      <c r="AJ83" s="209">
        <f>СЧЁТ!AL11</f>
        <v>70</v>
      </c>
      <c r="AK83" s="209">
        <f>СЧЁТ!AM11</f>
        <v>72</v>
      </c>
      <c r="AL83" s="209">
        <f>СЧЁТ!AN11</f>
        <v>40</v>
      </c>
      <c r="AM83" s="209">
        <f>СЧЁТ!AO11</f>
        <v>50</v>
      </c>
      <c r="AN83" s="209">
        <f>СЧЁТ!AP11</f>
        <v>58</v>
      </c>
      <c r="AO83" s="209">
        <f>СЧЁТ!AQ11</f>
        <v>64.400000000000006</v>
      </c>
      <c r="AP83" s="209">
        <f>СЧЁТ!AR11</f>
        <v>69.52000000000001</v>
      </c>
      <c r="AQ83" s="209">
        <f>СЧЁТ!AS11</f>
        <v>73.616000000000014</v>
      </c>
      <c r="AR83" s="209">
        <f>СЧЁТ!AT11</f>
        <v>76.892800000000022</v>
      </c>
      <c r="AS83" s="209">
        <f>СЧЁТ!AU11</f>
        <v>79.514240000000029</v>
      </c>
      <c r="AT83" s="209">
        <f>СЧЁТ!AV11</f>
        <v>81.611392000000038</v>
      </c>
      <c r="AU83" s="209">
        <f>СЧЁТ!AW11</f>
        <v>83.28911360000005</v>
      </c>
      <c r="AV83" s="209">
        <f>СЧЁТ!AX11</f>
        <v>84.631290880000066</v>
      </c>
      <c r="AW83" s="44" t="s">
        <v>1247</v>
      </c>
    </row>
    <row r="84" spans="3:49" ht="17.399999999999999">
      <c r="C84" s="105">
        <v>17</v>
      </c>
      <c r="D84" s="517">
        <v>42308</v>
      </c>
      <c r="E84" s="205" t="s">
        <v>636</v>
      </c>
      <c r="F84" s="51" t="s">
        <v>809</v>
      </c>
      <c r="G84" s="38" t="s">
        <v>916</v>
      </c>
      <c r="H84" s="38"/>
      <c r="I84" s="38"/>
      <c r="J84" s="38"/>
      <c r="K84" s="38"/>
      <c r="L84" s="38"/>
      <c r="M84" s="61">
        <v>1</v>
      </c>
      <c r="N84" s="209">
        <f>СЧЁТ!P17</f>
        <v>0.20193696820110807</v>
      </c>
      <c r="O84" s="209">
        <f>СЧЁТ!Q17</f>
        <v>0.20077030917127051</v>
      </c>
      <c r="P84" s="209">
        <f>СЧЁТ!R17</f>
        <v>0.17564649920911823</v>
      </c>
      <c r="Q84" s="209">
        <f>СЧЁТ!S17</f>
        <v>0.17736677529339789</v>
      </c>
      <c r="R84" s="209">
        <f>СЧЁТ!T17</f>
        <v>0.21045165705943777</v>
      </c>
      <c r="S84" s="209">
        <f>СЧЁТ!U17</f>
        <v>0.22075386925949722</v>
      </c>
      <c r="T84" s="209">
        <f>СЧЁТ!V17</f>
        <v>0.23009857341476964</v>
      </c>
      <c r="U84" s="209">
        <f>СЧЁТ!W17</f>
        <v>0.24253877934926296</v>
      </c>
      <c r="V84" s="209">
        <f>СЧЁТ!X17</f>
        <v>0.25160823372823521</v>
      </c>
      <c r="W84" s="209">
        <f>СЧЁТ!Y17</f>
        <v>0.25783555641470957</v>
      </c>
      <c r="X84" s="209">
        <f>СЧЁТ!Z17</f>
        <v>0.26687813853792092</v>
      </c>
      <c r="Y84" s="209">
        <f>СЧЁТ!AA17</f>
        <v>0.27752871293871573</v>
      </c>
      <c r="Z84" s="209">
        <f>СЧЁТ!AB17</f>
        <v>0.28233244102428678</v>
      </c>
      <c r="AA84" s="209">
        <f>СЧЁТ!AC17</f>
        <v>0.20580264972695869</v>
      </c>
      <c r="AB84" s="209">
        <f>СЧЁТ!AD17</f>
        <v>0.24609376472050032</v>
      </c>
      <c r="AC84" s="209">
        <f>СЧЁТ!AE17</f>
        <v>0.27167126619383269</v>
      </c>
      <c r="AD84" s="209">
        <f>СЧЁТ!AF17</f>
        <v>0.27117347874806208</v>
      </c>
      <c r="AE84" s="209">
        <f>СЧЁТ!AG17</f>
        <v>0.26539413338300072</v>
      </c>
      <c r="AF84" s="209">
        <f>СЧЁТ!AH17</f>
        <v>0.24074796552908859</v>
      </c>
      <c r="AG84" s="209">
        <f>СЧЁТ!AI17</f>
        <v>0.20957161629151927</v>
      </c>
      <c r="AH84" s="209">
        <f>СЧЁТ!AJ17</f>
        <v>0.20657808103265329</v>
      </c>
      <c r="AI84" s="209">
        <f>СЧЁТ!AK17</f>
        <v>0.22697099503222676</v>
      </c>
      <c r="AJ84" s="209">
        <f>СЧЁТ!AL17</f>
        <v>0.2265787550715769</v>
      </c>
      <c r="AK84" s="209">
        <f>СЧЁТ!AM17</f>
        <v>0.22634341109518699</v>
      </c>
      <c r="AL84" s="209">
        <f>СЧЁТ!AN17</f>
        <v>0.22620220470935304</v>
      </c>
      <c r="AM84" s="209">
        <f>СЧЁТ!AO17</f>
        <v>0.22611748087785266</v>
      </c>
      <c r="AN84" s="209">
        <f>СЧЁТ!AP17</f>
        <v>0.22606664657895242</v>
      </c>
      <c r="AO84" s="209">
        <f>СЧЁТ!AQ17</f>
        <v>0.22603614599961228</v>
      </c>
      <c r="AP84" s="209">
        <f>СЧЁТ!AR17</f>
        <v>0.22601784565200819</v>
      </c>
      <c r="AQ84" s="209">
        <f>СЧЁТ!AS17</f>
        <v>0.22600686544344575</v>
      </c>
      <c r="AR84" s="209">
        <f>СЧЁТ!AT17</f>
        <v>0.2260002773183083</v>
      </c>
      <c r="AS84" s="209">
        <f>СЧЁТ!AU17</f>
        <v>0.22599632444322582</v>
      </c>
      <c r="AT84" s="209">
        <f>СЧЁТ!AV17</f>
        <v>0.22599395271817632</v>
      </c>
      <c r="AU84" s="209">
        <f>СЧЁТ!AW17</f>
        <v>0.22599252968314662</v>
      </c>
      <c r="AV84" s="209">
        <f>СЧЁТ!AX17</f>
        <v>0.22599167586212879</v>
      </c>
      <c r="AW84" s="44" t="s">
        <v>636</v>
      </c>
    </row>
    <row r="85" spans="3:49" ht="17.399999999999999">
      <c r="C85" s="105">
        <v>18</v>
      </c>
      <c r="D85" s="517">
        <v>42308</v>
      </c>
      <c r="E85" s="205" t="s">
        <v>638</v>
      </c>
      <c r="F85" s="51" t="s">
        <v>809</v>
      </c>
      <c r="G85" s="38" t="s">
        <v>917</v>
      </c>
      <c r="H85" s="38"/>
      <c r="I85" s="38"/>
      <c r="J85" s="38"/>
      <c r="K85" s="38"/>
      <c r="L85" s="38"/>
      <c r="M85" s="139">
        <v>1</v>
      </c>
      <c r="N85" s="209">
        <f>СЧЁТ!P18</f>
        <v>1.4723042021668387</v>
      </c>
      <c r="O85" s="209">
        <f>СЧЁТ!Q18</f>
        <v>1.718558670886825</v>
      </c>
      <c r="P85" s="209">
        <f>СЧЁТ!R18</f>
        <v>2.1060897046594418</v>
      </c>
      <c r="Q85" s="209">
        <f>СЧЁТ!S18</f>
        <v>3.7278422973468679</v>
      </c>
      <c r="R85" s="209">
        <f>СЧЁТ!T18</f>
        <v>4.5918326760987345</v>
      </c>
      <c r="S85" s="209">
        <f>СЧЁТ!U18</f>
        <v>5.5611795404054956</v>
      </c>
      <c r="T85" s="209">
        <f>СЧЁТ!V18</f>
        <v>6.4682386989177063</v>
      </c>
      <c r="U85" s="209">
        <f>СЧЁТ!W18</f>
        <v>7.2584827706254744</v>
      </c>
      <c r="V85" s="209">
        <f>СЧЁТ!X18</f>
        <v>8.3282279936178867</v>
      </c>
      <c r="W85" s="209">
        <f>СЧЁТ!Y18</f>
        <v>9.3704714639566831</v>
      </c>
      <c r="X85" s="209">
        <f>СЧЁТ!Z18</f>
        <v>10.171880121895711</v>
      </c>
      <c r="Y85" s="209">
        <f>СЧЁТ!AA18</f>
        <v>10.996054426330467</v>
      </c>
      <c r="Z85" s="209">
        <f>СЧЁТ!AB18</f>
        <v>12.382630991276981</v>
      </c>
      <c r="AA85" s="209">
        <f>СЧЁТ!AC18</f>
        <v>13.714036448863869</v>
      </c>
      <c r="AB85" s="209">
        <f>СЧЁТ!AD18</f>
        <v>14.629133800462956</v>
      </c>
      <c r="AC85" s="209">
        <f>СЧЁТ!AE18</f>
        <v>17.36421630879255</v>
      </c>
      <c r="AD85" s="209">
        <f>СЧЁТ!AF18</f>
        <v>18.540125110660799</v>
      </c>
      <c r="AE85" s="209">
        <f>СЧЁТ!AG18</f>
        <v>19.653563919076568</v>
      </c>
      <c r="AF85" s="209">
        <f>СЧЁТ!AH18</f>
        <v>21.016276952701091</v>
      </c>
      <c r="AG85" s="209">
        <f>СЧЁТ!AI18</f>
        <v>23.908625308988828</v>
      </c>
      <c r="AH85" s="209">
        <f>СЧЁТ!AJ18</f>
        <v>25.541020349632802</v>
      </c>
      <c r="AI85" s="209">
        <f>СЧЁТ!AK18</f>
        <v>26.262932750374507</v>
      </c>
      <c r="AJ85" s="209">
        <f>СЧЁТ!AL18</f>
        <v>27.120680464307846</v>
      </c>
      <c r="AK85" s="209">
        <f>СЧЁТ!AM18</f>
        <v>28.12440071334408</v>
      </c>
      <c r="AL85" s="209">
        <f>СЧЁТ!AN18</f>
        <v>28.998911158369268</v>
      </c>
      <c r="AM85" s="209">
        <f>СЧЁТ!AO18</f>
        <v>31.029391716287734</v>
      </c>
      <c r="AN85" s="209">
        <f>СЧЁТ!AP18</f>
        <v>32.604896302102119</v>
      </c>
      <c r="AO85" s="209">
        <f>СЧЁТ!AQ18</f>
        <v>34.259176117207225</v>
      </c>
      <c r="AP85" s="209">
        <f>СЧЁТ!AR18</f>
        <v>35.99616992306759</v>
      </c>
      <c r="AQ85" s="209">
        <f>СЧЁТ!AS18</f>
        <v>37.82001341922097</v>
      </c>
      <c r="AR85" s="209">
        <f>СЧЁТ!AT18</f>
        <v>39.735049090182024</v>
      </c>
      <c r="AS85" s="209">
        <f>СЧЁТ!AU18</f>
        <v>41.745836544691123</v>
      </c>
      <c r="AT85" s="209">
        <f>СЧЁТ!AV18</f>
        <v>43.857163371925687</v>
      </c>
      <c r="AU85" s="209">
        <f>СЧЁТ!AW18</f>
        <v>46.074056540521973</v>
      </c>
      <c r="AV85" s="209">
        <f>СЧЁТ!AX18</f>
        <v>48.401794367548071</v>
      </c>
      <c r="AW85" s="44" t="s">
        <v>638</v>
      </c>
    </row>
    <row r="86" spans="3:49" ht="17.399999999999999">
      <c r="C86" s="105">
        <v>19</v>
      </c>
      <c r="D86" s="517">
        <v>42308</v>
      </c>
      <c r="E86" s="205" t="s">
        <v>640</v>
      </c>
      <c r="F86" s="51" t="s">
        <v>809</v>
      </c>
      <c r="G86" s="38" t="s">
        <v>918</v>
      </c>
      <c r="H86" s="38"/>
      <c r="I86" s="38"/>
      <c r="J86" s="38"/>
      <c r="K86" s="38"/>
      <c r="L86" s="38"/>
      <c r="M86" s="139">
        <v>1</v>
      </c>
      <c r="N86" s="209">
        <f>СЧЁТ!P19</f>
        <v>1.3930686182271845</v>
      </c>
      <c r="O86" s="209">
        <f>СЧЁТ!Q19</f>
        <v>1.8000080782573098</v>
      </c>
      <c r="P86" s="209">
        <f>СЧЁТ!R19</f>
        <v>1.7787455021088285</v>
      </c>
      <c r="Q86" s="209">
        <f>СЧЁТ!S19</f>
        <v>2.4627881934761957</v>
      </c>
      <c r="R86" s="209">
        <f>СЧЁТ!T19</f>
        <v>3.7854704885295649</v>
      </c>
      <c r="S86" s="209">
        <f>СЧЁТ!U19</f>
        <v>5.0878645956391404</v>
      </c>
      <c r="T86" s="209">
        <f>СЧЁТ!V19</f>
        <v>6.5528675715584006</v>
      </c>
      <c r="U86" s="209">
        <f>СЧЁТ!W19</f>
        <v>7.7958923176158716</v>
      </c>
      <c r="V86" s="209">
        <f>СЧЁТ!X19</f>
        <v>9.32454487174126</v>
      </c>
      <c r="W86" s="209">
        <f>СЧЁТ!Y19</f>
        <v>11.601834838997735</v>
      </c>
      <c r="X86" s="209">
        <f>СЧЁТ!Z19</f>
        <v>14.558879763670303</v>
      </c>
      <c r="Y86" s="209">
        <f>СЧЁТ!AA19</f>
        <v>17.418642331419541</v>
      </c>
      <c r="Z86" s="209">
        <f>СЧЁТ!AB19</f>
        <v>21.558658204106848</v>
      </c>
      <c r="AA86" s="209">
        <f>СЧЁТ!AC19</f>
        <v>23.771830652990928</v>
      </c>
      <c r="AB86" s="209">
        <f>СЧЁТ!AD19</f>
        <v>25.942740710668115</v>
      </c>
      <c r="AC86" s="209">
        <f>СЧЁТ!AE19</f>
        <v>31.060937552257776</v>
      </c>
      <c r="AD86" s="209">
        <f>СЧЁТ!AF19</f>
        <v>34.957056458668305</v>
      </c>
      <c r="AE86" s="209">
        <f>СЧЁТ!AG19</f>
        <v>38.623860073036887</v>
      </c>
      <c r="AF86" s="209">
        <f>СЧЁТ!AH19</f>
        <v>41.260921847659759</v>
      </c>
      <c r="AG86" s="209">
        <f>СЧЁТ!AI19</f>
        <v>44.344749772395339</v>
      </c>
      <c r="AH86" s="209">
        <f>СЧЁТ!AJ19</f>
        <v>46.796704667591264</v>
      </c>
      <c r="AI86" s="209">
        <f>СЧЁТ!AK19</f>
        <v>48.327851197265097</v>
      </c>
      <c r="AJ86" s="209">
        <f>СЧЁТ!AL19</f>
        <v>52.235265501486438</v>
      </c>
      <c r="AK86" s="209">
        <f>СЧЁТ!AM19</f>
        <v>53.174963523769726</v>
      </c>
      <c r="AL86" s="209">
        <f>СЧЁТ!AN19</f>
        <v>56.051730732786808</v>
      </c>
      <c r="AM86" s="209">
        <f>СЧЁТ!AO19</f>
        <v>59.125067269426147</v>
      </c>
      <c r="AN86" s="209">
        <f>СЧЁТ!AP19</f>
        <v>62.352070632897458</v>
      </c>
      <c r="AO86" s="209">
        <f>СЧЁТ!AQ19</f>
        <v>65.740424164542333</v>
      </c>
      <c r="AP86" s="209">
        <f>СЧЁТ!AR19</f>
        <v>69.298195372769456</v>
      </c>
      <c r="AQ86" s="209">
        <f>СЧЁТ!AS19</f>
        <v>73.033855141407926</v>
      </c>
      <c r="AR86" s="209">
        <f>СЧЁТ!AT19</f>
        <v>76.956297898478326</v>
      </c>
      <c r="AS86" s="209">
        <f>СЧЁТ!AU19</f>
        <v>81.074862793402247</v>
      </c>
      <c r="AT86" s="209">
        <f>СЧЁТ!AV19</f>
        <v>85.399355933072371</v>
      </c>
      <c r="AU86" s="209">
        <f>СЧЁТ!AW19</f>
        <v>89.940073729725995</v>
      </c>
      <c r="AV86" s="209">
        <f>СЧЁТ!AX19</f>
        <v>94.707827416212297</v>
      </c>
      <c r="AW86" s="44" t="s">
        <v>640</v>
      </c>
    </row>
    <row r="87" spans="3:49" ht="17.399999999999999">
      <c r="C87" s="105">
        <v>20</v>
      </c>
      <c r="D87" s="517">
        <v>42308</v>
      </c>
      <c r="E87" s="205" t="s">
        <v>642</v>
      </c>
      <c r="F87" s="51" t="s">
        <v>809</v>
      </c>
      <c r="G87" s="38" t="s">
        <v>919</v>
      </c>
      <c r="H87" s="38"/>
      <c r="I87" s="38"/>
      <c r="J87" s="38"/>
      <c r="K87" s="38"/>
      <c r="L87" s="38"/>
      <c r="M87" s="139">
        <v>1</v>
      </c>
      <c r="N87" s="209">
        <f>СЧЁТ!P20</f>
        <v>1.4997486735151189</v>
      </c>
      <c r="O87" s="209">
        <f>СЧЁТ!Q20</f>
        <v>1.9526312539350381</v>
      </c>
      <c r="P87" s="209">
        <f>СЧЁТ!R20</f>
        <v>2.0059060303554479</v>
      </c>
      <c r="Q87" s="209">
        <f>СЧЁТ!S20</f>
        <v>2.3429902839701637</v>
      </c>
      <c r="R87" s="209">
        <f>СЧЁТ!T20</f>
        <v>3.2406114791110681</v>
      </c>
      <c r="S87" s="209">
        <f>СЧЁТ!U20</f>
        <v>3.97066356566005</v>
      </c>
      <c r="T87" s="209">
        <f>СЧЁТ!V20</f>
        <v>5.2843734476785453</v>
      </c>
      <c r="U87" s="209">
        <f>СЧЁТ!W20</f>
        <v>6.1715081316356093</v>
      </c>
      <c r="V87" s="209">
        <f>СЧЁТ!X20</f>
        <v>6.7016025302099056</v>
      </c>
      <c r="W87" s="209">
        <f>СЧЁТ!Y20</f>
        <v>7.6444391008680617</v>
      </c>
      <c r="X87" s="209">
        <f>СЧЁТ!Z20</f>
        <v>8.6255823418854529</v>
      </c>
      <c r="Y87" s="209">
        <f>СЧЁТ!AA20</f>
        <v>10.098705571453516</v>
      </c>
      <c r="Z87" s="209">
        <f>СЧЁТ!AB20</f>
        <v>11.941266045828566</v>
      </c>
      <c r="AA87" s="209">
        <f>СЧЁТ!AC20</f>
        <v>12.996640727607122</v>
      </c>
      <c r="AB87" s="209">
        <f>СЧЁТ!AD20</f>
        <v>13.587422805401822</v>
      </c>
      <c r="AC87" s="209">
        <f>СЧЁТ!AE20</f>
        <v>14.262597604124318</v>
      </c>
      <c r="AD87" s="209">
        <f>СЧЁТ!AF20</f>
        <v>15.820545673088896</v>
      </c>
      <c r="AE87" s="209">
        <f>СЧЁТ!AG20</f>
        <v>16.643637181160418</v>
      </c>
      <c r="AF87" s="209">
        <f>СЧЁТ!AH20</f>
        <v>18.778754615584578</v>
      </c>
      <c r="AG87" s="209">
        <f>СЧЁТ!AI20</f>
        <v>20.932137525435952</v>
      </c>
      <c r="AH87" s="209">
        <f>СЧЁТ!AJ20</f>
        <v>22.713794876355891</v>
      </c>
      <c r="AI87" s="209">
        <f>СЧЁТ!AK20</f>
        <v>24.993896175246313</v>
      </c>
      <c r="AJ87" s="209">
        <f>СЧЁТ!AL20</f>
        <v>27.181442967904612</v>
      </c>
      <c r="AK87" s="209">
        <f>СЧЁТ!AM20</f>
        <v>28.304690887736221</v>
      </c>
      <c r="AL87" s="209">
        <f>СЧЁТ!AN20</f>
        <v>29.498051210324068</v>
      </c>
      <c r="AM87" s="209">
        <f>СЧЁТ!AO20</f>
        <v>30.772953770840271</v>
      </c>
      <c r="AN87" s="209">
        <f>СЧЁТ!AP20</f>
        <v>32.111601459382285</v>
      </c>
      <c r="AO87" s="209">
        <f>СЧЁТ!AQ20</f>
        <v>33.517181532351401</v>
      </c>
      <c r="AP87" s="209">
        <f>СЧЁТ!AR20</f>
        <v>34.993040608968968</v>
      </c>
      <c r="AQ87" s="209">
        <f>СЧЁТ!AS20</f>
        <v>36.542692639417417</v>
      </c>
      <c r="AR87" s="209">
        <f>СЧЁТ!AT20</f>
        <v>38.169827271388293</v>
      </c>
      <c r="AS87" s="209">
        <f>СЧЁТ!AU20</f>
        <v>39.878318634957708</v>
      </c>
      <c r="AT87" s="209">
        <f>СЧЁТ!AV20</f>
        <v>41.672234566705598</v>
      </c>
      <c r="AU87" s="209">
        <f>СЧЁТ!AW20</f>
        <v>43.55584629504088</v>
      </c>
      <c r="AV87" s="209">
        <f>СЧЁТ!AX20</f>
        <v>45.533638609792924</v>
      </c>
      <c r="AW87" s="44" t="s">
        <v>642</v>
      </c>
    </row>
    <row r="88" spans="3:49" ht="17.399999999999999">
      <c r="C88" s="105">
        <v>21</v>
      </c>
      <c r="D88" s="517">
        <v>42308</v>
      </c>
      <c r="E88" s="205" t="s">
        <v>644</v>
      </c>
      <c r="F88" s="51" t="s">
        <v>809</v>
      </c>
      <c r="G88" s="38" t="s">
        <v>920</v>
      </c>
      <c r="H88" s="38"/>
      <c r="I88" s="38"/>
      <c r="J88" s="38"/>
      <c r="K88" s="38"/>
      <c r="L88" s="38"/>
      <c r="M88" s="61">
        <v>1</v>
      </c>
      <c r="N88" s="209">
        <f>СЧЁТ!P21</f>
        <v>1.006</v>
      </c>
      <c r="O88" s="209">
        <f>СЧЁТ!Q21</f>
        <v>0.99795199999999995</v>
      </c>
      <c r="P88" s="209">
        <f>СЧЁТ!R21</f>
        <v>1.0029417599999999</v>
      </c>
      <c r="Q88" s="209">
        <f>СЧЁТ!S21</f>
        <v>0.98890057535999987</v>
      </c>
      <c r="R88" s="209">
        <f>СЧЁТ!T21</f>
        <v>1.0047229845657599</v>
      </c>
      <c r="S88" s="209">
        <f>СЧЁТ!U21</f>
        <v>1.0238127212725092</v>
      </c>
      <c r="T88" s="209">
        <f>СЧЁТ!V21</f>
        <v>1.0320032230426892</v>
      </c>
      <c r="U88" s="209">
        <f>СЧЁТ!W21</f>
        <v>1.0330352262657319</v>
      </c>
      <c r="V88" s="209">
        <f>СЧЁТ!X21</f>
        <v>0.91836831615023562</v>
      </c>
      <c r="W88" s="209">
        <f>СЧЁТ!Y21</f>
        <v>0.7503069142947425</v>
      </c>
      <c r="X88" s="209">
        <f>СЧЁТ!Z21</f>
        <v>0.73755169675173182</v>
      </c>
      <c r="Y88" s="209">
        <f>СЧЁТ!AA21</f>
        <v>0.75746559256402857</v>
      </c>
      <c r="Z88" s="209">
        <f>СЧЁТ!AB21</f>
        <v>0.7468610742681322</v>
      </c>
      <c r="AA88" s="209">
        <f>СЧЁТ!AC21</f>
        <v>0.68711218832668164</v>
      </c>
      <c r="AB88" s="209">
        <f>СЧЁТ!AD21</f>
        <v>0.6836766273850482</v>
      </c>
      <c r="AC88" s="209">
        <f>СЧЁТ!AE21</f>
        <v>0.65017647264318079</v>
      </c>
      <c r="AD88" s="209">
        <f>СЧЁТ!AF21</f>
        <v>0.64367470791674897</v>
      </c>
      <c r="AE88" s="209">
        <f>СЧЁТ!AG21</f>
        <v>0.63595061142174802</v>
      </c>
      <c r="AF88" s="209">
        <f>СЧЁТ!AH21</f>
        <v>0.63595061142174802</v>
      </c>
      <c r="AG88" s="209">
        <f>СЧЁТ!AI21</f>
        <v>0.61750804369051726</v>
      </c>
      <c r="AH88" s="209">
        <f>СЧЁТ!AJ21</f>
        <v>0.62368312412742244</v>
      </c>
      <c r="AI88" s="209">
        <f>СЧЁТ!AK21</f>
        <v>0.62680153974805952</v>
      </c>
      <c r="AJ88" s="209">
        <f>СЧЁТ!AL21</f>
        <v>0.65500760903672217</v>
      </c>
      <c r="AK88" s="209">
        <f>СЧЁТ!AM21</f>
        <v>0.68180337486095166</v>
      </c>
      <c r="AL88" s="209">
        <f>СЧЁТ!AN21</f>
        <v>0.70725935239396964</v>
      </c>
      <c r="AM88" s="209">
        <f>СЧЁТ!AO21</f>
        <v>0.73144253105033674</v>
      </c>
      <c r="AN88" s="209">
        <f>СЧЁТ!AP21</f>
        <v>0.75441655077388547</v>
      </c>
      <c r="AO88" s="209">
        <f>СЧЁТ!AQ21</f>
        <v>0.77624186951125673</v>
      </c>
      <c r="AP88" s="209">
        <f>СЧЁТ!AR21</f>
        <v>0.7969759223117594</v>
      </c>
      <c r="AQ88" s="209">
        <f>СЧЁТ!AS21</f>
        <v>0.81667327247223698</v>
      </c>
      <c r="AR88" s="209">
        <f>СЧЁТ!AT21</f>
        <v>0.83538575512469071</v>
      </c>
      <c r="AS88" s="209">
        <f>СЧЁТ!AU21</f>
        <v>0.85316261364452173</v>
      </c>
      <c r="AT88" s="209">
        <f>СЧЁТ!AV21</f>
        <v>0.87005062923836118</v>
      </c>
      <c r="AU88" s="209">
        <f>СЧЁТ!AW21</f>
        <v>0.88609424405250869</v>
      </c>
      <c r="AV88" s="209">
        <f>СЧЁТ!AX21</f>
        <v>0.90133567812594884</v>
      </c>
      <c r="AW88" s="44" t="s">
        <v>644</v>
      </c>
    </row>
    <row r="89" spans="3:49" ht="17.399999999999999">
      <c r="C89" s="105">
        <v>22</v>
      </c>
      <c r="D89" s="517">
        <v>42308</v>
      </c>
      <c r="E89" s="205" t="s">
        <v>646</v>
      </c>
      <c r="F89" s="51" t="s">
        <v>809</v>
      </c>
      <c r="G89" s="38" t="s">
        <v>921</v>
      </c>
      <c r="H89" s="38"/>
      <c r="I89" s="38"/>
      <c r="J89" s="38"/>
      <c r="K89" s="38"/>
      <c r="L89" s="38"/>
      <c r="M89" s="61">
        <v>1</v>
      </c>
      <c r="N89" s="209">
        <f>СЧЁТ!P22</f>
        <v>1.1463921152743077</v>
      </c>
      <c r="O89" s="209">
        <f>СЧЁТ!Q22</f>
        <v>1.2513079717780982</v>
      </c>
      <c r="P89" s="209">
        <f>СЧЁТ!R22</f>
        <v>1.7757982734232494</v>
      </c>
      <c r="Q89" s="209">
        <f>СЧЁТ!S22</f>
        <v>4.3836468174313525</v>
      </c>
      <c r="R89" s="209">
        <f>СЧЁТ!T22</f>
        <v>5.422670804728047</v>
      </c>
      <c r="S89" s="209">
        <f>СЧЁТ!U22</f>
        <v>5.4161394271000169</v>
      </c>
      <c r="T89" s="209">
        <f>СЧЁТ!V22</f>
        <v>5.5899915734957792</v>
      </c>
      <c r="U89" s="209">
        <f>СЧЁТ!W22</f>
        <v>6.1009492646947514</v>
      </c>
      <c r="V89" s="209">
        <f>СЧЁТ!X22</f>
        <v>6.8314599646456458</v>
      </c>
      <c r="W89" s="209">
        <f>СЧЁТ!Y22</f>
        <v>8.0203116455157293</v>
      </c>
      <c r="X89" s="209">
        <f>СЧЁТ!Z22</f>
        <v>8.5777715926432858</v>
      </c>
      <c r="Y89" s="209">
        <f>СЧЁТ!AA22</f>
        <v>8.5612179305936174</v>
      </c>
      <c r="Z89" s="209">
        <f>СЧЁТ!AB22</f>
        <v>10.360928463828223</v>
      </c>
      <c r="AA89" s="209">
        <f>СЧЁТ!AC22</f>
        <v>10.685163024983835</v>
      </c>
      <c r="AB89" s="209">
        <f>СЧЁТ!AD22</f>
        <v>12.376778209553063</v>
      </c>
      <c r="AC89" s="209">
        <f>СЧЁТ!AE22</f>
        <v>14.886630426588821</v>
      </c>
      <c r="AD89" s="209">
        <f>СЧЁТ!AF22</f>
        <v>15.682710215951944</v>
      </c>
      <c r="AE89" s="209">
        <f>СЧЁТ!AG22</f>
        <v>15.596922733834738</v>
      </c>
      <c r="AF89" s="209">
        <f>СЧЁТ!AH22</f>
        <v>19.408072573294923</v>
      </c>
      <c r="AG89" s="209">
        <f>СЧЁТ!AI22</f>
        <v>25.392619710313024</v>
      </c>
      <c r="AH89" s="209">
        <f>СЧЁТ!AJ22</f>
        <v>24.686694352693262</v>
      </c>
      <c r="AI89" s="209">
        <f>СЧЁТ!AK22</f>
        <v>23.815961506525245</v>
      </c>
      <c r="AJ89" s="209">
        <f>СЧЁТ!AL22</f>
        <v>28.984298505855161</v>
      </c>
      <c r="AK89" s="209">
        <f>СЧЁТ!AM22</f>
        <v>28.287941205989458</v>
      </c>
      <c r="AL89" s="209">
        <f>СЧЁТ!AN22</f>
        <v>30.295292486376674</v>
      </c>
      <c r="AM89" s="209">
        <f>СЧЁТ!AO22</f>
        <v>32.50839100920102</v>
      </c>
      <c r="AN89" s="209">
        <f>СЧЁТ!AP22</f>
        <v>34.908397682763393</v>
      </c>
      <c r="AO89" s="209">
        <f>СЧЁТ!AQ22</f>
        <v>37.512473870121873</v>
      </c>
      <c r="AP89" s="209">
        <f>СЧЁТ!AR22</f>
        <v>40.339440137928356</v>
      </c>
      <c r="AQ89" s="209">
        <f>СЧЁТ!AS22</f>
        <v>43.409941332990961</v>
      </c>
      <c r="AR89" s="209">
        <f>СЧЁТ!AT22</f>
        <v>46.746628329593726</v>
      </c>
      <c r="AS89" s="209">
        <f>СЧЁТ!AU22</f>
        <v>50.374358143846841</v>
      </c>
      <c r="AT89" s="209">
        <f>СЧЁТ!AV22</f>
        <v>54.32041428458438</v>
      </c>
      <c r="AU89" s="209">
        <f>СЧЁТ!AW22</f>
        <v>58.614749401297182</v>
      </c>
      <c r="AV89" s="209">
        <f>СЧЁТ!AX22</f>
        <v>63.290252500100188</v>
      </c>
      <c r="AW89" s="44" t="s">
        <v>646</v>
      </c>
    </row>
    <row r="90" spans="3:49" ht="17.399999999999999">
      <c r="C90" s="105">
        <v>23</v>
      </c>
      <c r="D90" s="517">
        <v>42308</v>
      </c>
      <c r="E90" s="205" t="s">
        <v>648</v>
      </c>
      <c r="F90" s="51" t="s">
        <v>809</v>
      </c>
      <c r="G90" s="38" t="s">
        <v>922</v>
      </c>
      <c r="H90" s="38"/>
      <c r="I90" s="38"/>
      <c r="J90" s="38"/>
      <c r="K90" s="38"/>
      <c r="L90" s="38"/>
      <c r="M90" s="61">
        <v>1</v>
      </c>
      <c r="N90" s="209">
        <f>СЧЁТ!P23</f>
        <v>0</v>
      </c>
      <c r="O90" s="209">
        <f>СЧЁТ!Q23</f>
        <v>0</v>
      </c>
      <c r="P90" s="209">
        <f>СЧЁТ!R23</f>
        <v>0</v>
      </c>
      <c r="Q90" s="209">
        <f>СЧЁТ!S23</f>
        <v>0</v>
      </c>
      <c r="R90" s="209">
        <f>СЧЁТ!T23</f>
        <v>0</v>
      </c>
      <c r="S90" s="209">
        <f>СЧЁТ!U23</f>
        <v>0</v>
      </c>
      <c r="T90" s="209">
        <f>СЧЁТ!V23</f>
        <v>0</v>
      </c>
      <c r="U90" s="209">
        <f>СЧЁТ!W23</f>
        <v>0</v>
      </c>
      <c r="V90" s="209">
        <f>СЧЁТ!X23</f>
        <v>0</v>
      </c>
      <c r="W90" s="209">
        <f>СЧЁТ!Y23</f>
        <v>0</v>
      </c>
      <c r="X90" s="209">
        <f>СЧЁТ!Z23</f>
        <v>0</v>
      </c>
      <c r="Y90" s="209">
        <f>СЧЁТ!AA23</f>
        <v>0</v>
      </c>
      <c r="Z90" s="209">
        <f>СЧЁТ!AB23</f>
        <v>0</v>
      </c>
      <c r="AA90" s="209">
        <f>СЧЁТ!AC23</f>
        <v>0</v>
      </c>
      <c r="AB90" s="209">
        <f>СЧЁТ!AD23</f>
        <v>0</v>
      </c>
      <c r="AC90" s="209">
        <f>СЧЁТ!AE23</f>
        <v>0</v>
      </c>
      <c r="AD90" s="209">
        <f>СЧЁТ!AF23</f>
        <v>0</v>
      </c>
      <c r="AE90" s="209">
        <f>СЧЁТ!AG23</f>
        <v>0</v>
      </c>
      <c r="AF90" s="209">
        <f>СЧЁТ!AH23</f>
        <v>0</v>
      </c>
      <c r="AG90" s="209">
        <f>СЧЁТ!AI23</f>
        <v>0</v>
      </c>
      <c r="AH90" s="209">
        <f>СЧЁТ!AJ23</f>
        <v>0</v>
      </c>
      <c r="AI90" s="209">
        <f>СЧЁТ!AK23</f>
        <v>0</v>
      </c>
      <c r="AJ90" s="209">
        <f>СЧЁТ!AL23</f>
        <v>0</v>
      </c>
      <c r="AK90" s="209">
        <f>СЧЁТ!AM23</f>
        <v>0</v>
      </c>
      <c r="AL90" s="209">
        <f>СЧЁТ!AN23</f>
        <v>0</v>
      </c>
      <c r="AM90" s="209">
        <f>СЧЁТ!AO23</f>
        <v>0</v>
      </c>
      <c r="AN90" s="209">
        <f>СЧЁТ!AP23</f>
        <v>0</v>
      </c>
      <c r="AO90" s="209">
        <f>СЧЁТ!AQ23</f>
        <v>0</v>
      </c>
      <c r="AP90" s="209">
        <f>СЧЁТ!AR23</f>
        <v>0</v>
      </c>
      <c r="AQ90" s="209">
        <f>СЧЁТ!AS23</f>
        <v>0</v>
      </c>
      <c r="AR90" s="209">
        <f>СЧЁТ!AT23</f>
        <v>0</v>
      </c>
      <c r="AS90" s="209">
        <f>СЧЁТ!AU23</f>
        <v>0</v>
      </c>
      <c r="AT90" s="209">
        <f>СЧЁТ!AV23</f>
        <v>0</v>
      </c>
      <c r="AU90" s="209">
        <f>СЧЁТ!AW23</f>
        <v>0</v>
      </c>
      <c r="AV90" s="209">
        <f>СЧЁТ!AX23</f>
        <v>0</v>
      </c>
      <c r="AW90" s="44" t="s">
        <v>648</v>
      </c>
    </row>
    <row r="91" spans="3:49" ht="17.399999999999999">
      <c r="C91" s="105">
        <v>24</v>
      </c>
      <c r="D91" s="517">
        <v>42308</v>
      </c>
      <c r="E91" s="205" t="s">
        <v>650</v>
      </c>
      <c r="F91" s="51" t="s">
        <v>809</v>
      </c>
      <c r="G91" s="38" t="s">
        <v>923</v>
      </c>
      <c r="H91" s="38"/>
      <c r="I91" s="38"/>
      <c r="J91" s="38"/>
      <c r="K91" s="38"/>
      <c r="L91" s="38"/>
      <c r="M91" s="61">
        <v>1</v>
      </c>
      <c r="N91" s="209">
        <f>СЧЁТ!P24</f>
        <v>1.7194377618988257</v>
      </c>
      <c r="O91" s="209">
        <f>СЧЁТ!Q24</f>
        <v>1.9680277801214476</v>
      </c>
      <c r="P91" s="209">
        <f>СЧЁТ!R24</f>
        <v>2.2270348811115843</v>
      </c>
      <c r="Q91" s="209">
        <f>СЧЁТ!S24</f>
        <v>3.493098424873764</v>
      </c>
      <c r="R91" s="209">
        <f>СЧЁТ!T24</f>
        <v>5.1712627496070169</v>
      </c>
      <c r="S91" s="209">
        <f>СЧЁТ!U24</f>
        <v>6.0707268468539191</v>
      </c>
      <c r="T91" s="209">
        <f>СЧЁТ!V24</f>
        <v>6.9167509862711283</v>
      </c>
      <c r="U91" s="209">
        <f>СЧЁТ!W24</f>
        <v>7.6273689193439225</v>
      </c>
      <c r="V91" s="209">
        <f>СЧЁТ!X24</f>
        <v>8.7904133177964692</v>
      </c>
      <c r="W91" s="209">
        <f>СЧЁТ!Y24</f>
        <v>10.054085870175701</v>
      </c>
      <c r="X91" s="209">
        <f>СЧЁТ!Z24</f>
        <v>11.28478682823815</v>
      </c>
      <c r="Y91" s="209">
        <f>СЧЁТ!AA24</f>
        <v>13.059083510568804</v>
      </c>
      <c r="Z91" s="209">
        <f>СЧЁТ!AB24</f>
        <v>15.593657080025292</v>
      </c>
      <c r="AA91" s="209">
        <f>СЧЁТ!AC24</f>
        <v>16.373566297801105</v>
      </c>
      <c r="AB91" s="209">
        <f>СЧЁТ!AD24</f>
        <v>17.674409856030426</v>
      </c>
      <c r="AC91" s="209">
        <f>СЧЁТ!AE24</f>
        <v>19.234566440524752</v>
      </c>
      <c r="AD91" s="209">
        <f>СЧЁТ!AF24</f>
        <v>20.540168341333807</v>
      </c>
      <c r="AE91" s="209">
        <f>СЧЁТ!AG24</f>
        <v>21.776225011581559</v>
      </c>
      <c r="AF91" s="209">
        <f>СЧЁТ!AH24</f>
        <v>22.851453644141124</v>
      </c>
      <c r="AG91" s="209">
        <f>СЧЁТ!AI24</f>
        <v>25.408791247612854</v>
      </c>
      <c r="AH91" s="209">
        <f>СЧЁТ!AJ24</f>
        <v>27.019844336572895</v>
      </c>
      <c r="AI91" s="209">
        <f>СЧЁТ!AK24</f>
        <v>28.017232863734257</v>
      </c>
      <c r="AJ91" s="209">
        <f>СЧЁТ!AL24</f>
        <v>29.489664817255768</v>
      </c>
      <c r="AK91" s="209">
        <f>СЧЁТ!AM24</f>
        <v>30.569829658758049</v>
      </c>
      <c r="AL91" s="209">
        <f>СЧЁТ!AN24</f>
        <v>32.000596695003054</v>
      </c>
      <c r="AM91" s="209">
        <f>СЧЁТ!AO24</f>
        <v>34.39782652975321</v>
      </c>
      <c r="AN91" s="209">
        <f>СЧЁТ!AP24</f>
        <v>36.473917856240874</v>
      </c>
      <c r="AO91" s="209">
        <f>СЧЁТ!AQ24</f>
        <v>38.653813749052922</v>
      </c>
      <c r="AP91" s="209">
        <f>СЧЁТ!AR24</f>
        <v>40.942704436505565</v>
      </c>
      <c r="AQ91" s="209">
        <f>СЧЁТ!AS24</f>
        <v>43.346039658330845</v>
      </c>
      <c r="AR91" s="209">
        <f>СЧЁТ!AT24</f>
        <v>45.869541641247388</v>
      </c>
      <c r="AS91" s="209">
        <f>СЧЁТ!AU24</f>
        <v>48.519218723309763</v>
      </c>
      <c r="AT91" s="209">
        <f>СЧЁТ!AV24</f>
        <v>51.301379659475259</v>
      </c>
      <c r="AU91" s="209">
        <f>СЧЁТ!AW24</f>
        <v>54.222648642449023</v>
      </c>
      <c r="AV91" s="209">
        <f>СЧЁТ!AX24</f>
        <v>57.289981074571479</v>
      </c>
      <c r="AW91" s="44" t="s">
        <v>650</v>
      </c>
    </row>
    <row r="92" spans="3:49" ht="17.399999999999999">
      <c r="C92" s="105">
        <v>25</v>
      </c>
      <c r="D92" s="517">
        <v>42308</v>
      </c>
      <c r="E92" s="205" t="s">
        <v>652</v>
      </c>
      <c r="F92" s="51" t="s">
        <v>809</v>
      </c>
      <c r="G92" s="38" t="s">
        <v>924</v>
      </c>
      <c r="H92" s="38"/>
      <c r="I92" s="38"/>
      <c r="J92" s="38"/>
      <c r="K92" s="38"/>
      <c r="L92" s="38"/>
      <c r="M92" s="61">
        <v>1</v>
      </c>
      <c r="N92" s="209">
        <f>СЧЁТ!P25</f>
        <v>2.4661634872716665</v>
      </c>
      <c r="O92" s="209">
        <f>СЧЁТ!Q25</f>
        <v>2.5165818894824628</v>
      </c>
      <c r="P92" s="209">
        <f>СЧЁТ!R25</f>
        <v>2.6836249787031963</v>
      </c>
      <c r="Q92" s="209">
        <f>СЧЁТ!S25</f>
        <v>2.701164323022275</v>
      </c>
      <c r="R92" s="209">
        <f>СЧЁТ!T25</f>
        <v>3.2947518370474893</v>
      </c>
      <c r="S92" s="209">
        <f>СЧЁТ!U25</f>
        <v>3.7846782806927575</v>
      </c>
      <c r="T92" s="209">
        <f>СЧЁТ!V25</f>
        <v>4.5228031897927927</v>
      </c>
      <c r="U92" s="209">
        <f>СЧЁТ!W25</f>
        <v>5.542638112686384</v>
      </c>
      <c r="V92" s="209">
        <f>СЧЁТ!X25</f>
        <v>6.2728522161048463</v>
      </c>
      <c r="W92" s="209">
        <f>СЧЁТ!Y25</f>
        <v>7.3244397581202456</v>
      </c>
      <c r="X92" s="209">
        <f>СЧЁТ!Z25</f>
        <v>8.1861967165379976</v>
      </c>
      <c r="Y92" s="209">
        <f>СЧЁТ!AA25</f>
        <v>10.097240670067599</v>
      </c>
      <c r="Z92" s="209">
        <f>СЧЁТ!AB25</f>
        <v>12.014838376677151</v>
      </c>
      <c r="AA92" s="209">
        <f>СЧЁТ!AC25</f>
        <v>12.870829474853368</v>
      </c>
      <c r="AB92" s="209">
        <f>СЧЁТ!AD25</f>
        <v>14.148307151553455</v>
      </c>
      <c r="AC92" s="209">
        <f>СЧЁТ!AE25</f>
        <v>15.766970202222982</v>
      </c>
      <c r="AD92" s="209">
        <f>СЧЁТ!AF25</f>
        <v>16.974068796381736</v>
      </c>
      <c r="AE92" s="209">
        <f>СЧЁТ!AG25</f>
        <v>17.953158422730532</v>
      </c>
      <c r="AF92" s="209">
        <f>СЧЁТ!AH25</f>
        <v>19.115802786548628</v>
      </c>
      <c r="AG92" s="209">
        <f>СЧЁТ!AI25</f>
        <v>20.193444864834213</v>
      </c>
      <c r="AH92" s="209">
        <f>СЧЁТ!AJ25</f>
        <v>22.177890468882978</v>
      </c>
      <c r="AI92" s="209">
        <f>СЧЁТ!AK25</f>
        <v>22.675989872141365</v>
      </c>
      <c r="AJ92" s="209">
        <f>СЧЁТ!AL25</f>
        <v>23.085153319082956</v>
      </c>
      <c r="AK92" s="209">
        <f>СЧЁТ!AM25</f>
        <v>24.669713611800503</v>
      </c>
      <c r="AL92" s="209">
        <f>СЧЁТ!AN25</f>
        <v>25.900066990139901</v>
      </c>
      <c r="AM92" s="209">
        <f>СЧЁТ!AO25</f>
        <v>27.2144903396469</v>
      </c>
      <c r="AN92" s="209">
        <f>СЧЁТ!AP25</f>
        <v>28.594634856629245</v>
      </c>
      <c r="AO92" s="209">
        <f>СЧЁТ!AQ25</f>
        <v>30.043786599460709</v>
      </c>
      <c r="AP92" s="209">
        <f>СЧЁТ!AR25</f>
        <v>31.565395929433745</v>
      </c>
      <c r="AQ92" s="209">
        <f>СЧЁТ!AS25</f>
        <v>33.163085725905439</v>
      </c>
      <c r="AR92" s="209">
        <f>СЧЁТ!AT25</f>
        <v>34.840660012200708</v>
      </c>
      <c r="AS92" s="209">
        <f>СЧЁТ!AU25</f>
        <v>36.602113012810747</v>
      </c>
      <c r="AT92" s="209">
        <f>СЧЁТ!AV25</f>
        <v>38.451638663451291</v>
      </c>
      <c r="AU92" s="209">
        <f>СЧЁТ!AW25</f>
        <v>40.393640596623854</v>
      </c>
      <c r="AV92" s="209">
        <f>СЧЁТ!AX25</f>
        <v>42.432742626455045</v>
      </c>
      <c r="AW92" s="44" t="s">
        <v>652</v>
      </c>
    </row>
    <row r="93" spans="3:49" ht="17.399999999999999">
      <c r="C93" s="105">
        <v>26</v>
      </c>
      <c r="D93" s="518">
        <v>42034</v>
      </c>
      <c r="E93" s="205" t="s">
        <v>583</v>
      </c>
      <c r="F93" s="51" t="s">
        <v>809</v>
      </c>
      <c r="G93" s="38" t="s">
        <v>925</v>
      </c>
      <c r="H93" s="38"/>
      <c r="I93" s="38"/>
      <c r="J93" s="38"/>
      <c r="K93" s="38"/>
      <c r="L93" s="38"/>
      <c r="M93" s="216">
        <v>0.28818310642293049</v>
      </c>
      <c r="N93" s="209" t="str">
        <f>СЧЁТ!A31</f>
        <v>экспертный прогноз</v>
      </c>
      <c r="O93" s="209">
        <f>СЧЁТ!B31</f>
        <v>0</v>
      </c>
      <c r="P93" s="209">
        <f>СЧЁТ!C31</f>
        <v>0</v>
      </c>
      <c r="Q93" s="209">
        <f>СЧЁТ!S31</f>
        <v>0.98890057535999987</v>
      </c>
      <c r="R93" s="209">
        <f>СЧЁТ!T31</f>
        <v>1.0047229845657599</v>
      </c>
      <c r="S93" s="209">
        <f>СЧЁТ!U31</f>
        <v>1.0238127212725092</v>
      </c>
      <c r="T93" s="209">
        <f>СЧЁТ!V31</f>
        <v>1.0320032230426892</v>
      </c>
      <c r="U93" s="209">
        <f>СЧЁТ!W31</f>
        <v>1.0330352262657319</v>
      </c>
      <c r="V93" s="209">
        <f>СЧЁТ!X31</f>
        <v>0.91836831615023562</v>
      </c>
      <c r="W93" s="209">
        <f>СЧЁТ!Y31</f>
        <v>0.7503069142947425</v>
      </c>
      <c r="X93" s="209">
        <f>СЧЁТ!Z31</f>
        <v>0.73755169675173182</v>
      </c>
      <c r="Y93" s="209">
        <f>СЧЁТ!AA31</f>
        <v>0.75746559256402857</v>
      </c>
      <c r="Z93" s="209">
        <f>СЧЁТ!AB31</f>
        <v>0.7468610742681322</v>
      </c>
      <c r="AA93" s="209">
        <f>СЧЁТ!AC31</f>
        <v>0.68711218832668164</v>
      </c>
      <c r="AB93" s="209">
        <f>СЧЁТ!AD31</f>
        <v>0.6836766273850482</v>
      </c>
      <c r="AC93" s="209">
        <f>СЧЁТ!AE31</f>
        <v>0.65017647264318079</v>
      </c>
      <c r="AD93" s="209">
        <f>СЧЁТ!AF31</f>
        <v>0.64367470791674897</v>
      </c>
      <c r="AE93" s="209">
        <f>СЧЁТ!AG31</f>
        <v>0.63595061142174802</v>
      </c>
      <c r="AF93" s="209">
        <f>СЧЁТ!AH31</f>
        <v>0.63595061142174802</v>
      </c>
      <c r="AG93" s="209">
        <f>СЧЁТ!AI31</f>
        <v>0.61750804369051726</v>
      </c>
      <c r="AH93" s="209">
        <f>СЧЁТ!AJ31</f>
        <v>0.62368312412742244</v>
      </c>
      <c r="AI93" s="209">
        <f>СЧЁТ!AK31</f>
        <v>0.62680153974805952</v>
      </c>
      <c r="AJ93" s="209">
        <f>СЧЁТ!AL31</f>
        <v>0.65500760903672217</v>
      </c>
      <c r="AK93" s="209">
        <f>СЧЁТ!AM31</f>
        <v>0.68180337486095166</v>
      </c>
      <c r="AL93" s="209">
        <f>СЧЁТ!AN31</f>
        <v>0.70725935239396964</v>
      </c>
      <c r="AM93" s="209">
        <f>СЧЁТ!AO31</f>
        <v>0.73144253105033674</v>
      </c>
      <c r="AN93" s="209">
        <f>СЧЁТ!AP31</f>
        <v>0.75441655077388547</v>
      </c>
      <c r="AO93" s="209">
        <f>СЧЁТ!AQ31</f>
        <v>0.77624186951125673</v>
      </c>
      <c r="AP93" s="209">
        <f>СЧЁТ!AR31</f>
        <v>0.7969759223117594</v>
      </c>
      <c r="AQ93" s="209">
        <f>СЧЁТ!AS31</f>
        <v>0.81667327247223698</v>
      </c>
      <c r="AR93" s="209">
        <f>СЧЁТ!AT31</f>
        <v>0.83538575512469071</v>
      </c>
      <c r="AS93" s="209">
        <f>СЧЁТ!AU31</f>
        <v>0.85316261364452173</v>
      </c>
      <c r="AT93" s="209">
        <f>СЧЁТ!AV31</f>
        <v>0.87005062923836118</v>
      </c>
      <c r="AU93" s="209">
        <f>СЧЁТ!AW31</f>
        <v>0.88609424405250869</v>
      </c>
      <c r="AV93" s="209">
        <f>СЧЁТ!AX31</f>
        <v>0.90133567812594884</v>
      </c>
      <c r="AW93" s="44" t="s">
        <v>583</v>
      </c>
    </row>
    <row r="94" spans="3:49" ht="17.399999999999999">
      <c r="C94" s="105">
        <v>27</v>
      </c>
      <c r="D94" s="517">
        <v>42309</v>
      </c>
      <c r="E94" s="205" t="s">
        <v>791</v>
      </c>
      <c r="F94" s="51" t="s">
        <v>809</v>
      </c>
      <c r="G94" s="38" t="s">
        <v>926</v>
      </c>
      <c r="H94" s="38"/>
      <c r="I94" s="38"/>
      <c r="J94" s="38"/>
      <c r="K94" s="38"/>
      <c r="L94" s="38"/>
      <c r="M94" s="207">
        <v>1.3068917176995491</v>
      </c>
      <c r="N94" s="209">
        <f>СЧЁТ!P32</f>
        <v>1.0551238685898738</v>
      </c>
      <c r="O94" s="209">
        <f>СЧЁТ!Q32</f>
        <v>1.0637144494078237</v>
      </c>
      <c r="P94" s="209">
        <f>СЧЁТ!R32</f>
        <v>0.88314350986207779</v>
      </c>
      <c r="Q94" s="209">
        <f>СЧЁТ!S32</f>
        <v>0.94351698193098643</v>
      </c>
      <c r="R94" s="209">
        <f>СЧЁТ!T32</f>
        <v>1.2247490822844354</v>
      </c>
      <c r="S94" s="209">
        <f>СЧЁТ!U32</f>
        <v>1.3476545615734206</v>
      </c>
      <c r="T94" s="209">
        <f>СЧЁТ!V32</f>
        <v>1.4665088426814834</v>
      </c>
      <c r="U94" s="209">
        <f>СЧЁТ!W32</f>
        <v>1.6632756085335001</v>
      </c>
      <c r="V94" s="209">
        <f>СЧЁТ!X32</f>
        <v>1.8635096058631688</v>
      </c>
      <c r="W94" s="209">
        <f>СЧЁТ!Y32</f>
        <v>2.0184806102920132</v>
      </c>
      <c r="X94" s="209">
        <f>СЧЁТ!Z32</f>
        <v>2.2752161070197054</v>
      </c>
      <c r="Y94" s="209">
        <f>СЧЁТ!AA32</f>
        <v>2.574224804669774</v>
      </c>
      <c r="Z94" s="209">
        <f>СЧЁТ!AB32</f>
        <v>2.7497210051148255</v>
      </c>
      <c r="AA94" s="209">
        <f>СЧЁТ!AC32</f>
        <v>1.8560505362598563</v>
      </c>
      <c r="AB94" s="209">
        <f>СЧЁТ!AD32</f>
        <v>2.3303907302212532</v>
      </c>
      <c r="AC94" s="209">
        <f>СЧЁТ!AE32</f>
        <v>2.683219177751119</v>
      </c>
      <c r="AD94" s="209">
        <f>СЧЁТ!AF32</f>
        <v>2.7827564782033063</v>
      </c>
      <c r="AE94" s="209">
        <f>СЧЁТ!AG32</f>
        <v>2.7806418221752773</v>
      </c>
      <c r="AF94" s="209">
        <f>СЧЁТ!AH32</f>
        <v>2.5425932511944835</v>
      </c>
      <c r="AG94" s="209">
        <f>СЧЁТ!AI32</f>
        <v>2.1845595087999583</v>
      </c>
      <c r="AH94" s="209">
        <f>СЧЁТ!AJ32</f>
        <v>2.1739835580660896</v>
      </c>
      <c r="AI94" s="209">
        <f>СЧЁТ!AK32</f>
        <v>2.4593278252133119</v>
      </c>
      <c r="AJ94" s="209">
        <f>СЧЁТ!AL32</f>
        <v>2.5430346985333676</v>
      </c>
      <c r="AK94" s="209">
        <f>СЧЁТ!AM32</f>
        <v>2.5932588225254012</v>
      </c>
      <c r="AL94" s="209">
        <f>СЧЁТ!AN32</f>
        <v>2.6233932969206215</v>
      </c>
      <c r="AM94" s="209">
        <f>СЧЁТ!AO32</f>
        <v>2.6414739815577537</v>
      </c>
      <c r="AN94" s="209">
        <f>СЧЁТ!AP32</f>
        <v>2.6523223923400332</v>
      </c>
      <c r="AO94" s="209">
        <f>СЧЁТ!AQ32</f>
        <v>2.658831438809401</v>
      </c>
      <c r="AP94" s="209">
        <f>СЧЁТ!AR32</f>
        <v>2.6627368666910218</v>
      </c>
      <c r="AQ94" s="209">
        <f>СЧЁТ!AS32</f>
        <v>2.6650801234199943</v>
      </c>
      <c r="AR94" s="209">
        <f>СЧЁТ!AT32</f>
        <v>2.6664860774573778</v>
      </c>
      <c r="AS94" s="209">
        <f>СЧЁТ!AU32</f>
        <v>2.6673296498798078</v>
      </c>
      <c r="AT94" s="209">
        <f>СЧЁТ!AV32</f>
        <v>2.6678357933332659</v>
      </c>
      <c r="AU94" s="209">
        <f>СЧЁТ!AW32</f>
        <v>2.6681394794053408</v>
      </c>
      <c r="AV94" s="209">
        <f>СЧЁТ!AX32</f>
        <v>2.6683216910485856</v>
      </c>
      <c r="AW94" s="44" t="s">
        <v>791</v>
      </c>
    </row>
    <row r="95" spans="3:49" ht="17.399999999999999">
      <c r="C95" s="105">
        <v>28</v>
      </c>
      <c r="D95" s="517">
        <v>42308</v>
      </c>
      <c r="E95" s="205" t="s">
        <v>537</v>
      </c>
      <c r="F95" s="51" t="s">
        <v>809</v>
      </c>
      <c r="G95" s="38" t="s">
        <v>927</v>
      </c>
      <c r="H95" s="38"/>
      <c r="I95" s="38"/>
      <c r="J95" s="38"/>
      <c r="K95" s="38"/>
      <c r="L95" s="38"/>
      <c r="M95" s="216">
        <v>3.9346290432521365E-2</v>
      </c>
      <c r="N95" s="209">
        <f>СЧЁТ!P33</f>
        <v>5300.6940000000004</v>
      </c>
      <c r="O95" s="209">
        <f>СЧЁТ!Q33</f>
        <v>5279.4912240000003</v>
      </c>
      <c r="P95" s="209">
        <f>СЧЁТ!R33</f>
        <v>5263.6527503280004</v>
      </c>
      <c r="Q95" s="209">
        <f>СЧЁТ!S33</f>
        <v>5274.1800558286568</v>
      </c>
      <c r="R95" s="209">
        <f>СЧЁТ!T33</f>
        <v>5300.5509561077997</v>
      </c>
      <c r="S95" s="209">
        <f>СЧЁТ!U33</f>
        <v>5348.2559147127704</v>
      </c>
      <c r="T95" s="209">
        <f>СЧЁТ!V33</f>
        <v>5401.7384738598985</v>
      </c>
      <c r="U95" s="209">
        <f>СЧЁТ!W33</f>
        <v>5471.961074020076</v>
      </c>
      <c r="V95" s="209">
        <f>СЧЁТ!X33</f>
        <v>5559.5124512043967</v>
      </c>
      <c r="W95" s="209">
        <f>СЧЁТ!Y33</f>
        <v>5665.1431877772811</v>
      </c>
      <c r="X95" s="209">
        <f>СЧЁТ!Z33</f>
        <v>5801.1066242839361</v>
      </c>
      <c r="Y95" s="209">
        <f>СЧЁТ!AA33</f>
        <v>5980.9409296367376</v>
      </c>
      <c r="Z95" s="209">
        <f>СЧЁТ!AB33</f>
        <v>6196.2548031036604</v>
      </c>
      <c r="AA95" s="209">
        <f>СЧЁТ!AC33</f>
        <v>6394.5349568029778</v>
      </c>
      <c r="AB95" s="209">
        <f>СЧЁТ!AD33</f>
        <v>6586.3710055070669</v>
      </c>
      <c r="AC95" s="209">
        <f>СЧЁТ!AE33</f>
        <v>6849.8258457273505</v>
      </c>
      <c r="AD95" s="209">
        <f>СЧЁТ!AF33</f>
        <v>7144.3683570936255</v>
      </c>
      <c r="AE95" s="209">
        <f>СЧЁТ!AG33</f>
        <v>7437.2874597344635</v>
      </c>
      <c r="AF95" s="209">
        <f>СЧЁТ!AH33</f>
        <v>7712.4670957446378</v>
      </c>
      <c r="AG95" s="209">
        <f>СЧЁТ!AI33</f>
        <v>7959.2660428084673</v>
      </c>
      <c r="AH95" s="209">
        <f>СЧЁТ!AJ33</f>
        <v>8269.677418477997</v>
      </c>
      <c r="AI95" s="209">
        <f>СЧЁТ!AK33</f>
        <v>8583.9251603801604</v>
      </c>
      <c r="AJ95" s="209">
        <f>СЧЁТ!AL33</f>
        <v>8944.4500171161289</v>
      </c>
      <c r="AK95" s="209">
        <f>СЧЁТ!AM33</f>
        <v>9315.4794364663703</v>
      </c>
      <c r="AL95" s="209">
        <f>СЧЁТ!AN33</f>
        <v>9701.5634658874351</v>
      </c>
      <c r="AM95" s="209">
        <f>СЧЁТ!AO33</f>
        <v>10100.449024754149</v>
      </c>
      <c r="AN95" s="209">
        <f>СЧЁТ!AP33</f>
        <v>10526.232536339399</v>
      </c>
      <c r="AO95" s="209">
        <f>СЧЁТ!AQ33</f>
        <v>10976.127338183813</v>
      </c>
      <c r="AP95" s="209">
        <f>СЧЁТ!AR33</f>
        <v>11450.376438115263</v>
      </c>
      <c r="AQ95" s="209">
        <f>СЧЁТ!AS33</f>
        <v>11948.374451382973</v>
      </c>
      <c r="AR95" s="209">
        <f>СЧЁТ!AT33</f>
        <v>12470.493165184831</v>
      </c>
      <c r="AS95" s="209">
        <f>СЧЁТ!AU33</f>
        <v>13017.144068658055</v>
      </c>
      <c r="AT95" s="209">
        <f>СЧЁТ!AV33</f>
        <v>13588.769822736602</v>
      </c>
      <c r="AU95" s="209">
        <f>СЧЁТ!AW33</f>
        <v>14185.83670455504</v>
      </c>
      <c r="AV95" s="209">
        <f>СЧЁТ!AX33</f>
        <v>14808.82788562779</v>
      </c>
      <c r="AW95" s="44" t="s">
        <v>537</v>
      </c>
    </row>
    <row r="96" spans="3:49" ht="17.399999999999999">
      <c r="C96" s="105">
        <v>29</v>
      </c>
      <c r="D96" s="517">
        <v>42308</v>
      </c>
      <c r="E96" s="205" t="s">
        <v>540</v>
      </c>
      <c r="F96" s="51" t="s">
        <v>809</v>
      </c>
      <c r="G96" s="38" t="s">
        <v>1346</v>
      </c>
      <c r="H96" s="38"/>
      <c r="I96" s="38"/>
      <c r="J96" s="38"/>
      <c r="K96" s="38"/>
      <c r="L96" s="38"/>
      <c r="M96" s="216">
        <v>5.4136428377645138E-2</v>
      </c>
      <c r="N96" s="209">
        <f>СЧЁТ!P34</f>
        <v>0</v>
      </c>
      <c r="O96" s="209">
        <f>СЧЁТ!Q34</f>
        <v>0</v>
      </c>
      <c r="P96" s="209">
        <f>СЧЁТ!R34</f>
        <v>0</v>
      </c>
      <c r="Q96" s="209">
        <f>СЧЁТ!S34</f>
        <v>0</v>
      </c>
      <c r="R96" s="209">
        <f>СЧЁТ!T34</f>
        <v>0</v>
      </c>
      <c r="S96" s="209">
        <f>СЧЁТ!U34</f>
        <v>0</v>
      </c>
      <c r="T96" s="209">
        <f>СЧЁТ!V34</f>
        <v>0</v>
      </c>
      <c r="U96" s="209">
        <f>СЧЁТ!W34</f>
        <v>0</v>
      </c>
      <c r="V96" s="209">
        <f>СЧЁТ!X34</f>
        <v>0</v>
      </c>
      <c r="W96" s="209">
        <f>СЧЁТ!Y34</f>
        <v>0</v>
      </c>
      <c r="X96" s="209">
        <f>СЧЁТ!Z34</f>
        <v>0</v>
      </c>
      <c r="Y96" s="209">
        <f>СЧЁТ!AA34</f>
        <v>0</v>
      </c>
      <c r="Z96" s="209">
        <f>СЧЁТ!AB34</f>
        <v>0</v>
      </c>
      <c r="AA96" s="209">
        <f>СЧЁТ!AC34</f>
        <v>0</v>
      </c>
      <c r="AB96" s="209">
        <f>СЧЁТ!AD34</f>
        <v>0</v>
      </c>
      <c r="AC96" s="209">
        <f>СЧЁТ!AE34</f>
        <v>0</v>
      </c>
      <c r="AD96" s="209">
        <f>СЧЁТ!AF34</f>
        <v>0</v>
      </c>
      <c r="AE96" s="209">
        <f>СЧЁТ!AG34</f>
        <v>0</v>
      </c>
      <c r="AF96" s="209">
        <f>СЧЁТ!AH34</f>
        <v>0</v>
      </c>
      <c r="AG96" s="209">
        <f>СЧЁТ!AI34</f>
        <v>0</v>
      </c>
      <c r="AH96" s="209">
        <f>СЧЁТ!AJ34</f>
        <v>0</v>
      </c>
      <c r="AI96" s="209">
        <f>СЧЁТ!AK34</f>
        <v>0</v>
      </c>
      <c r="AJ96" s="209">
        <f>СЧЁТ!AL34</f>
        <v>0</v>
      </c>
      <c r="AK96" s="209">
        <f>СЧЁТ!AM34</f>
        <v>0</v>
      </c>
      <c r="AL96" s="209">
        <f>СЧЁТ!AN34</f>
        <v>0</v>
      </c>
      <c r="AM96" s="209">
        <f>СЧЁТ!AO34</f>
        <v>0</v>
      </c>
      <c r="AN96" s="209">
        <f>СЧЁТ!AP34</f>
        <v>0</v>
      </c>
      <c r="AO96" s="209">
        <f>СЧЁТ!AQ34</f>
        <v>0</v>
      </c>
      <c r="AP96" s="209">
        <f>СЧЁТ!AR34</f>
        <v>0</v>
      </c>
      <c r="AQ96" s="209">
        <f>СЧЁТ!AS34</f>
        <v>0</v>
      </c>
      <c r="AR96" s="209">
        <f>СЧЁТ!AT34</f>
        <v>0</v>
      </c>
      <c r="AS96" s="209">
        <f>СЧЁТ!AU34</f>
        <v>0</v>
      </c>
      <c r="AT96" s="209">
        <f>СЧЁТ!AV34</f>
        <v>0</v>
      </c>
      <c r="AU96" s="209">
        <f>СЧЁТ!AW34</f>
        <v>0</v>
      </c>
      <c r="AV96" s="209">
        <f>СЧЁТ!AX34</f>
        <v>0</v>
      </c>
      <c r="AW96" s="44" t="s">
        <v>540</v>
      </c>
    </row>
    <row r="97" spans="3:49" ht="17.399999999999999">
      <c r="C97" s="105">
        <v>30</v>
      </c>
      <c r="D97" s="517">
        <v>40875</v>
      </c>
      <c r="E97" s="205" t="s">
        <v>476</v>
      </c>
      <c r="F97" s="51" t="s">
        <v>809</v>
      </c>
      <c r="G97" s="38" t="s">
        <v>929</v>
      </c>
      <c r="H97" s="38"/>
      <c r="I97" s="38"/>
      <c r="J97" s="38"/>
      <c r="K97" s="38"/>
      <c r="L97" s="38"/>
      <c r="M97" s="216">
        <v>0.34814482345900655</v>
      </c>
      <c r="N97" s="209">
        <f>СЧЁТ!P35</f>
        <v>0</v>
      </c>
      <c r="O97" s="209">
        <f>СЧЁТ!Q35</f>
        <v>0</v>
      </c>
      <c r="P97" s="209">
        <f>СЧЁТ!R35</f>
        <v>0</v>
      </c>
      <c r="Q97" s="209">
        <f>СЧЁТ!S35</f>
        <v>0</v>
      </c>
      <c r="R97" s="209">
        <f>СЧЁТ!T35</f>
        <v>0</v>
      </c>
      <c r="S97" s="209">
        <f>СЧЁТ!U35</f>
        <v>0</v>
      </c>
      <c r="T97" s="209">
        <f>СЧЁТ!V35</f>
        <v>0</v>
      </c>
      <c r="U97" s="209">
        <f>СЧЁТ!W35</f>
        <v>0</v>
      </c>
      <c r="V97" s="209">
        <f>СЧЁТ!X35</f>
        <v>0</v>
      </c>
      <c r="W97" s="209">
        <f>СЧЁТ!Y35</f>
        <v>0</v>
      </c>
      <c r="X97" s="209">
        <f>СЧЁТ!Z35</f>
        <v>0</v>
      </c>
      <c r="Y97" s="209">
        <f>СЧЁТ!AA35</f>
        <v>0</v>
      </c>
      <c r="Z97" s="209">
        <f>СЧЁТ!AB35</f>
        <v>0</v>
      </c>
      <c r="AA97" s="209">
        <f>СЧЁТ!AC35</f>
        <v>0</v>
      </c>
      <c r="AB97" s="209">
        <f>СЧЁТ!AD35</f>
        <v>0</v>
      </c>
      <c r="AC97" s="209">
        <f>СЧЁТ!AE35</f>
        <v>0</v>
      </c>
      <c r="AD97" s="209">
        <f>СЧЁТ!AF35</f>
        <v>0</v>
      </c>
      <c r="AE97" s="209">
        <f>СЧЁТ!AG35</f>
        <v>0</v>
      </c>
      <c r="AF97" s="209">
        <f>СЧЁТ!AH35</f>
        <v>0</v>
      </c>
      <c r="AG97" s="209">
        <f>СЧЁТ!AI35</f>
        <v>0</v>
      </c>
      <c r="AH97" s="209">
        <f>СЧЁТ!AJ35</f>
        <v>0</v>
      </c>
      <c r="AI97" s="209">
        <f>СЧЁТ!AK35</f>
        <v>0</v>
      </c>
      <c r="AJ97" s="209">
        <f>СЧЁТ!AL35</f>
        <v>0</v>
      </c>
      <c r="AK97" s="209">
        <f>СЧЁТ!AM35</f>
        <v>0</v>
      </c>
      <c r="AL97" s="209">
        <f>СЧЁТ!AN35</f>
        <v>0</v>
      </c>
      <c r="AM97" s="209">
        <f>СЧЁТ!AO35</f>
        <v>0</v>
      </c>
      <c r="AN97" s="209">
        <f>СЧЁТ!AP35</f>
        <v>0</v>
      </c>
      <c r="AO97" s="209">
        <f>СЧЁТ!AQ35</f>
        <v>0</v>
      </c>
      <c r="AP97" s="209">
        <f>СЧЁТ!AR35</f>
        <v>0</v>
      </c>
      <c r="AQ97" s="209">
        <f>СЧЁТ!AS35</f>
        <v>0</v>
      </c>
      <c r="AR97" s="209">
        <f>СЧЁТ!AT35</f>
        <v>0</v>
      </c>
      <c r="AS97" s="209">
        <f>СЧЁТ!AU35</f>
        <v>0</v>
      </c>
      <c r="AT97" s="209">
        <f>СЧЁТ!AV35</f>
        <v>0</v>
      </c>
      <c r="AU97" s="209">
        <f>СЧЁТ!AW35</f>
        <v>0</v>
      </c>
      <c r="AV97" s="209">
        <f>СЧЁТ!AX35</f>
        <v>0</v>
      </c>
      <c r="AW97" s="44" t="s">
        <v>476</v>
      </c>
    </row>
    <row r="98" spans="3:49" ht="17.399999999999999">
      <c r="C98" s="365">
        <v>31</v>
      </c>
      <c r="D98" s="517"/>
      <c r="E98" s="205" t="s">
        <v>491</v>
      </c>
      <c r="F98" s="51" t="s">
        <v>396</v>
      </c>
      <c r="G98" s="38" t="s">
        <v>930</v>
      </c>
      <c r="H98" s="38"/>
      <c r="I98" s="38"/>
      <c r="J98" s="38"/>
      <c r="K98" s="38"/>
      <c r="L98" s="38"/>
      <c r="M98" s="218">
        <v>486.1</v>
      </c>
      <c r="N98" s="209" t="e">
        <f>СЧЁТ!#REF!</f>
        <v>#REF!</v>
      </c>
      <c r="O98" s="209" t="e">
        <f>СЧЁТ!#REF!</f>
        <v>#REF!</v>
      </c>
      <c r="P98" s="209" t="e">
        <f>СЧЁТ!#REF!</f>
        <v>#REF!</v>
      </c>
      <c r="Q98" s="209" t="e">
        <f>СЧЁТ!#REF!</f>
        <v>#REF!</v>
      </c>
      <c r="R98" s="209" t="e">
        <f>СЧЁТ!#REF!</f>
        <v>#REF!</v>
      </c>
      <c r="S98" s="209" t="e">
        <f>СЧЁТ!#REF!</f>
        <v>#REF!</v>
      </c>
      <c r="T98" s="209" t="e">
        <f>СЧЁТ!#REF!</f>
        <v>#REF!</v>
      </c>
      <c r="U98" s="209" t="e">
        <f>СЧЁТ!#REF!</f>
        <v>#REF!</v>
      </c>
      <c r="V98" s="209" t="e">
        <f>СЧЁТ!#REF!</f>
        <v>#REF!</v>
      </c>
      <c r="W98" s="209" t="e">
        <f>СЧЁТ!#REF!</f>
        <v>#REF!</v>
      </c>
      <c r="X98" s="209" t="e">
        <f>СЧЁТ!#REF!</f>
        <v>#REF!</v>
      </c>
      <c r="Y98" s="209" t="e">
        <f>СЧЁТ!#REF!</f>
        <v>#REF!</v>
      </c>
      <c r="Z98" s="209" t="e">
        <f>СЧЁТ!#REF!</f>
        <v>#REF!</v>
      </c>
      <c r="AA98" s="209" t="e">
        <f>СЧЁТ!#REF!</f>
        <v>#REF!</v>
      </c>
      <c r="AB98" s="209" t="e">
        <f>СЧЁТ!#REF!</f>
        <v>#REF!</v>
      </c>
      <c r="AC98" s="209" t="e">
        <f>СЧЁТ!#REF!</f>
        <v>#REF!</v>
      </c>
      <c r="AD98" s="209" t="e">
        <f>СЧЁТ!#REF!</f>
        <v>#REF!</v>
      </c>
      <c r="AE98" s="209" t="e">
        <f>СЧЁТ!#REF!</f>
        <v>#REF!</v>
      </c>
      <c r="AF98" s="209" t="e">
        <f>СЧЁТ!#REF!</f>
        <v>#REF!</v>
      </c>
      <c r="AG98" s="209" t="e">
        <f>СЧЁТ!#REF!</f>
        <v>#REF!</v>
      </c>
      <c r="AH98" s="209" t="e">
        <f>СЧЁТ!#REF!</f>
        <v>#REF!</v>
      </c>
      <c r="AI98" s="209" t="e">
        <f>СЧЁТ!#REF!</f>
        <v>#REF!</v>
      </c>
      <c r="AJ98" s="209" t="e">
        <f>СЧЁТ!#REF!</f>
        <v>#REF!</v>
      </c>
      <c r="AK98" s="209" t="e">
        <f>СЧЁТ!#REF!</f>
        <v>#REF!</v>
      </c>
      <c r="AL98" s="209" t="e">
        <f>СЧЁТ!#REF!</f>
        <v>#REF!</v>
      </c>
      <c r="AM98" s="209" t="e">
        <f>СЧЁТ!#REF!</f>
        <v>#REF!</v>
      </c>
      <c r="AN98" s="209" t="e">
        <f>СЧЁТ!#REF!</f>
        <v>#REF!</v>
      </c>
      <c r="AO98" s="209" t="e">
        <f>СЧЁТ!#REF!</f>
        <v>#REF!</v>
      </c>
      <c r="AP98" s="209" t="e">
        <f>СЧЁТ!#REF!</f>
        <v>#REF!</v>
      </c>
      <c r="AQ98" s="209" t="e">
        <f>СЧЁТ!#REF!</f>
        <v>#REF!</v>
      </c>
      <c r="AR98" s="209" t="e">
        <f>СЧЁТ!#REF!</f>
        <v>#REF!</v>
      </c>
      <c r="AS98" s="209" t="e">
        <f>СЧЁТ!#REF!</f>
        <v>#REF!</v>
      </c>
      <c r="AT98" s="209" t="e">
        <f>СЧЁТ!#REF!</f>
        <v>#REF!</v>
      </c>
      <c r="AU98" s="209" t="e">
        <f>СЧЁТ!#REF!</f>
        <v>#REF!</v>
      </c>
      <c r="AV98" s="209" t="e">
        <f>СЧЁТ!#REF!</f>
        <v>#REF!</v>
      </c>
      <c r="AW98" s="44" t="s">
        <v>491</v>
      </c>
    </row>
    <row r="99" spans="3:49" ht="17.399999999999999">
      <c r="C99" s="365">
        <v>32</v>
      </c>
      <c r="D99" s="517">
        <v>40558</v>
      </c>
      <c r="E99" s="205" t="s">
        <v>489</v>
      </c>
      <c r="F99" s="51" t="s">
        <v>396</v>
      </c>
      <c r="G99" s="38" t="s">
        <v>931</v>
      </c>
      <c r="H99" s="38"/>
      <c r="I99" s="38"/>
      <c r="J99" s="38"/>
      <c r="K99" s="38"/>
      <c r="L99" s="38"/>
      <c r="M99" s="218">
        <v>610.79200000000003</v>
      </c>
      <c r="N99" s="209" t="e">
        <f>СЧЁТ!#REF!</f>
        <v>#REF!</v>
      </c>
      <c r="O99" s="209" t="e">
        <f>СЧЁТ!#REF!</f>
        <v>#REF!</v>
      </c>
      <c r="P99" s="209" t="e">
        <f>СЧЁТ!#REF!</f>
        <v>#REF!</v>
      </c>
      <c r="Q99" s="209" t="e">
        <f>СЧЁТ!#REF!</f>
        <v>#REF!</v>
      </c>
      <c r="R99" s="209" t="e">
        <f>СЧЁТ!#REF!</f>
        <v>#REF!</v>
      </c>
      <c r="S99" s="209" t="e">
        <f>СЧЁТ!#REF!</f>
        <v>#REF!</v>
      </c>
      <c r="T99" s="209" t="e">
        <f>СЧЁТ!#REF!</f>
        <v>#REF!</v>
      </c>
      <c r="U99" s="209" t="e">
        <f>СЧЁТ!#REF!</f>
        <v>#REF!</v>
      </c>
      <c r="V99" s="209" t="e">
        <f>СЧЁТ!#REF!</f>
        <v>#REF!</v>
      </c>
      <c r="W99" s="209" t="e">
        <f>СЧЁТ!#REF!</f>
        <v>#REF!</v>
      </c>
      <c r="X99" s="209" t="e">
        <f>СЧЁТ!#REF!</f>
        <v>#REF!</v>
      </c>
      <c r="Y99" s="209" t="e">
        <f>СЧЁТ!#REF!</f>
        <v>#REF!</v>
      </c>
      <c r="Z99" s="209" t="e">
        <f>СЧЁТ!#REF!</f>
        <v>#REF!</v>
      </c>
      <c r="AA99" s="209" t="e">
        <f>СЧЁТ!#REF!</f>
        <v>#REF!</v>
      </c>
      <c r="AB99" s="209" t="e">
        <f>СЧЁТ!#REF!</f>
        <v>#REF!</v>
      </c>
      <c r="AC99" s="209" t="e">
        <f>СЧЁТ!#REF!</f>
        <v>#REF!</v>
      </c>
      <c r="AD99" s="209" t="e">
        <f>СЧЁТ!#REF!</f>
        <v>#REF!</v>
      </c>
      <c r="AE99" s="209" t="e">
        <f>СЧЁТ!#REF!</f>
        <v>#REF!</v>
      </c>
      <c r="AF99" s="209" t="e">
        <f>СЧЁТ!#REF!</f>
        <v>#REF!</v>
      </c>
      <c r="AG99" s="209" t="e">
        <f>СЧЁТ!#REF!</f>
        <v>#REF!</v>
      </c>
      <c r="AH99" s="209" t="e">
        <f>СЧЁТ!#REF!</f>
        <v>#REF!</v>
      </c>
      <c r="AI99" s="209" t="e">
        <f>СЧЁТ!#REF!</f>
        <v>#REF!</v>
      </c>
      <c r="AJ99" s="209" t="e">
        <f>СЧЁТ!#REF!</f>
        <v>#REF!</v>
      </c>
      <c r="AK99" s="209" t="e">
        <f>СЧЁТ!#REF!</f>
        <v>#REF!</v>
      </c>
      <c r="AL99" s="209" t="e">
        <f>СЧЁТ!#REF!</f>
        <v>#REF!</v>
      </c>
      <c r="AM99" s="209" t="e">
        <f>СЧЁТ!#REF!</f>
        <v>#REF!</v>
      </c>
      <c r="AN99" s="209" t="e">
        <f>СЧЁТ!#REF!</f>
        <v>#REF!</v>
      </c>
      <c r="AO99" s="209" t="e">
        <f>СЧЁТ!#REF!</f>
        <v>#REF!</v>
      </c>
      <c r="AP99" s="209" t="e">
        <f>СЧЁТ!#REF!</f>
        <v>#REF!</v>
      </c>
      <c r="AQ99" s="209" t="e">
        <f>СЧЁТ!#REF!</f>
        <v>#REF!</v>
      </c>
      <c r="AR99" s="209" t="e">
        <f>СЧЁТ!#REF!</f>
        <v>#REF!</v>
      </c>
      <c r="AS99" s="209" t="e">
        <f>СЧЁТ!#REF!</f>
        <v>#REF!</v>
      </c>
      <c r="AT99" s="209" t="e">
        <f>СЧЁТ!#REF!</f>
        <v>#REF!</v>
      </c>
      <c r="AU99" s="209" t="e">
        <f>СЧЁТ!#REF!</f>
        <v>#REF!</v>
      </c>
      <c r="AV99" s="209" t="e">
        <f>СЧЁТ!#REF!</f>
        <v>#REF!</v>
      </c>
      <c r="AW99" s="44" t="s">
        <v>489</v>
      </c>
    </row>
    <row r="100" spans="3:49" ht="17.399999999999999">
      <c r="C100" s="365">
        <v>33</v>
      </c>
      <c r="D100" s="517">
        <v>40558</v>
      </c>
      <c r="E100" s="205" t="s">
        <v>932</v>
      </c>
      <c r="F100" s="51" t="s">
        <v>396</v>
      </c>
      <c r="G100" s="38" t="s">
        <v>933</v>
      </c>
      <c r="H100" s="38"/>
      <c r="I100" s="38"/>
      <c r="J100" s="38"/>
      <c r="K100" s="38"/>
      <c r="L100" s="38"/>
      <c r="M100" s="61">
        <v>910.9</v>
      </c>
      <c r="N100" s="209" t="e">
        <f>СЧЁТ!#REF!</f>
        <v>#REF!</v>
      </c>
      <c r="O100" s="209" t="e">
        <f>СЧЁТ!#REF!</f>
        <v>#REF!</v>
      </c>
      <c r="P100" s="209" t="e">
        <f>СЧЁТ!#REF!</f>
        <v>#REF!</v>
      </c>
      <c r="Q100" s="209" t="e">
        <f>СЧЁТ!#REF!</f>
        <v>#REF!</v>
      </c>
      <c r="R100" s="209" t="e">
        <f>СЧЁТ!#REF!</f>
        <v>#REF!</v>
      </c>
      <c r="S100" s="209" t="e">
        <f>СЧЁТ!#REF!</f>
        <v>#REF!</v>
      </c>
      <c r="T100" s="209" t="e">
        <f>СЧЁТ!#REF!</f>
        <v>#REF!</v>
      </c>
      <c r="U100" s="209" t="e">
        <f>СЧЁТ!#REF!</f>
        <v>#REF!</v>
      </c>
      <c r="V100" s="209" t="e">
        <f>СЧЁТ!#REF!</f>
        <v>#REF!</v>
      </c>
      <c r="W100" s="209" t="e">
        <f>СЧЁТ!#REF!</f>
        <v>#REF!</v>
      </c>
      <c r="X100" s="209" t="e">
        <f>СЧЁТ!#REF!</f>
        <v>#REF!</v>
      </c>
      <c r="Y100" s="209" t="e">
        <f>СЧЁТ!#REF!</f>
        <v>#REF!</v>
      </c>
      <c r="Z100" s="209" t="e">
        <f>СЧЁТ!#REF!</f>
        <v>#REF!</v>
      </c>
      <c r="AA100" s="209" t="e">
        <f>СЧЁТ!#REF!</f>
        <v>#REF!</v>
      </c>
      <c r="AB100" s="209" t="e">
        <f>СЧЁТ!#REF!</f>
        <v>#REF!</v>
      </c>
      <c r="AC100" s="209" t="e">
        <f>СЧЁТ!#REF!</f>
        <v>#REF!</v>
      </c>
      <c r="AD100" s="209" t="e">
        <f>СЧЁТ!#REF!</f>
        <v>#REF!</v>
      </c>
      <c r="AE100" s="209" t="e">
        <f>СЧЁТ!#REF!</f>
        <v>#REF!</v>
      </c>
      <c r="AF100" s="209" t="e">
        <f>СЧЁТ!#REF!</f>
        <v>#REF!</v>
      </c>
      <c r="AG100" s="209" t="e">
        <f>СЧЁТ!#REF!</f>
        <v>#REF!</v>
      </c>
      <c r="AH100" s="209" t="e">
        <f>СЧЁТ!#REF!</f>
        <v>#REF!</v>
      </c>
      <c r="AI100" s="209" t="e">
        <f>СЧЁТ!#REF!</f>
        <v>#REF!</v>
      </c>
      <c r="AJ100" s="209" t="e">
        <f>СЧЁТ!#REF!</f>
        <v>#REF!</v>
      </c>
      <c r="AK100" s="209" t="e">
        <f>СЧЁТ!#REF!</f>
        <v>#REF!</v>
      </c>
      <c r="AL100" s="209" t="e">
        <f>СЧЁТ!#REF!</f>
        <v>#REF!</v>
      </c>
      <c r="AM100" s="209" t="e">
        <f>СЧЁТ!#REF!</f>
        <v>#REF!</v>
      </c>
      <c r="AN100" s="209" t="e">
        <f>СЧЁТ!#REF!</f>
        <v>#REF!</v>
      </c>
      <c r="AO100" s="209" t="e">
        <f>СЧЁТ!#REF!</f>
        <v>#REF!</v>
      </c>
      <c r="AP100" s="209" t="e">
        <f>СЧЁТ!#REF!</f>
        <v>#REF!</v>
      </c>
      <c r="AQ100" s="209" t="e">
        <f>СЧЁТ!#REF!</f>
        <v>#REF!</v>
      </c>
      <c r="AR100" s="209" t="e">
        <f>СЧЁТ!#REF!</f>
        <v>#REF!</v>
      </c>
      <c r="AS100" s="209" t="e">
        <f>СЧЁТ!#REF!</f>
        <v>#REF!</v>
      </c>
      <c r="AT100" s="209" t="e">
        <f>СЧЁТ!#REF!</f>
        <v>#REF!</v>
      </c>
      <c r="AU100" s="209" t="e">
        <f>СЧЁТ!#REF!</f>
        <v>#REF!</v>
      </c>
      <c r="AV100" s="209" t="e">
        <f>СЧЁТ!#REF!</f>
        <v>#REF!</v>
      </c>
      <c r="AW100" s="44" t="s">
        <v>932</v>
      </c>
    </row>
    <row r="101" spans="3:49" ht="17.399999999999999">
      <c r="C101" s="365">
        <v>34</v>
      </c>
      <c r="D101" s="517">
        <v>40558</v>
      </c>
      <c r="E101" s="205" t="s">
        <v>398</v>
      </c>
      <c r="F101" s="51" t="s">
        <v>396</v>
      </c>
      <c r="G101" s="38" t="s">
        <v>934</v>
      </c>
      <c r="H101" s="38"/>
      <c r="I101" s="38"/>
      <c r="J101" s="38"/>
      <c r="K101" s="38"/>
      <c r="L101" s="38"/>
      <c r="M101" s="218">
        <v>2767.6205</v>
      </c>
      <c r="N101" s="209">
        <f>СЧЁТ!P39</f>
        <v>0</v>
      </c>
      <c r="O101" s="209">
        <f>СЧЁТ!Q39</f>
        <v>0</v>
      </c>
      <c r="P101" s="209">
        <f>СЧЁТ!R39</f>
        <v>0</v>
      </c>
      <c r="Q101" s="209">
        <f>СЧЁТ!S39</f>
        <v>0</v>
      </c>
      <c r="R101" s="209">
        <f>СЧЁТ!T39</f>
        <v>0</v>
      </c>
      <c r="S101" s="209">
        <f>СЧЁТ!U39</f>
        <v>0</v>
      </c>
      <c r="T101" s="209">
        <f>СЧЁТ!V39</f>
        <v>0</v>
      </c>
      <c r="U101" s="209">
        <f>СЧЁТ!W39</f>
        <v>0</v>
      </c>
      <c r="V101" s="209">
        <f>СЧЁТ!X39</f>
        <v>0</v>
      </c>
      <c r="W101" s="209">
        <f>СЧЁТ!Y39</f>
        <v>0</v>
      </c>
      <c r="X101" s="209">
        <f>СЧЁТ!Z39</f>
        <v>0</v>
      </c>
      <c r="Y101" s="209">
        <f>СЧЁТ!AA39</f>
        <v>0</v>
      </c>
      <c r="Z101" s="209">
        <f>СЧЁТ!AB39</f>
        <v>0</v>
      </c>
      <c r="AA101" s="209">
        <f>СЧЁТ!AC39</f>
        <v>0</v>
      </c>
      <c r="AB101" s="209">
        <f>СЧЁТ!AD39</f>
        <v>0</v>
      </c>
      <c r="AC101" s="209">
        <f>СЧЁТ!AE39</f>
        <v>0</v>
      </c>
      <c r="AD101" s="209">
        <f>СЧЁТ!AF39</f>
        <v>0</v>
      </c>
      <c r="AE101" s="209">
        <f>СЧЁТ!AG39</f>
        <v>0</v>
      </c>
      <c r="AF101" s="209">
        <f>СЧЁТ!AH39</f>
        <v>0</v>
      </c>
      <c r="AG101" s="209">
        <f>СЧЁТ!AI39</f>
        <v>0</v>
      </c>
      <c r="AH101" s="209">
        <f>СЧЁТ!AJ39</f>
        <v>0</v>
      </c>
      <c r="AI101" s="209">
        <f>СЧЁТ!AK39</f>
        <v>0</v>
      </c>
      <c r="AJ101" s="209">
        <f>СЧЁТ!AL39</f>
        <v>0</v>
      </c>
      <c r="AK101" s="209">
        <f>СЧЁТ!AM39</f>
        <v>0</v>
      </c>
      <c r="AL101" s="209">
        <f>СЧЁТ!AN39</f>
        <v>0</v>
      </c>
      <c r="AM101" s="209">
        <f>СЧЁТ!AO39</f>
        <v>0</v>
      </c>
      <c r="AN101" s="209">
        <f>СЧЁТ!AP39</f>
        <v>0</v>
      </c>
      <c r="AO101" s="209">
        <f>СЧЁТ!AQ39</f>
        <v>0</v>
      </c>
      <c r="AP101" s="209">
        <f>СЧЁТ!AR39</f>
        <v>0</v>
      </c>
      <c r="AQ101" s="209">
        <f>СЧЁТ!AS39</f>
        <v>0</v>
      </c>
      <c r="AR101" s="209">
        <f>СЧЁТ!AT39</f>
        <v>0</v>
      </c>
      <c r="AS101" s="209">
        <f>СЧЁТ!AU39</f>
        <v>0</v>
      </c>
      <c r="AT101" s="209">
        <f>СЧЁТ!AV39</f>
        <v>0</v>
      </c>
      <c r="AU101" s="209">
        <f>СЧЁТ!AW39</f>
        <v>0</v>
      </c>
      <c r="AV101" s="209">
        <f>СЧЁТ!AX39</f>
        <v>0</v>
      </c>
      <c r="AW101" s="44" t="s">
        <v>398</v>
      </c>
    </row>
    <row r="102" spans="3:49" ht="17.399999999999999">
      <c r="C102" s="365">
        <v>35</v>
      </c>
      <c r="D102" s="517">
        <v>40558</v>
      </c>
      <c r="E102" s="205" t="s">
        <v>427</v>
      </c>
      <c r="F102" s="51" t="s">
        <v>396</v>
      </c>
      <c r="G102" s="38" t="s">
        <v>935</v>
      </c>
      <c r="H102" s="38"/>
      <c r="I102" s="38"/>
      <c r="J102" s="38"/>
      <c r="K102" s="38"/>
      <c r="L102" s="38"/>
      <c r="M102" s="218">
        <v>108.89559999999999</v>
      </c>
      <c r="N102" s="209">
        <f>СЧЁТ!P40</f>
        <v>0</v>
      </c>
      <c r="O102" s="209">
        <f>СЧЁТ!Q40</f>
        <v>0</v>
      </c>
      <c r="P102" s="209">
        <f>СЧЁТ!R40</f>
        <v>0</v>
      </c>
      <c r="Q102" s="209">
        <f>СЧЁТ!S40</f>
        <v>0</v>
      </c>
      <c r="R102" s="209">
        <f>СЧЁТ!T40</f>
        <v>0</v>
      </c>
      <c r="S102" s="209">
        <f>СЧЁТ!U40</f>
        <v>0</v>
      </c>
      <c r="T102" s="209">
        <f>СЧЁТ!V40</f>
        <v>0</v>
      </c>
      <c r="U102" s="209">
        <f>СЧЁТ!W40</f>
        <v>0</v>
      </c>
      <c r="V102" s="209">
        <f>СЧЁТ!X40</f>
        <v>0</v>
      </c>
      <c r="W102" s="209">
        <f>СЧЁТ!Y40</f>
        <v>0</v>
      </c>
      <c r="X102" s="209">
        <f>СЧЁТ!Z40</f>
        <v>0</v>
      </c>
      <c r="Y102" s="209">
        <f>СЧЁТ!AA40</f>
        <v>0</v>
      </c>
      <c r="Z102" s="209">
        <f>СЧЁТ!AB40</f>
        <v>0</v>
      </c>
      <c r="AA102" s="209">
        <f>СЧЁТ!AC40</f>
        <v>0</v>
      </c>
      <c r="AB102" s="209">
        <f>СЧЁТ!AD40</f>
        <v>0</v>
      </c>
      <c r="AC102" s="209">
        <f>СЧЁТ!AE40</f>
        <v>0</v>
      </c>
      <c r="AD102" s="209">
        <f>СЧЁТ!AF40</f>
        <v>0</v>
      </c>
      <c r="AE102" s="209">
        <f>СЧЁТ!AG40</f>
        <v>0</v>
      </c>
      <c r="AF102" s="209">
        <f>СЧЁТ!AH40</f>
        <v>0</v>
      </c>
      <c r="AG102" s="209">
        <f>СЧЁТ!AI40</f>
        <v>0</v>
      </c>
      <c r="AH102" s="209">
        <f>СЧЁТ!AJ40</f>
        <v>0</v>
      </c>
      <c r="AI102" s="209">
        <f>СЧЁТ!AK40</f>
        <v>0</v>
      </c>
      <c r="AJ102" s="209">
        <f>СЧЁТ!AL40</f>
        <v>0</v>
      </c>
      <c r="AK102" s="209">
        <f>СЧЁТ!AM40</f>
        <v>0</v>
      </c>
      <c r="AL102" s="209">
        <f>СЧЁТ!AN40</f>
        <v>0</v>
      </c>
      <c r="AM102" s="209">
        <f>СЧЁТ!AO40</f>
        <v>0</v>
      </c>
      <c r="AN102" s="209">
        <f>СЧЁТ!AP40</f>
        <v>0</v>
      </c>
      <c r="AO102" s="209">
        <f>СЧЁТ!AQ40</f>
        <v>0</v>
      </c>
      <c r="AP102" s="209">
        <f>СЧЁТ!AR40</f>
        <v>0</v>
      </c>
      <c r="AQ102" s="209">
        <f>СЧЁТ!AS40</f>
        <v>0</v>
      </c>
      <c r="AR102" s="209">
        <f>СЧЁТ!AT40</f>
        <v>0</v>
      </c>
      <c r="AS102" s="209">
        <f>СЧЁТ!AU40</f>
        <v>0</v>
      </c>
      <c r="AT102" s="209">
        <f>СЧЁТ!AV40</f>
        <v>0</v>
      </c>
      <c r="AU102" s="209">
        <f>СЧЁТ!AW40</f>
        <v>0</v>
      </c>
      <c r="AV102" s="209">
        <f>СЧЁТ!AX40</f>
        <v>0</v>
      </c>
      <c r="AW102" s="44" t="s">
        <v>427</v>
      </c>
    </row>
    <row r="103" spans="3:49" ht="17.399999999999999">
      <c r="C103" s="365">
        <v>36</v>
      </c>
      <c r="D103" s="517">
        <v>40558</v>
      </c>
      <c r="E103" s="205" t="s">
        <v>936</v>
      </c>
      <c r="F103" s="51" t="s">
        <v>396</v>
      </c>
      <c r="G103" s="38" t="s">
        <v>937</v>
      </c>
      <c r="H103" s="38"/>
      <c r="I103" s="38"/>
      <c r="J103" s="38"/>
      <c r="K103" s="38"/>
      <c r="L103" s="38"/>
      <c r="M103" s="61">
        <v>2876.5161000000003</v>
      </c>
      <c r="N103" s="209">
        <f>СЧЁТ!P41</f>
        <v>0.5075047014598465</v>
      </c>
      <c r="O103" s="209">
        <f>СЧЁТ!Q41</f>
        <v>0.51667647317297627</v>
      </c>
      <c r="P103" s="209">
        <f>СЧЁТ!R41</f>
        <v>0.49180137717267253</v>
      </c>
      <c r="Q103" s="209">
        <f>СЧЁТ!S41</f>
        <v>0.51928728248372014</v>
      </c>
      <c r="R103" s="209">
        <f>СЧЁТ!T41</f>
        <v>0.56527391744994016</v>
      </c>
      <c r="S103" s="209">
        <f>СЧЁТ!U41</f>
        <v>0.58768319068878805</v>
      </c>
      <c r="T103" s="209">
        <f>СЧЁТ!V41</f>
        <v>0.60746658522682651</v>
      </c>
      <c r="U103" s="209">
        <f>СЧЁТ!W41</f>
        <v>0.64524584965850473</v>
      </c>
      <c r="V103" s="209">
        <f>СЧЁТ!X41</f>
        <v>0.68589125751100888</v>
      </c>
      <c r="W103" s="209">
        <f>СЧЁТ!Y41</f>
        <v>0.71146914542604145</v>
      </c>
      <c r="X103" s="209">
        <f>СЧЁТ!Z41</f>
        <v>0.75663076110249916</v>
      </c>
      <c r="Y103" s="209">
        <f>СЧЁТ!AA41</f>
        <v>0.79846194770079459</v>
      </c>
      <c r="Z103" s="209">
        <f>СЧЁТ!AB41</f>
        <v>0.80925197402107563</v>
      </c>
      <c r="AA103" s="209">
        <f>СЧЁТ!AC41</f>
        <v>0.7261311317282132</v>
      </c>
      <c r="AB103" s="209">
        <f>СЧЁТ!AD41</f>
        <v>0.74023076535400356</v>
      </c>
      <c r="AC103" s="209">
        <f>СЧЁТ!AE41</f>
        <v>0.74236604640790949</v>
      </c>
      <c r="AD103" s="209">
        <f>СЧЁТ!AF41</f>
        <v>0.73951900500270173</v>
      </c>
      <c r="AE103" s="209">
        <f>СЧЁТ!AG41</f>
        <v>0.72531114707757793</v>
      </c>
      <c r="AF103" s="209">
        <f>СЧЁТ!AH41</f>
        <v>0.70502761451706719</v>
      </c>
      <c r="AG103" s="209">
        <f>СЧЁТ!AI41</f>
        <v>0.67428513132591583</v>
      </c>
      <c r="AH103" s="209">
        <f>СЧЁТ!AJ41</f>
        <v>0.65676280356287475</v>
      </c>
      <c r="AI103" s="209">
        <f>СЧЁТ!AK41</f>
        <v>0.64853745053174061</v>
      </c>
      <c r="AJ103" s="209">
        <f>СЧЁТ!AL41</f>
        <v>0.63795670517757586</v>
      </c>
      <c r="AK103" s="209">
        <f>СЧЁТ!AM41</f>
        <v>0</v>
      </c>
      <c r="AL103" s="209">
        <f>СЧЁТ!AN41</f>
        <v>0</v>
      </c>
      <c r="AM103" s="209">
        <f>СЧЁТ!AO41</f>
        <v>0</v>
      </c>
      <c r="AN103" s="209">
        <f>СЧЁТ!AP41</f>
        <v>0</v>
      </c>
      <c r="AO103" s="209">
        <f>СЧЁТ!AQ41</f>
        <v>0</v>
      </c>
      <c r="AP103" s="209">
        <f>СЧЁТ!AR41</f>
        <v>0</v>
      </c>
      <c r="AQ103" s="209">
        <f>СЧЁТ!AS41</f>
        <v>0</v>
      </c>
      <c r="AR103" s="209">
        <f>СЧЁТ!AT41</f>
        <v>0</v>
      </c>
      <c r="AS103" s="209">
        <f>СЧЁТ!AU41</f>
        <v>0</v>
      </c>
      <c r="AT103" s="209">
        <f>СЧЁТ!AV41</f>
        <v>0</v>
      </c>
      <c r="AU103" s="209">
        <f>СЧЁТ!AW41</f>
        <v>0</v>
      </c>
      <c r="AV103" s="209">
        <f>СЧЁТ!AX41</f>
        <v>0</v>
      </c>
      <c r="AW103" s="44" t="s">
        <v>936</v>
      </c>
    </row>
    <row r="104" spans="3:49" ht="17.399999999999999">
      <c r="C104" s="105">
        <v>37</v>
      </c>
      <c r="D104" s="517">
        <v>42309</v>
      </c>
      <c r="E104" s="205" t="s">
        <v>794</v>
      </c>
      <c r="F104" s="51" t="s">
        <v>809</v>
      </c>
      <c r="G104" s="38" t="s">
        <v>938</v>
      </c>
      <c r="H104" s="38"/>
      <c r="I104" s="38"/>
      <c r="J104" s="38"/>
      <c r="K104" s="38"/>
      <c r="L104" s="38"/>
      <c r="M104" s="216">
        <v>0.80701590809149359</v>
      </c>
      <c r="N104" s="209">
        <f>СЧЁТ!P36</f>
        <v>0</v>
      </c>
      <c r="O104" s="209">
        <f>СЧЁТ!Q36</f>
        <v>0</v>
      </c>
      <c r="P104" s="209">
        <f>СЧЁТ!R36</f>
        <v>0</v>
      </c>
      <c r="Q104" s="209">
        <f>СЧЁТ!S36</f>
        <v>0</v>
      </c>
      <c r="R104" s="209">
        <f>СЧЁТ!T36</f>
        <v>0</v>
      </c>
      <c r="S104" s="209">
        <f>СЧЁТ!U36</f>
        <v>0</v>
      </c>
      <c r="T104" s="209">
        <f>СЧЁТ!V36</f>
        <v>0</v>
      </c>
      <c r="U104" s="209">
        <f>СЧЁТ!W36</f>
        <v>0</v>
      </c>
      <c r="V104" s="209">
        <f>СЧЁТ!X36</f>
        <v>0</v>
      </c>
      <c r="W104" s="209">
        <f>СЧЁТ!Y36</f>
        <v>0</v>
      </c>
      <c r="X104" s="209">
        <f>СЧЁТ!Z36</f>
        <v>0</v>
      </c>
      <c r="Y104" s="209">
        <f>СЧЁТ!AA36</f>
        <v>0</v>
      </c>
      <c r="Z104" s="209">
        <f>СЧЁТ!AB36</f>
        <v>0</v>
      </c>
      <c r="AA104" s="209">
        <f>СЧЁТ!AC36</f>
        <v>0</v>
      </c>
      <c r="AB104" s="209">
        <f>СЧЁТ!AD36</f>
        <v>0</v>
      </c>
      <c r="AC104" s="209">
        <f>СЧЁТ!AE36</f>
        <v>0</v>
      </c>
      <c r="AD104" s="209">
        <f>СЧЁТ!AF36</f>
        <v>0</v>
      </c>
      <c r="AE104" s="209">
        <f>СЧЁТ!AG36</f>
        <v>0</v>
      </c>
      <c r="AF104" s="209">
        <f>СЧЁТ!AH36</f>
        <v>0</v>
      </c>
      <c r="AG104" s="209">
        <f>СЧЁТ!AI36</f>
        <v>0</v>
      </c>
      <c r="AH104" s="209">
        <f>СЧЁТ!AJ36</f>
        <v>0</v>
      </c>
      <c r="AI104" s="209">
        <f>СЧЁТ!AK36</f>
        <v>0</v>
      </c>
      <c r="AJ104" s="209">
        <f>СЧЁТ!AL36</f>
        <v>0</v>
      </c>
      <c r="AK104" s="209">
        <f>СЧЁТ!AM36</f>
        <v>0</v>
      </c>
      <c r="AL104" s="209">
        <f>СЧЁТ!AN36</f>
        <v>0</v>
      </c>
      <c r="AM104" s="209">
        <f>СЧЁТ!AO36</f>
        <v>0</v>
      </c>
      <c r="AN104" s="209">
        <f>СЧЁТ!AP36</f>
        <v>0</v>
      </c>
      <c r="AO104" s="209">
        <f>СЧЁТ!AQ36</f>
        <v>0</v>
      </c>
      <c r="AP104" s="209">
        <f>СЧЁТ!AR36</f>
        <v>0</v>
      </c>
      <c r="AQ104" s="209">
        <f>СЧЁТ!AS36</f>
        <v>0</v>
      </c>
      <c r="AR104" s="209">
        <f>СЧЁТ!AT36</f>
        <v>0</v>
      </c>
      <c r="AS104" s="209">
        <f>СЧЁТ!AU36</f>
        <v>0</v>
      </c>
      <c r="AT104" s="209">
        <f>СЧЁТ!AV36</f>
        <v>0</v>
      </c>
      <c r="AU104" s="209">
        <f>СЧЁТ!AW36</f>
        <v>0</v>
      </c>
      <c r="AV104" s="209">
        <f>СЧЁТ!AX36</f>
        <v>0</v>
      </c>
      <c r="AW104" s="44" t="s">
        <v>794</v>
      </c>
    </row>
    <row r="105" spans="3:49" ht="17.399999999999999">
      <c r="C105" s="105">
        <v>38</v>
      </c>
      <c r="D105" s="517">
        <v>40874</v>
      </c>
      <c r="E105" s="205" t="s">
        <v>579</v>
      </c>
      <c r="F105" s="51" t="s">
        <v>809</v>
      </c>
      <c r="G105" s="38" t="s">
        <v>939</v>
      </c>
      <c r="H105" s="38"/>
      <c r="I105" s="38"/>
      <c r="J105" s="38"/>
      <c r="K105" s="38"/>
      <c r="L105" s="38"/>
      <c r="M105" s="216">
        <v>3.3000000000000002E-2</v>
      </c>
      <c r="N105" s="209">
        <f>СЧЁТ!P43</f>
        <v>1996</v>
      </c>
      <c r="O105" s="209">
        <f>СЧЁТ!Q43</f>
        <v>1997</v>
      </c>
      <c r="P105" s="209">
        <f>СЧЁТ!R43</f>
        <v>1998</v>
      </c>
      <c r="Q105" s="209">
        <f>СЧЁТ!S43</f>
        <v>1999</v>
      </c>
      <c r="R105" s="209">
        <f>СЧЁТ!T43</f>
        <v>2000</v>
      </c>
      <c r="S105" s="209">
        <f>СЧЁТ!U43</f>
        <v>2001</v>
      </c>
      <c r="T105" s="209">
        <f>СЧЁТ!V43</f>
        <v>2002</v>
      </c>
      <c r="U105" s="209">
        <f>СЧЁТ!W43</f>
        <v>2003</v>
      </c>
      <c r="V105" s="209">
        <f>СЧЁТ!X43</f>
        <v>2004</v>
      </c>
      <c r="W105" s="209">
        <f>СЧЁТ!Y43</f>
        <v>2005</v>
      </c>
      <c r="X105" s="209">
        <f>СЧЁТ!Z43</f>
        <v>2006</v>
      </c>
      <c r="Y105" s="209">
        <f>СЧЁТ!AA43</f>
        <v>2007</v>
      </c>
      <c r="Z105" s="209">
        <f>СЧЁТ!AB43</f>
        <v>2008</v>
      </c>
      <c r="AA105" s="209">
        <f>СЧЁТ!AC43</f>
        <v>2009</v>
      </c>
      <c r="AB105" s="209">
        <f>СЧЁТ!AD43</f>
        <v>2010</v>
      </c>
      <c r="AC105" s="209">
        <f>СЧЁТ!AE43</f>
        <v>2011</v>
      </c>
      <c r="AD105" s="209">
        <f>СЧЁТ!AF43</f>
        <v>2012</v>
      </c>
      <c r="AE105" s="209">
        <f>СЧЁТ!AG43</f>
        <v>2013</v>
      </c>
      <c r="AF105" s="209">
        <f>СЧЁТ!AH43</f>
        <v>2014</v>
      </c>
      <c r="AG105" s="209">
        <f>СЧЁТ!AI43</f>
        <v>2015</v>
      </c>
      <c r="AH105" s="209">
        <f>СЧЁТ!AJ43</f>
        <v>2016</v>
      </c>
      <c r="AI105" s="209">
        <f>СЧЁТ!AK43</f>
        <v>2017</v>
      </c>
      <c r="AJ105" s="209">
        <f>СЧЁТ!AL43</f>
        <v>2018</v>
      </c>
      <c r="AK105" s="209">
        <f>СЧЁТ!AM43</f>
        <v>2019</v>
      </c>
      <c r="AL105" s="209">
        <f>СЧЁТ!AN43</f>
        <v>2020</v>
      </c>
      <c r="AM105" s="209">
        <f>СЧЁТ!AO43</f>
        <v>2021</v>
      </c>
      <c r="AN105" s="209">
        <f>СЧЁТ!AP43</f>
        <v>2022</v>
      </c>
      <c r="AO105" s="209">
        <f>СЧЁТ!AQ43</f>
        <v>2023</v>
      </c>
      <c r="AP105" s="209">
        <f>СЧЁТ!AR43</f>
        <v>2024</v>
      </c>
      <c r="AQ105" s="209">
        <f>СЧЁТ!AS43</f>
        <v>2025</v>
      </c>
      <c r="AR105" s="209">
        <f>СЧЁТ!AT43</f>
        <v>2026</v>
      </c>
      <c r="AS105" s="209">
        <f>СЧЁТ!AU43</f>
        <v>2027</v>
      </c>
      <c r="AT105" s="209">
        <f>СЧЁТ!AV43</f>
        <v>2028</v>
      </c>
      <c r="AU105" s="209">
        <f>СЧЁТ!AW43</f>
        <v>2029</v>
      </c>
      <c r="AV105" s="209">
        <f>СЧЁТ!AX43</f>
        <v>2030</v>
      </c>
      <c r="AW105" s="44" t="s">
        <v>579</v>
      </c>
    </row>
    <row r="106" spans="3:49" ht="17.399999999999999">
      <c r="C106" s="105">
        <v>39</v>
      </c>
      <c r="D106" s="517">
        <v>42309</v>
      </c>
      <c r="E106" s="205" t="s">
        <v>516</v>
      </c>
      <c r="F106" s="51" t="s">
        <v>809</v>
      </c>
      <c r="G106" s="38" t="s">
        <v>940</v>
      </c>
      <c r="H106" s="38"/>
      <c r="I106" s="38"/>
      <c r="J106" s="38"/>
      <c r="K106" s="38"/>
      <c r="L106" s="38"/>
      <c r="M106" s="216">
        <v>0.56058732771034769</v>
      </c>
      <c r="N106" s="209" t="e">
        <f>СЧЁТ!#REF!</f>
        <v>#REF!</v>
      </c>
      <c r="O106" s="209" t="e">
        <f>СЧЁТ!#REF!</f>
        <v>#REF!</v>
      </c>
      <c r="P106" s="209" t="e">
        <f>СЧЁТ!#REF!</f>
        <v>#REF!</v>
      </c>
      <c r="Q106" s="209" t="e">
        <f>СЧЁТ!#REF!</f>
        <v>#REF!</v>
      </c>
      <c r="R106" s="209">
        <f>СЧЁТ!T44</f>
        <v>0</v>
      </c>
      <c r="S106" s="209">
        <f>СЧЁТ!V44</f>
        <v>0</v>
      </c>
      <c r="T106" s="209">
        <f>СЧЁТ!W44</f>
        <v>0</v>
      </c>
      <c r="U106" s="209">
        <f>СЧЁТ!X44</f>
        <v>0</v>
      </c>
      <c r="V106" s="209">
        <f>СЧЁТ!Y44</f>
        <v>0</v>
      </c>
      <c r="W106" s="209">
        <f>СЧЁТ!Z44</f>
        <v>0</v>
      </c>
      <c r="X106" s="209" t="e">
        <f>СЧЁТ!#REF!</f>
        <v>#REF!</v>
      </c>
      <c r="Y106" s="209">
        <f>СЧЁТ!AA44</f>
        <v>0</v>
      </c>
      <c r="Z106" s="209">
        <f>СЧЁТ!AB44</f>
        <v>0</v>
      </c>
      <c r="AA106" s="209">
        <f>СЧЁТ!AC44</f>
        <v>0</v>
      </c>
      <c r="AB106" s="209">
        <f>СЧЁТ!AD44</f>
        <v>0</v>
      </c>
      <c r="AC106" s="209">
        <f>СЧЁТ!AE44</f>
        <v>0</v>
      </c>
      <c r="AD106" s="209">
        <f>СЧЁТ!AF44</f>
        <v>0</v>
      </c>
      <c r="AE106" s="209">
        <f>СЧЁТ!AG44</f>
        <v>0</v>
      </c>
      <c r="AF106" s="209">
        <f>СЧЁТ!AH44</f>
        <v>0</v>
      </c>
      <c r="AG106" s="209">
        <f>СЧЁТ!AI44</f>
        <v>0</v>
      </c>
      <c r="AH106" s="209">
        <f>СЧЁТ!AJ44</f>
        <v>0</v>
      </c>
      <c r="AI106" s="209">
        <f>СЧЁТ!AK44</f>
        <v>0</v>
      </c>
      <c r="AJ106" s="209">
        <f>СЧЁТ!AL44</f>
        <v>0</v>
      </c>
      <c r="AK106" s="209">
        <f>СЧЁТ!AM44</f>
        <v>0</v>
      </c>
      <c r="AL106" s="209">
        <f>СЧЁТ!AN44</f>
        <v>0</v>
      </c>
      <c r="AM106" s="209">
        <f>СЧЁТ!AO44</f>
        <v>0</v>
      </c>
      <c r="AN106" s="209">
        <f>СЧЁТ!AP44</f>
        <v>0</v>
      </c>
      <c r="AO106" s="209">
        <f>СЧЁТ!AQ44</f>
        <v>0</v>
      </c>
      <c r="AP106" s="209">
        <f>СЧЁТ!AR44</f>
        <v>0</v>
      </c>
      <c r="AQ106" s="209">
        <f>СЧЁТ!AS44</f>
        <v>0</v>
      </c>
      <c r="AR106" s="209">
        <f>СЧЁТ!AT44</f>
        <v>0</v>
      </c>
      <c r="AS106" s="209">
        <f>СЧЁТ!AU44</f>
        <v>0</v>
      </c>
      <c r="AT106" s="209">
        <f>СЧЁТ!AV44</f>
        <v>0</v>
      </c>
      <c r="AU106" s="209">
        <f>СЧЁТ!AW44</f>
        <v>0</v>
      </c>
      <c r="AV106" s="209">
        <f>СЧЁТ!AX44</f>
        <v>0</v>
      </c>
      <c r="AW106" s="44" t="s">
        <v>516</v>
      </c>
    </row>
    <row r="107" spans="3:49" ht="17.399999999999999">
      <c r="C107" s="105">
        <v>40</v>
      </c>
      <c r="D107" s="517">
        <v>42309</v>
      </c>
      <c r="E107" s="205" t="s">
        <v>519</v>
      </c>
      <c r="F107" s="51" t="s">
        <v>809</v>
      </c>
      <c r="G107" s="38" t="s">
        <v>1349</v>
      </c>
      <c r="H107" s="38"/>
      <c r="I107" s="38"/>
      <c r="J107" s="38"/>
      <c r="K107" s="38"/>
      <c r="L107" s="38"/>
      <c r="M107" s="216">
        <v>0</v>
      </c>
      <c r="N107" s="209" t="e">
        <f>СЧЁТ!#REF!</f>
        <v>#REF!</v>
      </c>
      <c r="O107" s="209" t="e">
        <f>СЧЁТ!#REF!</f>
        <v>#REF!</v>
      </c>
      <c r="P107" s="209" t="e">
        <f>СЧЁТ!#REF!</f>
        <v>#REF!</v>
      </c>
      <c r="Q107" s="209" t="e">
        <f>СЧЁТ!#REF!</f>
        <v>#REF!</v>
      </c>
      <c r="R107" s="209" t="e">
        <f>СЧЁТ!#REF!</f>
        <v>#REF!</v>
      </c>
      <c r="S107" s="209" t="e">
        <f>СЧЁТ!#REF!</f>
        <v>#REF!</v>
      </c>
      <c r="T107" s="209">
        <f>СЧЁТ!W49</f>
        <v>0</v>
      </c>
      <c r="U107" s="209">
        <f>СЧЁТ!X49</f>
        <v>0</v>
      </c>
      <c r="V107" s="209">
        <f>СЧЁТ!Y49</f>
        <v>0</v>
      </c>
      <c r="W107" s="209">
        <f>СЧЁТ!Z49</f>
        <v>0</v>
      </c>
      <c r="X107" s="209" t="e">
        <f>СЧЁТ!#REF!</f>
        <v>#REF!</v>
      </c>
      <c r="Y107" s="209">
        <f>СЧЁТ!AA49</f>
        <v>0</v>
      </c>
      <c r="Z107" s="209">
        <f>СЧЁТ!AB49</f>
        <v>0</v>
      </c>
      <c r="AA107" s="209">
        <f>СЧЁТ!AC45</f>
        <v>0</v>
      </c>
      <c r="AB107" s="209">
        <f>СЧЁТ!AD45</f>
        <v>0</v>
      </c>
      <c r="AC107" s="209">
        <f>СЧЁТ!AE45</f>
        <v>0</v>
      </c>
      <c r="AD107" s="209">
        <f>СЧЁТ!AF45</f>
        <v>0</v>
      </c>
      <c r="AE107" s="209">
        <f>СЧЁТ!AG45</f>
        <v>0</v>
      </c>
      <c r="AF107" s="209">
        <f>СЧЁТ!AH45</f>
        <v>0</v>
      </c>
      <c r="AG107" s="209">
        <f>СЧЁТ!AI45</f>
        <v>0</v>
      </c>
      <c r="AH107" s="209">
        <f>СЧЁТ!AJ45</f>
        <v>0</v>
      </c>
      <c r="AI107" s="209">
        <f>СЧЁТ!AK45</f>
        <v>0</v>
      </c>
      <c r="AJ107" s="209">
        <f>СЧЁТ!AL45</f>
        <v>0</v>
      </c>
      <c r="AK107" s="209">
        <f>СЧЁТ!AM45</f>
        <v>0</v>
      </c>
      <c r="AL107" s="209">
        <f>СЧЁТ!AN45</f>
        <v>0</v>
      </c>
      <c r="AM107" s="209">
        <f>СЧЁТ!AO45</f>
        <v>0</v>
      </c>
      <c r="AN107" s="209">
        <f>СЧЁТ!AP45</f>
        <v>0</v>
      </c>
      <c r="AO107" s="209">
        <f>СЧЁТ!AQ45</f>
        <v>0</v>
      </c>
      <c r="AP107" s="209">
        <f>СЧЁТ!AR45</f>
        <v>0</v>
      </c>
      <c r="AQ107" s="209">
        <f>СЧЁТ!AS45</f>
        <v>0</v>
      </c>
      <c r="AR107" s="209">
        <f>СЧЁТ!AT45</f>
        <v>0</v>
      </c>
      <c r="AS107" s="209">
        <f>СЧЁТ!AU45</f>
        <v>0</v>
      </c>
      <c r="AT107" s="209">
        <f>СЧЁТ!AV45</f>
        <v>0</v>
      </c>
      <c r="AU107" s="209">
        <f>СЧЁТ!AW45</f>
        <v>0</v>
      </c>
      <c r="AV107" s="209">
        <f>СЧЁТ!AX45</f>
        <v>0</v>
      </c>
      <c r="AW107" s="44" t="s">
        <v>519</v>
      </c>
    </row>
    <row r="108" spans="3:49" ht="17.399999999999999">
      <c r="C108" s="105">
        <v>41</v>
      </c>
      <c r="D108" s="517">
        <v>41928</v>
      </c>
      <c r="E108" s="205" t="s">
        <v>522</v>
      </c>
      <c r="F108" s="51" t="s">
        <v>809</v>
      </c>
      <c r="G108" s="38" t="s">
        <v>162</v>
      </c>
      <c r="H108" s="38"/>
      <c r="I108" s="38"/>
      <c r="J108" s="38"/>
      <c r="K108" s="38"/>
      <c r="L108" s="38"/>
      <c r="M108" s="216">
        <v>0.18412751259012028</v>
      </c>
      <c r="N108" s="209" t="e">
        <f>СЧЁТ!#REF!</f>
        <v>#REF!</v>
      </c>
      <c r="O108" s="209" t="e">
        <f>СЧЁТ!#REF!</f>
        <v>#REF!</v>
      </c>
      <c r="P108" s="209" t="e">
        <f>СЧЁТ!#REF!</f>
        <v>#REF!</v>
      </c>
      <c r="Q108" s="209" t="e">
        <f>СЧЁТ!#REF!</f>
        <v>#REF!</v>
      </c>
      <c r="R108" s="209" t="e">
        <f>СЧЁТ!#REF!</f>
        <v>#REF!</v>
      </c>
      <c r="S108" s="209" t="e">
        <f>СЧЁТ!#REF!</f>
        <v>#REF!</v>
      </c>
      <c r="T108" s="209" t="e">
        <f>СЧЁТ!#REF!</f>
        <v>#REF!</v>
      </c>
      <c r="U108" s="209" t="e">
        <f>СЧЁТ!#REF!</f>
        <v>#REF!</v>
      </c>
      <c r="V108" s="209" t="e">
        <f>СЧЁТ!#REF!</f>
        <v>#REF!</v>
      </c>
      <c r="W108" s="209" t="e">
        <f>СЧЁТ!#REF!</f>
        <v>#REF!</v>
      </c>
      <c r="X108" s="209" t="e">
        <f>СЧЁТ!#REF!</f>
        <v>#REF!</v>
      </c>
      <c r="Y108" s="209" t="e">
        <f>СЧЁТ!#REF!</f>
        <v>#REF!</v>
      </c>
      <c r="Z108" s="209" t="e">
        <f>СЧЁТ!#REF!</f>
        <v>#REF!</v>
      </c>
      <c r="AA108" s="209">
        <f>СЧЁТ!AC46</f>
        <v>0</v>
      </c>
      <c r="AB108" s="209">
        <f>СЧЁТ!AD46</f>
        <v>0</v>
      </c>
      <c r="AC108" s="209">
        <f>СЧЁТ!AE46</f>
        <v>0</v>
      </c>
      <c r="AD108" s="209">
        <f>СЧЁТ!AF46</f>
        <v>0</v>
      </c>
      <c r="AE108" s="209">
        <f>СЧЁТ!AG46</f>
        <v>0</v>
      </c>
      <c r="AF108" s="209">
        <f>СЧЁТ!AH46</f>
        <v>0</v>
      </c>
      <c r="AG108" s="209">
        <f>СЧЁТ!AI46</f>
        <v>0</v>
      </c>
      <c r="AH108" s="209">
        <f>СЧЁТ!AJ46</f>
        <v>0</v>
      </c>
      <c r="AI108" s="209">
        <f>СЧЁТ!AK46</f>
        <v>0</v>
      </c>
      <c r="AJ108" s="209">
        <f>СЧЁТ!AL46</f>
        <v>0</v>
      </c>
      <c r="AK108" s="209">
        <f>СЧЁТ!AM46</f>
        <v>0</v>
      </c>
      <c r="AL108" s="209">
        <f>СЧЁТ!AN46</f>
        <v>0</v>
      </c>
      <c r="AM108" s="209">
        <f>СЧЁТ!AO46</f>
        <v>0</v>
      </c>
      <c r="AN108" s="209">
        <f>СЧЁТ!AP46</f>
        <v>0</v>
      </c>
      <c r="AO108" s="209">
        <f>СЧЁТ!AQ46</f>
        <v>0</v>
      </c>
      <c r="AP108" s="209">
        <f>СЧЁТ!AR46</f>
        <v>0</v>
      </c>
      <c r="AQ108" s="209">
        <f>СЧЁТ!AS46</f>
        <v>0</v>
      </c>
      <c r="AR108" s="209">
        <f>СЧЁТ!AT46</f>
        <v>0</v>
      </c>
      <c r="AS108" s="209">
        <f>СЧЁТ!AU46</f>
        <v>0</v>
      </c>
      <c r="AT108" s="209">
        <f>СЧЁТ!AV46</f>
        <v>0</v>
      </c>
      <c r="AU108" s="209">
        <f>СЧЁТ!AW46</f>
        <v>0</v>
      </c>
      <c r="AV108" s="209">
        <f>СЧЁТ!AX46</f>
        <v>0</v>
      </c>
      <c r="AW108" s="44" t="s">
        <v>522</v>
      </c>
    </row>
    <row r="109" spans="3:49" ht="17.399999999999999">
      <c r="C109" s="105">
        <v>42</v>
      </c>
      <c r="D109" s="517">
        <v>41928</v>
      </c>
      <c r="E109" s="205" t="s">
        <v>525</v>
      </c>
      <c r="F109" s="51" t="s">
        <v>809</v>
      </c>
      <c r="G109" s="38" t="s">
        <v>943</v>
      </c>
      <c r="H109" s="38"/>
      <c r="I109" s="38"/>
      <c r="J109" s="38"/>
      <c r="K109" s="38"/>
      <c r="L109" s="38"/>
      <c r="M109" s="216">
        <v>0.79020035130091115</v>
      </c>
      <c r="N109" s="209" t="e">
        <f>СЧЁТ!#REF!</f>
        <v>#REF!</v>
      </c>
      <c r="O109" s="209" t="e">
        <f>СЧЁТ!#REF!</f>
        <v>#REF!</v>
      </c>
      <c r="P109" s="209" t="e">
        <f>СЧЁТ!#REF!</f>
        <v>#REF!</v>
      </c>
      <c r="Q109" s="209" t="e">
        <f>СЧЁТ!#REF!</f>
        <v>#REF!</v>
      </c>
      <c r="R109" s="209" t="e">
        <f>СЧЁТ!#REF!</f>
        <v>#REF!</v>
      </c>
      <c r="S109" s="209">
        <f>СЧЁТ!U48</f>
        <v>0</v>
      </c>
      <c r="T109" s="209">
        <f>СЧЁТ!V48</f>
        <v>0</v>
      </c>
      <c r="U109" s="209">
        <f>СЧЁТ!W48</f>
        <v>0</v>
      </c>
      <c r="V109" s="209">
        <f>СЧЁТ!X48</f>
        <v>0</v>
      </c>
      <c r="W109" s="209">
        <f>СЧЁТ!Y48</f>
        <v>0</v>
      </c>
      <c r="X109" s="209">
        <f>СЧЁТ!Z48</f>
        <v>0</v>
      </c>
      <c r="Y109" s="209">
        <f>СЧЁТ!AA48</f>
        <v>0</v>
      </c>
      <c r="Z109" s="209">
        <f>СЧЁТ!AB48</f>
        <v>0</v>
      </c>
      <c r="AA109" s="209">
        <f>СЧЁТ!AC47</f>
        <v>0</v>
      </c>
      <c r="AB109" s="209">
        <f>СЧЁТ!AD47</f>
        <v>0</v>
      </c>
      <c r="AC109" s="209">
        <f>СЧЁТ!AE47</f>
        <v>0</v>
      </c>
      <c r="AD109" s="209">
        <f>СЧЁТ!AF47</f>
        <v>0</v>
      </c>
      <c r="AE109" s="209">
        <f>СЧЁТ!AG47</f>
        <v>0</v>
      </c>
      <c r="AF109" s="209">
        <f>СЧЁТ!AH47</f>
        <v>0</v>
      </c>
      <c r="AG109" s="209">
        <f>СЧЁТ!AI47</f>
        <v>0</v>
      </c>
      <c r="AH109" s="209">
        <f>СЧЁТ!AJ47</f>
        <v>0</v>
      </c>
      <c r="AI109" s="209">
        <f>СЧЁТ!AK47</f>
        <v>0</v>
      </c>
      <c r="AJ109" s="209">
        <f>СЧЁТ!AL47</f>
        <v>0</v>
      </c>
      <c r="AK109" s="209">
        <f>СЧЁТ!AM47</f>
        <v>0</v>
      </c>
      <c r="AL109" s="209">
        <f>СЧЁТ!AN47</f>
        <v>0</v>
      </c>
      <c r="AM109" s="209">
        <f>СЧЁТ!AO47</f>
        <v>0</v>
      </c>
      <c r="AN109" s="209">
        <f>СЧЁТ!AP47</f>
        <v>0</v>
      </c>
      <c r="AO109" s="209">
        <f>СЧЁТ!AQ47</f>
        <v>0</v>
      </c>
      <c r="AP109" s="209">
        <f>СЧЁТ!AR47</f>
        <v>0</v>
      </c>
      <c r="AQ109" s="209">
        <f>СЧЁТ!AS47</f>
        <v>0</v>
      </c>
      <c r="AR109" s="209">
        <f>СЧЁТ!AT47</f>
        <v>0</v>
      </c>
      <c r="AS109" s="209">
        <f>СЧЁТ!AU47</f>
        <v>0</v>
      </c>
      <c r="AT109" s="209">
        <f>СЧЁТ!AV47</f>
        <v>0</v>
      </c>
      <c r="AU109" s="209">
        <f>СЧЁТ!AW47</f>
        <v>0</v>
      </c>
      <c r="AV109" s="209">
        <f>СЧЁТ!AX47</f>
        <v>0</v>
      </c>
      <c r="AW109" s="44" t="s">
        <v>525</v>
      </c>
    </row>
    <row r="110" spans="3:49" ht="17.399999999999999">
      <c r="C110" s="365">
        <v>43</v>
      </c>
      <c r="D110" s="517"/>
      <c r="E110" s="205" t="s">
        <v>528</v>
      </c>
      <c r="F110" s="51" t="s">
        <v>809</v>
      </c>
      <c r="G110" s="38" t="s">
        <v>944</v>
      </c>
      <c r="H110" s="38"/>
      <c r="I110" s="38"/>
      <c r="J110" s="38"/>
      <c r="K110" s="38"/>
      <c r="L110" s="38"/>
      <c r="M110" s="216"/>
      <c r="N110" s="209" t="e">
        <f>СЧЁТ!#REF!</f>
        <v>#REF!</v>
      </c>
      <c r="O110" s="209" t="e">
        <f>СЧЁТ!#REF!</f>
        <v>#REF!</v>
      </c>
      <c r="P110" s="209" t="str">
        <f>СЧЁТ!P49</f>
        <v>DH = 0,1909*WWP + 37701</v>
      </c>
      <c r="Q110" s="209">
        <f>СЧЁТ!Q49</f>
        <v>0</v>
      </c>
      <c r="R110" s="209" t="e">
        <f>СЧЁТ!#REF!</f>
        <v>#REF!</v>
      </c>
      <c r="S110" s="209" t="e">
        <f>СЧЁТ!#REF!</f>
        <v>#REF!</v>
      </c>
      <c r="T110" s="209" t="e">
        <f>СЧЁТ!#REF!</f>
        <v>#REF!</v>
      </c>
      <c r="U110" s="209">
        <f>СЧЁТ!W47</f>
        <v>0</v>
      </c>
      <c r="V110" s="209">
        <f>СЧЁТ!X74</f>
        <v>0</v>
      </c>
      <c r="W110" s="209">
        <f>СЧЁТ!Y60</f>
        <v>0</v>
      </c>
      <c r="X110" s="209">
        <f>СЧЁТ!Z60</f>
        <v>0</v>
      </c>
      <c r="Y110" s="209">
        <f>СЧЁТ!AA60</f>
        <v>0</v>
      </c>
      <c r="Z110" s="209">
        <f>СЧЁТ!AB60</f>
        <v>0</v>
      </c>
      <c r="AA110" s="209">
        <f>СЧЁТ!AC48</f>
        <v>0</v>
      </c>
      <c r="AB110" s="209">
        <f>СЧЁТ!AD48</f>
        <v>0</v>
      </c>
      <c r="AC110" s="209">
        <f>СЧЁТ!AE48</f>
        <v>0</v>
      </c>
      <c r="AD110" s="209">
        <f>СЧЁТ!AF48</f>
        <v>0</v>
      </c>
      <c r="AE110" s="209">
        <f>СЧЁТ!AG48</f>
        <v>0</v>
      </c>
      <c r="AF110" s="209">
        <f>СЧЁТ!AH48</f>
        <v>0</v>
      </c>
      <c r="AG110" s="209">
        <f>СЧЁТ!AI48</f>
        <v>0</v>
      </c>
      <c r="AH110" s="209">
        <f>СЧЁТ!AJ48</f>
        <v>0</v>
      </c>
      <c r="AI110" s="209">
        <f>СЧЁТ!AK48</f>
        <v>0</v>
      </c>
      <c r="AJ110" s="209">
        <f>СЧЁТ!AL48</f>
        <v>0</v>
      </c>
      <c r="AK110" s="209">
        <f>СЧЁТ!AM48</f>
        <v>0</v>
      </c>
      <c r="AL110" s="209">
        <f>СЧЁТ!AN48</f>
        <v>0</v>
      </c>
      <c r="AM110" s="209">
        <f>СЧЁТ!AO48</f>
        <v>0</v>
      </c>
      <c r="AN110" s="209">
        <f>СЧЁТ!AP48</f>
        <v>0</v>
      </c>
      <c r="AO110" s="209">
        <f>СЧЁТ!AQ48</f>
        <v>0</v>
      </c>
      <c r="AP110" s="209">
        <f>СЧЁТ!AR48</f>
        <v>0</v>
      </c>
      <c r="AQ110" s="209">
        <f>СЧЁТ!AS48</f>
        <v>0</v>
      </c>
      <c r="AR110" s="209">
        <f>СЧЁТ!AT48</f>
        <v>0</v>
      </c>
      <c r="AS110" s="209">
        <f>СЧЁТ!AU48</f>
        <v>0</v>
      </c>
      <c r="AT110" s="209">
        <f>СЧЁТ!AV48</f>
        <v>0</v>
      </c>
      <c r="AU110" s="209">
        <f>СЧЁТ!AW48</f>
        <v>0</v>
      </c>
      <c r="AV110" s="209">
        <f>СЧЁТ!AX48</f>
        <v>0</v>
      </c>
      <c r="AW110" s="44" t="s">
        <v>528</v>
      </c>
    </row>
    <row r="111" spans="3:49" ht="17.399999999999999">
      <c r="C111" s="365">
        <v>44</v>
      </c>
      <c r="D111" s="517">
        <v>40585</v>
      </c>
      <c r="E111" s="205" t="s">
        <v>531</v>
      </c>
      <c r="F111" s="51" t="s">
        <v>809</v>
      </c>
      <c r="G111" s="38" t="s">
        <v>1347</v>
      </c>
      <c r="H111" s="38"/>
      <c r="I111" s="38"/>
      <c r="J111" s="38"/>
      <c r="K111" s="38"/>
      <c r="L111" s="38"/>
      <c r="M111" s="216"/>
      <c r="N111" s="209">
        <f>СЧЁТ!P75</f>
        <v>0</v>
      </c>
      <c r="O111" s="209">
        <f>СЧЁТ!R49</f>
        <v>0</v>
      </c>
      <c r="P111" s="209" t="str">
        <f>СЧЁТ!P44</f>
        <v>DBJ = 0,5355*WWP - 18298</v>
      </c>
      <c r="Q111" s="209">
        <f>СЧЁТ!Q44</f>
        <v>0</v>
      </c>
      <c r="R111" s="209">
        <f>СЧЁТ!R44</f>
        <v>0</v>
      </c>
      <c r="S111" s="209" t="e">
        <f>СЧЁТ!#REF!</f>
        <v>#REF!</v>
      </c>
      <c r="T111" s="209" t="e">
        <f>СЧЁТ!#REF!</f>
        <v>#REF!</v>
      </c>
      <c r="U111" s="209">
        <f>СЧЁТ!W75</f>
        <v>0</v>
      </c>
      <c r="V111" s="209">
        <f>СЧЁТ!X75</f>
        <v>0</v>
      </c>
      <c r="W111" s="209">
        <f>СЧЁТ!Y65</f>
        <v>0</v>
      </c>
      <c r="X111" s="209">
        <f>СЧЁТ!Z65</f>
        <v>0</v>
      </c>
      <c r="Y111" s="209">
        <f>СЧЁТ!AA65</f>
        <v>0</v>
      </c>
      <c r="Z111" s="209">
        <f>СЧЁТ!AB65</f>
        <v>0</v>
      </c>
      <c r="AA111" s="209">
        <f>СЧЁТ!AC49</f>
        <v>0</v>
      </c>
      <c r="AB111" s="209">
        <f>СЧЁТ!AD49</f>
        <v>0</v>
      </c>
      <c r="AC111" s="209">
        <f>СЧЁТ!AE49</f>
        <v>0</v>
      </c>
      <c r="AD111" s="209">
        <f>СЧЁТ!AF49</f>
        <v>0</v>
      </c>
      <c r="AE111" s="209">
        <f>СЧЁТ!AG49</f>
        <v>0</v>
      </c>
      <c r="AF111" s="209">
        <f>СЧЁТ!AH49</f>
        <v>0</v>
      </c>
      <c r="AG111" s="209">
        <f>СЧЁТ!AI49</f>
        <v>0</v>
      </c>
      <c r="AH111" s="209">
        <f>СЧЁТ!AJ49</f>
        <v>0</v>
      </c>
      <c r="AI111" s="209">
        <f>СЧЁТ!AK49</f>
        <v>0</v>
      </c>
      <c r="AJ111" s="209">
        <f>СЧЁТ!AL49</f>
        <v>0</v>
      </c>
      <c r="AK111" s="209">
        <f>СЧЁТ!AM49</f>
        <v>0</v>
      </c>
      <c r="AL111" s="209">
        <f>СЧЁТ!AN49</f>
        <v>0</v>
      </c>
      <c r="AM111" s="209">
        <f>СЧЁТ!AO49</f>
        <v>0</v>
      </c>
      <c r="AN111" s="209">
        <f>СЧЁТ!AP49</f>
        <v>0</v>
      </c>
      <c r="AO111" s="209">
        <f>СЧЁТ!AQ49</f>
        <v>0</v>
      </c>
      <c r="AP111" s="209">
        <f>СЧЁТ!AR49</f>
        <v>0</v>
      </c>
      <c r="AQ111" s="209">
        <f>СЧЁТ!AS49</f>
        <v>0</v>
      </c>
      <c r="AR111" s="209">
        <f>СЧЁТ!AT49</f>
        <v>0</v>
      </c>
      <c r="AS111" s="209">
        <f>СЧЁТ!AU49</f>
        <v>0</v>
      </c>
      <c r="AT111" s="209">
        <f>СЧЁТ!AV49</f>
        <v>0</v>
      </c>
      <c r="AU111" s="209">
        <f>СЧЁТ!AW49</f>
        <v>0</v>
      </c>
      <c r="AV111" s="209">
        <f>СЧЁТ!AX49</f>
        <v>0</v>
      </c>
      <c r="AW111" s="44" t="s">
        <v>531</v>
      </c>
    </row>
    <row r="112" spans="3:49" ht="17.399999999999999">
      <c r="C112" s="365">
        <v>45</v>
      </c>
      <c r="D112" s="517">
        <v>40615</v>
      </c>
      <c r="E112" s="205" t="s">
        <v>534</v>
      </c>
      <c r="F112" s="51" t="s">
        <v>809</v>
      </c>
      <c r="G112" s="38" t="s">
        <v>1348</v>
      </c>
      <c r="H112" s="38"/>
      <c r="I112" s="38"/>
      <c r="J112" s="38"/>
      <c r="K112" s="38"/>
      <c r="L112" s="38"/>
      <c r="M112" s="216"/>
      <c r="N112" s="209" t="e">
        <f>СЧЁТ!#REF!</f>
        <v>#REF!</v>
      </c>
      <c r="O112" s="209" t="e">
        <f>СЧЁТ!#REF!</f>
        <v>#REF!</v>
      </c>
      <c r="P112" s="209">
        <f>СЧЁТ!S44</f>
        <v>0</v>
      </c>
      <c r="Q112" s="209">
        <f>СЧЁТ!S56</f>
        <v>0</v>
      </c>
      <c r="R112" s="209" t="e">
        <f>СЧЁТ!#REF!</f>
        <v>#REF!</v>
      </c>
      <c r="S112" s="209">
        <f>СЧЁТ!U55</f>
        <v>0</v>
      </c>
      <c r="T112" s="209">
        <f>СЧЁТ!V55</f>
        <v>0</v>
      </c>
      <c r="U112" s="209">
        <f>СЧЁТ!W55</f>
        <v>0</v>
      </c>
      <c r="V112" s="209">
        <f>СЧЁТ!X66</f>
        <v>0</v>
      </c>
      <c r="W112" s="209">
        <f>СЧЁТ!Y66</f>
        <v>0</v>
      </c>
      <c r="X112" s="209">
        <f>СЧЁТ!Z66</f>
        <v>0</v>
      </c>
      <c r="Y112" s="209">
        <f>СЧЁТ!AA66</f>
        <v>0</v>
      </c>
      <c r="Z112" s="209">
        <f>СЧЁТ!AB66</f>
        <v>0</v>
      </c>
      <c r="AA112" s="209">
        <f>СЧЁТ!AC50</f>
        <v>0</v>
      </c>
      <c r="AB112" s="209">
        <f>СЧЁТ!AD50</f>
        <v>0</v>
      </c>
      <c r="AC112" s="209">
        <f>СЧЁТ!AE50</f>
        <v>0</v>
      </c>
      <c r="AD112" s="209">
        <f>СЧЁТ!AF50</f>
        <v>0</v>
      </c>
      <c r="AE112" s="209">
        <f>СЧЁТ!AG50</f>
        <v>0</v>
      </c>
      <c r="AF112" s="209">
        <f>СЧЁТ!AH50</f>
        <v>0</v>
      </c>
      <c r="AG112" s="209">
        <f>СЧЁТ!AI50</f>
        <v>0</v>
      </c>
      <c r="AH112" s="209">
        <f>СЧЁТ!AJ50</f>
        <v>0</v>
      </c>
      <c r="AI112" s="209">
        <f>СЧЁТ!AK50</f>
        <v>0</v>
      </c>
      <c r="AJ112" s="209">
        <f>СЧЁТ!AL50</f>
        <v>0</v>
      </c>
      <c r="AK112" s="209">
        <f>СЧЁТ!AM50</f>
        <v>0</v>
      </c>
      <c r="AL112" s="209">
        <f>СЧЁТ!AN50</f>
        <v>0</v>
      </c>
      <c r="AM112" s="209">
        <f>СЧЁТ!AO50</f>
        <v>0</v>
      </c>
      <c r="AN112" s="209">
        <f>СЧЁТ!AP50</f>
        <v>0</v>
      </c>
      <c r="AO112" s="209">
        <f>СЧЁТ!AQ50</f>
        <v>0</v>
      </c>
      <c r="AP112" s="209">
        <f>СЧЁТ!AR50</f>
        <v>0</v>
      </c>
      <c r="AQ112" s="209">
        <f>СЧЁТ!AS50</f>
        <v>0</v>
      </c>
      <c r="AR112" s="209">
        <f>СЧЁТ!AT50</f>
        <v>0</v>
      </c>
      <c r="AS112" s="209">
        <f>СЧЁТ!AU50</f>
        <v>0</v>
      </c>
      <c r="AT112" s="209">
        <f>СЧЁТ!AV50</f>
        <v>0</v>
      </c>
      <c r="AU112" s="209">
        <f>СЧЁТ!AW50</f>
        <v>0</v>
      </c>
      <c r="AV112" s="209">
        <f>СЧЁТ!AX50</f>
        <v>0</v>
      </c>
      <c r="AW112" s="44" t="s">
        <v>534</v>
      </c>
    </row>
    <row r="113" spans="3:49" ht="17.399999999999999">
      <c r="C113" s="105">
        <v>46</v>
      </c>
      <c r="D113" s="517">
        <v>41928</v>
      </c>
      <c r="E113" s="205" t="s">
        <v>947</v>
      </c>
      <c r="F113" s="51" t="s">
        <v>809</v>
      </c>
      <c r="G113" s="38" t="s">
        <v>23</v>
      </c>
      <c r="H113" s="38"/>
      <c r="I113" s="38"/>
      <c r="J113" s="38"/>
      <c r="K113" s="38"/>
      <c r="L113" s="38"/>
      <c r="M113" s="216">
        <v>4.9988274017691826E-2</v>
      </c>
      <c r="N113" s="209" t="str">
        <f>СЧЁТ!P57</f>
        <v>WWS = 2,191*(FSt - FSt-1 +70,942)</v>
      </c>
      <c r="O113" s="209">
        <f>СЧЁТ!Q57</f>
        <v>0</v>
      </c>
      <c r="P113" s="209">
        <f>СЧЁТ!R57</f>
        <v>0</v>
      </c>
      <c r="Q113" s="209" t="str">
        <f>СЧЁТ!P47</f>
        <v>YG = 0,1814*WWP - 46,215</v>
      </c>
      <c r="R113" s="209">
        <f>СЧЁТ!Q47</f>
        <v>0</v>
      </c>
      <c r="S113" s="209">
        <f>СЧЁТ!R47</f>
        <v>0</v>
      </c>
      <c r="T113" s="209" t="e">
        <f>СЧЁТ!#REF!</f>
        <v>#REF!</v>
      </c>
      <c r="U113" s="209">
        <f>СЧЁТ!T47</f>
        <v>0</v>
      </c>
      <c r="V113" s="209">
        <f>СЧЁТ!X67</f>
        <v>0</v>
      </c>
      <c r="W113" s="209">
        <f>СЧЁТ!Y67</f>
        <v>0</v>
      </c>
      <c r="X113" s="209">
        <f>СЧЁТ!Z67</f>
        <v>0</v>
      </c>
      <c r="Y113" s="209">
        <f>СЧЁТ!AA67</f>
        <v>0</v>
      </c>
      <c r="Z113" s="209">
        <f>СЧЁТ!AB67</f>
        <v>0</v>
      </c>
      <c r="AA113" s="209">
        <f>СЧЁТ!AC51</f>
        <v>0</v>
      </c>
      <c r="AB113" s="209">
        <f>СЧЁТ!AD51</f>
        <v>0</v>
      </c>
      <c r="AC113" s="209">
        <f>СЧЁТ!AE51</f>
        <v>0</v>
      </c>
      <c r="AD113" s="209">
        <f>СЧЁТ!AF51</f>
        <v>0</v>
      </c>
      <c r="AE113" s="209">
        <f>СЧЁТ!AG51</f>
        <v>0</v>
      </c>
      <c r="AF113" s="209">
        <f>СЧЁТ!AH51</f>
        <v>0</v>
      </c>
      <c r="AG113" s="209">
        <f>СЧЁТ!AI51</f>
        <v>0</v>
      </c>
      <c r="AH113" s="209">
        <f>СЧЁТ!AJ51</f>
        <v>0</v>
      </c>
      <c r="AI113" s="209">
        <f>СЧЁТ!AK51</f>
        <v>0</v>
      </c>
      <c r="AJ113" s="209">
        <f>СЧЁТ!AL51</f>
        <v>0</v>
      </c>
      <c r="AK113" s="209">
        <f>СЧЁТ!AM51</f>
        <v>0</v>
      </c>
      <c r="AL113" s="209">
        <f>СЧЁТ!AN51</f>
        <v>0</v>
      </c>
      <c r="AM113" s="209">
        <f>СЧЁТ!AO51</f>
        <v>0</v>
      </c>
      <c r="AN113" s="209">
        <f>СЧЁТ!AP51</f>
        <v>0</v>
      </c>
      <c r="AO113" s="209">
        <f>СЧЁТ!AQ51</f>
        <v>0</v>
      </c>
      <c r="AP113" s="209">
        <f>СЧЁТ!AR51</f>
        <v>0</v>
      </c>
      <c r="AQ113" s="209">
        <f>СЧЁТ!AS51</f>
        <v>0</v>
      </c>
      <c r="AR113" s="209">
        <f>СЧЁТ!AT51</f>
        <v>0</v>
      </c>
      <c r="AS113" s="209">
        <f>СЧЁТ!AU51</f>
        <v>0</v>
      </c>
      <c r="AT113" s="209">
        <f>СЧЁТ!AV51</f>
        <v>0</v>
      </c>
      <c r="AU113" s="209">
        <f>СЧЁТ!AW51</f>
        <v>0</v>
      </c>
      <c r="AV113" s="209">
        <f>СЧЁТ!AX51</f>
        <v>0</v>
      </c>
      <c r="AW113" s="44" t="s">
        <v>947</v>
      </c>
    </row>
    <row r="114" spans="3:49" ht="17.399999999999999">
      <c r="C114" s="105">
        <v>47</v>
      </c>
      <c r="D114" s="517">
        <v>42308</v>
      </c>
      <c r="E114" s="205" t="s">
        <v>586</v>
      </c>
      <c r="F114" s="51" t="s">
        <v>809</v>
      </c>
      <c r="G114" s="38" t="s">
        <v>950</v>
      </c>
      <c r="H114" s="38"/>
      <c r="I114" s="38"/>
      <c r="J114" s="38"/>
      <c r="K114" s="38"/>
      <c r="L114" s="38"/>
      <c r="M114" s="216">
        <v>0.30591082006570569</v>
      </c>
      <c r="N114" s="209">
        <f>СЧЁТ!P76</f>
        <v>0</v>
      </c>
      <c r="O114" s="209">
        <f>СЧЁТ!Q76</f>
        <v>0</v>
      </c>
      <c r="P114" s="209">
        <f>СЧЁТ!R76</f>
        <v>0</v>
      </c>
      <c r="Q114" s="209">
        <f>СЧЁТ!S47</f>
        <v>0</v>
      </c>
      <c r="R114" s="209" t="e">
        <f>СЧЁТ!#REF!</f>
        <v>#REF!</v>
      </c>
      <c r="S114" s="209">
        <f>СЧЁТ!U76</f>
        <v>0</v>
      </c>
      <c r="T114" s="209">
        <f>СЧЁТ!V76</f>
        <v>0</v>
      </c>
      <c r="U114" s="209">
        <f>СЧЁТ!W76</f>
        <v>0</v>
      </c>
      <c r="V114" s="209">
        <f>СЧЁТ!X76</f>
        <v>0</v>
      </c>
      <c r="W114" s="209">
        <f>СЧЁТ!Y76</f>
        <v>0</v>
      </c>
      <c r="X114" s="209">
        <f>СЧЁТ!Z76</f>
        <v>0</v>
      </c>
      <c r="Y114" s="209">
        <f>СЧЁТ!AA76</f>
        <v>0</v>
      </c>
      <c r="Z114" s="209">
        <f>СЧЁТ!AB59</f>
        <v>0</v>
      </c>
      <c r="AA114" s="209">
        <f>СЧЁТ!AC52</f>
        <v>0</v>
      </c>
      <c r="AB114" s="209">
        <f>СЧЁТ!AD52</f>
        <v>0</v>
      </c>
      <c r="AC114" s="209">
        <f>СЧЁТ!AE52</f>
        <v>0</v>
      </c>
      <c r="AD114" s="209">
        <f>СЧЁТ!AF52</f>
        <v>0</v>
      </c>
      <c r="AE114" s="209">
        <f>СЧЁТ!AG52</f>
        <v>0</v>
      </c>
      <c r="AF114" s="209">
        <f>СЧЁТ!AH52</f>
        <v>0</v>
      </c>
      <c r="AG114" s="209">
        <f>СЧЁТ!AI52</f>
        <v>0</v>
      </c>
      <c r="AH114" s="209">
        <f>СЧЁТ!AJ52</f>
        <v>0</v>
      </c>
      <c r="AI114" s="209">
        <f>СЧЁТ!AK52</f>
        <v>0</v>
      </c>
      <c r="AJ114" s="209">
        <f>СЧЁТ!AL52</f>
        <v>0</v>
      </c>
      <c r="AK114" s="209">
        <f>СЧЁТ!AM52</f>
        <v>0</v>
      </c>
      <c r="AL114" s="209">
        <f>СЧЁТ!AN52</f>
        <v>0</v>
      </c>
      <c r="AM114" s="209">
        <f>СЧЁТ!AO52</f>
        <v>0</v>
      </c>
      <c r="AN114" s="209">
        <f>СЧЁТ!AP52</f>
        <v>0</v>
      </c>
      <c r="AO114" s="209">
        <f>СЧЁТ!AQ52</f>
        <v>0</v>
      </c>
      <c r="AP114" s="209">
        <f>СЧЁТ!AR52</f>
        <v>0</v>
      </c>
      <c r="AQ114" s="209">
        <f>СЧЁТ!AS52</f>
        <v>0</v>
      </c>
      <c r="AR114" s="209">
        <f>СЧЁТ!AT52</f>
        <v>0</v>
      </c>
      <c r="AS114" s="209">
        <f>СЧЁТ!AU52</f>
        <v>0</v>
      </c>
      <c r="AT114" s="209">
        <f>СЧЁТ!AV52</f>
        <v>0</v>
      </c>
      <c r="AU114" s="209">
        <f>СЧЁТ!AW52</f>
        <v>0</v>
      </c>
      <c r="AV114" s="209">
        <f>СЧЁТ!AX52</f>
        <v>0</v>
      </c>
      <c r="AW114" s="44" t="s">
        <v>586</v>
      </c>
    </row>
    <row r="115" spans="3:49" ht="17.399999999999999">
      <c r="C115" s="105">
        <v>48</v>
      </c>
      <c r="D115" s="517">
        <v>42308</v>
      </c>
      <c r="E115" s="205" t="s">
        <v>810</v>
      </c>
      <c r="F115" s="51" t="s">
        <v>809</v>
      </c>
      <c r="G115" s="38" t="s">
        <v>949</v>
      </c>
      <c r="H115" s="38"/>
      <c r="I115" s="38"/>
      <c r="J115" s="38"/>
      <c r="K115" s="38"/>
      <c r="L115" s="38"/>
      <c r="M115" s="216">
        <v>0.34028203577560534</v>
      </c>
      <c r="N115" s="209" t="e">
        <f>СЧЁТ!#REF!</f>
        <v>#REF!</v>
      </c>
      <c r="O115" s="209" t="e">
        <f>СЧЁТ!#REF!</f>
        <v>#REF!</v>
      </c>
      <c r="P115" s="209" t="e">
        <f>СЧЁТ!#REF!</f>
        <v>#REF!</v>
      </c>
      <c r="Q115" s="209">
        <f>СЧЁТ!S52</f>
        <v>0</v>
      </c>
      <c r="R115" s="209" t="e">
        <f>СЧЁТ!#REF!</f>
        <v>#REF!</v>
      </c>
      <c r="S115" s="209">
        <f>СЧЁТ!U54</f>
        <v>0</v>
      </c>
      <c r="T115" s="209">
        <f>СЧЁТ!V54</f>
        <v>0</v>
      </c>
      <c r="U115" s="209" t="e">
        <f>СЧЁТ!#REF!</f>
        <v>#REF!</v>
      </c>
      <c r="V115" s="209">
        <f>СЧЁТ!X56</f>
        <v>0</v>
      </c>
      <c r="W115" s="209">
        <f>СЧЁТ!Y56</f>
        <v>0</v>
      </c>
      <c r="X115" s="209">
        <f>СЧЁТ!Z69</f>
        <v>0</v>
      </c>
      <c r="Y115" s="209">
        <f>СЧЁТ!AA69</f>
        <v>0</v>
      </c>
      <c r="Z115" s="209">
        <f>СЧЁТ!AB69</f>
        <v>0</v>
      </c>
      <c r="AA115" s="209">
        <f>СЧЁТ!AC54</f>
        <v>0</v>
      </c>
      <c r="AB115" s="209">
        <f>СЧЁТ!AD54</f>
        <v>0</v>
      </c>
      <c r="AC115" s="209">
        <f>СЧЁТ!AE54</f>
        <v>0</v>
      </c>
      <c r="AD115" s="209">
        <f>СЧЁТ!AF54</f>
        <v>0</v>
      </c>
      <c r="AE115" s="209">
        <f>СЧЁТ!AG54</f>
        <v>0</v>
      </c>
      <c r="AF115" s="209">
        <f>СЧЁТ!AH54</f>
        <v>0</v>
      </c>
      <c r="AG115" s="209">
        <f>СЧЁТ!AI54</f>
        <v>0</v>
      </c>
      <c r="AH115" s="209">
        <f>СЧЁТ!AJ54</f>
        <v>0</v>
      </c>
      <c r="AI115" s="209">
        <f>СЧЁТ!AK54</f>
        <v>0</v>
      </c>
      <c r="AJ115" s="209">
        <f>СЧЁТ!AL54</f>
        <v>0</v>
      </c>
      <c r="AK115" s="209">
        <f>СЧЁТ!AM54</f>
        <v>0</v>
      </c>
      <c r="AL115" s="209">
        <f>СЧЁТ!AN54</f>
        <v>0</v>
      </c>
      <c r="AM115" s="209">
        <f>СЧЁТ!AO54</f>
        <v>0</v>
      </c>
      <c r="AN115" s="209">
        <f>СЧЁТ!AP54</f>
        <v>0</v>
      </c>
      <c r="AO115" s="209">
        <f>СЧЁТ!AQ54</f>
        <v>0</v>
      </c>
      <c r="AP115" s="209">
        <f>СЧЁТ!AR54</f>
        <v>0</v>
      </c>
      <c r="AQ115" s="209">
        <f>СЧЁТ!AS54</f>
        <v>0</v>
      </c>
      <c r="AR115" s="209">
        <f>СЧЁТ!AT54</f>
        <v>0</v>
      </c>
      <c r="AS115" s="209">
        <f>СЧЁТ!AU54</f>
        <v>0</v>
      </c>
      <c r="AT115" s="209">
        <f>СЧЁТ!AV54</f>
        <v>0</v>
      </c>
      <c r="AU115" s="209">
        <f>СЧЁТ!AW54</f>
        <v>0</v>
      </c>
      <c r="AV115" s="209">
        <f>СЧЁТ!AX54</f>
        <v>0</v>
      </c>
      <c r="AW115" s="44" t="s">
        <v>810</v>
      </c>
    </row>
    <row r="116" spans="3:49" ht="17.399999999999999">
      <c r="C116" s="105">
        <v>49</v>
      </c>
      <c r="D116" s="517">
        <v>42309</v>
      </c>
      <c r="E116" s="205" t="s">
        <v>628</v>
      </c>
      <c r="F116" s="51" t="s">
        <v>809</v>
      </c>
      <c r="G116" s="38" t="s">
        <v>22</v>
      </c>
      <c r="H116" s="38"/>
      <c r="I116" s="38"/>
      <c r="J116" s="38"/>
      <c r="K116" s="38"/>
      <c r="L116" s="38"/>
      <c r="M116" s="216">
        <v>2.2490438989016016E-2</v>
      </c>
      <c r="N116" s="209">
        <f>СЧЁТ!P37</f>
        <v>0</v>
      </c>
      <c r="O116" s="209">
        <f>СЧЁТ!Q37</f>
        <v>0</v>
      </c>
      <c r="P116" s="209">
        <f>СЧЁТ!R37</f>
        <v>0</v>
      </c>
      <c r="Q116" s="209">
        <f>СЧЁТ!S37</f>
        <v>0</v>
      </c>
      <c r="R116" s="209">
        <f>СЧЁТ!T37</f>
        <v>0</v>
      </c>
      <c r="S116" s="209">
        <f>СЧЁТ!U37</f>
        <v>0</v>
      </c>
      <c r="T116" s="209">
        <f>СЧЁТ!V37</f>
        <v>0</v>
      </c>
      <c r="U116" s="209">
        <f>СЧЁТ!W37</f>
        <v>0</v>
      </c>
      <c r="V116" s="209">
        <f>СЧЁТ!X37</f>
        <v>0</v>
      </c>
      <c r="W116" s="209">
        <f>СЧЁТ!Y37</f>
        <v>0</v>
      </c>
      <c r="X116" s="209">
        <f>СЧЁТ!Z37</f>
        <v>0</v>
      </c>
      <c r="Y116" s="209">
        <f>СЧЁТ!AA37</f>
        <v>0</v>
      </c>
      <c r="Z116" s="209">
        <f>СЧЁТ!AB37</f>
        <v>0</v>
      </c>
      <c r="AA116" s="209">
        <f>СЧЁТ!AC37</f>
        <v>0</v>
      </c>
      <c r="AB116" s="209">
        <f>СЧЁТ!AD37</f>
        <v>0</v>
      </c>
      <c r="AC116" s="209">
        <f>СЧЁТ!AE37</f>
        <v>0</v>
      </c>
      <c r="AD116" s="209">
        <f>СЧЁТ!AF37</f>
        <v>0</v>
      </c>
      <c r="AE116" s="209">
        <f>СЧЁТ!AG37</f>
        <v>0</v>
      </c>
      <c r="AF116" s="209">
        <f>СЧЁТ!AH37</f>
        <v>0</v>
      </c>
      <c r="AG116" s="209">
        <f>СЧЁТ!AI37</f>
        <v>0</v>
      </c>
      <c r="AH116" s="209">
        <f>СЧЁТ!AJ37</f>
        <v>0</v>
      </c>
      <c r="AI116" s="209">
        <f>СЧЁТ!AK37</f>
        <v>0</v>
      </c>
      <c r="AJ116" s="209">
        <f>СЧЁТ!AL37</f>
        <v>0</v>
      </c>
      <c r="AK116" s="209">
        <f>СЧЁТ!AM37</f>
        <v>0</v>
      </c>
      <c r="AL116" s="209">
        <f>СЧЁТ!AN37</f>
        <v>0</v>
      </c>
      <c r="AM116" s="209">
        <f>СЧЁТ!AO37</f>
        <v>0</v>
      </c>
      <c r="AN116" s="209">
        <f>СЧЁТ!AP37</f>
        <v>0</v>
      </c>
      <c r="AO116" s="209">
        <f>СЧЁТ!AQ37</f>
        <v>0</v>
      </c>
      <c r="AP116" s="209">
        <f>СЧЁТ!AR37</f>
        <v>0</v>
      </c>
      <c r="AQ116" s="209">
        <f>СЧЁТ!AS37</f>
        <v>0</v>
      </c>
      <c r="AR116" s="209">
        <f>СЧЁТ!AT37</f>
        <v>0</v>
      </c>
      <c r="AS116" s="209">
        <f>СЧЁТ!AU37</f>
        <v>0</v>
      </c>
      <c r="AT116" s="209">
        <f>СЧЁТ!AV37</f>
        <v>0</v>
      </c>
      <c r="AU116" s="209">
        <f>СЧЁТ!AW37</f>
        <v>0</v>
      </c>
      <c r="AV116" s="209">
        <f>СЧЁТ!AX37</f>
        <v>0</v>
      </c>
      <c r="AW116" s="44" t="s">
        <v>628</v>
      </c>
    </row>
    <row r="117" spans="3:49" ht="17.399999999999999">
      <c r="C117" s="105">
        <v>50</v>
      </c>
      <c r="D117" s="519">
        <v>40614</v>
      </c>
      <c r="E117" s="205" t="s">
        <v>107</v>
      </c>
      <c r="F117" s="51" t="s">
        <v>809</v>
      </c>
      <c r="G117" s="38" t="s">
        <v>109</v>
      </c>
      <c r="H117" s="38"/>
      <c r="I117" s="38"/>
      <c r="J117" s="38"/>
      <c r="K117" s="38"/>
      <c r="L117" s="38"/>
      <c r="M117" s="216">
        <v>0.24458015167192756</v>
      </c>
      <c r="N117" s="209">
        <f>СЧЁТ!P74</f>
        <v>0</v>
      </c>
      <c r="O117" s="209">
        <f>СЧЁТ!Q74</f>
        <v>0</v>
      </c>
      <c r="P117" s="209">
        <f>СЧЁТ!R74</f>
        <v>0</v>
      </c>
      <c r="Q117" s="209">
        <f>СЧЁТ!S48</f>
        <v>0</v>
      </c>
      <c r="R117" s="209">
        <f>СЧЁТ!T48</f>
        <v>0</v>
      </c>
      <c r="S117" s="209">
        <f>СЧЁТ!U71</f>
        <v>0</v>
      </c>
      <c r="T117" s="209" t="e">
        <f>СЧЁТ!#REF!</f>
        <v>#REF!</v>
      </c>
      <c r="U117" s="209" t="e">
        <f>СЧЁТ!#REF!</f>
        <v>#REF!</v>
      </c>
      <c r="V117" s="209">
        <f>СЧЁТ!X71</f>
        <v>0</v>
      </c>
      <c r="W117" s="209">
        <f>СЧЁТ!Y71</f>
        <v>0</v>
      </c>
      <c r="X117" s="209">
        <f>СЧЁТ!Z71</f>
        <v>0</v>
      </c>
      <c r="Y117" s="209">
        <f>СЧЁТ!AA71</f>
        <v>0</v>
      </c>
      <c r="Z117" s="209">
        <f>СЧЁТ!AB71</f>
        <v>0</v>
      </c>
      <c r="AA117" s="209">
        <f>СЧЁТ!AC56</f>
        <v>0</v>
      </c>
      <c r="AB117" s="209">
        <f>СЧЁТ!AD56</f>
        <v>0</v>
      </c>
      <c r="AC117" s="209">
        <f>СЧЁТ!AE56</f>
        <v>0</v>
      </c>
      <c r="AD117" s="209">
        <f>СЧЁТ!AF56</f>
        <v>0</v>
      </c>
      <c r="AE117" s="209">
        <f>СЧЁТ!AG56</f>
        <v>0</v>
      </c>
      <c r="AF117" s="209">
        <f>СЧЁТ!AH56</f>
        <v>0</v>
      </c>
      <c r="AG117" s="209">
        <f>СЧЁТ!AI56</f>
        <v>0</v>
      </c>
      <c r="AH117" s="209">
        <f>СЧЁТ!AJ56</f>
        <v>0</v>
      </c>
      <c r="AI117" s="209">
        <f>СЧЁТ!AK56</f>
        <v>0</v>
      </c>
      <c r="AJ117" s="209">
        <f>СЧЁТ!AL56</f>
        <v>0</v>
      </c>
      <c r="AK117" s="209">
        <f>СЧЁТ!AM56</f>
        <v>0</v>
      </c>
      <c r="AL117" s="209">
        <f>СЧЁТ!AN56</f>
        <v>0</v>
      </c>
      <c r="AM117" s="209">
        <f>СЧЁТ!AO56</f>
        <v>0</v>
      </c>
      <c r="AN117" s="209">
        <f>СЧЁТ!AP56</f>
        <v>0</v>
      </c>
      <c r="AO117" s="209">
        <f>СЧЁТ!AQ56</f>
        <v>0</v>
      </c>
      <c r="AP117" s="209">
        <f>СЧЁТ!AR56</f>
        <v>0</v>
      </c>
      <c r="AQ117" s="209">
        <f>СЧЁТ!AS56</f>
        <v>0</v>
      </c>
      <c r="AR117" s="209">
        <f>СЧЁТ!AT56</f>
        <v>0</v>
      </c>
      <c r="AS117" s="209">
        <f>СЧЁТ!AU56</f>
        <v>0</v>
      </c>
      <c r="AT117" s="209">
        <f>СЧЁТ!AV56</f>
        <v>0</v>
      </c>
      <c r="AU117" s="209">
        <f>СЧЁТ!AW56</f>
        <v>0</v>
      </c>
      <c r="AV117" s="209">
        <f>СЧЁТ!AX56</f>
        <v>0</v>
      </c>
      <c r="AW117" s="44" t="s">
        <v>107</v>
      </c>
    </row>
    <row r="118" spans="3:49" ht="17.399999999999999">
      <c r="C118" s="105">
        <v>51</v>
      </c>
      <c r="D118" s="519">
        <v>40614</v>
      </c>
      <c r="E118" s="205" t="s">
        <v>108</v>
      </c>
      <c r="F118" s="51" t="s">
        <v>809</v>
      </c>
      <c r="G118" s="38" t="s">
        <v>110</v>
      </c>
      <c r="H118" s="38"/>
      <c r="I118" s="38"/>
      <c r="J118" s="38"/>
      <c r="K118" s="38"/>
      <c r="L118" s="38"/>
      <c r="M118" s="216">
        <v>0.24548014811767122</v>
      </c>
      <c r="N118" s="209">
        <f>СЧЁТ!P72</f>
        <v>0</v>
      </c>
      <c r="O118" s="209" t="e">
        <f>СЧЁТ!#REF!</f>
        <v>#REF!</v>
      </c>
      <c r="P118" s="209" t="e">
        <f>СЧЁТ!#REF!</f>
        <v>#REF!</v>
      </c>
      <c r="Q118" s="209">
        <f>СЧЁТ!V71</f>
        <v>0</v>
      </c>
      <c r="R118" s="209">
        <f>СЧЁТ!W71</f>
        <v>0</v>
      </c>
      <c r="S118" s="209" t="e">
        <f>СЧЁТ!#REF!</f>
        <v>#REF!</v>
      </c>
      <c r="T118" s="209">
        <f>СЧЁТ!V72</f>
        <v>0</v>
      </c>
      <c r="U118" s="209">
        <f>СЧЁТ!W72</f>
        <v>0</v>
      </c>
      <c r="V118" s="209">
        <f>СЧЁТ!X72</f>
        <v>0</v>
      </c>
      <c r="W118" s="209">
        <f>СЧЁТ!Y72</f>
        <v>0</v>
      </c>
      <c r="X118" s="209">
        <f>СЧЁТ!Z72</f>
        <v>0</v>
      </c>
      <c r="Y118" s="209">
        <f>СЧЁТ!AA72</f>
        <v>0</v>
      </c>
      <c r="Z118" s="209">
        <f>СЧЁТ!AB72</f>
        <v>0</v>
      </c>
      <c r="AA118" s="209">
        <f>СЧЁТ!AC57</f>
        <v>0</v>
      </c>
      <c r="AB118" s="209">
        <f>СЧЁТ!AD57</f>
        <v>0</v>
      </c>
      <c r="AC118" s="209">
        <f>СЧЁТ!AE57</f>
        <v>0</v>
      </c>
      <c r="AD118" s="209">
        <f>СЧЁТ!AF57</f>
        <v>0</v>
      </c>
      <c r="AE118" s="209">
        <f>СЧЁТ!AG57</f>
        <v>0</v>
      </c>
      <c r="AF118" s="209">
        <f>СЧЁТ!AH57</f>
        <v>0</v>
      </c>
      <c r="AG118" s="209">
        <f>СЧЁТ!AI57</f>
        <v>0</v>
      </c>
      <c r="AH118" s="209">
        <f>СЧЁТ!AJ57</f>
        <v>0</v>
      </c>
      <c r="AI118" s="209">
        <f>СЧЁТ!AK57</f>
        <v>0</v>
      </c>
      <c r="AJ118" s="209">
        <f>СЧЁТ!AL57</f>
        <v>0</v>
      </c>
      <c r="AK118" s="209">
        <f>СЧЁТ!AM57</f>
        <v>0</v>
      </c>
      <c r="AL118" s="209">
        <f>СЧЁТ!AN57</f>
        <v>0</v>
      </c>
      <c r="AM118" s="209">
        <f>СЧЁТ!AO57</f>
        <v>0</v>
      </c>
      <c r="AN118" s="209">
        <f>СЧЁТ!AP57</f>
        <v>0</v>
      </c>
      <c r="AO118" s="209">
        <f>СЧЁТ!AQ57</f>
        <v>0</v>
      </c>
      <c r="AP118" s="209">
        <f>СЧЁТ!AR57</f>
        <v>0</v>
      </c>
      <c r="AQ118" s="209">
        <f>СЧЁТ!AS57</f>
        <v>0</v>
      </c>
      <c r="AR118" s="209">
        <f>СЧЁТ!AT57</f>
        <v>0</v>
      </c>
      <c r="AS118" s="209">
        <f>СЧЁТ!AU57</f>
        <v>0</v>
      </c>
      <c r="AT118" s="209">
        <f>СЧЁТ!AV57</f>
        <v>0</v>
      </c>
      <c r="AU118" s="209">
        <f>СЧЁТ!AW57</f>
        <v>0</v>
      </c>
      <c r="AV118" s="209">
        <f>СЧЁТ!AX57</f>
        <v>0</v>
      </c>
      <c r="AW118" s="44" t="s">
        <v>108</v>
      </c>
    </row>
    <row r="119" spans="3:49" ht="17.399999999999999">
      <c r="C119" s="105">
        <v>52</v>
      </c>
      <c r="D119" s="519"/>
      <c r="E119" s="205"/>
      <c r="F119" s="51"/>
      <c r="G119" s="38"/>
      <c r="H119" s="38"/>
      <c r="I119" s="38"/>
      <c r="J119" s="38"/>
      <c r="K119" s="38"/>
      <c r="L119" s="38"/>
      <c r="M119" s="216"/>
      <c r="N119" s="209" t="e">
        <f>СЧЁТ!#REF!</f>
        <v>#REF!</v>
      </c>
      <c r="O119" s="209">
        <f>СЧЁТ!T57</f>
        <v>0</v>
      </c>
      <c r="P119" s="209" t="e">
        <f>СЧЁТ!#REF!</f>
        <v>#REF!</v>
      </c>
      <c r="Q119" s="209" t="e">
        <f>СЧЁТ!#REF!</f>
        <v>#REF!</v>
      </c>
      <c r="R119" s="209" t="e">
        <f>СЧЁТ!#REF!</f>
        <v>#REF!</v>
      </c>
      <c r="S119" s="209" t="e">
        <f>СЧЁТ!#REF!</f>
        <v>#REF!</v>
      </c>
      <c r="T119" s="209" t="e">
        <f>СЧЁТ!#REF!</f>
        <v>#REF!</v>
      </c>
      <c r="U119" s="209" t="e">
        <f>СЧЁТ!#REF!</f>
        <v>#REF!</v>
      </c>
      <c r="V119" s="209" t="e">
        <f>СЧЁТ!#REF!</f>
        <v>#REF!</v>
      </c>
      <c r="W119" s="209" t="e">
        <f>СЧЁТ!#REF!</f>
        <v>#REF!</v>
      </c>
      <c r="X119" s="209">
        <f>СЧЁТ!Z56</f>
        <v>0</v>
      </c>
      <c r="Y119" s="209">
        <f>СЧЁТ!AA58</f>
        <v>0</v>
      </c>
      <c r="Z119" s="209">
        <f>СЧЁТ!AB58</f>
        <v>0</v>
      </c>
      <c r="AA119" s="209">
        <f>СЧЁТ!AC58</f>
        <v>0</v>
      </c>
      <c r="AB119" s="209">
        <f>СЧЁТ!AD58</f>
        <v>0</v>
      </c>
      <c r="AC119" s="209">
        <f>СЧЁТ!AE58</f>
        <v>0</v>
      </c>
      <c r="AD119" s="209">
        <f>СЧЁТ!AF58</f>
        <v>0</v>
      </c>
      <c r="AE119" s="209">
        <f>СЧЁТ!AG58</f>
        <v>0</v>
      </c>
      <c r="AF119" s="209">
        <f>СЧЁТ!AH58</f>
        <v>0</v>
      </c>
      <c r="AG119" s="209">
        <f>СЧЁТ!AI58</f>
        <v>0</v>
      </c>
      <c r="AH119" s="209">
        <f>СЧЁТ!AJ58</f>
        <v>0</v>
      </c>
      <c r="AI119" s="209">
        <f>СЧЁТ!AK58</f>
        <v>0</v>
      </c>
      <c r="AJ119" s="209">
        <f>СЧЁТ!AL58</f>
        <v>0</v>
      </c>
      <c r="AK119" s="209">
        <f>СЧЁТ!AM58</f>
        <v>0</v>
      </c>
      <c r="AL119" s="209">
        <f>СЧЁТ!AN58</f>
        <v>0</v>
      </c>
      <c r="AM119" s="209">
        <f>СЧЁТ!AO58</f>
        <v>0</v>
      </c>
      <c r="AN119" s="209">
        <f>СЧЁТ!AP58</f>
        <v>0</v>
      </c>
      <c r="AO119" s="209">
        <f>СЧЁТ!AQ58</f>
        <v>0</v>
      </c>
      <c r="AP119" s="209">
        <f>СЧЁТ!AR58</f>
        <v>0</v>
      </c>
      <c r="AQ119" s="209">
        <f>СЧЁТ!AS58</f>
        <v>0</v>
      </c>
      <c r="AR119" s="209">
        <f>СЧЁТ!AT58</f>
        <v>0</v>
      </c>
      <c r="AS119" s="209">
        <f>СЧЁТ!AU58</f>
        <v>0</v>
      </c>
      <c r="AT119" s="209">
        <f>СЧЁТ!AV58</f>
        <v>0</v>
      </c>
      <c r="AU119" s="209">
        <f>СЧЁТ!AW58</f>
        <v>0</v>
      </c>
      <c r="AV119" s="209">
        <f>СЧЁТ!AX58</f>
        <v>0</v>
      </c>
      <c r="AW119" s="44">
        <v>0</v>
      </c>
    </row>
    <row r="120" spans="3:49" ht="20.399999999999999">
      <c r="C120" s="105">
        <v>53</v>
      </c>
      <c r="D120" s="519">
        <v>42273</v>
      </c>
      <c r="E120" s="343" t="s">
        <v>1190</v>
      </c>
      <c r="F120" s="51" t="s">
        <v>809</v>
      </c>
      <c r="G120" s="38" t="s">
        <v>162</v>
      </c>
      <c r="H120" s="38"/>
      <c r="I120" s="38"/>
      <c r="J120" s="38"/>
      <c r="K120" s="38"/>
      <c r="L120" s="38"/>
      <c r="M120" s="216">
        <v>0.18412751259012031</v>
      </c>
      <c r="N120" s="209" t="e">
        <f>СЧЁТ!#REF!</f>
        <v>#REF!</v>
      </c>
      <c r="O120" s="209" t="e">
        <f>СЧЁТ!#REF!</f>
        <v>#REF!</v>
      </c>
      <c r="P120" s="209" t="e">
        <f>СЧЁТ!#REF!</f>
        <v>#REF!</v>
      </c>
      <c r="Q120" s="209" t="e">
        <f>СЧЁТ!#REF!</f>
        <v>#REF!</v>
      </c>
      <c r="R120" s="209" t="e">
        <f>СЧЁТ!#REF!</f>
        <v>#REF!</v>
      </c>
      <c r="S120" s="209" t="e">
        <f>СЧЁТ!#REF!</f>
        <v>#REF!</v>
      </c>
      <c r="T120" s="209" t="e">
        <f>СЧЁТ!#REF!</f>
        <v>#REF!</v>
      </c>
      <c r="U120" s="209" t="e">
        <f>СЧЁТ!#REF!</f>
        <v>#REF!</v>
      </c>
      <c r="V120" s="209" t="e">
        <f>СЧЁТ!#REF!</f>
        <v>#REF!</v>
      </c>
      <c r="W120" s="209" t="e">
        <f>СЧЁТ!#REF!</f>
        <v>#REF!</v>
      </c>
      <c r="X120" s="209" t="e">
        <f>СЧЁТ!#REF!</f>
        <v>#REF!</v>
      </c>
      <c r="Y120" s="209" t="e">
        <f>СЧЁТ!#REF!</f>
        <v>#REF!</v>
      </c>
      <c r="Z120" s="209" t="e">
        <f>СЧЁТ!#REF!</f>
        <v>#REF!</v>
      </c>
      <c r="AA120" s="209">
        <f>СЧЁТ!AC59</f>
        <v>0</v>
      </c>
      <c r="AB120" s="209">
        <f>СЧЁТ!AD59</f>
        <v>0</v>
      </c>
      <c r="AC120" s="209">
        <f>СЧЁТ!AE59</f>
        <v>0</v>
      </c>
      <c r="AD120" s="209">
        <f>СЧЁТ!AF59</f>
        <v>0</v>
      </c>
      <c r="AE120" s="209">
        <f>СЧЁТ!AG59</f>
        <v>0</v>
      </c>
      <c r="AF120" s="209">
        <f>СЧЁТ!AH59</f>
        <v>0</v>
      </c>
      <c r="AG120" s="209">
        <f>СЧЁТ!AI59</f>
        <v>0</v>
      </c>
      <c r="AH120" s="209">
        <f>СЧЁТ!AJ59</f>
        <v>0</v>
      </c>
      <c r="AI120" s="209">
        <f>СЧЁТ!AK59</f>
        <v>0</v>
      </c>
      <c r="AJ120" s="209">
        <f>СЧЁТ!AL59</f>
        <v>0</v>
      </c>
      <c r="AK120" s="209">
        <f>СЧЁТ!AM59</f>
        <v>0</v>
      </c>
      <c r="AL120" s="209">
        <f>СЧЁТ!AN59</f>
        <v>0</v>
      </c>
      <c r="AM120" s="209">
        <f>СЧЁТ!AO59</f>
        <v>0</v>
      </c>
      <c r="AN120" s="209">
        <f>СЧЁТ!AP59</f>
        <v>0</v>
      </c>
      <c r="AO120" s="209">
        <f>СЧЁТ!AQ59</f>
        <v>0</v>
      </c>
      <c r="AP120" s="209">
        <f>СЧЁТ!AR59</f>
        <v>0</v>
      </c>
      <c r="AQ120" s="209">
        <f>СЧЁТ!AS59</f>
        <v>0</v>
      </c>
      <c r="AR120" s="209">
        <f>СЧЁТ!AT59</f>
        <v>0</v>
      </c>
      <c r="AS120" s="209">
        <f>СЧЁТ!AU59</f>
        <v>0</v>
      </c>
      <c r="AT120" s="209">
        <f>СЧЁТ!AV59</f>
        <v>0</v>
      </c>
      <c r="AU120" s="209">
        <f>СЧЁТ!AW59</f>
        <v>0</v>
      </c>
      <c r="AV120" s="209">
        <f>СЧЁТ!AX59</f>
        <v>0</v>
      </c>
      <c r="AW120" s="546" t="s">
        <v>1190</v>
      </c>
    </row>
    <row r="121" spans="3:49" ht="17.399999999999999">
      <c r="C121" s="105">
        <v>54</v>
      </c>
      <c r="D121" s="518">
        <v>42034</v>
      </c>
      <c r="E121" s="205" t="s">
        <v>738</v>
      </c>
      <c r="F121" s="51" t="s">
        <v>809</v>
      </c>
      <c r="G121" s="38" t="s">
        <v>951</v>
      </c>
      <c r="H121" s="38"/>
      <c r="I121" s="38"/>
      <c r="J121" s="38"/>
      <c r="K121" s="38"/>
      <c r="L121" s="38"/>
      <c r="M121" s="61">
        <v>1</v>
      </c>
      <c r="N121" s="209">
        <f>СЧЁТ!P38</f>
        <v>0</v>
      </c>
      <c r="O121" s="209">
        <f>СЧЁТ!Q38</f>
        <v>0</v>
      </c>
      <c r="P121" s="209">
        <f>СЧЁТ!R38</f>
        <v>0</v>
      </c>
      <c r="Q121" s="209">
        <f>СЧЁТ!S38</f>
        <v>0</v>
      </c>
      <c r="R121" s="209">
        <f>СЧЁТ!T38</f>
        <v>0</v>
      </c>
      <c r="S121" s="209">
        <f>СЧЁТ!U38</f>
        <v>0</v>
      </c>
      <c r="T121" s="209">
        <f>СЧЁТ!V38</f>
        <v>0</v>
      </c>
      <c r="U121" s="209">
        <f>СЧЁТ!W38</f>
        <v>0</v>
      </c>
      <c r="V121" s="209">
        <f>СЧЁТ!X38</f>
        <v>0</v>
      </c>
      <c r="W121" s="209">
        <f>СЧЁТ!Y38</f>
        <v>0</v>
      </c>
      <c r="X121" s="209">
        <f>СЧЁТ!Z38</f>
        <v>0</v>
      </c>
      <c r="Y121" s="209">
        <f>СЧЁТ!AA38</f>
        <v>0</v>
      </c>
      <c r="Z121" s="209">
        <f>СЧЁТ!AB38</f>
        <v>0</v>
      </c>
      <c r="AA121" s="209">
        <f>СЧЁТ!AC38</f>
        <v>0</v>
      </c>
      <c r="AB121" s="209">
        <f>СЧЁТ!AD38</f>
        <v>0</v>
      </c>
      <c r="AC121" s="209">
        <f>СЧЁТ!AE38</f>
        <v>0</v>
      </c>
      <c r="AD121" s="209">
        <f>СЧЁТ!AF38</f>
        <v>0</v>
      </c>
      <c r="AE121" s="209">
        <f>СЧЁТ!AG38</f>
        <v>0</v>
      </c>
      <c r="AF121" s="209">
        <f>СЧЁТ!AH38</f>
        <v>0</v>
      </c>
      <c r="AG121" s="209">
        <f>СЧЁТ!AI38</f>
        <v>0</v>
      </c>
      <c r="AH121" s="209">
        <f>СЧЁТ!AJ38</f>
        <v>0</v>
      </c>
      <c r="AI121" s="209">
        <f>СЧЁТ!AK38</f>
        <v>0</v>
      </c>
      <c r="AJ121" s="209">
        <f>СЧЁТ!AL38</f>
        <v>0</v>
      </c>
      <c r="AK121" s="209">
        <f>СЧЁТ!AM38</f>
        <v>0</v>
      </c>
      <c r="AL121" s="209">
        <f>СЧЁТ!AN38</f>
        <v>0</v>
      </c>
      <c r="AM121" s="209">
        <f>СЧЁТ!AO38</f>
        <v>0</v>
      </c>
      <c r="AN121" s="209">
        <f>СЧЁТ!AP38</f>
        <v>0</v>
      </c>
      <c r="AO121" s="209">
        <f>СЧЁТ!AQ38</f>
        <v>0</v>
      </c>
      <c r="AP121" s="209">
        <f>СЧЁТ!AR38</f>
        <v>0</v>
      </c>
      <c r="AQ121" s="209">
        <f>СЧЁТ!AS38</f>
        <v>0</v>
      </c>
      <c r="AR121" s="209">
        <f>СЧЁТ!AT38</f>
        <v>0</v>
      </c>
      <c r="AS121" s="209">
        <f>СЧЁТ!AU38</f>
        <v>0</v>
      </c>
      <c r="AT121" s="209">
        <f>СЧЁТ!AV38</f>
        <v>0</v>
      </c>
      <c r="AU121" s="209">
        <f>СЧЁТ!AW38</f>
        <v>0</v>
      </c>
      <c r="AV121" s="209">
        <f>СЧЁТ!AX38</f>
        <v>0</v>
      </c>
      <c r="AW121" s="546" t="s">
        <v>738</v>
      </c>
    </row>
    <row r="122" spans="3:49" ht="17.399999999999999">
      <c r="C122" s="105">
        <v>55</v>
      </c>
      <c r="D122" s="520"/>
      <c r="E122" s="205" t="s">
        <v>952</v>
      </c>
      <c r="F122" s="51" t="s">
        <v>396</v>
      </c>
      <c r="G122" s="38" t="s">
        <v>737</v>
      </c>
      <c r="H122" s="38"/>
      <c r="I122" s="38"/>
      <c r="J122" s="38"/>
      <c r="K122" s="38"/>
      <c r="L122" s="38"/>
      <c r="M122" s="218">
        <v>418.46850000000001</v>
      </c>
      <c r="N122" s="209" t="e">
        <f>СЧЁТ!#REF!</f>
        <v>#REF!</v>
      </c>
      <c r="O122" s="209" t="e">
        <f>СЧЁТ!#REF!</f>
        <v>#REF!</v>
      </c>
      <c r="P122" s="209" t="e">
        <f>СЧЁТ!#REF!</f>
        <v>#REF!</v>
      </c>
      <c r="Q122" s="209" t="e">
        <f>СЧЁТ!#REF!</f>
        <v>#REF!</v>
      </c>
      <c r="R122" s="209" t="e">
        <f>СЧЁТ!#REF!</f>
        <v>#REF!</v>
      </c>
      <c r="S122" s="209" t="e">
        <f>СЧЁТ!#REF!</f>
        <v>#REF!</v>
      </c>
      <c r="T122" s="209" t="e">
        <f>СЧЁТ!#REF!</f>
        <v>#REF!</v>
      </c>
      <c r="U122" s="209" t="e">
        <f>СЧЁТ!#REF!</f>
        <v>#REF!</v>
      </c>
      <c r="V122" s="209" t="e">
        <f>СЧЁТ!#REF!</f>
        <v>#REF!</v>
      </c>
      <c r="W122" s="209" t="e">
        <f>СЧЁТ!#REF!</f>
        <v>#REF!</v>
      </c>
      <c r="X122" s="209" t="e">
        <f>СЧЁТ!#REF!</f>
        <v>#REF!</v>
      </c>
      <c r="Y122" s="209" t="e">
        <f>СЧЁТ!#REF!</f>
        <v>#REF!</v>
      </c>
      <c r="Z122" s="209" t="e">
        <f>СЧЁТ!#REF!</f>
        <v>#REF!</v>
      </c>
      <c r="AA122" s="209">
        <f>СЧЁТ!AC65</f>
        <v>0</v>
      </c>
      <c r="AB122" s="209">
        <f>СЧЁТ!AD65</f>
        <v>0</v>
      </c>
      <c r="AC122" s="209">
        <f>СЧЁТ!AE65</f>
        <v>0</v>
      </c>
      <c r="AD122" s="209">
        <f>СЧЁТ!AF65</f>
        <v>0</v>
      </c>
      <c r="AE122" s="209">
        <f>СЧЁТ!AG65</f>
        <v>0</v>
      </c>
      <c r="AF122" s="209">
        <f>СЧЁТ!AH65</f>
        <v>0</v>
      </c>
      <c r="AG122" s="209">
        <f>СЧЁТ!AI65</f>
        <v>0</v>
      </c>
      <c r="AH122" s="209">
        <f>СЧЁТ!AJ65</f>
        <v>0</v>
      </c>
      <c r="AI122" s="209">
        <f>СЧЁТ!AK65</f>
        <v>0</v>
      </c>
      <c r="AJ122" s="209">
        <f>СЧЁТ!AL65</f>
        <v>0</v>
      </c>
      <c r="AK122" s="209">
        <f>СЧЁТ!AM65</f>
        <v>0</v>
      </c>
      <c r="AL122" s="209">
        <f>СЧЁТ!AN65</f>
        <v>0</v>
      </c>
      <c r="AM122" s="209">
        <f>СЧЁТ!AO65</f>
        <v>0</v>
      </c>
      <c r="AN122" s="209">
        <f>СЧЁТ!AP65</f>
        <v>0</v>
      </c>
      <c r="AO122" s="209">
        <f>СЧЁТ!AQ65</f>
        <v>0</v>
      </c>
      <c r="AP122" s="209">
        <f>СЧЁТ!AR65</f>
        <v>0</v>
      </c>
      <c r="AQ122" s="209">
        <f>СЧЁТ!AS65</f>
        <v>0</v>
      </c>
      <c r="AR122" s="209">
        <f>СЧЁТ!AT65</f>
        <v>0</v>
      </c>
      <c r="AS122" s="209">
        <f>СЧЁТ!AU65</f>
        <v>0</v>
      </c>
      <c r="AT122" s="209">
        <f>СЧЁТ!AV65</f>
        <v>0</v>
      </c>
      <c r="AU122" s="209">
        <f>СЧЁТ!AW65</f>
        <v>0</v>
      </c>
      <c r="AV122" s="209">
        <f>СЧЁТ!AX65</f>
        <v>0</v>
      </c>
      <c r="AW122" s="38" t="s">
        <v>952</v>
      </c>
    </row>
    <row r="123" spans="3:49" ht="17.399999999999999">
      <c r="C123" s="105">
        <v>56</v>
      </c>
      <c r="D123" s="520"/>
      <c r="E123" s="205" t="s">
        <v>660</v>
      </c>
      <c r="F123" s="51" t="s">
        <v>396</v>
      </c>
      <c r="G123" s="38" t="s">
        <v>953</v>
      </c>
      <c r="H123" s="38"/>
      <c r="I123" s="38"/>
      <c r="J123" s="38"/>
      <c r="K123" s="514">
        <v>392.29556398346608</v>
      </c>
      <c r="L123" s="224">
        <v>296.96774193548384</v>
      </c>
      <c r="M123" s="224">
        <v>266.97399999999999</v>
      </c>
      <c r="N123" s="209" t="e">
        <f>СЧЁТ!#REF!</f>
        <v>#REF!</v>
      </c>
      <c r="O123" s="209" t="e">
        <f>СЧЁТ!#REF!</f>
        <v>#REF!</v>
      </c>
      <c r="P123" s="209" t="e">
        <f>СЧЁТ!#REF!</f>
        <v>#REF!</v>
      </c>
      <c r="Q123" s="212" t="e">
        <f>СЧЁТ!#REF!</f>
        <v>#REF!</v>
      </c>
      <c r="R123" s="212" t="e">
        <f>СЧЁТ!#REF!</f>
        <v>#REF!</v>
      </c>
      <c r="S123" s="212" t="e">
        <f>СЧЁТ!#REF!</f>
        <v>#REF!</v>
      </c>
      <c r="T123" s="212" t="e">
        <f>СЧЁТ!#REF!</f>
        <v>#REF!</v>
      </c>
      <c r="U123" s="209" t="e">
        <f>СЧЁТ!#REF!</f>
        <v>#REF!</v>
      </c>
      <c r="V123" s="209" t="e">
        <f>СЧЁТ!#REF!</f>
        <v>#REF!</v>
      </c>
      <c r="W123" s="209" t="e">
        <f>СЧЁТ!#REF!</f>
        <v>#REF!</v>
      </c>
      <c r="X123" s="209" t="e">
        <f>СЧЁТ!#REF!</f>
        <v>#REF!</v>
      </c>
      <c r="Y123" s="209" t="e">
        <f>СЧЁТ!#REF!</f>
        <v>#REF!</v>
      </c>
      <c r="Z123" s="209" t="e">
        <f>СЧЁТ!#REF!</f>
        <v>#REF!</v>
      </c>
      <c r="AA123" s="209">
        <f>СЧЁТ!AC66</f>
        <v>0</v>
      </c>
      <c r="AB123" s="209">
        <f>СЧЁТ!AD66</f>
        <v>0</v>
      </c>
      <c r="AC123" s="209">
        <f>СЧЁТ!AE66</f>
        <v>0</v>
      </c>
      <c r="AD123" s="209">
        <f>СЧЁТ!AF66</f>
        <v>0</v>
      </c>
      <c r="AE123" s="209">
        <f>СЧЁТ!AG66</f>
        <v>0</v>
      </c>
      <c r="AF123" s="209">
        <f>СЧЁТ!AH66</f>
        <v>0</v>
      </c>
      <c r="AG123" s="209">
        <f>СЧЁТ!AI66</f>
        <v>0</v>
      </c>
      <c r="AH123" s="209">
        <f>СЧЁТ!AJ66</f>
        <v>0</v>
      </c>
      <c r="AI123" s="209">
        <f>СЧЁТ!AK66</f>
        <v>0</v>
      </c>
      <c r="AJ123" s="209">
        <f>СЧЁТ!AL66</f>
        <v>0</v>
      </c>
      <c r="AK123" s="209">
        <f>СЧЁТ!AM66</f>
        <v>0</v>
      </c>
      <c r="AL123" s="209">
        <f>СЧЁТ!AN66</f>
        <v>0</v>
      </c>
      <c r="AM123" s="209">
        <f>СЧЁТ!AO66</f>
        <v>0</v>
      </c>
      <c r="AN123" s="209">
        <f>СЧЁТ!AP66</f>
        <v>0</v>
      </c>
      <c r="AO123" s="209">
        <f>СЧЁТ!AQ66</f>
        <v>0</v>
      </c>
      <c r="AP123" s="209">
        <f>СЧЁТ!AR66</f>
        <v>0</v>
      </c>
      <c r="AQ123" s="209">
        <f>СЧЁТ!AS66</f>
        <v>0</v>
      </c>
      <c r="AR123" s="209">
        <f>СЧЁТ!AT66</f>
        <v>0</v>
      </c>
      <c r="AS123" s="209">
        <f>СЧЁТ!AU66</f>
        <v>0</v>
      </c>
      <c r="AT123" s="209">
        <f>СЧЁТ!AV66</f>
        <v>0</v>
      </c>
      <c r="AU123" s="209">
        <f>СЧЁТ!AW66</f>
        <v>0</v>
      </c>
      <c r="AV123" s="209">
        <f>СЧЁТ!AX66</f>
        <v>0</v>
      </c>
      <c r="AW123" s="44" t="s">
        <v>660</v>
      </c>
    </row>
    <row r="124" spans="3:49" ht="17.399999999999999">
      <c r="C124" s="105">
        <v>57</v>
      </c>
      <c r="D124" s="520"/>
      <c r="E124" s="205" t="s">
        <v>425</v>
      </c>
      <c r="F124" s="51" t="s">
        <v>396</v>
      </c>
      <c r="G124" s="38" t="s">
        <v>954</v>
      </c>
      <c r="H124" s="38"/>
      <c r="I124" s="38"/>
      <c r="J124" s="38"/>
      <c r="K124" s="38"/>
      <c r="L124" s="515">
        <v>610.83799999999997</v>
      </c>
      <c r="M124" s="218">
        <v>1428.5209000000002</v>
      </c>
      <c r="N124" s="209" t="e">
        <f>СЧЁТ!#REF!</f>
        <v>#REF!</v>
      </c>
      <c r="O124" s="209" t="e">
        <f>СЧЁТ!#REF!</f>
        <v>#REF!</v>
      </c>
      <c r="P124" s="209" t="e">
        <f>СЧЁТ!#REF!</f>
        <v>#REF!</v>
      </c>
      <c r="Q124" s="209" t="e">
        <f>СЧЁТ!#REF!</f>
        <v>#REF!</v>
      </c>
      <c r="R124" s="209" t="e">
        <f>СЧЁТ!#REF!</f>
        <v>#REF!</v>
      </c>
      <c r="S124" s="209" t="e">
        <f>СЧЁТ!#REF!</f>
        <v>#REF!</v>
      </c>
      <c r="T124" s="209" t="e">
        <f>СЧЁТ!#REF!</f>
        <v>#REF!</v>
      </c>
      <c r="U124" s="209" t="e">
        <f>СЧЁТ!#REF!</f>
        <v>#REF!</v>
      </c>
      <c r="V124" s="209" t="e">
        <f>СЧЁТ!#REF!</f>
        <v>#REF!</v>
      </c>
      <c r="W124" s="209" t="e">
        <f>СЧЁТ!#REF!</f>
        <v>#REF!</v>
      </c>
      <c r="X124" s="209" t="e">
        <f>СЧЁТ!#REF!</f>
        <v>#REF!</v>
      </c>
      <c r="Y124" s="209" t="e">
        <f>СЧЁТ!#REF!</f>
        <v>#REF!</v>
      </c>
      <c r="Z124" s="209" t="e">
        <f>СЧЁТ!#REF!</f>
        <v>#REF!</v>
      </c>
      <c r="AA124" s="209">
        <f>СЧЁТ!AC67</f>
        <v>0</v>
      </c>
      <c r="AB124" s="209">
        <f>СЧЁТ!AD67</f>
        <v>0</v>
      </c>
      <c r="AC124" s="209">
        <f>СЧЁТ!AE67</f>
        <v>0</v>
      </c>
      <c r="AD124" s="209">
        <f>СЧЁТ!AF67</f>
        <v>0</v>
      </c>
      <c r="AE124" s="209">
        <f>СЧЁТ!AG67</f>
        <v>0</v>
      </c>
      <c r="AF124" s="209">
        <f>СЧЁТ!AH67</f>
        <v>0</v>
      </c>
      <c r="AG124" s="209">
        <f>СЧЁТ!AI67</f>
        <v>0</v>
      </c>
      <c r="AH124" s="209">
        <f>СЧЁТ!AJ67</f>
        <v>0</v>
      </c>
      <c r="AI124" s="209">
        <f>СЧЁТ!AK67</f>
        <v>0</v>
      </c>
      <c r="AJ124" s="209">
        <f>СЧЁТ!AL67</f>
        <v>0</v>
      </c>
      <c r="AK124" s="209">
        <f>СЧЁТ!AM67</f>
        <v>0</v>
      </c>
      <c r="AL124" s="209">
        <f>СЧЁТ!AN67</f>
        <v>0</v>
      </c>
      <c r="AM124" s="209">
        <f>СЧЁТ!AO67</f>
        <v>0</v>
      </c>
      <c r="AN124" s="209">
        <f>СЧЁТ!AP67</f>
        <v>0</v>
      </c>
      <c r="AO124" s="209">
        <f>СЧЁТ!AQ67</f>
        <v>0</v>
      </c>
      <c r="AP124" s="209">
        <f>СЧЁТ!AR67</f>
        <v>0</v>
      </c>
      <c r="AQ124" s="209">
        <f>СЧЁТ!AS67</f>
        <v>0</v>
      </c>
      <c r="AR124" s="209">
        <f>СЧЁТ!AT67</f>
        <v>0</v>
      </c>
      <c r="AS124" s="209">
        <f>СЧЁТ!AU67</f>
        <v>0</v>
      </c>
      <c r="AT124" s="209">
        <f>СЧЁТ!AV67</f>
        <v>0</v>
      </c>
      <c r="AU124" s="209">
        <f>СЧЁТ!AW67</f>
        <v>0</v>
      </c>
      <c r="AV124" s="209">
        <f>СЧЁТ!AX67</f>
        <v>0</v>
      </c>
      <c r="AW124" s="44" t="s">
        <v>425</v>
      </c>
    </row>
    <row r="125" spans="3:49" ht="17.399999999999999">
      <c r="C125" s="105">
        <v>58</v>
      </c>
      <c r="D125" s="518">
        <v>42309</v>
      </c>
      <c r="E125" s="205" t="s">
        <v>423</v>
      </c>
      <c r="F125" s="51" t="s">
        <v>396</v>
      </c>
      <c r="G125" s="38" t="s">
        <v>955</v>
      </c>
      <c r="H125" s="38"/>
      <c r="I125" s="38"/>
      <c r="J125" s="38"/>
      <c r="K125" s="38"/>
      <c r="L125" s="38"/>
      <c r="M125" s="61">
        <v>0</v>
      </c>
      <c r="N125" s="209" t="e">
        <f>СЧЁТ!#REF!</f>
        <v>#REF!</v>
      </c>
      <c r="O125" s="209" t="e">
        <f>СЧЁТ!#REF!</f>
        <v>#REF!</v>
      </c>
      <c r="P125" s="209" t="e">
        <f>СЧЁТ!#REF!</f>
        <v>#REF!</v>
      </c>
      <c r="Q125" s="209" t="e">
        <f>СЧЁТ!#REF!</f>
        <v>#REF!</v>
      </c>
      <c r="R125" s="209" t="e">
        <f>СЧЁТ!#REF!</f>
        <v>#REF!</v>
      </c>
      <c r="S125" s="209">
        <f>СЧЁТ!U77</f>
        <v>0</v>
      </c>
      <c r="T125" s="212">
        <f>СЧЁТ!V77</f>
        <v>0</v>
      </c>
      <c r="U125" s="212">
        <f>СЧЁТ!W77</f>
        <v>0</v>
      </c>
      <c r="V125" s="212">
        <f>СЧЁТ!X77</f>
        <v>0</v>
      </c>
      <c r="W125" s="212">
        <f>СЧЁТ!Y77</f>
        <v>0</v>
      </c>
      <c r="X125" s="212">
        <f>СЧЁТ!Z77</f>
        <v>0</v>
      </c>
      <c r="Y125" s="212">
        <f>СЧЁТ!AA77</f>
        <v>0</v>
      </c>
      <c r="Z125" s="212">
        <f>СЧЁТ!AB77</f>
        <v>0</v>
      </c>
      <c r="AA125" s="212">
        <f>СЧЁТ!AC77</f>
        <v>0</v>
      </c>
      <c r="AB125" s="212">
        <f>СЧЁТ!AD77</f>
        <v>0</v>
      </c>
      <c r="AC125" s="212">
        <f>СЧЁТ!AE77</f>
        <v>0</v>
      </c>
      <c r="AD125" s="212">
        <f>СЧЁТ!AF77</f>
        <v>0</v>
      </c>
      <c r="AE125" s="212">
        <f>СЧЁТ!AG77</f>
        <v>0</v>
      </c>
      <c r="AF125" s="212">
        <f>СЧЁТ!AH77</f>
        <v>0</v>
      </c>
      <c r="AG125" s="209">
        <f>СЧЁТ!AI77</f>
        <v>0</v>
      </c>
      <c r="AH125" s="209">
        <f>СЧЁТ!AJ77</f>
        <v>0</v>
      </c>
      <c r="AI125" s="209">
        <f>СЧЁТ!AK77</f>
        <v>0</v>
      </c>
      <c r="AJ125" s="209">
        <f>СЧЁТ!AL77</f>
        <v>0</v>
      </c>
      <c r="AK125" s="209">
        <f>СЧЁТ!AM77</f>
        <v>0</v>
      </c>
      <c r="AL125" s="209">
        <f>СЧЁТ!AN77</f>
        <v>0</v>
      </c>
      <c r="AM125" s="209">
        <f>СЧЁТ!AO77</f>
        <v>0</v>
      </c>
      <c r="AN125" s="209">
        <f>СЧЁТ!AP77</f>
        <v>0</v>
      </c>
      <c r="AO125" s="209">
        <f>СЧЁТ!AQ77</f>
        <v>0</v>
      </c>
      <c r="AP125" s="209">
        <f>СЧЁТ!AR77</f>
        <v>0</v>
      </c>
      <c r="AQ125" s="209">
        <f>СЧЁТ!AS77</f>
        <v>0</v>
      </c>
      <c r="AR125" s="209">
        <f>СЧЁТ!AT77</f>
        <v>0</v>
      </c>
      <c r="AS125" s="209">
        <f>СЧЁТ!AU77</f>
        <v>0</v>
      </c>
      <c r="AT125" s="209">
        <f>СЧЁТ!AV77</f>
        <v>0</v>
      </c>
      <c r="AU125" s="209">
        <f>СЧЁТ!AW77</f>
        <v>0</v>
      </c>
      <c r="AV125" s="209">
        <f>СЧЁТ!AX77</f>
        <v>0</v>
      </c>
      <c r="AW125" s="44" t="s">
        <v>423</v>
      </c>
    </row>
    <row r="126" spans="3:49" ht="17.399999999999999">
      <c r="C126" s="105">
        <v>59</v>
      </c>
      <c r="D126" s="521">
        <v>42018</v>
      </c>
      <c r="E126" s="227" t="s">
        <v>21</v>
      </c>
      <c r="F126" s="3" t="s">
        <v>809</v>
      </c>
      <c r="G126" s="516" t="s">
        <v>956</v>
      </c>
      <c r="H126" s="516"/>
      <c r="I126" s="516"/>
      <c r="J126" s="516"/>
      <c r="K126" s="38"/>
      <c r="L126" s="38"/>
      <c r="M126" s="68">
        <v>0</v>
      </c>
      <c r="N126" s="209" t="e">
        <f>СЧЁТ!#REF!</f>
        <v>#REF!</v>
      </c>
      <c r="O126" s="209" t="e">
        <f>СЧЁТ!#REF!</f>
        <v>#REF!</v>
      </c>
      <c r="P126" s="209" t="e">
        <f>СЧЁТ!#REF!</f>
        <v>#REF!</v>
      </c>
      <c r="Q126" s="209" t="e">
        <f>СЧЁТ!#REF!</f>
        <v>#REF!</v>
      </c>
      <c r="R126" s="209" t="e">
        <f>СЧЁТ!#REF!</f>
        <v>#REF!</v>
      </c>
      <c r="S126" s="209">
        <f>СЧЁТ!U78</f>
        <v>0</v>
      </c>
      <c r="T126" s="209">
        <f>СЧЁТ!V78</f>
        <v>0</v>
      </c>
      <c r="U126" s="209">
        <f>СЧЁТ!W78</f>
        <v>0</v>
      </c>
      <c r="V126" s="209">
        <f>СЧЁТ!X78</f>
        <v>0</v>
      </c>
      <c r="W126" s="209">
        <f>СЧЁТ!Y78</f>
        <v>0</v>
      </c>
      <c r="X126" s="209">
        <f>СЧЁТ!Z78</f>
        <v>0</v>
      </c>
      <c r="Y126" s="209">
        <f>СЧЁТ!AA78</f>
        <v>0</v>
      </c>
      <c r="Z126" s="209">
        <f>СЧЁТ!AB78</f>
        <v>0</v>
      </c>
      <c r="AA126" s="209">
        <f>СЧЁТ!AC78</f>
        <v>0</v>
      </c>
      <c r="AB126" s="209">
        <f>СЧЁТ!AD78</f>
        <v>0</v>
      </c>
      <c r="AC126" s="209">
        <f>СЧЁТ!AE78</f>
        <v>0</v>
      </c>
      <c r="AD126" s="209">
        <f>СЧЁТ!AF78</f>
        <v>0</v>
      </c>
      <c r="AE126" s="209">
        <f>СЧЁТ!AG78</f>
        <v>0</v>
      </c>
      <c r="AF126" s="209">
        <f>СЧЁТ!AH78</f>
        <v>0</v>
      </c>
      <c r="AG126" s="209">
        <f>СЧЁТ!AI78</f>
        <v>0</v>
      </c>
      <c r="AH126" s="209">
        <f>СЧЁТ!AJ78</f>
        <v>0</v>
      </c>
      <c r="AI126" s="209">
        <f>СЧЁТ!AK78</f>
        <v>0</v>
      </c>
      <c r="AJ126" s="209">
        <f>СЧЁТ!AL78</f>
        <v>0</v>
      </c>
      <c r="AK126" s="209">
        <f>СЧЁТ!AM78</f>
        <v>0</v>
      </c>
      <c r="AL126" s="209">
        <f>СЧЁТ!AN78</f>
        <v>0</v>
      </c>
      <c r="AM126" s="209">
        <f>СЧЁТ!AO78</f>
        <v>0</v>
      </c>
      <c r="AN126" s="209">
        <f>СЧЁТ!AP78</f>
        <v>0</v>
      </c>
      <c r="AO126" s="209">
        <f>СЧЁТ!AQ78</f>
        <v>0</v>
      </c>
      <c r="AP126" s="209">
        <f>СЧЁТ!AR78</f>
        <v>0</v>
      </c>
      <c r="AQ126" s="209">
        <f>СЧЁТ!AS78</f>
        <v>0</v>
      </c>
      <c r="AR126" s="209">
        <f>СЧЁТ!AT78</f>
        <v>0</v>
      </c>
      <c r="AS126" s="209">
        <f>СЧЁТ!AU78</f>
        <v>0</v>
      </c>
      <c r="AT126" s="209">
        <f>СЧЁТ!AV78</f>
        <v>0</v>
      </c>
      <c r="AU126" s="209">
        <f>СЧЁТ!AW78</f>
        <v>0</v>
      </c>
      <c r="AV126" s="209" t="str">
        <f>СЧЁТ!BC78</f>
        <v xml:space="preserve">  млрд руб</v>
      </c>
      <c r="AW126" s="44" t="s">
        <v>21</v>
      </c>
    </row>
    <row r="127" spans="3:49" ht="15.6">
      <c r="K127" s="47">
        <v>1993</v>
      </c>
      <c r="L127" s="48">
        <v>1994</v>
      </c>
      <c r="M127" s="58">
        <v>1995</v>
      </c>
      <c r="N127" s="48">
        <v>1996</v>
      </c>
      <c r="O127" s="48">
        <v>1997</v>
      </c>
      <c r="P127" s="48">
        <v>1998</v>
      </c>
      <c r="Q127" s="48">
        <v>1999</v>
      </c>
      <c r="R127" s="48">
        <v>2000</v>
      </c>
      <c r="S127" s="48">
        <v>2001</v>
      </c>
      <c r="T127" s="48">
        <v>2002</v>
      </c>
      <c r="U127" s="48">
        <v>2003</v>
      </c>
      <c r="V127" s="48">
        <v>2004</v>
      </c>
      <c r="W127" s="48">
        <v>2005</v>
      </c>
      <c r="X127" s="48">
        <v>2006</v>
      </c>
      <c r="Y127" s="48">
        <v>2007</v>
      </c>
      <c r="Z127" s="48">
        <v>2008</v>
      </c>
      <c r="AA127" s="48">
        <v>2009</v>
      </c>
      <c r="AB127" s="48">
        <v>2010</v>
      </c>
      <c r="AC127" s="48">
        <v>2011</v>
      </c>
      <c r="AD127" s="48">
        <v>2012</v>
      </c>
      <c r="AE127" s="48">
        <v>2013</v>
      </c>
      <c r="AF127" s="48">
        <v>2014</v>
      </c>
      <c r="AG127" s="48">
        <v>2015</v>
      </c>
      <c r="AH127" s="48">
        <v>2016</v>
      </c>
      <c r="AI127" s="48">
        <v>2017</v>
      </c>
      <c r="AJ127" s="48">
        <v>2018</v>
      </c>
      <c r="AK127" s="48">
        <v>2019</v>
      </c>
      <c r="AL127" s="48">
        <v>2020</v>
      </c>
      <c r="AM127" s="48">
        <v>2021</v>
      </c>
      <c r="AN127" s="48">
        <v>2022</v>
      </c>
      <c r="AO127" s="48">
        <v>2023</v>
      </c>
      <c r="AP127" s="48">
        <v>2024</v>
      </c>
      <c r="AQ127" s="229">
        <v>2025</v>
      </c>
      <c r="AR127" s="48">
        <v>2026</v>
      </c>
      <c r="AS127" s="229">
        <v>2027</v>
      </c>
      <c r="AT127" s="48">
        <v>2028</v>
      </c>
      <c r="AU127" s="229">
        <v>2029</v>
      </c>
      <c r="AV127" s="48">
        <v>2030</v>
      </c>
      <c r="AW127" s="44">
        <v>0</v>
      </c>
    </row>
    <row r="129" spans="3:49" ht="15" thickBot="1"/>
    <row r="130" spans="3:49" ht="18" thickBot="1">
      <c r="C130" s="188" t="s">
        <v>695</v>
      </c>
      <c r="D130" s="189">
        <v>42309</v>
      </c>
      <c r="E130" s="270" t="s">
        <v>3</v>
      </c>
      <c r="F130" s="190"/>
      <c r="G130" s="190"/>
      <c r="H130" s="190"/>
      <c r="I130" s="190"/>
      <c r="J130" s="190"/>
      <c r="K130" s="190"/>
      <c r="L130" s="191"/>
      <c r="M130" s="192" t="s">
        <v>889</v>
      </c>
      <c r="N130" s="193" t="s">
        <v>890</v>
      </c>
      <c r="O130" s="193" t="s">
        <v>891</v>
      </c>
      <c r="P130" s="193" t="s">
        <v>892</v>
      </c>
      <c r="Q130" s="193" t="s">
        <v>893</v>
      </c>
      <c r="R130" s="193" t="s">
        <v>891</v>
      </c>
      <c r="S130" s="193"/>
      <c r="T130" s="193"/>
      <c r="U130" s="193"/>
      <c r="V130" s="193"/>
      <c r="W130" s="193"/>
      <c r="X130" s="193"/>
      <c r="Y130" s="193"/>
      <c r="Z130" s="193"/>
      <c r="AA130" s="193"/>
      <c r="AB130" s="194" t="s">
        <v>894</v>
      </c>
      <c r="AC130" s="195" t="s">
        <v>895</v>
      </c>
      <c r="AD130" s="195" t="s">
        <v>890</v>
      </c>
      <c r="AE130" s="195" t="s">
        <v>896</v>
      </c>
      <c r="AF130" s="195" t="s">
        <v>897</v>
      </c>
      <c r="AG130" s="195" t="s">
        <v>890</v>
      </c>
      <c r="AH130" s="195" t="s">
        <v>898</v>
      </c>
      <c r="AI130" s="195"/>
      <c r="AJ130" s="195"/>
      <c r="AK130" s="195"/>
      <c r="AL130" s="195"/>
      <c r="AM130" s="195"/>
      <c r="AN130" s="195"/>
      <c r="AO130" s="195"/>
      <c r="AP130" s="195"/>
      <c r="AQ130" s="195"/>
      <c r="AR130" s="195"/>
      <c r="AS130" s="195"/>
      <c r="AT130" s="195"/>
      <c r="AU130" s="195"/>
      <c r="AV130" s="195"/>
      <c r="AW130" s="196"/>
    </row>
    <row r="131" spans="3:49" ht="16.2" thickBot="1">
      <c r="C131" s="105"/>
      <c r="D131" s="198" t="s">
        <v>899</v>
      </c>
      <c r="E131" s="199"/>
      <c r="F131" s="200"/>
      <c r="G131" s="201" t="s">
        <v>900</v>
      </c>
      <c r="H131" s="202"/>
      <c r="I131" s="202"/>
      <c r="J131" s="202"/>
      <c r="K131" s="202"/>
      <c r="L131" s="203"/>
      <c r="M131" s="42">
        <v>1995</v>
      </c>
      <c r="N131" s="48">
        <v>1996</v>
      </c>
      <c r="O131" s="48">
        <v>1997</v>
      </c>
      <c r="P131" s="48">
        <v>1998</v>
      </c>
      <c r="Q131" s="48">
        <v>1999</v>
      </c>
      <c r="R131" s="48">
        <v>2000</v>
      </c>
      <c r="S131" s="48">
        <v>2001</v>
      </c>
      <c r="T131" s="48">
        <v>2002</v>
      </c>
      <c r="U131" s="48">
        <v>2003</v>
      </c>
      <c r="V131" s="48">
        <v>2004</v>
      </c>
      <c r="W131" s="48">
        <v>2005</v>
      </c>
      <c r="X131" s="48">
        <v>2006</v>
      </c>
      <c r="Y131" s="48">
        <v>2007</v>
      </c>
      <c r="Z131" s="48">
        <v>2008</v>
      </c>
      <c r="AA131" s="48">
        <v>2009</v>
      </c>
      <c r="AB131" s="48">
        <v>2010</v>
      </c>
      <c r="AC131" s="48">
        <v>2011</v>
      </c>
      <c r="AD131" s="48">
        <v>2012</v>
      </c>
      <c r="AE131" s="48">
        <v>2013</v>
      </c>
      <c r="AF131" s="48">
        <v>2014</v>
      </c>
      <c r="AG131" s="48">
        <v>2015</v>
      </c>
      <c r="AH131" s="48">
        <v>2016</v>
      </c>
      <c r="AI131" s="48">
        <v>2017</v>
      </c>
      <c r="AJ131" s="48">
        <v>2018</v>
      </c>
      <c r="AK131" s="48">
        <v>2019</v>
      </c>
      <c r="AL131" s="48">
        <v>2020</v>
      </c>
      <c r="AM131" s="48">
        <v>2021</v>
      </c>
      <c r="AN131" s="48">
        <v>2022</v>
      </c>
      <c r="AO131" s="48">
        <v>2023</v>
      </c>
      <c r="AP131" s="48">
        <v>2024</v>
      </c>
      <c r="AQ131" s="48">
        <v>2025</v>
      </c>
      <c r="AR131" s="48">
        <v>2026</v>
      </c>
      <c r="AS131" s="48">
        <v>2027</v>
      </c>
      <c r="AT131" s="48">
        <v>2028</v>
      </c>
      <c r="AU131" s="48">
        <v>2029</v>
      </c>
      <c r="AV131" s="48">
        <v>2030</v>
      </c>
      <c r="AW131" s="16"/>
    </row>
    <row r="132" spans="3:49" ht="17.399999999999999">
      <c r="C132" s="105">
        <v>1</v>
      </c>
      <c r="D132" s="517">
        <f>ДЕМО!G134</f>
        <v>0</v>
      </c>
      <c r="E132" s="205" t="s">
        <v>458</v>
      </c>
      <c r="F132" s="51" t="s">
        <v>901</v>
      </c>
      <c r="G132" s="38" t="s">
        <v>861</v>
      </c>
      <c r="H132" s="38"/>
      <c r="I132" s="38"/>
      <c r="J132" s="38"/>
      <c r="K132" s="38"/>
      <c r="L132" s="38"/>
      <c r="M132" s="60"/>
      <c r="N132" s="209">
        <f>N4-N68</f>
        <v>8.3620000000053096E-3</v>
      </c>
      <c r="O132" s="209">
        <f>O4-O68</f>
        <v>-2.8613000000007105E-2</v>
      </c>
      <c r="P132" s="209">
        <f t="shared" ref="P132:AV132" si="0">P4-P68</f>
        <v>-2.1329999999863958E-3</v>
      </c>
      <c r="Q132" s="209">
        <f t="shared" si="0"/>
        <v>-3.9425999999991745E-2</v>
      </c>
      <c r="R132" s="209">
        <f t="shared" si="0"/>
        <v>-0.59012799999999288</v>
      </c>
      <c r="S132" s="209">
        <f t="shared" si="0"/>
        <v>3.8900000001262924E-4</v>
      </c>
      <c r="T132" s="209">
        <f t="shared" si="0"/>
        <v>3.2689999999888641E-3</v>
      </c>
      <c r="U132" s="209">
        <f t="shared" si="0"/>
        <v>-0.7636500000000126</v>
      </c>
      <c r="V132" s="209">
        <f t="shared" si="0"/>
        <v>-0.66820500000000038</v>
      </c>
      <c r="W132" s="209">
        <f t="shared" si="0"/>
        <v>-0.67421899999999368</v>
      </c>
      <c r="X132" s="209">
        <f t="shared" si="0"/>
        <v>-0.55355099999999879</v>
      </c>
      <c r="Y132" s="209">
        <f t="shared" si="0"/>
        <v>-0.22096799999999917</v>
      </c>
      <c r="Z132" s="209">
        <f t="shared" si="0"/>
        <v>-0.10883799999999155</v>
      </c>
      <c r="AA132" s="209">
        <f t="shared" si="0"/>
        <v>-3.9789999999868542E-3</v>
      </c>
      <c r="AB132" s="209">
        <f t="shared" si="0"/>
        <v>4.3464000000000169E-2</v>
      </c>
      <c r="AC132" s="209">
        <f t="shared" si="0"/>
        <v>3.4567000000009784E-2</v>
      </c>
      <c r="AD132" s="219">
        <f t="shared" si="0"/>
        <v>-5.6383000000010952E-2</v>
      </c>
      <c r="AE132" s="219">
        <f t="shared" si="0"/>
        <v>0.35294099999998707</v>
      </c>
      <c r="AF132" s="219">
        <f t="shared" si="0"/>
        <v>2.6127172853363732</v>
      </c>
      <c r="AG132" s="219">
        <f t="shared" si="0"/>
        <v>0.34131705285605562</v>
      </c>
      <c r="AH132" s="219">
        <f t="shared" si="0"/>
        <v>0.40738669376762005</v>
      </c>
      <c r="AI132" s="219">
        <f t="shared" si="0"/>
        <v>0.50337604928995461</v>
      </c>
      <c r="AJ132" s="219">
        <f t="shared" si="0"/>
        <v>0.79322778221637691</v>
      </c>
      <c r="AK132" s="219">
        <f t="shared" si="0"/>
        <v>1.3032152393481056</v>
      </c>
      <c r="AL132" s="219">
        <f t="shared" si="0"/>
        <v>1.7304944976002616</v>
      </c>
      <c r="AM132" s="219">
        <f t="shared" si="0"/>
        <v>2.1792336703740034</v>
      </c>
      <c r="AN132" s="219">
        <f t="shared" si="0"/>
        <v>2.6537563726212738</v>
      </c>
      <c r="AO132" s="219">
        <f t="shared" si="0"/>
        <v>3.173444885948129</v>
      </c>
      <c r="AP132" s="219">
        <f t="shared" si="0"/>
        <v>3.6978070703690094</v>
      </c>
      <c r="AQ132" s="219">
        <f t="shared" si="0"/>
        <v>4.2664514679149192</v>
      </c>
      <c r="AR132" s="219">
        <f t="shared" si="0"/>
        <v>4.8390673587233266</v>
      </c>
      <c r="AS132" s="219">
        <f t="shared" si="0"/>
        <v>5.4154087804845688</v>
      </c>
      <c r="AT132" s="219">
        <f t="shared" si="0"/>
        <v>5.9952817210744342</v>
      </c>
      <c r="AU132" s="219">
        <f t="shared" si="0"/>
        <v>6.5985338526434987</v>
      </c>
      <c r="AV132" s="219">
        <f t="shared" si="0"/>
        <v>7.2050463017883715</v>
      </c>
      <c r="AW132" s="44" t="str">
        <f t="shared" ref="AW132:AW191" si="1">E132</f>
        <v>N</v>
      </c>
    </row>
    <row r="133" spans="3:49" ht="17.399999999999999">
      <c r="C133" s="105">
        <v>2</v>
      </c>
      <c r="D133" s="517">
        <f>D132</f>
        <v>0</v>
      </c>
      <c r="E133" s="205" t="s">
        <v>902</v>
      </c>
      <c r="F133" s="51" t="s">
        <v>809</v>
      </c>
      <c r="G133" s="38" t="s">
        <v>903</v>
      </c>
      <c r="H133" s="38"/>
      <c r="I133" s="38"/>
      <c r="J133" s="38"/>
      <c r="K133" s="38"/>
      <c r="L133" s="38"/>
      <c r="M133" s="216"/>
      <c r="N133" s="209">
        <f>N5-N69</f>
        <v>0</v>
      </c>
      <c r="O133" s="209">
        <f>O5-O69</f>
        <v>0</v>
      </c>
      <c r="P133" s="209">
        <f t="shared" ref="P133:AV141" si="2">P5-P69</f>
        <v>0</v>
      </c>
      <c r="Q133" s="209">
        <f t="shared" si="2"/>
        <v>0</v>
      </c>
      <c r="R133" s="209">
        <f t="shared" si="2"/>
        <v>0</v>
      </c>
      <c r="S133" s="209">
        <f t="shared" si="2"/>
        <v>0</v>
      </c>
      <c r="T133" s="209">
        <f t="shared" si="2"/>
        <v>0</v>
      </c>
      <c r="U133" s="209">
        <f t="shared" si="2"/>
        <v>0</v>
      </c>
      <c r="V133" s="209">
        <f t="shared" si="2"/>
        <v>0</v>
      </c>
      <c r="W133" s="209">
        <f t="shared" si="2"/>
        <v>0</v>
      </c>
      <c r="X133" s="209">
        <f t="shared" si="2"/>
        <v>0</v>
      </c>
      <c r="Y133" s="209">
        <f t="shared" si="2"/>
        <v>0</v>
      </c>
      <c r="Z133" s="209">
        <f t="shared" si="2"/>
        <v>0</v>
      </c>
      <c r="AA133" s="209">
        <f t="shared" si="2"/>
        <v>0</v>
      </c>
      <c r="AB133" s="209">
        <f t="shared" si="2"/>
        <v>-1.6070068646334423E-4</v>
      </c>
      <c r="AC133" s="209">
        <f t="shared" si="2"/>
        <v>-1.2830724175316721E-4</v>
      </c>
      <c r="AD133" s="219">
        <f t="shared" si="2"/>
        <v>9.0760047606330829E-4</v>
      </c>
      <c r="AE133" s="219">
        <f t="shared" si="2"/>
        <v>3.3978560099180433E-3</v>
      </c>
      <c r="AF133" s="219">
        <f t="shared" si="2"/>
        <v>5.2739961438375005E-3</v>
      </c>
      <c r="AG133" s="219">
        <f t="shared" si="2"/>
        <v>6.6771753214311946E-3</v>
      </c>
      <c r="AH133" s="219">
        <f t="shared" si="2"/>
        <v>7.3408826792382698E-3</v>
      </c>
      <c r="AI133" s="219">
        <f t="shared" si="2"/>
        <v>1.1855673488427643E-2</v>
      </c>
      <c r="AJ133" s="219">
        <f t="shared" si="2"/>
        <v>1.0823762119920755E-2</v>
      </c>
      <c r="AK133" s="219">
        <f t="shared" si="2"/>
        <v>1.3070501747022956E-2</v>
      </c>
      <c r="AL133" s="219">
        <f t="shared" si="2"/>
        <v>1.3570501747022901E-2</v>
      </c>
      <c r="AM133" s="219">
        <f t="shared" si="2"/>
        <v>1.4070501747022846E-2</v>
      </c>
      <c r="AN133" s="219">
        <f t="shared" si="2"/>
        <v>1.457050174702279E-2</v>
      </c>
      <c r="AO133" s="219">
        <f t="shared" si="2"/>
        <v>1.5070501747022735E-2</v>
      </c>
      <c r="AP133" s="219">
        <f t="shared" si="2"/>
        <v>1.557050174702268E-2</v>
      </c>
      <c r="AQ133" s="219">
        <f t="shared" si="2"/>
        <v>1.6070501747022625E-2</v>
      </c>
      <c r="AR133" s="219">
        <f t="shared" si="2"/>
        <v>1.657050174702257E-2</v>
      </c>
      <c r="AS133" s="219">
        <f t="shared" si="2"/>
        <v>1.7070501747022515E-2</v>
      </c>
      <c r="AT133" s="219">
        <f t="shared" si="2"/>
        <v>1.757050174702246E-2</v>
      </c>
      <c r="AU133" s="219">
        <f t="shared" si="2"/>
        <v>1.8070501747022405E-2</v>
      </c>
      <c r="AV133" s="219">
        <f t="shared" si="2"/>
        <v>1.857050174702235E-2</v>
      </c>
      <c r="AW133" s="44" t="str">
        <f t="shared" si="1"/>
        <v>dA</v>
      </c>
    </row>
    <row r="134" spans="3:49" ht="17.399999999999999">
      <c r="C134" s="105">
        <v>3</v>
      </c>
      <c r="D134" s="517" t="e">
        <f>НАСТРОЙКА!#REF!</f>
        <v>#REF!</v>
      </c>
      <c r="E134" s="205" t="s">
        <v>1075</v>
      </c>
      <c r="F134" s="51" t="s">
        <v>809</v>
      </c>
      <c r="G134" s="38" t="s">
        <v>1192</v>
      </c>
      <c r="H134" s="38"/>
      <c r="I134" s="38"/>
      <c r="J134" s="38"/>
      <c r="K134" s="38"/>
      <c r="L134" s="38"/>
      <c r="M134" s="216"/>
      <c r="N134" s="209">
        <f t="shared" ref="N134:N190" si="3">N6-N70</f>
        <v>-69.472753620185657</v>
      </c>
      <c r="O134" s="209">
        <f t="shared" ref="O134:AD134" si="4">O6-O70</f>
        <v>-67.90448789362469</v>
      </c>
      <c r="P134" s="209">
        <f t="shared" si="4"/>
        <v>-67.184192251710314</v>
      </c>
      <c r="Q134" s="209">
        <f t="shared" si="4"/>
        <v>-72.035998004056566</v>
      </c>
      <c r="R134" s="209">
        <f t="shared" si="4"/>
        <v>-72.610502276691008</v>
      </c>
      <c r="S134" s="209">
        <f t="shared" si="4"/>
        <v>-71.376756459654104</v>
      </c>
      <c r="T134" s="209">
        <f t="shared" si="4"/>
        <v>-72.194104592170731</v>
      </c>
      <c r="U134" s="209">
        <f t="shared" si="4"/>
        <v>-72.10746689140224</v>
      </c>
      <c r="V134" s="209">
        <f t="shared" si="4"/>
        <v>-72.816739714623154</v>
      </c>
      <c r="W134" s="209">
        <f t="shared" si="4"/>
        <v>-73.413894993700879</v>
      </c>
      <c r="X134" s="209">
        <f t="shared" si="4"/>
        <v>-74.243275936799279</v>
      </c>
      <c r="Y134" s="209">
        <f t="shared" si="4"/>
        <v>-75.086993252620175</v>
      </c>
      <c r="Z134" s="209">
        <f t="shared" si="4"/>
        <v>-75.487250815646078</v>
      </c>
      <c r="AA134" s="209">
        <f t="shared" si="4"/>
        <v>-75.488470894706481</v>
      </c>
      <c r="AB134" s="209">
        <f t="shared" si="4"/>
        <v>-75.280366911106086</v>
      </c>
      <c r="AC134" s="209">
        <f t="shared" si="4"/>
        <v>-75.581818531638163</v>
      </c>
      <c r="AD134" s="219">
        <f t="shared" si="4"/>
        <v>-75.373574613813034</v>
      </c>
      <c r="AE134" s="219">
        <f t="shared" si="2"/>
        <v>-75.325794384658735</v>
      </c>
      <c r="AF134" s="219">
        <f t="shared" si="2"/>
        <v>-75.238553395774048</v>
      </c>
      <c r="AG134" s="219">
        <f t="shared" si="2"/>
        <v>-76.407999999999987</v>
      </c>
      <c r="AH134" s="219">
        <f t="shared" si="2"/>
        <v>-76.460999999999999</v>
      </c>
      <c r="AI134" s="219">
        <f t="shared" si="2"/>
        <v>-75.936499999999995</v>
      </c>
      <c r="AJ134" s="219">
        <f t="shared" si="2"/>
        <v>-76.128749999999997</v>
      </c>
      <c r="AK134" s="219">
        <f t="shared" si="2"/>
        <v>-75.729375000000005</v>
      </c>
      <c r="AL134" s="219">
        <f t="shared" si="2"/>
        <v>-77.58068750000001</v>
      </c>
      <c r="AM134" s="219">
        <f t="shared" si="2"/>
        <v>-77.549043749999996</v>
      </c>
      <c r="AN134" s="219">
        <f t="shared" si="2"/>
        <v>-77.506721874999982</v>
      </c>
      <c r="AO134" s="219">
        <f t="shared" si="2"/>
        <v>-77.443160937499997</v>
      </c>
      <c r="AP134" s="219">
        <f t="shared" si="2"/>
        <v>-77.379580468749978</v>
      </c>
      <c r="AQ134" s="219">
        <f t="shared" si="2"/>
        <v>-77.294790234374986</v>
      </c>
      <c r="AR134" s="219">
        <f t="shared" si="2"/>
        <v>-77.209995117187489</v>
      </c>
      <c r="AS134" s="219">
        <f t="shared" si="2"/>
        <v>-77.12519755859374</v>
      </c>
      <c r="AT134" s="219">
        <f t="shared" si="2"/>
        <v>-77.040398779296865</v>
      </c>
      <c r="AU134" s="219">
        <f t="shared" si="2"/>
        <v>-76.94499938964843</v>
      </c>
      <c r="AV134" s="219">
        <f t="shared" si="2"/>
        <v>-76.849599694824207</v>
      </c>
      <c r="AW134" s="44" t="str">
        <f t="shared" si="1"/>
        <v>dIN</v>
      </c>
    </row>
    <row r="135" spans="3:49" ht="17.399999999999999">
      <c r="C135" s="105">
        <v>4</v>
      </c>
      <c r="D135" s="517">
        <f>РЕЗУЛЬТАТЫ!SX18</f>
        <v>0</v>
      </c>
      <c r="E135" s="205" t="s">
        <v>499</v>
      </c>
      <c r="F135" s="51" t="s">
        <v>901</v>
      </c>
      <c r="G135" s="38" t="s">
        <v>905</v>
      </c>
      <c r="H135" s="38"/>
      <c r="I135" s="38"/>
      <c r="J135" s="38"/>
      <c r="K135" s="38"/>
      <c r="L135" s="38"/>
      <c r="M135" s="61"/>
      <c r="N135" s="209">
        <f t="shared" si="3"/>
        <v>-11.9298</v>
      </c>
      <c r="O135" s="209">
        <f t="shared" ref="O135:O166" si="5">O7-O71</f>
        <v>0</v>
      </c>
      <c r="P135" s="209">
        <f t="shared" si="2"/>
        <v>-56.941099999999999</v>
      </c>
      <c r="Q135" s="209">
        <f t="shared" si="2"/>
        <v>0</v>
      </c>
      <c r="R135" s="209">
        <f t="shared" si="2"/>
        <v>0</v>
      </c>
      <c r="S135" s="209">
        <f t="shared" si="2"/>
        <v>40.022599999999997</v>
      </c>
      <c r="T135" s="209">
        <f t="shared" si="2"/>
        <v>1.7070000000000001</v>
      </c>
      <c r="U135" s="209">
        <f t="shared" si="2"/>
        <v>107.4624</v>
      </c>
      <c r="V135" s="209">
        <f t="shared" si="2"/>
        <v>96.143500000000003</v>
      </c>
      <c r="W135" s="209">
        <f t="shared" si="2"/>
        <v>126.09529999999999</v>
      </c>
      <c r="X135" s="209">
        <f t="shared" si="2"/>
        <v>17.179400000000001</v>
      </c>
      <c r="Y135" s="209">
        <f t="shared" si="2"/>
        <v>-378.2842</v>
      </c>
      <c r="Z135" s="209">
        <f t="shared" si="2"/>
        <v>605.34550000000002</v>
      </c>
      <c r="AA135" s="209">
        <f t="shared" si="2"/>
        <v>694.86199999999997</v>
      </c>
      <c r="AB135" s="209">
        <f t="shared" si="2"/>
        <v>418.459</v>
      </c>
      <c r="AC135" s="209">
        <f t="shared" si="2"/>
        <v>0</v>
      </c>
      <c r="AD135" s="219">
        <f t="shared" si="2"/>
        <v>0</v>
      </c>
      <c r="AE135" s="219">
        <f t="shared" si="2"/>
        <v>0</v>
      </c>
      <c r="AF135" s="219">
        <f t="shared" si="2"/>
        <v>317.8</v>
      </c>
      <c r="AG135" s="219">
        <f t="shared" si="2"/>
        <v>450.2</v>
      </c>
      <c r="AH135" s="219">
        <f t="shared" si="2"/>
        <v>67.02</v>
      </c>
      <c r="AI135" s="219">
        <f t="shared" si="2"/>
        <v>0</v>
      </c>
      <c r="AJ135" s="219">
        <f t="shared" si="2"/>
        <v>0</v>
      </c>
      <c r="AK135" s="219">
        <f t="shared" si="2"/>
        <v>0</v>
      </c>
      <c r="AL135" s="219">
        <f t="shared" si="2"/>
        <v>0</v>
      </c>
      <c r="AM135" s="219">
        <f t="shared" si="2"/>
        <v>0</v>
      </c>
      <c r="AN135" s="219">
        <f t="shared" si="2"/>
        <v>0</v>
      </c>
      <c r="AO135" s="219">
        <f t="shared" si="2"/>
        <v>0</v>
      </c>
      <c r="AP135" s="219">
        <f t="shared" si="2"/>
        <v>0</v>
      </c>
      <c r="AQ135" s="219">
        <f t="shared" si="2"/>
        <v>0</v>
      </c>
      <c r="AR135" s="219">
        <f t="shared" si="2"/>
        <v>0</v>
      </c>
      <c r="AS135" s="219">
        <f t="shared" si="2"/>
        <v>0</v>
      </c>
      <c r="AT135" s="219">
        <f t="shared" si="2"/>
        <v>0</v>
      </c>
      <c r="AU135" s="219">
        <f t="shared" si="2"/>
        <v>0</v>
      </c>
      <c r="AV135" s="219">
        <f t="shared" si="2"/>
        <v>0</v>
      </c>
      <c r="AW135" s="44" t="str">
        <f t="shared" si="1"/>
        <v>TM</v>
      </c>
    </row>
    <row r="136" spans="3:49" ht="17.399999999999999">
      <c r="C136" s="105">
        <v>5</v>
      </c>
      <c r="D136" s="517">
        <v>40873</v>
      </c>
      <c r="E136" s="205" t="s">
        <v>906</v>
      </c>
      <c r="F136" s="51" t="s">
        <v>396</v>
      </c>
      <c r="G136" s="38" t="s">
        <v>907</v>
      </c>
      <c r="H136" s="38"/>
      <c r="I136" s="38"/>
      <c r="J136" s="38"/>
      <c r="K136" s="38"/>
      <c r="L136" s="38"/>
      <c r="M136" s="213"/>
      <c r="N136" s="209" t="e">
        <f t="shared" si="3"/>
        <v>#REF!</v>
      </c>
      <c r="O136" s="209" t="e">
        <f t="shared" si="5"/>
        <v>#REF!</v>
      </c>
      <c r="P136" s="209" t="e">
        <f t="shared" si="2"/>
        <v>#REF!</v>
      </c>
      <c r="Q136" s="209" t="e">
        <f t="shared" si="2"/>
        <v>#REF!</v>
      </c>
      <c r="R136" s="209" t="e">
        <f t="shared" si="2"/>
        <v>#REF!</v>
      </c>
      <c r="S136" s="209" t="e">
        <f t="shared" si="2"/>
        <v>#REF!</v>
      </c>
      <c r="T136" s="209" t="e">
        <f t="shared" si="2"/>
        <v>#REF!</v>
      </c>
      <c r="U136" s="209" t="e">
        <f t="shared" si="2"/>
        <v>#REF!</v>
      </c>
      <c r="V136" s="209" t="e">
        <f t="shared" si="2"/>
        <v>#REF!</v>
      </c>
      <c r="W136" s="209" t="e">
        <f t="shared" si="2"/>
        <v>#REF!</v>
      </c>
      <c r="X136" s="209" t="e">
        <f t="shared" si="2"/>
        <v>#REF!</v>
      </c>
      <c r="Y136" s="209" t="e">
        <f t="shared" si="2"/>
        <v>#REF!</v>
      </c>
      <c r="Z136" s="209" t="e">
        <f t="shared" si="2"/>
        <v>#REF!</v>
      </c>
      <c r="AA136" s="209" t="e">
        <f t="shared" si="2"/>
        <v>#REF!</v>
      </c>
      <c r="AB136" s="209" t="e">
        <f t="shared" si="2"/>
        <v>#REF!</v>
      </c>
      <c r="AC136" s="209" t="e">
        <f t="shared" si="2"/>
        <v>#REF!</v>
      </c>
      <c r="AD136" s="219" t="e">
        <f t="shared" si="2"/>
        <v>#REF!</v>
      </c>
      <c r="AE136" s="219" t="e">
        <f t="shared" si="2"/>
        <v>#REF!</v>
      </c>
      <c r="AF136" s="219" t="e">
        <f t="shared" si="2"/>
        <v>#REF!</v>
      </c>
      <c r="AG136" s="219" t="e">
        <f t="shared" si="2"/>
        <v>#REF!</v>
      </c>
      <c r="AH136" s="219" t="e">
        <f t="shared" si="2"/>
        <v>#REF!</v>
      </c>
      <c r="AI136" s="219" t="e">
        <f t="shared" si="2"/>
        <v>#REF!</v>
      </c>
      <c r="AJ136" s="219" t="e">
        <f t="shared" si="2"/>
        <v>#REF!</v>
      </c>
      <c r="AK136" s="219" t="e">
        <f t="shared" si="2"/>
        <v>#REF!</v>
      </c>
      <c r="AL136" s="219" t="e">
        <f t="shared" si="2"/>
        <v>#REF!</v>
      </c>
      <c r="AM136" s="219" t="e">
        <f t="shared" si="2"/>
        <v>#REF!</v>
      </c>
      <c r="AN136" s="219" t="e">
        <f t="shared" si="2"/>
        <v>#REF!</v>
      </c>
      <c r="AO136" s="219" t="e">
        <f t="shared" si="2"/>
        <v>#REF!</v>
      </c>
      <c r="AP136" s="219" t="e">
        <f t="shared" si="2"/>
        <v>#REF!</v>
      </c>
      <c r="AQ136" s="219" t="e">
        <f t="shared" si="2"/>
        <v>#REF!</v>
      </c>
      <c r="AR136" s="219" t="e">
        <f t="shared" si="2"/>
        <v>#REF!</v>
      </c>
      <c r="AS136" s="219" t="e">
        <f t="shared" si="2"/>
        <v>#REF!</v>
      </c>
      <c r="AT136" s="219" t="e">
        <f t="shared" si="2"/>
        <v>#REF!</v>
      </c>
      <c r="AU136" s="219" t="e">
        <f t="shared" si="2"/>
        <v>#REF!</v>
      </c>
      <c r="AV136" s="219" t="e">
        <f t="shared" si="2"/>
        <v>#REF!</v>
      </c>
      <c r="AW136" s="44" t="str">
        <f t="shared" si="1"/>
        <v>Fо</v>
      </c>
    </row>
    <row r="137" spans="3:49" ht="17.399999999999999">
      <c r="C137" s="105">
        <v>6</v>
      </c>
      <c r="D137" s="518">
        <f>НАСТРОЙКА!DD140</f>
        <v>0</v>
      </c>
      <c r="E137" s="205" t="s">
        <v>768</v>
      </c>
      <c r="F137" s="51" t="s">
        <v>809</v>
      </c>
      <c r="G137" s="38" t="s">
        <v>908</v>
      </c>
      <c r="H137" s="38"/>
      <c r="I137" s="38"/>
      <c r="J137" s="38"/>
      <c r="K137" s="38"/>
      <c r="L137" s="38"/>
      <c r="M137" s="216"/>
      <c r="N137" s="209" t="e">
        <f t="shared" si="3"/>
        <v>#REF!</v>
      </c>
      <c r="O137" s="209" t="e">
        <f t="shared" si="5"/>
        <v>#REF!</v>
      </c>
      <c r="P137" s="209" t="e">
        <f t="shared" si="2"/>
        <v>#REF!</v>
      </c>
      <c r="Q137" s="209" t="e">
        <f t="shared" si="2"/>
        <v>#REF!</v>
      </c>
      <c r="R137" s="209" t="e">
        <f t="shared" si="2"/>
        <v>#REF!</v>
      </c>
      <c r="S137" s="209" t="e">
        <f t="shared" si="2"/>
        <v>#REF!</v>
      </c>
      <c r="T137" s="209" t="e">
        <f t="shared" si="2"/>
        <v>#REF!</v>
      </c>
      <c r="U137" s="209" t="e">
        <f t="shared" si="2"/>
        <v>#REF!</v>
      </c>
      <c r="V137" s="209" t="e">
        <f t="shared" si="2"/>
        <v>#REF!</v>
      </c>
      <c r="W137" s="209" t="e">
        <f t="shared" si="2"/>
        <v>#REF!</v>
      </c>
      <c r="X137" s="209" t="e">
        <f t="shared" si="2"/>
        <v>#REF!</v>
      </c>
      <c r="Y137" s="209" t="e">
        <f t="shared" si="2"/>
        <v>#REF!</v>
      </c>
      <c r="Z137" s="209" t="e">
        <f t="shared" si="2"/>
        <v>#REF!</v>
      </c>
      <c r="AA137" s="209" t="e">
        <f t="shared" si="2"/>
        <v>#REF!</v>
      </c>
      <c r="AB137" s="966" t="e">
        <f t="shared" si="2"/>
        <v>#REF!</v>
      </c>
      <c r="AC137" s="966" t="e">
        <f t="shared" si="2"/>
        <v>#REF!</v>
      </c>
      <c r="AD137" s="219" t="e">
        <f t="shared" si="2"/>
        <v>#REF!</v>
      </c>
      <c r="AE137" s="219" t="e">
        <f t="shared" si="2"/>
        <v>#REF!</v>
      </c>
      <c r="AF137" s="219" t="e">
        <f t="shared" si="2"/>
        <v>#REF!</v>
      </c>
      <c r="AG137" s="219" t="e">
        <f t="shared" si="2"/>
        <v>#REF!</v>
      </c>
      <c r="AH137" s="219" t="e">
        <f t="shared" si="2"/>
        <v>#REF!</v>
      </c>
      <c r="AI137" s="219" t="e">
        <f t="shared" si="2"/>
        <v>#REF!</v>
      </c>
      <c r="AJ137" s="219" t="e">
        <f t="shared" si="2"/>
        <v>#REF!</v>
      </c>
      <c r="AK137" s="219" t="e">
        <f t="shared" si="2"/>
        <v>#REF!</v>
      </c>
      <c r="AL137" s="219" t="e">
        <f t="shared" si="2"/>
        <v>#REF!</v>
      </c>
      <c r="AM137" s="219" t="e">
        <f t="shared" si="2"/>
        <v>#REF!</v>
      </c>
      <c r="AN137" s="219" t="e">
        <f t="shared" si="2"/>
        <v>#REF!</v>
      </c>
      <c r="AO137" s="219" t="e">
        <f t="shared" si="2"/>
        <v>#REF!</v>
      </c>
      <c r="AP137" s="219" t="e">
        <f t="shared" si="2"/>
        <v>#REF!</v>
      </c>
      <c r="AQ137" s="219" t="e">
        <f t="shared" si="2"/>
        <v>#REF!</v>
      </c>
      <c r="AR137" s="219" t="e">
        <f t="shared" si="2"/>
        <v>#REF!</v>
      </c>
      <c r="AS137" s="219" t="e">
        <f t="shared" si="2"/>
        <v>#REF!</v>
      </c>
      <c r="AT137" s="219" t="e">
        <f t="shared" si="2"/>
        <v>#REF!</v>
      </c>
      <c r="AU137" s="219" t="e">
        <f t="shared" si="2"/>
        <v>#REF!</v>
      </c>
      <c r="AV137" s="219" t="e">
        <f t="shared" si="2"/>
        <v>#REF!</v>
      </c>
      <c r="AW137" s="44" t="str">
        <f t="shared" si="1"/>
        <v>a</v>
      </c>
    </row>
    <row r="138" spans="3:49" ht="17.399999999999999">
      <c r="C138" s="105">
        <v>7</v>
      </c>
      <c r="D138" s="518">
        <f>НАСТРОЙКА!DE140</f>
        <v>0</v>
      </c>
      <c r="E138" s="205" t="s">
        <v>453</v>
      </c>
      <c r="F138" s="51" t="s">
        <v>809</v>
      </c>
      <c r="G138" s="38" t="s">
        <v>909</v>
      </c>
      <c r="H138" s="38"/>
      <c r="I138" s="38"/>
      <c r="J138" s="38"/>
      <c r="K138" s="38"/>
      <c r="L138" s="38"/>
      <c r="M138" s="216"/>
      <c r="N138" s="209">
        <f t="shared" si="3"/>
        <v>0</v>
      </c>
      <c r="O138" s="209">
        <f t="shared" si="5"/>
        <v>0</v>
      </c>
      <c r="P138" s="209">
        <f t="shared" si="2"/>
        <v>0</v>
      </c>
      <c r="Q138" s="209">
        <f t="shared" si="2"/>
        <v>0</v>
      </c>
      <c r="R138" s="209">
        <f t="shared" si="2"/>
        <v>0</v>
      </c>
      <c r="S138" s="209">
        <f t="shared" si="2"/>
        <v>0</v>
      </c>
      <c r="T138" s="209">
        <f t="shared" si="2"/>
        <v>0</v>
      </c>
      <c r="U138" s="209">
        <f t="shared" si="2"/>
        <v>0</v>
      </c>
      <c r="V138" s="209">
        <f t="shared" si="2"/>
        <v>0</v>
      </c>
      <c r="W138" s="209">
        <f t="shared" si="2"/>
        <v>0</v>
      </c>
      <c r="X138" s="209">
        <f t="shared" si="2"/>
        <v>0</v>
      </c>
      <c r="Y138" s="209">
        <f t="shared" si="2"/>
        <v>0</v>
      </c>
      <c r="Z138" s="209">
        <f t="shared" si="2"/>
        <v>0</v>
      </c>
      <c r="AA138" s="209">
        <f t="shared" si="2"/>
        <v>0</v>
      </c>
      <c r="AB138" s="209">
        <f t="shared" si="2"/>
        <v>0</v>
      </c>
      <c r="AC138" s="209">
        <f t="shared" si="2"/>
        <v>0</v>
      </c>
      <c r="AD138" s="219">
        <f t="shared" si="2"/>
        <v>7.3545074358372098E-4</v>
      </c>
      <c r="AE138" s="219">
        <f t="shared" si="2"/>
        <v>1.6244061512814545E-3</v>
      </c>
      <c r="AF138" s="219">
        <f t="shared" si="2"/>
        <v>2.2898189428430804E-3</v>
      </c>
      <c r="AG138" s="219">
        <f t="shared" si="2"/>
        <v>4.9498764482280855E-4</v>
      </c>
      <c r="AH138" s="219">
        <f t="shared" si="2"/>
        <v>-2.0393035259117509E-3</v>
      </c>
      <c r="AI138" s="219">
        <f t="shared" si="2"/>
        <v>-4.6561594251971483E-3</v>
      </c>
      <c r="AJ138" s="219">
        <f t="shared" si="2"/>
        <v>-4.165740740004642E-3</v>
      </c>
      <c r="AK138" s="219">
        <f t="shared" si="2"/>
        <v>-3.8944439563062261E-3</v>
      </c>
      <c r="AL138" s="219">
        <f t="shared" si="2"/>
        <v>-3.7502768509776185E-3</v>
      </c>
      <c r="AM138" s="219">
        <f t="shared" si="2"/>
        <v>-3.7205264561819273E-3</v>
      </c>
      <c r="AN138" s="219">
        <f t="shared" si="2"/>
        <v>-3.7937511008657721E-3</v>
      </c>
      <c r="AO138" s="219">
        <f t="shared" si="2"/>
        <v>-3.9596532810812768E-3</v>
      </c>
      <c r="AP138" s="219">
        <f t="shared" si="2"/>
        <v>-4.2089652432751867E-3</v>
      </c>
      <c r="AQ138" s="219">
        <f t="shared" si="2"/>
        <v>-4.5333460092497058E-3</v>
      </c>
      <c r="AR138" s="219">
        <f t="shared" si="2"/>
        <v>-4.9252886986267397E-3</v>
      </c>
      <c r="AS138" s="219">
        <f t="shared" si="2"/>
        <v>-5.378037119066037E-3</v>
      </c>
      <c r="AT138" s="219">
        <f t="shared" si="2"/>
        <v>-5.8855106974614602E-3</v>
      </c>
      <c r="AU138" s="219">
        <f t="shared" si="2"/>
        <v>-6.4422369180173744E-3</v>
      </c>
      <c r="AV138" s="219">
        <f t="shared" si="2"/>
        <v>-7.0432905165177528E-3</v>
      </c>
      <c r="AW138" s="44" t="str">
        <f t="shared" si="1"/>
        <v>aS</v>
      </c>
    </row>
    <row r="139" spans="3:49" ht="17.399999999999999">
      <c r="C139" s="105">
        <v>8</v>
      </c>
      <c r="D139" s="518">
        <f>НАСТРОЙКА!DF140</f>
        <v>0</v>
      </c>
      <c r="E139" s="205" t="s">
        <v>455</v>
      </c>
      <c r="F139" s="51" t="s">
        <v>809</v>
      </c>
      <c r="G139" s="38" t="s">
        <v>1</v>
      </c>
      <c r="H139" s="38"/>
      <c r="I139" s="38"/>
      <c r="J139" s="38"/>
      <c r="K139" s="38"/>
      <c r="L139" s="38"/>
      <c r="M139" s="216"/>
      <c r="N139" s="209">
        <f t="shared" si="3"/>
        <v>0.83684407302020103</v>
      </c>
      <c r="O139" s="209">
        <f t="shared" si="5"/>
        <v>0.81635940903038229</v>
      </c>
      <c r="P139" s="209">
        <f t="shared" si="2"/>
        <v>0.77369295302649677</v>
      </c>
      <c r="Q139" s="209">
        <f t="shared" si="2"/>
        <v>0.7992324703997552</v>
      </c>
      <c r="R139" s="209">
        <f t="shared" si="2"/>
        <v>0.78902498523653986</v>
      </c>
      <c r="S139" s="209">
        <f t="shared" si="2"/>
        <v>0.81619924210827421</v>
      </c>
      <c r="T139" s="209">
        <f t="shared" si="2"/>
        <v>0.7872593270002316</v>
      </c>
      <c r="U139" s="209">
        <f t="shared" si="2"/>
        <v>0.77934670886019386</v>
      </c>
      <c r="V139" s="209">
        <f t="shared" si="2"/>
        <v>0.73770474144437381</v>
      </c>
      <c r="W139" s="209">
        <f t="shared" si="2"/>
        <v>0.72370557755977483</v>
      </c>
      <c r="X139" s="209">
        <f t="shared" si="2"/>
        <v>0.69999855920204124</v>
      </c>
      <c r="Y139" s="209">
        <f t="shared" si="2"/>
        <v>0.67229247398096526</v>
      </c>
      <c r="Z139" s="209">
        <f t="shared" si="2"/>
        <v>0.65169283491182017</v>
      </c>
      <c r="AA139" s="209">
        <f t="shared" si="2"/>
        <v>0.71567394163336451</v>
      </c>
      <c r="AB139" s="209">
        <f t="shared" si="2"/>
        <v>0.68354006721347471</v>
      </c>
      <c r="AC139" s="209">
        <f t="shared" si="2"/>
        <v>0.63772229794442925</v>
      </c>
      <c r="AD139" s="219">
        <f t="shared" si="2"/>
        <v>0.61907640030941158</v>
      </c>
      <c r="AE139" s="219">
        <f t="shared" si="2"/>
        <v>0.61494796907303484</v>
      </c>
      <c r="AF139" s="219">
        <f t="shared" si="2"/>
        <v>0.63947369417944466</v>
      </c>
      <c r="AG139" s="219">
        <f t="shared" si="2"/>
        <v>0.70715619167562049</v>
      </c>
      <c r="AH139" s="219">
        <f t="shared" si="2"/>
        <v>0.71725899646347102</v>
      </c>
      <c r="AI139" s="219">
        <f t="shared" si="2"/>
        <v>0.68776455604664799</v>
      </c>
      <c r="AJ139" s="219">
        <f t="shared" si="2"/>
        <v>0.68731110738992052</v>
      </c>
      <c r="AK139" s="219">
        <f t="shared" si="2"/>
        <v>0.68631110738992052</v>
      </c>
      <c r="AL139" s="219">
        <f t="shared" si="2"/>
        <v>0.68531110738992052</v>
      </c>
      <c r="AM139" s="219">
        <f t="shared" si="2"/>
        <v>0.68431110738992051</v>
      </c>
      <c r="AN139" s="219">
        <f t="shared" si="2"/>
        <v>0.68331110738992051</v>
      </c>
      <c r="AO139" s="219">
        <f t="shared" si="2"/>
        <v>0.68231110738992051</v>
      </c>
      <c r="AP139" s="219">
        <f t="shared" si="2"/>
        <v>0.68131110738992051</v>
      </c>
      <c r="AQ139" s="219">
        <f t="shared" si="2"/>
        <v>0.68031110738992051</v>
      </c>
      <c r="AR139" s="219">
        <f t="shared" si="2"/>
        <v>0.67931110738992051</v>
      </c>
      <c r="AS139" s="219">
        <f t="shared" si="2"/>
        <v>0.67831110738992051</v>
      </c>
      <c r="AT139" s="219">
        <f t="shared" si="2"/>
        <v>0.67731110738992051</v>
      </c>
      <c r="AU139" s="219">
        <f t="shared" si="2"/>
        <v>0.67631110738992051</v>
      </c>
      <c r="AV139" s="219">
        <f t="shared" si="2"/>
        <v>0.67531110738992051</v>
      </c>
      <c r="AW139" s="44" t="str">
        <f t="shared" si="1"/>
        <v>Ra</v>
      </c>
    </row>
    <row r="140" spans="3:49" ht="17.399999999999999">
      <c r="C140" s="105">
        <v>9</v>
      </c>
      <c r="D140" s="518"/>
      <c r="E140" s="205"/>
      <c r="F140" s="51"/>
      <c r="G140" s="38"/>
      <c r="H140" s="38"/>
      <c r="I140" s="38"/>
      <c r="J140" s="38"/>
      <c r="K140" s="38"/>
      <c r="L140" s="38"/>
      <c r="M140" s="216"/>
      <c r="N140" s="209" t="e">
        <f t="shared" si="3"/>
        <v>#REF!</v>
      </c>
      <c r="O140" s="209" t="e">
        <f t="shared" si="5"/>
        <v>#REF!</v>
      </c>
      <c r="P140" s="209" t="e">
        <f t="shared" si="2"/>
        <v>#REF!</v>
      </c>
      <c r="Q140" s="209" t="e">
        <f t="shared" si="2"/>
        <v>#REF!</v>
      </c>
      <c r="R140" s="209" t="e">
        <f t="shared" si="2"/>
        <v>#REF!</v>
      </c>
      <c r="S140" s="209" t="e">
        <f t="shared" si="2"/>
        <v>#REF!</v>
      </c>
      <c r="T140" s="209" t="e">
        <f t="shared" si="2"/>
        <v>#REF!</v>
      </c>
      <c r="U140" s="209" t="e">
        <f t="shared" si="2"/>
        <v>#REF!</v>
      </c>
      <c r="V140" s="209" t="e">
        <f t="shared" si="2"/>
        <v>#REF!</v>
      </c>
      <c r="W140" s="209" t="e">
        <f t="shared" si="2"/>
        <v>#REF!</v>
      </c>
      <c r="X140" s="209" t="e">
        <f t="shared" si="2"/>
        <v>#REF!</v>
      </c>
      <c r="Y140" s="209" t="e">
        <f t="shared" si="2"/>
        <v>#REF!</v>
      </c>
      <c r="Z140" s="209" t="e">
        <f t="shared" si="2"/>
        <v>#REF!</v>
      </c>
      <c r="AA140" s="209" t="e">
        <f t="shared" si="2"/>
        <v>#REF!</v>
      </c>
      <c r="AB140" s="209" t="e">
        <f t="shared" si="2"/>
        <v>#REF!</v>
      </c>
      <c r="AC140" s="209" t="e">
        <f t="shared" si="2"/>
        <v>#REF!</v>
      </c>
      <c r="AD140" s="219" t="e">
        <f t="shared" si="2"/>
        <v>#REF!</v>
      </c>
      <c r="AE140" s="219" t="e">
        <f t="shared" si="2"/>
        <v>#REF!</v>
      </c>
      <c r="AF140" s="219" t="e">
        <f t="shared" si="2"/>
        <v>#REF!</v>
      </c>
      <c r="AG140" s="219" t="e">
        <f t="shared" si="2"/>
        <v>#REF!</v>
      </c>
      <c r="AH140" s="219" t="e">
        <f t="shared" si="2"/>
        <v>#REF!</v>
      </c>
      <c r="AI140" s="219" t="e">
        <f t="shared" si="2"/>
        <v>#REF!</v>
      </c>
      <c r="AJ140" s="219" t="e">
        <f t="shared" si="2"/>
        <v>#REF!</v>
      </c>
      <c r="AK140" s="219" t="e">
        <f t="shared" si="2"/>
        <v>#REF!</v>
      </c>
      <c r="AL140" s="219" t="e">
        <f t="shared" si="2"/>
        <v>#REF!</v>
      </c>
      <c r="AM140" s="219" t="e">
        <f t="shared" si="2"/>
        <v>#REF!</v>
      </c>
      <c r="AN140" s="219" t="e">
        <f t="shared" si="2"/>
        <v>#REF!</v>
      </c>
      <c r="AO140" s="219" t="e">
        <f t="shared" si="2"/>
        <v>#REF!</v>
      </c>
      <c r="AP140" s="219" t="e">
        <f t="shared" si="2"/>
        <v>#REF!</v>
      </c>
      <c r="AQ140" s="219" t="e">
        <f t="shared" si="2"/>
        <v>#REF!</v>
      </c>
      <c r="AR140" s="219" t="e">
        <f t="shared" si="2"/>
        <v>#REF!</v>
      </c>
      <c r="AS140" s="219" t="e">
        <f t="shared" si="2"/>
        <v>#REF!</v>
      </c>
      <c r="AT140" s="219" t="e">
        <f t="shared" si="2"/>
        <v>#REF!</v>
      </c>
      <c r="AU140" s="219" t="e">
        <f t="shared" si="2"/>
        <v>#REF!</v>
      </c>
      <c r="AV140" s="219" t="e">
        <f t="shared" si="2"/>
        <v>#REF!</v>
      </c>
      <c r="AW140" s="44">
        <f t="shared" si="1"/>
        <v>0</v>
      </c>
    </row>
    <row r="141" spans="3:49" ht="17.399999999999999">
      <c r="C141" s="105">
        <v>10</v>
      </c>
      <c r="D141" s="517">
        <f>НАСТРОЙКА!EJ296</f>
        <v>0</v>
      </c>
      <c r="E141" s="205" t="s">
        <v>625</v>
      </c>
      <c r="F141" s="51" t="s">
        <v>4</v>
      </c>
      <c r="G141" s="38" t="s">
        <v>910</v>
      </c>
      <c r="H141" s="38"/>
      <c r="I141" s="38"/>
      <c r="J141" s="38"/>
      <c r="K141" s="38"/>
      <c r="L141" s="38"/>
      <c r="M141" s="218"/>
      <c r="N141" s="209" t="e">
        <f t="shared" si="3"/>
        <v>#REF!</v>
      </c>
      <c r="O141" s="209" t="e">
        <f t="shared" si="5"/>
        <v>#REF!</v>
      </c>
      <c r="P141" s="209" t="e">
        <f t="shared" si="2"/>
        <v>#REF!</v>
      </c>
      <c r="Q141" s="209" t="e">
        <f t="shared" si="2"/>
        <v>#REF!</v>
      </c>
      <c r="R141" s="209" t="e">
        <f t="shared" si="2"/>
        <v>#REF!</v>
      </c>
      <c r="S141" s="209" t="e">
        <f t="shared" si="2"/>
        <v>#REF!</v>
      </c>
      <c r="T141" s="209" t="e">
        <f t="shared" si="2"/>
        <v>#REF!</v>
      </c>
      <c r="U141" s="209" t="e">
        <f t="shared" si="2"/>
        <v>#REF!</v>
      </c>
      <c r="V141" s="209" t="e">
        <f t="shared" ref="P141:AV148" si="6">V13-V77</f>
        <v>#REF!</v>
      </c>
      <c r="W141" s="209" t="e">
        <f t="shared" si="6"/>
        <v>#REF!</v>
      </c>
      <c r="X141" s="209" t="e">
        <f t="shared" si="6"/>
        <v>#REF!</v>
      </c>
      <c r="Y141" s="209" t="e">
        <f t="shared" si="6"/>
        <v>#REF!</v>
      </c>
      <c r="Z141" s="209" t="e">
        <f t="shared" si="6"/>
        <v>#REF!</v>
      </c>
      <c r="AA141" s="209" t="e">
        <f t="shared" si="6"/>
        <v>#REF!</v>
      </c>
      <c r="AB141" s="209" t="e">
        <f t="shared" si="6"/>
        <v>#REF!</v>
      </c>
      <c r="AC141" s="209" t="e">
        <f t="shared" si="6"/>
        <v>#REF!</v>
      </c>
      <c r="AD141" s="219" t="e">
        <f t="shared" si="6"/>
        <v>#REF!</v>
      </c>
      <c r="AE141" s="219" t="e">
        <f t="shared" si="6"/>
        <v>#REF!</v>
      </c>
      <c r="AF141" s="219" t="e">
        <f t="shared" si="6"/>
        <v>#REF!</v>
      </c>
      <c r="AG141" s="219" t="e">
        <f t="shared" si="6"/>
        <v>#REF!</v>
      </c>
      <c r="AH141" s="219" t="e">
        <f t="shared" si="6"/>
        <v>#REF!</v>
      </c>
      <c r="AI141" s="219" t="e">
        <f t="shared" si="6"/>
        <v>#REF!</v>
      </c>
      <c r="AJ141" s="219" t="e">
        <f t="shared" si="6"/>
        <v>#REF!</v>
      </c>
      <c r="AK141" s="219" t="e">
        <f t="shared" si="6"/>
        <v>#REF!</v>
      </c>
      <c r="AL141" s="219" t="e">
        <f t="shared" si="6"/>
        <v>#REF!</v>
      </c>
      <c r="AM141" s="219" t="e">
        <f t="shared" si="6"/>
        <v>#REF!</v>
      </c>
      <c r="AN141" s="219" t="e">
        <f t="shared" si="6"/>
        <v>#REF!</v>
      </c>
      <c r="AO141" s="219" t="e">
        <f t="shared" si="6"/>
        <v>#REF!</v>
      </c>
      <c r="AP141" s="219" t="e">
        <f t="shared" si="6"/>
        <v>#REF!</v>
      </c>
      <c r="AQ141" s="219" t="e">
        <f t="shared" si="6"/>
        <v>#REF!</v>
      </c>
      <c r="AR141" s="219" t="e">
        <f t="shared" si="6"/>
        <v>#REF!</v>
      </c>
      <c r="AS141" s="219" t="e">
        <f t="shared" si="6"/>
        <v>#REF!</v>
      </c>
      <c r="AT141" s="219" t="e">
        <f t="shared" si="6"/>
        <v>#REF!</v>
      </c>
      <c r="AU141" s="219" t="e">
        <f t="shared" si="6"/>
        <v>#REF!</v>
      </c>
      <c r="AV141" s="219" t="e">
        <f t="shared" si="6"/>
        <v>#REF!</v>
      </c>
      <c r="AW141" s="44" t="str">
        <f t="shared" si="1"/>
        <v>POS</v>
      </c>
    </row>
    <row r="142" spans="3:49" ht="17.399999999999999">
      <c r="C142" s="105">
        <v>11</v>
      </c>
      <c r="D142" s="517">
        <f>НАСТРОЙКА!DN181</f>
        <v>0</v>
      </c>
      <c r="E142" s="205" t="s">
        <v>667</v>
      </c>
      <c r="F142" s="51" t="s">
        <v>784</v>
      </c>
      <c r="G142" s="38" t="s">
        <v>911</v>
      </c>
      <c r="H142" s="38"/>
      <c r="I142" s="38"/>
      <c r="J142" s="38"/>
      <c r="K142" s="38"/>
      <c r="L142" s="38"/>
      <c r="M142" s="216"/>
      <c r="N142" s="209" t="e">
        <f t="shared" si="3"/>
        <v>#REF!</v>
      </c>
      <c r="O142" s="209" t="e">
        <f t="shared" si="5"/>
        <v>#REF!</v>
      </c>
      <c r="P142" s="209" t="e">
        <f t="shared" si="6"/>
        <v>#REF!</v>
      </c>
      <c r="Q142" s="209" t="e">
        <f t="shared" si="6"/>
        <v>#REF!</v>
      </c>
      <c r="R142" s="209" t="e">
        <f t="shared" si="6"/>
        <v>#REF!</v>
      </c>
      <c r="S142" s="209" t="e">
        <f t="shared" si="6"/>
        <v>#REF!</v>
      </c>
      <c r="T142" s="209" t="e">
        <f t="shared" si="6"/>
        <v>#REF!</v>
      </c>
      <c r="U142" s="209" t="e">
        <f t="shared" si="6"/>
        <v>#REF!</v>
      </c>
      <c r="V142" s="209" t="e">
        <f t="shared" si="6"/>
        <v>#REF!</v>
      </c>
      <c r="W142" s="209" t="e">
        <f t="shared" si="6"/>
        <v>#REF!</v>
      </c>
      <c r="X142" s="209" t="e">
        <f t="shared" si="6"/>
        <v>#REF!</v>
      </c>
      <c r="Y142" s="209" t="e">
        <f t="shared" si="6"/>
        <v>#REF!</v>
      </c>
      <c r="Z142" s="209" t="e">
        <f t="shared" si="6"/>
        <v>#REF!</v>
      </c>
      <c r="AA142" s="209" t="e">
        <f t="shared" si="6"/>
        <v>#REF!</v>
      </c>
      <c r="AB142" s="209" t="e">
        <f t="shared" si="6"/>
        <v>#REF!</v>
      </c>
      <c r="AC142" s="209" t="e">
        <f t="shared" si="6"/>
        <v>#REF!</v>
      </c>
      <c r="AD142" s="209" t="e">
        <f t="shared" si="6"/>
        <v>#REF!</v>
      </c>
      <c r="AE142" s="209" t="e">
        <f t="shared" si="6"/>
        <v>#REF!</v>
      </c>
      <c r="AF142" s="209" t="e">
        <f t="shared" si="6"/>
        <v>#REF!</v>
      </c>
      <c r="AG142" s="209" t="e">
        <f t="shared" si="6"/>
        <v>#REF!</v>
      </c>
      <c r="AH142" s="209" t="e">
        <f t="shared" si="6"/>
        <v>#REF!</v>
      </c>
      <c r="AI142" s="209" t="e">
        <f t="shared" si="6"/>
        <v>#REF!</v>
      </c>
      <c r="AJ142" s="209" t="e">
        <f t="shared" si="6"/>
        <v>#REF!</v>
      </c>
      <c r="AK142" s="209" t="e">
        <f t="shared" si="6"/>
        <v>#REF!</v>
      </c>
      <c r="AL142" s="209" t="e">
        <f t="shared" si="6"/>
        <v>#REF!</v>
      </c>
      <c r="AM142" s="209" t="e">
        <f t="shared" si="6"/>
        <v>#REF!</v>
      </c>
      <c r="AN142" s="209" t="e">
        <f t="shared" si="6"/>
        <v>#REF!</v>
      </c>
      <c r="AO142" s="209" t="e">
        <f t="shared" si="6"/>
        <v>#REF!</v>
      </c>
      <c r="AP142" s="209" t="e">
        <f t="shared" si="6"/>
        <v>#REF!</v>
      </c>
      <c r="AQ142" s="209" t="e">
        <f t="shared" si="6"/>
        <v>#REF!</v>
      </c>
      <c r="AR142" s="209" t="e">
        <f t="shared" si="6"/>
        <v>#REF!</v>
      </c>
      <c r="AS142" s="209" t="e">
        <f t="shared" si="6"/>
        <v>#REF!</v>
      </c>
      <c r="AT142" s="209" t="e">
        <f t="shared" si="6"/>
        <v>#REF!</v>
      </c>
      <c r="AU142" s="209" t="e">
        <f t="shared" si="6"/>
        <v>#REF!</v>
      </c>
      <c r="AV142" s="209" t="e">
        <f t="shared" si="6"/>
        <v>#REF!</v>
      </c>
      <c r="AW142" s="44" t="str">
        <f t="shared" si="1"/>
        <v>fOS</v>
      </c>
    </row>
    <row r="143" spans="3:49" ht="17.399999999999999">
      <c r="C143" s="105">
        <v>12</v>
      </c>
      <c r="D143" s="517" t="e">
        <f>НАСТРОЙКА!#REF!</f>
        <v>#REF!</v>
      </c>
      <c r="E143" s="205" t="s">
        <v>590</v>
      </c>
      <c r="F143" s="51" t="s">
        <v>809</v>
      </c>
      <c r="G143" s="38" t="s">
        <v>912</v>
      </c>
      <c r="H143" s="38"/>
      <c r="I143" s="38"/>
      <c r="J143" s="38"/>
      <c r="K143" s="38"/>
      <c r="L143" s="38"/>
      <c r="M143" s="61"/>
      <c r="N143" s="209">
        <f t="shared" si="3"/>
        <v>0</v>
      </c>
      <c r="O143" s="209">
        <f t="shared" si="5"/>
        <v>0</v>
      </c>
      <c r="P143" s="209">
        <f t="shared" si="6"/>
        <v>0</v>
      </c>
      <c r="Q143" s="209">
        <f t="shared" si="6"/>
        <v>0</v>
      </c>
      <c r="R143" s="209">
        <f t="shared" si="6"/>
        <v>0</v>
      </c>
      <c r="S143" s="209">
        <f t="shared" si="6"/>
        <v>0</v>
      </c>
      <c r="T143" s="209">
        <f t="shared" si="6"/>
        <v>0</v>
      </c>
      <c r="U143" s="209">
        <f t="shared" si="6"/>
        <v>0</v>
      </c>
      <c r="V143" s="209">
        <f t="shared" si="6"/>
        <v>0</v>
      </c>
      <c r="W143" s="209">
        <f t="shared" si="6"/>
        <v>0</v>
      </c>
      <c r="X143" s="209">
        <f t="shared" si="6"/>
        <v>0</v>
      </c>
      <c r="Y143" s="209">
        <f t="shared" si="6"/>
        <v>2.533254425953757E-3</v>
      </c>
      <c r="Z143" s="209">
        <f t="shared" si="6"/>
        <v>4.7594784154814107E-3</v>
      </c>
      <c r="AA143" s="209">
        <f t="shared" si="6"/>
        <v>5.1783125160440591E-3</v>
      </c>
      <c r="AB143" s="209">
        <f t="shared" si="6"/>
        <v>7.9625419914144402E-3</v>
      </c>
      <c r="AC143" s="209">
        <f t="shared" si="6"/>
        <v>8.4482570528905399E-3</v>
      </c>
      <c r="AD143" s="209">
        <f t="shared" si="6"/>
        <v>1.1693337626546452E-2</v>
      </c>
      <c r="AE143" s="209">
        <f t="shared" si="6"/>
        <v>6.2614308920837303E-2</v>
      </c>
      <c r="AF143" s="209">
        <f t="shared" si="6"/>
        <v>-0.26564671132430462</v>
      </c>
      <c r="AG143" s="209">
        <f t="shared" si="6"/>
        <v>-0.41928712179799632</v>
      </c>
      <c r="AH143" s="209">
        <f t="shared" si="6"/>
        <v>0.44017336114919559</v>
      </c>
      <c r="AI143" s="209">
        <f t="shared" si="6"/>
        <v>1.8171711181235004</v>
      </c>
      <c r="AJ143" s="209">
        <f t="shared" si="6"/>
        <v>2.7525840479570292</v>
      </c>
      <c r="AK143" s="209">
        <f t="shared" si="6"/>
        <v>3.8174124852217766</v>
      </c>
      <c r="AL143" s="209">
        <f t="shared" si="6"/>
        <v>4.2938158997658284</v>
      </c>
      <c r="AM143" s="209">
        <f t="shared" si="6"/>
        <v>4.7895218958649828</v>
      </c>
      <c r="AN143" s="209">
        <f t="shared" si="6"/>
        <v>5.0289979906582332</v>
      </c>
      <c r="AO143" s="209">
        <f t="shared" si="6"/>
        <v>5.2804478901911445</v>
      </c>
      <c r="AP143" s="209">
        <f t="shared" si="6"/>
        <v>5.5444702847007008</v>
      </c>
      <c r="AQ143" s="209">
        <f t="shared" si="6"/>
        <v>5.8216937989357334</v>
      </c>
      <c r="AR143" s="209">
        <f t="shared" si="6"/>
        <v>6.112778488882519</v>
      </c>
      <c r="AS143" s="209">
        <f t="shared" si="6"/>
        <v>6.0382436221690199</v>
      </c>
      <c r="AT143" s="209">
        <f t="shared" si="6"/>
        <v>5.944775060473539</v>
      </c>
      <c r="AU143" s="209">
        <f t="shared" si="6"/>
        <v>5.8308178409811333</v>
      </c>
      <c r="AV143" s="209">
        <f t="shared" si="6"/>
        <v>5.6947149216134605</v>
      </c>
      <c r="AW143" s="44" t="str">
        <f t="shared" si="1"/>
        <v>IPC</v>
      </c>
    </row>
    <row r="144" spans="3:49" ht="17.399999999999999">
      <c r="C144" s="105">
        <v>13</v>
      </c>
      <c r="D144" s="518">
        <f>НАСТРОЙКА!AZ255</f>
        <v>0</v>
      </c>
      <c r="E144" s="205" t="s">
        <v>913</v>
      </c>
      <c r="F144" s="51" t="s">
        <v>809</v>
      </c>
      <c r="G144" s="38" t="s">
        <v>914</v>
      </c>
      <c r="H144" s="38"/>
      <c r="I144" s="38"/>
      <c r="J144" s="38"/>
      <c r="K144" s="38"/>
      <c r="L144" s="38"/>
      <c r="M144" s="61"/>
      <c r="N144" s="209">
        <f t="shared" si="3"/>
        <v>0</v>
      </c>
      <c r="O144" s="209">
        <f t="shared" si="5"/>
        <v>0</v>
      </c>
      <c r="P144" s="209">
        <f t="shared" si="6"/>
        <v>0</v>
      </c>
      <c r="Q144" s="209">
        <f t="shared" si="6"/>
        <v>0</v>
      </c>
      <c r="R144" s="209">
        <f t="shared" si="6"/>
        <v>0</v>
      </c>
      <c r="S144" s="209">
        <f t="shared" si="6"/>
        <v>0</v>
      </c>
      <c r="T144" s="209">
        <f t="shared" si="6"/>
        <v>0</v>
      </c>
      <c r="U144" s="209">
        <f t="shared" si="6"/>
        <v>0</v>
      </c>
      <c r="V144" s="209">
        <f t="shared" si="6"/>
        <v>0</v>
      </c>
      <c r="W144" s="209">
        <f t="shared" si="6"/>
        <v>0</v>
      </c>
      <c r="X144" s="209">
        <f t="shared" si="6"/>
        <v>0</v>
      </c>
      <c r="Y144" s="209">
        <f t="shared" si="6"/>
        <v>2.9999999999996696E-4</v>
      </c>
      <c r="Z144" s="209">
        <f t="shared" si="6"/>
        <v>1.9999999999997797E-4</v>
      </c>
      <c r="AA144" s="209">
        <f t="shared" si="6"/>
        <v>0</v>
      </c>
      <c r="AB144" s="209">
        <f t="shared" si="6"/>
        <v>1.9999999999997797E-4</v>
      </c>
      <c r="AC144" s="209">
        <f t="shared" si="6"/>
        <v>0</v>
      </c>
      <c r="AD144" s="209">
        <f t="shared" si="6"/>
        <v>1.9999999999997797E-4</v>
      </c>
      <c r="AE144" s="209">
        <f t="shared" si="6"/>
        <v>3.5000000000000586E-3</v>
      </c>
      <c r="AF144" s="209">
        <f t="shared" si="6"/>
        <v>-2.1999999999999797E-2</v>
      </c>
      <c r="AG144" s="209">
        <f t="shared" si="6"/>
        <v>-6.9999999999998952E-3</v>
      </c>
      <c r="AH144" s="209">
        <f t="shared" si="6"/>
        <v>4.610000000000003E-2</v>
      </c>
      <c r="AI144" s="209">
        <f t="shared" si="6"/>
        <v>6.490000000000018E-2</v>
      </c>
      <c r="AJ144" s="209">
        <f t="shared" si="6"/>
        <v>3.74000000000001E-2</v>
      </c>
      <c r="AK144" s="209">
        <f t="shared" si="6"/>
        <v>3.960000000000008E-2</v>
      </c>
      <c r="AL144" s="209">
        <f t="shared" si="6"/>
        <v>1.0900000000000132E-2</v>
      </c>
      <c r="AM144" s="209">
        <f t="shared" si="6"/>
        <v>1.0000000000000009E-2</v>
      </c>
      <c r="AN144" s="209">
        <f t="shared" si="6"/>
        <v>0</v>
      </c>
      <c r="AO144" s="209">
        <f t="shared" si="6"/>
        <v>0</v>
      </c>
      <c r="AP144" s="209">
        <f t="shared" si="6"/>
        <v>0</v>
      </c>
      <c r="AQ144" s="209">
        <f t="shared" si="6"/>
        <v>0</v>
      </c>
      <c r="AR144" s="209">
        <f t="shared" si="6"/>
        <v>0</v>
      </c>
      <c r="AS144" s="209">
        <f t="shared" si="6"/>
        <v>-1.0000000000000009E-2</v>
      </c>
      <c r="AT144" s="209">
        <f t="shared" si="6"/>
        <v>-1.0000000000000009E-2</v>
      </c>
      <c r="AU144" s="209">
        <f t="shared" si="6"/>
        <v>-1.0000000000000009E-2</v>
      </c>
      <c r="AV144" s="209">
        <f t="shared" si="6"/>
        <v>-1.0000000000000009E-2</v>
      </c>
      <c r="AW144" s="44" t="str">
        <f t="shared" si="1"/>
        <v>ip</v>
      </c>
    </row>
    <row r="145" spans="3:49" ht="17.399999999999999">
      <c r="C145" s="105">
        <v>14</v>
      </c>
      <c r="D145" s="517"/>
      <c r="E145" s="205"/>
      <c r="F145" s="51"/>
      <c r="G145" s="38"/>
      <c r="H145" s="38"/>
      <c r="I145" s="38"/>
      <c r="J145" s="38"/>
      <c r="K145" s="38"/>
      <c r="L145" s="38"/>
      <c r="M145" s="207"/>
      <c r="N145" s="209">
        <f t="shared" si="3"/>
        <v>0</v>
      </c>
      <c r="O145" s="209">
        <f t="shared" si="5"/>
        <v>0</v>
      </c>
      <c r="P145" s="209">
        <f t="shared" si="6"/>
        <v>0</v>
      </c>
      <c r="Q145" s="209">
        <f t="shared" si="6"/>
        <v>0</v>
      </c>
      <c r="R145" s="209">
        <f t="shared" si="6"/>
        <v>0</v>
      </c>
      <c r="S145" s="209">
        <f t="shared" si="6"/>
        <v>0</v>
      </c>
      <c r="T145" s="209">
        <f t="shared" si="6"/>
        <v>0</v>
      </c>
      <c r="U145" s="209">
        <f t="shared" si="6"/>
        <v>0</v>
      </c>
      <c r="V145" s="209">
        <f t="shared" si="6"/>
        <v>0</v>
      </c>
      <c r="W145" s="209">
        <f t="shared" si="6"/>
        <v>0</v>
      </c>
      <c r="X145" s="209">
        <f t="shared" si="6"/>
        <v>0</v>
      </c>
      <c r="Y145" s="209">
        <f t="shared" si="6"/>
        <v>0</v>
      </c>
      <c r="Z145" s="209">
        <f t="shared" si="6"/>
        <v>0</v>
      </c>
      <c r="AA145" s="209">
        <f t="shared" si="6"/>
        <v>0</v>
      </c>
      <c r="AB145" s="209">
        <f t="shared" si="6"/>
        <v>0</v>
      </c>
      <c r="AC145" s="209">
        <f t="shared" si="6"/>
        <v>0</v>
      </c>
      <c r="AD145" s="209">
        <f t="shared" si="6"/>
        <v>0</v>
      </c>
      <c r="AE145" s="209">
        <f t="shared" si="6"/>
        <v>0</v>
      </c>
      <c r="AF145" s="209">
        <f t="shared" si="6"/>
        <v>0</v>
      </c>
      <c r="AG145" s="209">
        <f t="shared" si="6"/>
        <v>0</v>
      </c>
      <c r="AH145" s="209">
        <f t="shared" si="6"/>
        <v>0</v>
      </c>
      <c r="AI145" s="209">
        <f t="shared" si="6"/>
        <v>0</v>
      </c>
      <c r="AJ145" s="209">
        <f t="shared" si="6"/>
        <v>0</v>
      </c>
      <c r="AK145" s="209">
        <f t="shared" si="6"/>
        <v>0</v>
      </c>
      <c r="AL145" s="209">
        <f t="shared" si="6"/>
        <v>0</v>
      </c>
      <c r="AM145" s="209">
        <f t="shared" si="6"/>
        <v>0</v>
      </c>
      <c r="AN145" s="209">
        <f t="shared" si="6"/>
        <v>0</v>
      </c>
      <c r="AO145" s="209">
        <f t="shared" si="6"/>
        <v>0</v>
      </c>
      <c r="AP145" s="209">
        <f t="shared" si="6"/>
        <v>0</v>
      </c>
      <c r="AQ145" s="209">
        <f t="shared" si="6"/>
        <v>0</v>
      </c>
      <c r="AR145" s="209">
        <f t="shared" si="6"/>
        <v>0</v>
      </c>
      <c r="AS145" s="209">
        <f t="shared" si="6"/>
        <v>0</v>
      </c>
      <c r="AT145" s="209">
        <f t="shared" si="6"/>
        <v>0</v>
      </c>
      <c r="AU145" s="209">
        <f t="shared" si="6"/>
        <v>0</v>
      </c>
      <c r="AV145" s="209">
        <f t="shared" si="6"/>
        <v>0</v>
      </c>
      <c r="AW145" s="44">
        <f t="shared" si="1"/>
        <v>0</v>
      </c>
    </row>
    <row r="146" spans="3:49" ht="17.399999999999999">
      <c r="C146" s="365">
        <v>15</v>
      </c>
      <c r="D146" s="519"/>
      <c r="E146" s="205"/>
      <c r="F146" s="51"/>
      <c r="G146" s="38"/>
      <c r="H146" s="38"/>
      <c r="I146" s="38"/>
      <c r="J146" s="38"/>
      <c r="K146" s="38"/>
      <c r="L146" s="38"/>
      <c r="M146" s="207"/>
      <c r="N146" s="209">
        <f t="shared" si="3"/>
        <v>-4.5999999999999996</v>
      </c>
      <c r="O146" s="209">
        <f t="shared" si="5"/>
        <v>-5.5</v>
      </c>
      <c r="P146" s="209">
        <f t="shared" si="6"/>
        <v>-9.6999999999999993</v>
      </c>
      <c r="Q146" s="209">
        <f t="shared" si="6"/>
        <v>-24.62</v>
      </c>
      <c r="R146" s="209">
        <f t="shared" si="6"/>
        <v>-28.14</v>
      </c>
      <c r="S146" s="209">
        <f t="shared" si="6"/>
        <v>-29.17</v>
      </c>
      <c r="T146" s="209">
        <f t="shared" si="6"/>
        <v>-31.35</v>
      </c>
      <c r="U146" s="209">
        <f t="shared" si="6"/>
        <v>-30.69</v>
      </c>
      <c r="V146" s="209">
        <f t="shared" si="6"/>
        <v>-28.81</v>
      </c>
      <c r="W146" s="209">
        <f t="shared" si="6"/>
        <v>-28.3</v>
      </c>
      <c r="X146" s="209">
        <f t="shared" si="6"/>
        <v>-27.17</v>
      </c>
      <c r="Y146" s="209">
        <f t="shared" si="6"/>
        <v>-25.58</v>
      </c>
      <c r="Z146" s="209">
        <f t="shared" si="6"/>
        <v>-24.86</v>
      </c>
      <c r="AA146" s="209">
        <f t="shared" si="6"/>
        <v>-31.83</v>
      </c>
      <c r="AB146" s="209">
        <f t="shared" si="6"/>
        <v>-30.36</v>
      </c>
      <c r="AC146" s="209">
        <f t="shared" si="6"/>
        <v>-29.39</v>
      </c>
      <c r="AD146" s="209">
        <f t="shared" si="6"/>
        <v>-31.08</v>
      </c>
      <c r="AE146" s="209">
        <f t="shared" si="6"/>
        <v>-31.85</v>
      </c>
      <c r="AF146" s="209">
        <f t="shared" si="6"/>
        <v>-32.729999999999997</v>
      </c>
      <c r="AG146" s="209">
        <f t="shared" si="6"/>
        <v>-56.26</v>
      </c>
      <c r="AH146" s="209">
        <f t="shared" si="6"/>
        <v>-72.88</v>
      </c>
      <c r="AI146" s="209">
        <f t="shared" si="6"/>
        <v>-60.66</v>
      </c>
      <c r="AJ146" s="209">
        <f t="shared" si="6"/>
        <v>-57.6</v>
      </c>
      <c r="AK146" s="209">
        <f t="shared" si="6"/>
        <v>-69.47</v>
      </c>
      <c r="AL146" s="209">
        <f t="shared" si="6"/>
        <v>-61.9</v>
      </c>
      <c r="AM146" s="209">
        <f t="shared" si="6"/>
        <v>-73.87</v>
      </c>
      <c r="AN146" s="209">
        <f t="shared" si="6"/>
        <v>-75.17</v>
      </c>
      <c r="AO146" s="209">
        <f t="shared" si="6"/>
        <v>-76.47</v>
      </c>
      <c r="AP146" s="209">
        <f t="shared" si="6"/>
        <v>-77.77</v>
      </c>
      <c r="AQ146" s="209">
        <f t="shared" si="6"/>
        <v>-79.069999999999993</v>
      </c>
      <c r="AR146" s="209">
        <f t="shared" si="6"/>
        <v>-80.36999999999999</v>
      </c>
      <c r="AS146" s="209">
        <f t="shared" si="6"/>
        <v>-81.669999999999987</v>
      </c>
      <c r="AT146" s="209">
        <f t="shared" si="6"/>
        <v>-82.969999999999985</v>
      </c>
      <c r="AU146" s="209">
        <f t="shared" si="6"/>
        <v>-84.269999999999982</v>
      </c>
      <c r="AV146" s="209">
        <f t="shared" si="6"/>
        <v>-85.569999999999979</v>
      </c>
      <c r="AW146" s="44">
        <f t="shared" si="1"/>
        <v>0</v>
      </c>
    </row>
    <row r="147" spans="3:49" ht="17.399999999999999">
      <c r="C147" s="105">
        <v>16</v>
      </c>
      <c r="D147" s="517">
        <f>НАСТРОЙКА!CJ255</f>
        <v>0</v>
      </c>
      <c r="E147" s="205" t="s">
        <v>1247</v>
      </c>
      <c r="F147" s="51" t="s">
        <v>809</v>
      </c>
      <c r="G147" s="38" t="s">
        <v>1248</v>
      </c>
      <c r="H147" s="38"/>
      <c r="I147" s="38"/>
      <c r="J147" s="38"/>
      <c r="K147" s="38"/>
      <c r="L147" s="38"/>
      <c r="M147" s="216"/>
      <c r="N147" s="209">
        <f t="shared" si="3"/>
        <v>-20.242974035511729</v>
      </c>
      <c r="O147" s="209">
        <f t="shared" si="5"/>
        <v>-18.835168051381757</v>
      </c>
      <c r="P147" s="209">
        <f t="shared" si="6"/>
        <v>-12.43797555330274</v>
      </c>
      <c r="Q147" s="209">
        <f t="shared" si="6"/>
        <v>-17.480236139036442</v>
      </c>
      <c r="R147" s="209">
        <f t="shared" si="6"/>
        <v>-28.08056889912671</v>
      </c>
      <c r="S147" s="209">
        <f t="shared" si="6"/>
        <v>-24.173893225582169</v>
      </c>
      <c r="T147" s="209">
        <f t="shared" si="6"/>
        <v>-24.749537328180065</v>
      </c>
      <c r="U147" s="209">
        <f t="shared" si="6"/>
        <v>-28.649356854275144</v>
      </c>
      <c r="V147" s="209">
        <f t="shared" si="6"/>
        <v>-38.052202173165</v>
      </c>
      <c r="W147" s="209">
        <f t="shared" si="6"/>
        <v>-54.164667386405434</v>
      </c>
      <c r="X147" s="209">
        <f t="shared" si="6"/>
        <v>-65.161064302110816</v>
      </c>
      <c r="Y147" s="209">
        <f t="shared" si="6"/>
        <v>-72.451642539204627</v>
      </c>
      <c r="Z147" s="209">
        <f t="shared" si="6"/>
        <v>-97.448252057580746</v>
      </c>
      <c r="AA147" s="209">
        <f t="shared" si="6"/>
        <v>-61.620742355919162</v>
      </c>
      <c r="AB147" s="209">
        <f t="shared" si="6"/>
        <v>-79.339641856643837</v>
      </c>
      <c r="AC147" s="209">
        <f t="shared" si="6"/>
        <v>-110.73791387247641</v>
      </c>
      <c r="AD147" s="219">
        <f t="shared" si="6"/>
        <v>-111.13489749514156</v>
      </c>
      <c r="AE147" s="219">
        <f t="shared" si="6"/>
        <v>-108.52829366135887</v>
      </c>
      <c r="AF147" s="219">
        <f t="shared" si="6"/>
        <v>-98.628070823196225</v>
      </c>
      <c r="AG147" s="219">
        <f t="shared" si="6"/>
        <v>-52.128070823196211</v>
      </c>
      <c r="AH147" s="219">
        <f t="shared" si="6"/>
        <v>-43.73</v>
      </c>
      <c r="AI147" s="219">
        <f t="shared" si="6"/>
        <v>-54.73</v>
      </c>
      <c r="AJ147" s="219">
        <f t="shared" si="6"/>
        <v>-69.73</v>
      </c>
      <c r="AK147" s="219">
        <f t="shared" si="6"/>
        <v>-71.73</v>
      </c>
      <c r="AL147" s="219">
        <f t="shared" si="6"/>
        <v>-39.729999999999997</v>
      </c>
      <c r="AM147" s="219">
        <f t="shared" si="6"/>
        <v>-49.73</v>
      </c>
      <c r="AN147" s="219">
        <f t="shared" si="6"/>
        <v>-57.73</v>
      </c>
      <c r="AO147" s="219">
        <f t="shared" si="6"/>
        <v>-64.13000000000001</v>
      </c>
      <c r="AP147" s="219">
        <f t="shared" si="6"/>
        <v>-69.250000000000014</v>
      </c>
      <c r="AQ147" s="219">
        <f t="shared" si="6"/>
        <v>-73.346000000000018</v>
      </c>
      <c r="AR147" s="219">
        <f t="shared" si="6"/>
        <v>-76.622800000000026</v>
      </c>
      <c r="AS147" s="219">
        <f t="shared" si="6"/>
        <v>-79.244240000000033</v>
      </c>
      <c r="AT147" s="219">
        <f t="shared" si="6"/>
        <v>-81.341392000000042</v>
      </c>
      <c r="AU147" s="219">
        <f t="shared" si="6"/>
        <v>-83.019113600000054</v>
      </c>
      <c r="AV147" s="219">
        <f t="shared" si="6"/>
        <v>-84.36129088000007</v>
      </c>
      <c r="AW147" s="44" t="str">
        <f t="shared" si="1"/>
        <v>qX</v>
      </c>
    </row>
    <row r="148" spans="3:49" ht="17.399999999999999">
      <c r="C148" s="105">
        <v>17</v>
      </c>
      <c r="D148" s="517">
        <f>НАСТРОЙКА!CX296</f>
        <v>0</v>
      </c>
      <c r="E148" s="205" t="s">
        <v>636</v>
      </c>
      <c r="F148" s="51" t="s">
        <v>809</v>
      </c>
      <c r="G148" s="38" t="s">
        <v>916</v>
      </c>
      <c r="H148" s="38"/>
      <c r="I148" s="38"/>
      <c r="J148" s="38"/>
      <c r="K148" s="38"/>
      <c r="L148" s="38"/>
      <c r="M148" s="61"/>
      <c r="N148" s="209">
        <f t="shared" si="3"/>
        <v>1.3189257552818991</v>
      </c>
      <c r="O148" s="209">
        <f t="shared" si="5"/>
        <v>1.5170711073645951</v>
      </c>
      <c r="P148" s="209">
        <f t="shared" si="6"/>
        <v>2.2203598618279692</v>
      </c>
      <c r="Q148" s="209">
        <f t="shared" si="6"/>
        <v>4.4861770662073877</v>
      </c>
      <c r="R148" s="209">
        <f t="shared" si="6"/>
        <v>4.8717039168994054</v>
      </c>
      <c r="S148" s="209">
        <f t="shared" si="6"/>
        <v>6.0389784983504642</v>
      </c>
      <c r="T148" s="209">
        <f t="shared" si="6"/>
        <v>6.8427083576757273</v>
      </c>
      <c r="U148" s="209">
        <f t="shared" si="6"/>
        <v>7.6161042110071451</v>
      </c>
      <c r="V148" s="209">
        <f t="shared" si="6"/>
        <v>8.7964452074722139</v>
      </c>
      <c r="W148" s="209">
        <f t="shared" si="6"/>
        <v>9.8123331968604344</v>
      </c>
      <c r="X148" s="209">
        <f t="shared" si="6"/>
        <v>10.970771455402732</v>
      </c>
      <c r="Y148" s="209">
        <f t="shared" si="6"/>
        <v>12.708456854617248</v>
      </c>
      <c r="Z148" s="209">
        <f t="shared" si="6"/>
        <v>15.114935165326688</v>
      </c>
      <c r="AA148" s="209">
        <f t="shared" si="6"/>
        <v>18.003816516799947</v>
      </c>
      <c r="AB148" s="209">
        <f t="shared" si="6"/>
        <v>19.959709627252142</v>
      </c>
      <c r="AC148" s="219">
        <f t="shared" si="6"/>
        <v>22.023855590098876</v>
      </c>
      <c r="AD148" s="219">
        <f t="shared" si="6"/>
        <v>23.637963757457737</v>
      </c>
      <c r="AE148" s="219">
        <f t="shared" si="6"/>
        <v>24.880659756969415</v>
      </c>
      <c r="AF148" s="219">
        <f t="shared" si="6"/>
        <v>25.835931037588168</v>
      </c>
      <c r="AG148" s="219">
        <f t="shared" si="6"/>
        <v>30.008363701060631</v>
      </c>
      <c r="AH148" s="219">
        <f t="shared" si="6"/>
        <v>32.878530768054716</v>
      </c>
      <c r="AI148" s="219">
        <f t="shared" si="6"/>
        <v>35.69663965047301</v>
      </c>
      <c r="AJ148" s="219">
        <f t="shared" si="6"/>
        <v>38.44722474207407</v>
      </c>
      <c r="AK148" s="219">
        <f t="shared" si="6"/>
        <v>41.046392330850658</v>
      </c>
      <c r="AL148" s="219">
        <f t="shared" si="6"/>
        <v>43.430125681753246</v>
      </c>
      <c r="AM148" s="219">
        <f t="shared" si="6"/>
        <v>45.9568180787725</v>
      </c>
      <c r="AN148" s="219">
        <f t="shared" si="6"/>
        <v>48.188705691053926</v>
      </c>
      <c r="AO148" s="219">
        <f t="shared" si="6"/>
        <v>50.532164808514906</v>
      </c>
      <c r="AP148" s="219">
        <f t="shared" si="6"/>
        <v>52.992783156588239</v>
      </c>
      <c r="AQ148" s="219">
        <f t="shared" si="6"/>
        <v>55.576424186908817</v>
      </c>
      <c r="AR148" s="219">
        <f t="shared" si="6"/>
        <v>58.289242327651564</v>
      </c>
      <c r="AS148" s="219">
        <f t="shared" si="6"/>
        <v>60.568007984725448</v>
      </c>
      <c r="AT148" s="219">
        <f t="shared" ref="P148:AV156" si="7">AT20-AT84</f>
        <v>62.937922528817239</v>
      </c>
      <c r="AU148" s="219">
        <f t="shared" si="7"/>
        <v>65.402632611113702</v>
      </c>
      <c r="AV148" s="219">
        <f t="shared" si="7"/>
        <v>67.965930470566576</v>
      </c>
      <c r="AW148" s="44" t="str">
        <f t="shared" si="1"/>
        <v>Dk</v>
      </c>
    </row>
    <row r="149" spans="3:49" ht="17.399999999999999">
      <c r="C149" s="105">
        <v>18</v>
      </c>
      <c r="D149" s="517">
        <f>НАСТРОЙКА!BX296</f>
        <v>0</v>
      </c>
      <c r="E149" s="205" t="s">
        <v>638</v>
      </c>
      <c r="F149" s="51" t="s">
        <v>809</v>
      </c>
      <c r="G149" s="38" t="s">
        <v>917</v>
      </c>
      <c r="H149" s="38"/>
      <c r="I149" s="38"/>
      <c r="J149" s="38"/>
      <c r="K149" s="38"/>
      <c r="L149" s="38"/>
      <c r="M149" s="139"/>
      <c r="N149" s="209">
        <f t="shared" si="3"/>
        <v>0</v>
      </c>
      <c r="O149" s="209">
        <f t="shared" si="5"/>
        <v>0</v>
      </c>
      <c r="P149" s="209">
        <f t="shared" si="7"/>
        <v>0</v>
      </c>
      <c r="Q149" s="209">
        <f t="shared" si="7"/>
        <v>0</v>
      </c>
      <c r="R149" s="209">
        <f t="shared" si="7"/>
        <v>0</v>
      </c>
      <c r="S149" s="209">
        <f t="shared" si="7"/>
        <v>0</v>
      </c>
      <c r="T149" s="209">
        <f t="shared" si="7"/>
        <v>0</v>
      </c>
      <c r="U149" s="209">
        <f t="shared" si="7"/>
        <v>0</v>
      </c>
      <c r="V149" s="209">
        <f t="shared" si="7"/>
        <v>0</v>
      </c>
      <c r="W149" s="209">
        <f t="shared" si="7"/>
        <v>0</v>
      </c>
      <c r="X149" s="209">
        <f t="shared" si="7"/>
        <v>0</v>
      </c>
      <c r="Y149" s="209">
        <f t="shared" si="7"/>
        <v>0</v>
      </c>
      <c r="Z149" s="209">
        <f t="shared" si="7"/>
        <v>0</v>
      </c>
      <c r="AA149" s="209">
        <f t="shared" si="7"/>
        <v>0</v>
      </c>
      <c r="AB149" s="209">
        <f t="shared" si="7"/>
        <v>0</v>
      </c>
      <c r="AC149" s="219">
        <f t="shared" si="7"/>
        <v>-1.5931637862977333</v>
      </c>
      <c r="AD149" s="219">
        <f t="shared" si="7"/>
        <v>-1.8516211830357534</v>
      </c>
      <c r="AE149" s="219">
        <f t="shared" si="7"/>
        <v>-1.8879178593198311</v>
      </c>
      <c r="AF149" s="219">
        <f t="shared" si="7"/>
        <v>-1.7764137430191234</v>
      </c>
      <c r="AG149" s="219">
        <f t="shared" si="7"/>
        <v>-2.0543769984300688</v>
      </c>
      <c r="AH149" s="219">
        <f t="shared" si="7"/>
        <v>-1.5682972080181656</v>
      </c>
      <c r="AI149" s="219">
        <f t="shared" si="7"/>
        <v>-0.19291952601455264</v>
      </c>
      <c r="AJ149" s="219">
        <f t="shared" si="7"/>
        <v>0.98137381800090751</v>
      </c>
      <c r="AK149" s="219">
        <f t="shared" si="7"/>
        <v>1.8979323687262841</v>
      </c>
      <c r="AL149" s="219">
        <f t="shared" si="7"/>
        <v>2.7845919086253197</v>
      </c>
      <c r="AM149" s="219">
        <f t="shared" si="7"/>
        <v>2.6209515347265295</v>
      </c>
      <c r="AN149" s="219">
        <f t="shared" si="7"/>
        <v>2.6944891114628575</v>
      </c>
      <c r="AO149" s="219">
        <f t="shared" si="7"/>
        <v>2.7717035670360062</v>
      </c>
      <c r="AP149" s="219">
        <f t="shared" si="7"/>
        <v>2.852778745387802</v>
      </c>
      <c r="AQ149" s="219">
        <f t="shared" si="7"/>
        <v>2.9379076826571904</v>
      </c>
      <c r="AR149" s="219">
        <f t="shared" si="7"/>
        <v>3.027293066790044</v>
      </c>
      <c r="AS149" s="219">
        <f t="shared" si="7"/>
        <v>2.7002192985598299</v>
      </c>
      <c r="AT149" s="219">
        <f t="shared" si="7"/>
        <v>2.3399547050552982</v>
      </c>
      <c r="AU149" s="219">
        <f t="shared" si="7"/>
        <v>1.9441662595382567</v>
      </c>
      <c r="AV149" s="219">
        <f t="shared" si="7"/>
        <v>1.5103773445145734</v>
      </c>
      <c r="AW149" s="44" t="str">
        <f t="shared" si="1"/>
        <v>Dd</v>
      </c>
    </row>
    <row r="150" spans="3:49" ht="17.399999999999999">
      <c r="C150" s="105">
        <v>19</v>
      </c>
      <c r="D150" s="517">
        <f>НАСТРОЙКА!BX296</f>
        <v>0</v>
      </c>
      <c r="E150" s="205" t="s">
        <v>640</v>
      </c>
      <c r="F150" s="51" t="s">
        <v>809</v>
      </c>
      <c r="G150" s="38" t="s">
        <v>918</v>
      </c>
      <c r="H150" s="38"/>
      <c r="I150" s="38"/>
      <c r="J150" s="38"/>
      <c r="K150" s="38"/>
      <c r="L150" s="38"/>
      <c r="M150" s="139"/>
      <c r="N150" s="209">
        <f t="shared" si="3"/>
        <v>-0.13566755860846236</v>
      </c>
      <c r="O150" s="209">
        <f t="shared" si="5"/>
        <v>-0.262958865742146</v>
      </c>
      <c r="P150" s="209">
        <f t="shared" si="7"/>
        <v>-0.13632778055483175</v>
      </c>
      <c r="Q150" s="209">
        <f t="shared" si="7"/>
        <v>0.18959427897775072</v>
      </c>
      <c r="R150" s="209">
        <f t="shared" si="7"/>
        <v>-0.4104307171657684</v>
      </c>
      <c r="S150" s="209">
        <f t="shared" si="7"/>
        <v>-0.54535171008302186</v>
      </c>
      <c r="T150" s="209">
        <f t="shared" si="7"/>
        <v>-1.1610010388555194</v>
      </c>
      <c r="U150" s="209">
        <f t="shared" si="7"/>
        <v>-1.5051453251271534</v>
      </c>
      <c r="V150" s="209">
        <f t="shared" si="7"/>
        <v>-2.0729793924791426</v>
      </c>
      <c r="W150" s="209">
        <f t="shared" si="7"/>
        <v>-3.3178155975604255</v>
      </c>
      <c r="X150" s="209">
        <f t="shared" si="7"/>
        <v>-5.2536953255518508</v>
      </c>
      <c r="Y150" s="209">
        <f t="shared" si="7"/>
        <v>-7.5172053489781891</v>
      </c>
      <c r="Z150" s="209">
        <f t="shared" si="7"/>
        <v>-10.31666900354085</v>
      </c>
      <c r="AA150" s="209">
        <f t="shared" si="7"/>
        <v>-4.8144302019028977</v>
      </c>
      <c r="AB150" s="209">
        <f t="shared" si="7"/>
        <v>-8.3560536109235741</v>
      </c>
      <c r="AC150" s="219">
        <f t="shared" si="7"/>
        <v>-13.698313944678155</v>
      </c>
      <c r="AD150" s="219">
        <f t="shared" si="7"/>
        <v>-16.344533221266818</v>
      </c>
      <c r="AE150" s="219">
        <f t="shared" si="7"/>
        <v>-18.63758621327251</v>
      </c>
      <c r="AF150" s="219">
        <f t="shared" si="7"/>
        <v>-16.962329599836846</v>
      </c>
      <c r="AG150" s="219">
        <f t="shared" si="7"/>
        <v>-19.344749772395339</v>
      </c>
      <c r="AH150" s="219">
        <f t="shared" si="7"/>
        <v>-22.823981525976627</v>
      </c>
      <c r="AI150" s="219">
        <f t="shared" si="7"/>
        <v>-22.257837972905143</v>
      </c>
      <c r="AJ150" s="219">
        <f t="shared" si="7"/>
        <v>-24.133211219177685</v>
      </c>
      <c r="AK150" s="219">
        <f t="shared" si="7"/>
        <v>-23.152630441699362</v>
      </c>
      <c r="AL150" s="219">
        <f t="shared" si="7"/>
        <v>-24.268227665792221</v>
      </c>
      <c r="AM150" s="219">
        <f t="shared" si="7"/>
        <v>-25.474724018411884</v>
      </c>
      <c r="AN150" s="219">
        <f t="shared" si="7"/>
        <v>-27.052685219332481</v>
      </c>
      <c r="AO150" s="219">
        <f t="shared" si="7"/>
        <v>-28.709544480299101</v>
      </c>
      <c r="AP150" s="219">
        <f t="shared" si="7"/>
        <v>-30.449246704314064</v>
      </c>
      <c r="AQ150" s="219">
        <f t="shared" si="7"/>
        <v>-32.275934039529766</v>
      </c>
      <c r="AR150" s="219">
        <f t="shared" si="7"/>
        <v>-34.193955741506258</v>
      </c>
      <c r="AS150" s="219">
        <f t="shared" si="7"/>
        <v>-36.628806950151294</v>
      </c>
      <c r="AT150" s="219">
        <f t="shared" si="7"/>
        <v>-39.202237856091386</v>
      </c>
      <c r="AU150" s="219">
        <f t="shared" si="7"/>
        <v>-41.921850929665766</v>
      </c>
      <c r="AV150" s="219">
        <f t="shared" si="7"/>
        <v>-44.795655704149652</v>
      </c>
      <c r="AW150" s="44" t="str">
        <f t="shared" si="1"/>
        <v>Dg</v>
      </c>
    </row>
    <row r="151" spans="3:49" ht="17.399999999999999">
      <c r="C151" s="105">
        <v>20</v>
      </c>
      <c r="D151" s="517">
        <f>НАСТРОЙКА!BX296</f>
        <v>0</v>
      </c>
      <c r="E151" s="205" t="s">
        <v>642</v>
      </c>
      <c r="F151" s="51" t="s">
        <v>809</v>
      </c>
      <c r="G151" s="38" t="s">
        <v>919</v>
      </c>
      <c r="H151" s="38"/>
      <c r="I151" s="38"/>
      <c r="J151" s="38"/>
      <c r="K151" s="38"/>
      <c r="L151" s="38"/>
      <c r="M151" s="139"/>
      <c r="N151" s="209">
        <f t="shared" si="3"/>
        <v>0</v>
      </c>
      <c r="O151" s="209">
        <f t="shared" si="5"/>
        <v>0</v>
      </c>
      <c r="P151" s="209">
        <f t="shared" si="7"/>
        <v>0</v>
      </c>
      <c r="Q151" s="209">
        <f t="shared" si="7"/>
        <v>0</v>
      </c>
      <c r="R151" s="209">
        <f t="shared" si="7"/>
        <v>0</v>
      </c>
      <c r="S151" s="209">
        <f t="shared" si="7"/>
        <v>0</v>
      </c>
      <c r="T151" s="209">
        <f t="shared" si="7"/>
        <v>0</v>
      </c>
      <c r="U151" s="209">
        <f t="shared" si="7"/>
        <v>0</v>
      </c>
      <c r="V151" s="209">
        <f t="shared" si="7"/>
        <v>0</v>
      </c>
      <c r="W151" s="209">
        <f t="shared" si="7"/>
        <v>0</v>
      </c>
      <c r="X151" s="209">
        <f t="shared" si="7"/>
        <v>0</v>
      </c>
      <c r="Y151" s="209">
        <f t="shared" si="7"/>
        <v>0</v>
      </c>
      <c r="Z151" s="209">
        <f t="shared" si="7"/>
        <v>0</v>
      </c>
      <c r="AA151" s="209">
        <f t="shared" si="7"/>
        <v>0</v>
      </c>
      <c r="AB151" s="209">
        <f t="shared" si="7"/>
        <v>0</v>
      </c>
      <c r="AC151" s="219">
        <f t="shared" si="7"/>
        <v>0.55583851732098033</v>
      </c>
      <c r="AD151" s="219">
        <f t="shared" si="7"/>
        <v>0.60821303176663655</v>
      </c>
      <c r="AE151" s="219">
        <f t="shared" si="7"/>
        <v>0.63226339149115773</v>
      </c>
      <c r="AF151" s="219">
        <f t="shared" si="7"/>
        <v>-0.14585478142060637</v>
      </c>
      <c r="AG151" s="219">
        <f t="shared" si="7"/>
        <v>0.4647212431973351</v>
      </c>
      <c r="AH151" s="219">
        <f t="shared" si="7"/>
        <v>0.8704197691407245</v>
      </c>
      <c r="AI151" s="219">
        <f t="shared" si="7"/>
        <v>0.75580078834499886</v>
      </c>
      <c r="AJ151" s="219">
        <f t="shared" si="7"/>
        <v>0.66636575277400567</v>
      </c>
      <c r="AK151" s="219">
        <f t="shared" si="7"/>
        <v>1.5258334433898995</v>
      </c>
      <c r="AL151" s="219">
        <f t="shared" si="7"/>
        <v>2.1509065806696235</v>
      </c>
      <c r="AM151" s="219">
        <f t="shared" si="7"/>
        <v>2.8035434876130445</v>
      </c>
      <c r="AN151" s="219">
        <f t="shared" si="7"/>
        <v>3.1675556619936955</v>
      </c>
      <c r="AO151" s="219">
        <f t="shared" si="7"/>
        <v>3.5497684450933775</v>
      </c>
      <c r="AP151" s="219">
        <f t="shared" si="7"/>
        <v>3.9510918673480475</v>
      </c>
      <c r="AQ151" s="219">
        <f t="shared" si="7"/>
        <v>4.3724814607154485</v>
      </c>
      <c r="AR151" s="219">
        <f t="shared" si="7"/>
        <v>4.8149405337512192</v>
      </c>
      <c r="AS151" s="219">
        <f t="shared" si="7"/>
        <v>4.844907882387389</v>
      </c>
      <c r="AT151" s="219">
        <f t="shared" si="7"/>
        <v>4.8589890113332999</v>
      </c>
      <c r="AU151" s="219">
        <f t="shared" si="7"/>
        <v>4.8556942261195744</v>
      </c>
      <c r="AV151" s="219">
        <f t="shared" si="7"/>
        <v>4.8334315322139503</v>
      </c>
      <c r="AW151" s="44" t="str">
        <f t="shared" si="1"/>
        <v>Dnk</v>
      </c>
    </row>
    <row r="152" spans="3:49" ht="17.399999999999999">
      <c r="C152" s="105">
        <v>21</v>
      </c>
      <c r="D152" s="517">
        <f>НАСТРОЙКА!AD296</f>
        <v>0</v>
      </c>
      <c r="E152" s="205" t="s">
        <v>644</v>
      </c>
      <c r="F152" s="51" t="s">
        <v>809</v>
      </c>
      <c r="G152" s="38" t="s">
        <v>920</v>
      </c>
      <c r="H152" s="38"/>
      <c r="I152" s="38"/>
      <c r="J152" s="38"/>
      <c r="K152" s="38"/>
      <c r="L152" s="38"/>
      <c r="M152" s="61"/>
      <c r="N152" s="209">
        <f t="shared" si="3"/>
        <v>0.20027004746537158</v>
      </c>
      <c r="O152" s="209">
        <f t="shared" si="5"/>
        <v>0.34366575835789459</v>
      </c>
      <c r="P152" s="209">
        <f t="shared" si="7"/>
        <v>0.86312561883618999</v>
      </c>
      <c r="Q152" s="209">
        <f t="shared" si="7"/>
        <v>3.2717512782434754</v>
      </c>
      <c r="R152" s="209">
        <f t="shared" si="7"/>
        <v>5.0034888750410706</v>
      </c>
      <c r="S152" s="209">
        <f t="shared" si="7"/>
        <v>4.8867772837466514</v>
      </c>
      <c r="T152" s="209">
        <f t="shared" si="7"/>
        <v>5.1616315975040372</v>
      </c>
      <c r="U152" s="209">
        <f t="shared" si="7"/>
        <v>5.6822193978100888</v>
      </c>
      <c r="V152" s="209">
        <f t="shared" si="7"/>
        <v>6.6420513765589257</v>
      </c>
      <c r="W152" s="209">
        <f t="shared" si="7"/>
        <v>8.4647352535957818</v>
      </c>
      <c r="X152" s="209">
        <f t="shared" si="7"/>
        <v>9.5124021847527089</v>
      </c>
      <c r="Y152" s="209">
        <f t="shared" si="7"/>
        <v>9.8933682517883774</v>
      </c>
      <c r="Z152" s="209">
        <f t="shared" si="7"/>
        <v>12.896464767764815</v>
      </c>
      <c r="AA152" s="209">
        <f t="shared" si="7"/>
        <v>11.323243008360425</v>
      </c>
      <c r="AB152" s="209">
        <f t="shared" si="7"/>
        <v>13.323070930251227</v>
      </c>
      <c r="AC152" s="219">
        <f t="shared" si="7"/>
        <v>16.836109532779741</v>
      </c>
      <c r="AD152" s="219">
        <f t="shared" si="7"/>
        <v>18.106566128057608</v>
      </c>
      <c r="AE152" s="219">
        <f t="shared" si="7"/>
        <v>17.855426195361634</v>
      </c>
      <c r="AF152" s="219">
        <f t="shared" si="7"/>
        <v>20.309110667394968</v>
      </c>
      <c r="AG152" s="219">
        <f t="shared" si="7"/>
        <v>19.272063501340355</v>
      </c>
      <c r="AH152" s="219">
        <f t="shared" si="7"/>
        <v>20.83484557540654</v>
      </c>
      <c r="AI152" s="219">
        <f t="shared" si="7"/>
        <v>22.38499474274396</v>
      </c>
      <c r="AJ152" s="219">
        <f t="shared" si="7"/>
        <v>24.561732376054657</v>
      </c>
      <c r="AK152" s="219">
        <f t="shared" si="7"/>
        <v>26.097108409186827</v>
      </c>
      <c r="AL152" s="219">
        <f t="shared" si="7"/>
        <v>27.487987138696678</v>
      </c>
      <c r="AM152" s="219">
        <f t="shared" si="7"/>
        <v>28.935998749505746</v>
      </c>
      <c r="AN152" s="219">
        <f t="shared" si="7"/>
        <v>30.205996793810005</v>
      </c>
      <c r="AO152" s="219">
        <f t="shared" si="7"/>
        <v>31.52387214230183</v>
      </c>
      <c r="AP152" s="219">
        <f t="shared" si="7"/>
        <v>32.895487790091977</v>
      </c>
      <c r="AQ152" s="219">
        <f t="shared" si="7"/>
        <v>34.326288825551693</v>
      </c>
      <c r="AR152" s="219">
        <f t="shared" si="7"/>
        <v>35.821424607800431</v>
      </c>
      <c r="AS152" s="219">
        <f t="shared" si="7"/>
        <v>37.074105886677607</v>
      </c>
      <c r="AT152" s="219">
        <f t="shared" si="7"/>
        <v>38.372857189400648</v>
      </c>
      <c r="AU152" s="219">
        <f t="shared" si="7"/>
        <v>39.720568749975264</v>
      </c>
      <c r="AV152" s="219">
        <f t="shared" si="7"/>
        <v>41.1200249257775</v>
      </c>
      <c r="AW152" s="44" t="str">
        <f t="shared" si="1"/>
        <v>De</v>
      </c>
    </row>
    <row r="153" spans="3:49" ht="17.399999999999999">
      <c r="C153" s="105">
        <v>22</v>
      </c>
      <c r="D153" s="517">
        <f>НАСТРОЙКА!AD296</f>
        <v>0</v>
      </c>
      <c r="E153" s="205" t="s">
        <v>646</v>
      </c>
      <c r="F153" s="51" t="s">
        <v>809</v>
      </c>
      <c r="G153" s="38" t="s">
        <v>921</v>
      </c>
      <c r="H153" s="38"/>
      <c r="I153" s="38"/>
      <c r="J153" s="38"/>
      <c r="K153" s="38"/>
      <c r="L153" s="38"/>
      <c r="M153" s="61"/>
      <c r="N153" s="209">
        <f t="shared" si="3"/>
        <v>2.4359452216353272E-2</v>
      </c>
      <c r="O153" s="209">
        <f t="shared" si="5"/>
        <v>0.1513942585308905</v>
      </c>
      <c r="P153" s="209">
        <f t="shared" si="7"/>
        <v>0.30186750284295982</v>
      </c>
      <c r="Q153" s="209">
        <f t="shared" si="7"/>
        <v>0.51065380110304126</v>
      </c>
      <c r="R153" s="209">
        <f t="shared" si="7"/>
        <v>-0.28105940528286943</v>
      </c>
      <c r="S153" s="209">
        <f t="shared" si="7"/>
        <v>-7.2753868037344738E-2</v>
      </c>
      <c r="T153" s="209">
        <f t="shared" si="7"/>
        <v>0.10654907489376164</v>
      </c>
      <c r="U153" s="209">
        <f t="shared" si="7"/>
        <v>-0.31282580296984541</v>
      </c>
      <c r="V153" s="209">
        <f t="shared" si="7"/>
        <v>-1.2142949983021136</v>
      </c>
      <c r="W153" s="209">
        <f t="shared" si="7"/>
        <v>-2.0866553073984528</v>
      </c>
      <c r="X153" s="209">
        <f t="shared" si="7"/>
        <v>-2.6282960658400771</v>
      </c>
      <c r="Y153" s="209">
        <f t="shared" si="7"/>
        <v>-2.5887313402523882</v>
      </c>
      <c r="Z153" s="209">
        <f t="shared" si="7"/>
        <v>-3.7428547632015929</v>
      </c>
      <c r="AA153" s="209">
        <f t="shared" si="7"/>
        <v>-2.3835898053766051</v>
      </c>
      <c r="AB153" s="209">
        <f t="shared" si="7"/>
        <v>-4.2551728341015718</v>
      </c>
      <c r="AC153" s="219">
        <f t="shared" si="7"/>
        <v>-6.4978089506361627</v>
      </c>
      <c r="AD153" s="219">
        <f t="shared" si="7"/>
        <v>-6.8939082116652788</v>
      </c>
      <c r="AE153" s="219">
        <f t="shared" si="7"/>
        <v>-6.4185609490061832</v>
      </c>
      <c r="AF153" s="219">
        <f t="shared" si="7"/>
        <v>-8.5776835792520671</v>
      </c>
      <c r="AG153" s="219">
        <f t="shared" si="7"/>
        <v>-12.269657468465271</v>
      </c>
      <c r="AH153" s="219">
        <f t="shared" si="7"/>
        <v>-10.329235886660733</v>
      </c>
      <c r="AI153" s="219">
        <f t="shared" si="7"/>
        <v>-8.5933017785497885</v>
      </c>
      <c r="AJ153" s="219">
        <f t="shared" si="7"/>
        <v>-12.915825999641669</v>
      </c>
      <c r="AK153" s="219">
        <f t="shared" si="7"/>
        <v>-11.406865624341023</v>
      </c>
      <c r="AL153" s="219">
        <f t="shared" si="7"/>
        <v>-12.64889236982933</v>
      </c>
      <c r="AM153" s="219">
        <f t="shared" si="7"/>
        <v>-14.065266885660836</v>
      </c>
      <c r="AN153" s="219">
        <f t="shared" si="7"/>
        <v>-15.733267353046198</v>
      </c>
      <c r="AO153" s="219">
        <f t="shared" si="7"/>
        <v>-17.580837023918818</v>
      </c>
      <c r="AP153" s="219">
        <f t="shared" si="7"/>
        <v>-19.625571449415151</v>
      </c>
      <c r="AQ153" s="219">
        <f t="shared" si="7"/>
        <v>-21.886829210052095</v>
      </c>
      <c r="AR153" s="219">
        <f t="shared" si="7"/>
        <v>-24.385910600507916</v>
      </c>
      <c r="AS153" s="219">
        <f t="shared" si="7"/>
        <v>-27.271331705597596</v>
      </c>
      <c r="AT153" s="219">
        <f t="shared" si="7"/>
        <v>-30.455066788805166</v>
      </c>
      <c r="AU153" s="219">
        <f t="shared" si="7"/>
        <v>-33.9662680056868</v>
      </c>
      <c r="AV153" s="219">
        <f t="shared" si="7"/>
        <v>-37.836991848665392</v>
      </c>
      <c r="AW153" s="44" t="str">
        <f t="shared" si="1"/>
        <v>Dm</v>
      </c>
    </row>
    <row r="154" spans="3:49" ht="17.399999999999999">
      <c r="C154" s="105">
        <v>23</v>
      </c>
      <c r="D154" s="517">
        <f>НАСТРОЙКА!CX296</f>
        <v>0</v>
      </c>
      <c r="E154" s="205" t="s">
        <v>648</v>
      </c>
      <c r="F154" s="51" t="s">
        <v>809</v>
      </c>
      <c r="G154" s="38" t="s">
        <v>922</v>
      </c>
      <c r="H154" s="38"/>
      <c r="I154" s="38"/>
      <c r="J154" s="38"/>
      <c r="K154" s="38"/>
      <c r="L154" s="38"/>
      <c r="M154" s="61"/>
      <c r="N154" s="209">
        <f t="shared" si="3"/>
        <v>1.7194377618988257</v>
      </c>
      <c r="O154" s="209">
        <f t="shared" si="5"/>
        <v>1.9680277801214476</v>
      </c>
      <c r="P154" s="209">
        <f t="shared" si="7"/>
        <v>2.2270348811115843</v>
      </c>
      <c r="Q154" s="209">
        <f t="shared" si="7"/>
        <v>3.493098424873764</v>
      </c>
      <c r="R154" s="209">
        <f t="shared" si="7"/>
        <v>5.1712627496070169</v>
      </c>
      <c r="S154" s="209">
        <f t="shared" si="7"/>
        <v>6.0707268468539191</v>
      </c>
      <c r="T154" s="209">
        <f t="shared" si="7"/>
        <v>6.9167509862711283</v>
      </c>
      <c r="U154" s="209">
        <f t="shared" si="7"/>
        <v>7.6273689193439225</v>
      </c>
      <c r="V154" s="209">
        <f t="shared" si="7"/>
        <v>8.7904133177964692</v>
      </c>
      <c r="W154" s="209">
        <f t="shared" si="7"/>
        <v>10.054085870175701</v>
      </c>
      <c r="X154" s="209">
        <f t="shared" si="7"/>
        <v>11.28478682823815</v>
      </c>
      <c r="Y154" s="209">
        <f t="shared" si="7"/>
        <v>13.059083510568804</v>
      </c>
      <c r="Z154" s="209">
        <f t="shared" si="7"/>
        <v>15.593657080025292</v>
      </c>
      <c r="AA154" s="209">
        <f t="shared" si="7"/>
        <v>16.373566297801105</v>
      </c>
      <c r="AB154" s="209">
        <f t="shared" si="7"/>
        <v>17.674409856030426</v>
      </c>
      <c r="AC154" s="219">
        <f t="shared" si="7"/>
        <v>19.234650102023785</v>
      </c>
      <c r="AD154" s="219">
        <f t="shared" si="7"/>
        <v>20.540184008281191</v>
      </c>
      <c r="AE154" s="219">
        <f t="shared" si="7"/>
        <v>21.776163164959733</v>
      </c>
      <c r="AF154" s="219">
        <f t="shared" si="7"/>
        <v>22.509390886207097</v>
      </c>
      <c r="AG154" s="219">
        <f t="shared" si="7"/>
        <v>25.752095588703153</v>
      </c>
      <c r="AH154" s="219">
        <f t="shared" si="7"/>
        <v>28.050235147573471</v>
      </c>
      <c r="AI154" s="219">
        <f t="shared" si="7"/>
        <v>30.325393310855084</v>
      </c>
      <c r="AJ154" s="219">
        <f t="shared" si="7"/>
        <v>32.52976877572349</v>
      </c>
      <c r="AK154" s="219">
        <f t="shared" si="7"/>
        <v>34.612903590024132</v>
      </c>
      <c r="AL154" s="219">
        <f t="shared" si="7"/>
        <v>36.523435805425578</v>
      </c>
      <c r="AM154" s="219">
        <f t="shared" si="7"/>
        <v>38.548599953751115</v>
      </c>
      <c r="AN154" s="219">
        <f t="shared" si="7"/>
        <v>40.337494951438671</v>
      </c>
      <c r="AO154" s="219">
        <f t="shared" si="7"/>
        <v>42.215834699010607</v>
      </c>
      <c r="AP154" s="219">
        <f t="shared" si="7"/>
        <v>44.188091433961141</v>
      </c>
      <c r="AQ154" s="219">
        <f t="shared" si="7"/>
        <v>46.258961005659195</v>
      </c>
      <c r="AR154" s="219">
        <f t="shared" si="7"/>
        <v>48.433374055942153</v>
      </c>
      <c r="AS154" s="219">
        <f t="shared" si="7"/>
        <v>50.25988101817984</v>
      </c>
      <c r="AT154" s="219">
        <f t="shared" si="7"/>
        <v>52.159448258907034</v>
      </c>
      <c r="AU154" s="219">
        <f t="shared" si="7"/>
        <v>54.134998189263321</v>
      </c>
      <c r="AV154" s="219">
        <f t="shared" si="7"/>
        <v>56.189570116833856</v>
      </c>
      <c r="AW154" s="44" t="str">
        <f t="shared" si="1"/>
        <v>Dn</v>
      </c>
    </row>
    <row r="155" spans="3:49" ht="17.399999999999999">
      <c r="C155" s="105">
        <v>24</v>
      </c>
      <c r="D155" s="517">
        <f>НАСТРОЙКА!BA296</f>
        <v>0</v>
      </c>
      <c r="E155" s="205" t="s">
        <v>650</v>
      </c>
      <c r="F155" s="51" t="s">
        <v>809</v>
      </c>
      <c r="G155" s="38" t="s">
        <v>923</v>
      </c>
      <c r="H155" s="38"/>
      <c r="I155" s="38"/>
      <c r="J155" s="38"/>
      <c r="K155" s="38"/>
      <c r="L155" s="38"/>
      <c r="M155" s="61"/>
      <c r="N155" s="209">
        <f t="shared" si="3"/>
        <v>0.74672572537284077</v>
      </c>
      <c r="O155" s="209">
        <f t="shared" si="5"/>
        <v>0.54855410936101512</v>
      </c>
      <c r="P155" s="209">
        <f t="shared" si="7"/>
        <v>0.45659009759161195</v>
      </c>
      <c r="Q155" s="209">
        <f t="shared" si="7"/>
        <v>-0.79193410185148894</v>
      </c>
      <c r="R155" s="209">
        <f t="shared" si="7"/>
        <v>-1.8765109125595276</v>
      </c>
      <c r="S155" s="209">
        <f t="shared" si="7"/>
        <v>-2.2860485661611616</v>
      </c>
      <c r="T155" s="209">
        <f t="shared" si="7"/>
        <v>-2.3939477964783356</v>
      </c>
      <c r="U155" s="209">
        <f t="shared" si="7"/>
        <v>-2.0847308066575385</v>
      </c>
      <c r="V155" s="209">
        <f t="shared" si="7"/>
        <v>-2.5175611016916228</v>
      </c>
      <c r="W155" s="209">
        <f t="shared" si="7"/>
        <v>-2.7296461120554554</v>
      </c>
      <c r="X155" s="209">
        <f t="shared" si="7"/>
        <v>-3.0985901117001529</v>
      </c>
      <c r="Y155" s="209">
        <f t="shared" si="7"/>
        <v>-2.9618428405012054</v>
      </c>
      <c r="Z155" s="209">
        <f t="shared" si="7"/>
        <v>-3.5788187033481407</v>
      </c>
      <c r="AA155" s="209">
        <f t="shared" si="7"/>
        <v>-3.5027368229477371</v>
      </c>
      <c r="AB155" s="209">
        <f t="shared" si="7"/>
        <v>-3.5261027044769708</v>
      </c>
      <c r="AC155" s="219">
        <f t="shared" si="7"/>
        <v>-3.4675962383017698</v>
      </c>
      <c r="AD155" s="219">
        <f t="shared" si="7"/>
        <v>-3.5660995449520705</v>
      </c>
      <c r="AE155" s="219">
        <f t="shared" si="7"/>
        <v>-3.8230665888510273</v>
      </c>
      <c r="AF155" s="219">
        <f t="shared" si="7"/>
        <v>-3.8786797949391101</v>
      </c>
      <c r="AG155" s="219">
        <f t="shared" si="7"/>
        <v>-5.275167412209349</v>
      </c>
      <c r="AH155" s="219">
        <f t="shared" si="7"/>
        <v>-4.9728581176290376</v>
      </c>
      <c r="AI155" s="219">
        <f t="shared" si="7"/>
        <v>-4.0760178850854523</v>
      </c>
      <c r="AJ155" s="219">
        <f t="shared" si="7"/>
        <v>-3.7131526403150588</v>
      </c>
      <c r="AK155" s="219">
        <f t="shared" si="7"/>
        <v>-3.0589616294314901</v>
      </c>
      <c r="AL155" s="219">
        <f t="shared" si="7"/>
        <v>-2.8990765839169015</v>
      </c>
      <c r="AM155" s="219">
        <f t="shared" si="7"/>
        <v>-3.6102152120018864</v>
      </c>
      <c r="AN155" s="219">
        <f t="shared" si="7"/>
        <v>-4.1969259726019814</v>
      </c>
      <c r="AO155" s="219">
        <f t="shared" si="7"/>
        <v>-4.8129722712320842</v>
      </c>
      <c r="AP155" s="219">
        <f t="shared" si="7"/>
        <v>-5.459820884793686</v>
      </c>
      <c r="AQ155" s="219">
        <f t="shared" si="7"/>
        <v>-6.1390119290333729</v>
      </c>
      <c r="AR155" s="219">
        <f t="shared" si="7"/>
        <v>-6.852162525485042</v>
      </c>
      <c r="AS155" s="219">
        <f t="shared" si="7"/>
        <v>-7.9811444429169214</v>
      </c>
      <c r="AT155" s="219">
        <f t="shared" si="7"/>
        <v>-9.1817824078667059</v>
      </c>
      <c r="AU155" s="219">
        <f t="shared" si="7"/>
        <v>-10.458267500776124</v>
      </c>
      <c r="AV155" s="219">
        <f t="shared" si="7"/>
        <v>-11.815024687231663</v>
      </c>
      <c r="AW155" s="44" t="str">
        <f t="shared" si="1"/>
        <v>Df</v>
      </c>
    </row>
    <row r="156" spans="3:49" ht="17.399999999999999">
      <c r="C156" s="105">
        <v>25</v>
      </c>
      <c r="D156" s="517">
        <f>НАСТРОЙКА!BA296</f>
        <v>0</v>
      </c>
      <c r="E156" s="205" t="s">
        <v>652</v>
      </c>
      <c r="F156" s="51" t="s">
        <v>809</v>
      </c>
      <c r="G156" s="38" t="s">
        <v>924</v>
      </c>
      <c r="H156" s="38"/>
      <c r="I156" s="38"/>
      <c r="J156" s="38"/>
      <c r="K156" s="38"/>
      <c r="L156" s="38"/>
      <c r="M156" s="61"/>
      <c r="N156" s="209">
        <f t="shared" si="3"/>
        <v>-0.77076675572585951</v>
      </c>
      <c r="O156" s="209">
        <f t="shared" si="5"/>
        <v>-0.10128942074022174</v>
      </c>
      <c r="P156" s="209">
        <f t="shared" si="7"/>
        <v>-1.0878745118966915E-2</v>
      </c>
      <c r="Q156" s="209">
        <f t="shared" si="7"/>
        <v>0.78817773448048323</v>
      </c>
      <c r="R156" s="209">
        <f t="shared" si="7"/>
        <v>0.65005344230600226</v>
      </c>
      <c r="S156" s="209">
        <f t="shared" si="7"/>
        <v>0.61134633552983964</v>
      </c>
      <c r="T156" s="209">
        <f t="shared" si="7"/>
        <v>1.3615791720369499</v>
      </c>
      <c r="U156" s="209">
        <f t="shared" si="7"/>
        <v>0.35827829180388626</v>
      </c>
      <c r="V156" s="209">
        <f t="shared" si="7"/>
        <v>-0.53671361183085242</v>
      </c>
      <c r="W156" s="209">
        <f t="shared" si="7"/>
        <v>0.39440974876684276</v>
      </c>
      <c r="X156" s="209">
        <f t="shared" si="7"/>
        <v>-0.85228965455651462</v>
      </c>
      <c r="Y156" s="209">
        <f t="shared" si="7"/>
        <v>-2.1554393902599749</v>
      </c>
      <c r="Z156" s="209">
        <f t="shared" si="7"/>
        <v>-2.7012806674899199</v>
      </c>
      <c r="AA156" s="209">
        <f t="shared" si="7"/>
        <v>-2.2038811616510774</v>
      </c>
      <c r="AB156" s="209">
        <f t="shared" si="7"/>
        <v>-2.8718584347780052</v>
      </c>
      <c r="AC156" s="219">
        <f t="shared" si="7"/>
        <v>-3.4840557788422597</v>
      </c>
      <c r="AD156" s="219">
        <f t="shared" si="7"/>
        <v>-3.7295863040243376</v>
      </c>
      <c r="AE156" s="219">
        <f t="shared" si="7"/>
        <v>-3.7945191077134819</v>
      </c>
      <c r="AF156" s="219">
        <f t="shared" si="7"/>
        <v>-3.8921210397244899</v>
      </c>
      <c r="AG156" s="219">
        <f t="shared" si="7"/>
        <v>-3.059821029430708</v>
      </c>
      <c r="AH156" s="219">
        <f t="shared" si="7"/>
        <v>-3.1309042499391211</v>
      </c>
      <c r="AI156" s="219">
        <f t="shared" si="7"/>
        <v>-1.7347748934925598</v>
      </c>
      <c r="AJ156" s="219">
        <f t="shared" si="7"/>
        <v>-0.30864114214224614</v>
      </c>
      <c r="AK156" s="219">
        <f t="shared" ref="P156:AV164" si="8">AK28-AK92</f>
        <v>-0.15884558247394409</v>
      </c>
      <c r="AL156" s="219">
        <f t="shared" si="8"/>
        <v>0.20145312094625112</v>
      </c>
      <c r="AM156" s="219">
        <f t="shared" si="8"/>
        <v>0.57312097810442353</v>
      </c>
      <c r="AN156" s="219">
        <f t="shared" si="8"/>
        <v>0.68235702700964751</v>
      </c>
      <c r="AO156" s="219">
        <f t="shared" si="8"/>
        <v>0.79705487836012878</v>
      </c>
      <c r="AP156" s="219">
        <f t="shared" si="8"/>
        <v>0.9174876222781343</v>
      </c>
      <c r="AQ156" s="219">
        <f t="shared" si="8"/>
        <v>1.0439420033920328</v>
      </c>
      <c r="AR156" s="219">
        <f t="shared" si="8"/>
        <v>1.1767191035616378</v>
      </c>
      <c r="AS156" s="219">
        <f t="shared" si="8"/>
        <v>0.93596126758209408</v>
      </c>
      <c r="AT156" s="219">
        <f t="shared" si="8"/>
        <v>0.66795858815726206</v>
      </c>
      <c r="AU156" s="219">
        <f t="shared" si="8"/>
        <v>0.37074054504904552</v>
      </c>
      <c r="AV156" s="219">
        <f t="shared" si="8"/>
        <v>4.2213760884770579E-2</v>
      </c>
      <c r="AW156" s="44" t="str">
        <f t="shared" si="1"/>
        <v>Dww</v>
      </c>
    </row>
    <row r="157" spans="3:49" ht="17.399999999999999">
      <c r="C157" s="105">
        <v>26</v>
      </c>
      <c r="D157" s="518" t="e">
        <f>НАСТРОЙКА!#REF!</f>
        <v>#REF!</v>
      </c>
      <c r="E157" s="205" t="s">
        <v>583</v>
      </c>
      <c r="F157" s="51" t="s">
        <v>809</v>
      </c>
      <c r="G157" s="38" t="s">
        <v>925</v>
      </c>
      <c r="H157" s="38"/>
      <c r="I157" s="38"/>
      <c r="J157" s="38"/>
      <c r="K157" s="38"/>
      <c r="L157" s="38"/>
      <c r="M157" s="216"/>
      <c r="N157" s="209" t="e">
        <f t="shared" si="3"/>
        <v>#VALUE!</v>
      </c>
      <c r="O157" s="209">
        <f t="shared" si="5"/>
        <v>0.28058607691733017</v>
      </c>
      <c r="P157" s="209">
        <f t="shared" si="8"/>
        <v>0.26044927261758316</v>
      </c>
      <c r="Q157" s="209">
        <f t="shared" si="8"/>
        <v>-0.76951457084309949</v>
      </c>
      <c r="R157" s="209">
        <f t="shared" si="8"/>
        <v>-0.75241131337222633</v>
      </c>
      <c r="S157" s="209">
        <f t="shared" si="8"/>
        <v>-0.74876423423897598</v>
      </c>
      <c r="T157" s="209">
        <f t="shared" si="8"/>
        <v>-0.73266757583209574</v>
      </c>
      <c r="U157" s="209">
        <f t="shared" si="8"/>
        <v>-0.70849570927688466</v>
      </c>
      <c r="V157" s="209">
        <f t="shared" si="8"/>
        <v>-0.55631869440270298</v>
      </c>
      <c r="W157" s="209">
        <f t="shared" si="8"/>
        <v>-0.36671263438596025</v>
      </c>
      <c r="X157" s="209">
        <f t="shared" si="8"/>
        <v>-0.327916701375494</v>
      </c>
      <c r="Y157" s="209">
        <f t="shared" si="8"/>
        <v>-0.31406852285353654</v>
      </c>
      <c r="Z157" s="209">
        <f t="shared" si="8"/>
        <v>-0.28852453015675961</v>
      </c>
      <c r="AA157" s="209">
        <f t="shared" si="8"/>
        <v>-0.29220119931782451</v>
      </c>
      <c r="AB157" s="209">
        <f t="shared" si="8"/>
        <v>-0.24003351937075562</v>
      </c>
      <c r="AC157" s="209">
        <f t="shared" si="8"/>
        <v>-0.17712102890555592</v>
      </c>
      <c r="AD157" s="219">
        <f t="shared" si="8"/>
        <v>-0.16145450423440305</v>
      </c>
      <c r="AE157" s="219">
        <f t="shared" si="8"/>
        <v>-0.14279047697328084</v>
      </c>
      <c r="AF157" s="219">
        <f t="shared" si="8"/>
        <v>-0.16580053293138897</v>
      </c>
      <c r="AG157" s="219">
        <f t="shared" si="8"/>
        <v>-0.19750804369051728</v>
      </c>
      <c r="AH157" s="219">
        <f t="shared" si="8"/>
        <v>-0.22368312412742242</v>
      </c>
      <c r="AI157" s="219">
        <f t="shared" si="8"/>
        <v>-0.2268015397480595</v>
      </c>
      <c r="AJ157" s="219">
        <f t="shared" si="8"/>
        <v>-0.25500760903672215</v>
      </c>
      <c r="AK157" s="219">
        <f t="shared" si="8"/>
        <v>-0.28180337486095164</v>
      </c>
      <c r="AL157" s="219">
        <f t="shared" si="8"/>
        <v>-0.30725935239396962</v>
      </c>
      <c r="AM157" s="219">
        <f t="shared" si="8"/>
        <v>-0.33144253105033672</v>
      </c>
      <c r="AN157" s="219">
        <f t="shared" si="8"/>
        <v>-0.35441655077388545</v>
      </c>
      <c r="AO157" s="219">
        <f t="shared" si="8"/>
        <v>-0.37624186951125671</v>
      </c>
      <c r="AP157" s="219">
        <f t="shared" si="8"/>
        <v>-0.39697592231175938</v>
      </c>
      <c r="AQ157" s="219">
        <f t="shared" si="8"/>
        <v>-0.41667327247223696</v>
      </c>
      <c r="AR157" s="219">
        <f t="shared" si="8"/>
        <v>-0.43538575512469069</v>
      </c>
      <c r="AS157" s="219">
        <f t="shared" si="8"/>
        <v>-0.45316261364452171</v>
      </c>
      <c r="AT157" s="219">
        <f t="shared" si="8"/>
        <v>-0.47005062923836116</v>
      </c>
      <c r="AU157" s="219">
        <f t="shared" si="8"/>
        <v>-0.48609424405250867</v>
      </c>
      <c r="AV157" s="219">
        <f t="shared" si="8"/>
        <v>-0.50133567812594881</v>
      </c>
      <c r="AW157" s="44" t="str">
        <f t="shared" si="1"/>
        <v>bS</v>
      </c>
    </row>
    <row r="158" spans="3:49" ht="17.399999999999999">
      <c r="C158" s="105">
        <v>27</v>
      </c>
      <c r="D158" s="517" t="e">
        <f>НАСТРОЙКА!#REF!</f>
        <v>#REF!</v>
      </c>
      <c r="E158" s="205" t="s">
        <v>791</v>
      </c>
      <c r="F158" s="51" t="s">
        <v>809</v>
      </c>
      <c r="G158" s="38" t="s">
        <v>926</v>
      </c>
      <c r="H158" s="38"/>
      <c r="I158" s="38"/>
      <c r="J158" s="38"/>
      <c r="K158" s="38"/>
      <c r="L158" s="38"/>
      <c r="M158" s="207"/>
      <c r="N158" s="209">
        <f t="shared" si="3"/>
        <v>0.14823138731331675</v>
      </c>
      <c r="O158" s="209">
        <f t="shared" si="5"/>
        <v>0.23484015169735639</v>
      </c>
      <c r="P158" s="209">
        <f t="shared" si="8"/>
        <v>0.31075460960808499</v>
      </c>
      <c r="Q158" s="209">
        <f t="shared" si="8"/>
        <v>0.24639140205132659</v>
      </c>
      <c r="R158" s="209">
        <f t="shared" si="8"/>
        <v>-9.95741263672143E-2</v>
      </c>
      <c r="S158" s="209">
        <f t="shared" si="8"/>
        <v>-0.30497538765140297</v>
      </c>
      <c r="T158" s="209">
        <f t="shared" si="8"/>
        <v>-0.47361485542167892</v>
      </c>
      <c r="U158" s="209">
        <f t="shared" si="8"/>
        <v>-0.65448599452930156</v>
      </c>
      <c r="V158" s="209">
        <f t="shared" si="8"/>
        <v>-0.84692942332729104</v>
      </c>
      <c r="W158" s="209">
        <f t="shared" si="8"/>
        <v>-1.0051629065431369</v>
      </c>
      <c r="X158" s="209">
        <f t="shared" si="8"/>
        <v>-1.2469791979908784</v>
      </c>
      <c r="Y158" s="209">
        <f t="shared" si="8"/>
        <v>-1.5543071421946382</v>
      </c>
      <c r="Z158" s="209">
        <f t="shared" si="8"/>
        <v>-1.7603841525522637</v>
      </c>
      <c r="AA158" s="209">
        <f t="shared" si="8"/>
        <v>-0.97940934437174176</v>
      </c>
      <c r="AB158" s="209">
        <f t="shared" si="8"/>
        <v>-1.336426038348113</v>
      </c>
      <c r="AC158" s="209">
        <f t="shared" si="8"/>
        <v>-1.8420880568449798</v>
      </c>
      <c r="AD158" s="219">
        <f t="shared" si="8"/>
        <v>-1.957481162334938</v>
      </c>
      <c r="AE158" s="219">
        <f t="shared" si="8"/>
        <v>-1.9563223574206483</v>
      </c>
      <c r="AF158" s="219">
        <f t="shared" si="8"/>
        <v>-1.7347601757349471</v>
      </c>
      <c r="AG158" s="219">
        <f t="shared" si="8"/>
        <v>-1.3899155447764959</v>
      </c>
      <c r="AH158" s="219">
        <f t="shared" si="8"/>
        <v>-1.3898908831914865</v>
      </c>
      <c r="AI158" s="219">
        <f t="shared" si="8"/>
        <v>-1.6836761816577963</v>
      </c>
      <c r="AJ158" s="219">
        <f t="shared" si="8"/>
        <v>-1.7741358800331219</v>
      </c>
      <c r="AK158" s="219">
        <f t="shared" si="8"/>
        <v>-1.8297622640693714</v>
      </c>
      <c r="AL158" s="219">
        <f t="shared" si="8"/>
        <v>-1.8642185464999645</v>
      </c>
      <c r="AM158" s="219">
        <f t="shared" si="8"/>
        <v>-1.8857566775653949</v>
      </c>
      <c r="AN158" s="219">
        <f t="shared" si="8"/>
        <v>-1.8993710454903128</v>
      </c>
      <c r="AO158" s="219">
        <f t="shared" si="8"/>
        <v>-1.9080928576737914</v>
      </c>
      <c r="AP158" s="219">
        <f t="shared" si="8"/>
        <v>-1.9137684981267009</v>
      </c>
      <c r="AQ158" s="219">
        <f t="shared" si="8"/>
        <v>-1.9175279249127044</v>
      </c>
      <c r="AR158" s="219">
        <f t="shared" si="8"/>
        <v>-1.9200668149957125</v>
      </c>
      <c r="AS158" s="219">
        <f t="shared" si="8"/>
        <v>-1.9218167362546423</v>
      </c>
      <c r="AT158" s="219">
        <f t="shared" si="8"/>
        <v>-1.9230479587773002</v>
      </c>
      <c r="AU158" s="219">
        <f t="shared" si="8"/>
        <v>-1.9239317081047349</v>
      </c>
      <c r="AV158" s="219">
        <f t="shared" si="8"/>
        <v>-1.9245779703522676</v>
      </c>
      <c r="AW158" s="44" t="str">
        <f t="shared" si="1"/>
        <v>nS</v>
      </c>
    </row>
    <row r="159" spans="3:49" ht="17.399999999999999">
      <c r="C159" s="105">
        <v>28</v>
      </c>
      <c r="D159" s="517" t="e">
        <f>НАСТРОЙКА!#REF!</f>
        <v>#REF!</v>
      </c>
      <c r="E159" s="205" t="s">
        <v>537</v>
      </c>
      <c r="F159" s="51" t="s">
        <v>809</v>
      </c>
      <c r="G159" s="38" t="s">
        <v>927</v>
      </c>
      <c r="H159" s="38"/>
      <c r="I159" s="38"/>
      <c r="J159" s="38"/>
      <c r="K159" s="38"/>
      <c r="L159" s="38"/>
      <c r="M159" s="216"/>
      <c r="N159" s="209">
        <f t="shared" si="3"/>
        <v>-5300.6467217575837</v>
      </c>
      <c r="O159" s="209">
        <f t="shared" si="5"/>
        <v>-5279.4416357474838</v>
      </c>
      <c r="P159" s="209">
        <f t="shared" si="8"/>
        <v>-5263.5988883824766</v>
      </c>
      <c r="Q159" s="209">
        <f t="shared" si="8"/>
        <v>-5274.1203968922609</v>
      </c>
      <c r="R159" s="209">
        <f t="shared" si="8"/>
        <v>-5300.4845576514954</v>
      </c>
      <c r="S159" s="209">
        <f t="shared" si="8"/>
        <v>-5348.1869890133266</v>
      </c>
      <c r="T159" s="209">
        <f t="shared" si="8"/>
        <v>-5401.6726299950606</v>
      </c>
      <c r="U159" s="209">
        <f t="shared" si="8"/>
        <v>-5471.8928192230496</v>
      </c>
      <c r="V159" s="209">
        <f t="shared" si="8"/>
        <v>-5559.4389227465745</v>
      </c>
      <c r="W159" s="209">
        <f t="shared" si="8"/>
        <v>-5665.0596640139456</v>
      </c>
      <c r="X159" s="209">
        <f t="shared" si="8"/>
        <v>-5801.021389960234</v>
      </c>
      <c r="Y159" s="209">
        <f t="shared" si="8"/>
        <v>-5980.8584557644526</v>
      </c>
      <c r="Z159" s="209">
        <f t="shared" si="8"/>
        <v>-6196.1696912365578</v>
      </c>
      <c r="AA159" s="209">
        <f t="shared" si="8"/>
        <v>-6394.4619070294284</v>
      </c>
      <c r="AB159" s="209">
        <f t="shared" si="8"/>
        <v>-6586.2946116424937</v>
      </c>
      <c r="AC159" s="209">
        <f t="shared" si="8"/>
        <v>-6849.7414046406138</v>
      </c>
      <c r="AD159" s="219">
        <f t="shared" si="8"/>
        <v>-7144.2836871495465</v>
      </c>
      <c r="AE159" s="219">
        <f t="shared" si="8"/>
        <v>-7437.2079095800527</v>
      </c>
      <c r="AF159" s="219">
        <f t="shared" si="8"/>
        <v>-7712.3853354231705</v>
      </c>
      <c r="AG159" s="219">
        <f t="shared" si="8"/>
        <v>-7959.1813728643883</v>
      </c>
      <c r="AH159" s="219">
        <f t="shared" si="8"/>
        <v>-8269.5978683235862</v>
      </c>
      <c r="AI159" s="219">
        <f t="shared" si="8"/>
        <v>-8583.8434000586931</v>
      </c>
      <c r="AJ159" s="219">
        <f t="shared" si="8"/>
        <v>-8944.36534717205</v>
      </c>
      <c r="AK159" s="219">
        <f t="shared" si="8"/>
        <v>-9315.3998863119596</v>
      </c>
      <c r="AL159" s="219">
        <f t="shared" si="8"/>
        <v>-9701.4817055659678</v>
      </c>
      <c r="AM159" s="219">
        <f t="shared" si="8"/>
        <v>-10100.36435481007</v>
      </c>
      <c r="AN159" s="219">
        <f t="shared" si="8"/>
        <v>-10526.152986184989</v>
      </c>
      <c r="AO159" s="219">
        <f t="shared" si="8"/>
        <v>-10976.045577862345</v>
      </c>
      <c r="AP159" s="219">
        <f t="shared" si="8"/>
        <v>-11450.291768171184</v>
      </c>
      <c r="AQ159" s="219">
        <f t="shared" si="8"/>
        <v>-11948.294901228563</v>
      </c>
      <c r="AR159" s="219">
        <f t="shared" si="8"/>
        <v>-12470.411404863364</v>
      </c>
      <c r="AS159" s="219">
        <f t="shared" si="8"/>
        <v>-13017.059398713976</v>
      </c>
      <c r="AT159" s="219">
        <f t="shared" si="8"/>
        <v>-13588.690272582191</v>
      </c>
      <c r="AU159" s="219">
        <f t="shared" si="8"/>
        <v>-14185.754944233573</v>
      </c>
      <c r="AV159" s="219">
        <f t="shared" si="8"/>
        <v>-14808.743215683711</v>
      </c>
      <c r="AW159" s="44" t="str">
        <f t="shared" si="1"/>
        <v>n1</v>
      </c>
    </row>
    <row r="160" spans="3:49" ht="17.399999999999999">
      <c r="C160" s="105">
        <v>29</v>
      </c>
      <c r="D160" s="517" t="e">
        <f>НАСТРОЙКА!#REF!</f>
        <v>#REF!</v>
      </c>
      <c r="E160" s="205" t="s">
        <v>540</v>
      </c>
      <c r="F160" s="51" t="s">
        <v>809</v>
      </c>
      <c r="G160" s="38" t="s">
        <v>1346</v>
      </c>
      <c r="H160" s="38"/>
      <c r="I160" s="38"/>
      <c r="J160" s="38"/>
      <c r="K160" s="38"/>
      <c r="L160" s="38"/>
      <c r="M160" s="216"/>
      <c r="N160" s="209">
        <f t="shared" si="3"/>
        <v>6.7443827250803473E-2</v>
      </c>
      <c r="O160" s="209">
        <f t="shared" si="5"/>
        <v>7.3378422743912652E-2</v>
      </c>
      <c r="P160" s="209">
        <f t="shared" si="8"/>
        <v>8.0444251496902736E-2</v>
      </c>
      <c r="Q160" s="209">
        <f t="shared" si="8"/>
        <v>7.9254765355388307E-2</v>
      </c>
      <c r="R160" s="209">
        <f t="shared" si="8"/>
        <v>8.725766032131918E-2</v>
      </c>
      <c r="S160" s="209">
        <f t="shared" si="8"/>
        <v>7.7539085692981194E-2</v>
      </c>
      <c r="T160" s="209">
        <f t="shared" si="8"/>
        <v>8.5441880577529258E-2</v>
      </c>
      <c r="U160" s="209">
        <f t="shared" si="8"/>
        <v>7.9938087537364033E-2</v>
      </c>
      <c r="V160" s="209">
        <f t="shared" si="8"/>
        <v>8.6441962043970547E-2</v>
      </c>
      <c r="W160" s="209">
        <f t="shared" si="8"/>
        <v>0.10195514871018198</v>
      </c>
      <c r="X160" s="209">
        <f t="shared" si="8"/>
        <v>0.10383564125667144</v>
      </c>
      <c r="Y160" s="209">
        <f t="shared" si="8"/>
        <v>9.757961920258694E-2</v>
      </c>
      <c r="Z160" s="209">
        <f t="shared" si="8"/>
        <v>0.10182322919675864</v>
      </c>
      <c r="AA160" s="209">
        <f t="shared" si="8"/>
        <v>8.5111435576858616E-2</v>
      </c>
      <c r="AB160" s="209">
        <f t="shared" si="8"/>
        <v>8.949031890021944E-2</v>
      </c>
      <c r="AC160" s="209">
        <f t="shared" si="8"/>
        <v>9.8615252625125036E-2</v>
      </c>
      <c r="AD160" s="219">
        <f t="shared" si="8"/>
        <v>8.0504922009478522E-2</v>
      </c>
      <c r="AE160" s="219">
        <f t="shared" si="8"/>
        <v>7.6539785207523053E-2</v>
      </c>
      <c r="AF160" s="219">
        <f t="shared" si="8"/>
        <v>7.8310337711713154E-2</v>
      </c>
      <c r="AG160" s="219">
        <f t="shared" si="8"/>
        <v>9.8615252625125036E-2</v>
      </c>
      <c r="AH160" s="219">
        <f t="shared" si="8"/>
        <v>8.0504922009478522E-2</v>
      </c>
      <c r="AI160" s="219">
        <f t="shared" si="8"/>
        <v>7.6539785207523053E-2</v>
      </c>
      <c r="AJ160" s="219">
        <f t="shared" si="8"/>
        <v>7.8310337711713154E-2</v>
      </c>
      <c r="AK160" s="219">
        <f t="shared" si="8"/>
        <v>9.8615252625125036E-2</v>
      </c>
      <c r="AL160" s="219">
        <f t="shared" si="8"/>
        <v>8.0504922009478522E-2</v>
      </c>
      <c r="AM160" s="219">
        <f t="shared" si="8"/>
        <v>7.6539785207523053E-2</v>
      </c>
      <c r="AN160" s="219">
        <f t="shared" si="8"/>
        <v>7.8310337711713154E-2</v>
      </c>
      <c r="AO160" s="219">
        <f t="shared" si="8"/>
        <v>9.8615252625125036E-2</v>
      </c>
      <c r="AP160" s="219">
        <f t="shared" si="8"/>
        <v>8.0504922009478522E-2</v>
      </c>
      <c r="AQ160" s="219">
        <f t="shared" si="8"/>
        <v>7.6539785207523053E-2</v>
      </c>
      <c r="AR160" s="219">
        <f t="shared" si="8"/>
        <v>7.8310337711713154E-2</v>
      </c>
      <c r="AS160" s="219">
        <f t="shared" si="8"/>
        <v>9.8615252625125036E-2</v>
      </c>
      <c r="AT160" s="219">
        <f t="shared" si="8"/>
        <v>8.0504922009478522E-2</v>
      </c>
      <c r="AU160" s="219">
        <f t="shared" si="8"/>
        <v>7.6539785207523053E-2</v>
      </c>
      <c r="AV160" s="219">
        <f t="shared" si="8"/>
        <v>7.8310337711713154E-2</v>
      </c>
      <c r="AW160" s="44" t="str">
        <f t="shared" si="1"/>
        <v>n2</v>
      </c>
    </row>
    <row r="161" spans="3:49" ht="17.399999999999999">
      <c r="C161" s="105">
        <v>30</v>
      </c>
      <c r="D161" s="517">
        <f>НАСТРОЙКА!FR255</f>
        <v>0</v>
      </c>
      <c r="E161" s="205" t="s">
        <v>476</v>
      </c>
      <c r="F161" s="51" t="s">
        <v>809</v>
      </c>
      <c r="G161" s="38" t="s">
        <v>929</v>
      </c>
      <c r="H161" s="38"/>
      <c r="I161" s="38"/>
      <c r="J161" s="38"/>
      <c r="K161" s="38"/>
      <c r="L161" s="38"/>
      <c r="M161" s="216"/>
      <c r="N161" s="209">
        <f t="shared" si="3"/>
        <v>0.37225193107546045</v>
      </c>
      <c r="O161" s="209">
        <f t="shared" si="5"/>
        <v>0.24807644576818072</v>
      </c>
      <c r="P161" s="209">
        <f t="shared" si="8"/>
        <v>0.21669287800494275</v>
      </c>
      <c r="Q161" s="209">
        <f t="shared" si="8"/>
        <v>0.13888277985484934</v>
      </c>
      <c r="R161" s="209">
        <f t="shared" si="8"/>
        <v>0.13467532467532461</v>
      </c>
      <c r="S161" s="209">
        <f t="shared" si="8"/>
        <v>0.1748676424789786</v>
      </c>
      <c r="T161" s="209">
        <f t="shared" si="8"/>
        <v>0.26325026325026357</v>
      </c>
      <c r="U161" s="209">
        <f t="shared" si="8"/>
        <v>0.27620492079541636</v>
      </c>
      <c r="V161" s="209">
        <f t="shared" si="8"/>
        <v>0.33886339569361118</v>
      </c>
      <c r="W161" s="209">
        <f t="shared" si="8"/>
        <v>0.34910339565051479</v>
      </c>
      <c r="X161" s="209">
        <f t="shared" si="8"/>
        <v>0.33180952380952383</v>
      </c>
      <c r="Y161" s="209">
        <f t="shared" si="8"/>
        <v>0.3436601017924315</v>
      </c>
      <c r="Z161" s="209">
        <f t="shared" si="8"/>
        <v>0.32403661911858617</v>
      </c>
      <c r="AA161" s="209">
        <f t="shared" si="8"/>
        <v>0.34166136218968773</v>
      </c>
      <c r="AB161" s="209">
        <f t="shared" si="8"/>
        <v>0.378</v>
      </c>
      <c r="AC161" s="209">
        <f t="shared" si="8"/>
        <v>0.38</v>
      </c>
      <c r="AD161" s="219">
        <f t="shared" si="8"/>
        <v>0.36799999999999999</v>
      </c>
      <c r="AE161" s="219">
        <f t="shared" si="8"/>
        <v>0.3584</v>
      </c>
      <c r="AF161" s="219">
        <f t="shared" si="8"/>
        <v>0.35071999999999998</v>
      </c>
      <c r="AG161" s="219">
        <f t="shared" si="8"/>
        <v>0.34457599999999994</v>
      </c>
      <c r="AH161" s="219">
        <f t="shared" si="8"/>
        <v>0.33966079999999993</v>
      </c>
      <c r="AI161" s="219">
        <f t="shared" si="8"/>
        <v>0.33572863999999991</v>
      </c>
      <c r="AJ161" s="219">
        <f t="shared" si="8"/>
        <v>0.3325829119999999</v>
      </c>
      <c r="AK161" s="219">
        <f t="shared" si="8"/>
        <v>0.33006632959999987</v>
      </c>
      <c r="AL161" s="219">
        <f t="shared" si="8"/>
        <v>0.32805306367999987</v>
      </c>
      <c r="AM161" s="219">
        <f t="shared" si="8"/>
        <v>0.32644245094399987</v>
      </c>
      <c r="AN161" s="219">
        <f t="shared" si="8"/>
        <v>0.32515396075519987</v>
      </c>
      <c r="AO161" s="219">
        <f t="shared" si="8"/>
        <v>0.32412316860415985</v>
      </c>
      <c r="AP161" s="219">
        <f t="shared" si="8"/>
        <v>0.32329853488332783</v>
      </c>
      <c r="AQ161" s="219">
        <f t="shared" si="8"/>
        <v>0.32329853488332783</v>
      </c>
      <c r="AR161" s="219">
        <f t="shared" si="8"/>
        <v>0.32329853488332783</v>
      </c>
      <c r="AS161" s="219">
        <f t="shared" si="8"/>
        <v>0.32329853488332783</v>
      </c>
      <c r="AT161" s="219">
        <f t="shared" si="8"/>
        <v>0.32329853488332783</v>
      </c>
      <c r="AU161" s="219">
        <f t="shared" si="8"/>
        <v>0.32329853488332783</v>
      </c>
      <c r="AV161" s="219">
        <f t="shared" si="8"/>
        <v>0.32329853488332783</v>
      </c>
      <c r="AW161" s="44" t="str">
        <f t="shared" si="1"/>
        <v>qR</v>
      </c>
    </row>
    <row r="162" spans="3:49" ht="17.399999999999999">
      <c r="C162" s="365">
        <v>31</v>
      </c>
      <c r="D162" s="517"/>
      <c r="E162" s="205" t="s">
        <v>491</v>
      </c>
      <c r="F162" s="51" t="s">
        <v>396</v>
      </c>
      <c r="G162" s="38" t="s">
        <v>930</v>
      </c>
      <c r="H162" s="38"/>
      <c r="I162" s="38"/>
      <c r="J162" s="38"/>
      <c r="K162" s="38"/>
      <c r="L162" s="38"/>
      <c r="M162" s="218"/>
      <c r="N162" s="209" t="e">
        <f t="shared" si="3"/>
        <v>#REF!</v>
      </c>
      <c r="O162" s="209" t="e">
        <f t="shared" si="5"/>
        <v>#REF!</v>
      </c>
      <c r="P162" s="209" t="e">
        <f t="shared" si="8"/>
        <v>#REF!</v>
      </c>
      <c r="Q162" s="209" t="e">
        <f t="shared" si="8"/>
        <v>#REF!</v>
      </c>
      <c r="R162" s="209" t="e">
        <f t="shared" si="8"/>
        <v>#REF!</v>
      </c>
      <c r="S162" s="209" t="e">
        <f t="shared" si="8"/>
        <v>#REF!</v>
      </c>
      <c r="T162" s="209" t="e">
        <f t="shared" si="8"/>
        <v>#REF!</v>
      </c>
      <c r="U162" s="209" t="e">
        <f t="shared" si="8"/>
        <v>#REF!</v>
      </c>
      <c r="V162" s="209" t="e">
        <f t="shared" si="8"/>
        <v>#REF!</v>
      </c>
      <c r="W162" s="209" t="e">
        <f t="shared" si="8"/>
        <v>#REF!</v>
      </c>
      <c r="X162" s="209" t="e">
        <f t="shared" si="8"/>
        <v>#REF!</v>
      </c>
      <c r="Y162" s="209" t="e">
        <f t="shared" si="8"/>
        <v>#REF!</v>
      </c>
      <c r="Z162" s="209" t="e">
        <f t="shared" si="8"/>
        <v>#REF!</v>
      </c>
      <c r="AA162" s="209" t="e">
        <f t="shared" si="8"/>
        <v>#REF!</v>
      </c>
      <c r="AB162" s="209" t="e">
        <f t="shared" si="8"/>
        <v>#REF!</v>
      </c>
      <c r="AC162" s="209" t="e">
        <f t="shared" si="8"/>
        <v>#REF!</v>
      </c>
      <c r="AD162" s="219" t="e">
        <f t="shared" si="8"/>
        <v>#REF!</v>
      </c>
      <c r="AE162" s="219" t="e">
        <f t="shared" si="8"/>
        <v>#REF!</v>
      </c>
      <c r="AF162" s="219" t="e">
        <f t="shared" si="8"/>
        <v>#REF!</v>
      </c>
      <c r="AG162" s="219" t="e">
        <f t="shared" si="8"/>
        <v>#REF!</v>
      </c>
      <c r="AH162" s="219" t="e">
        <f t="shared" si="8"/>
        <v>#REF!</v>
      </c>
      <c r="AI162" s="219" t="e">
        <f t="shared" si="8"/>
        <v>#REF!</v>
      </c>
      <c r="AJ162" s="219" t="e">
        <f t="shared" si="8"/>
        <v>#REF!</v>
      </c>
      <c r="AK162" s="219" t="e">
        <f t="shared" si="8"/>
        <v>#REF!</v>
      </c>
      <c r="AL162" s="219" t="e">
        <f t="shared" si="8"/>
        <v>#REF!</v>
      </c>
      <c r="AM162" s="219" t="e">
        <f t="shared" si="8"/>
        <v>#REF!</v>
      </c>
      <c r="AN162" s="219" t="e">
        <f t="shared" si="8"/>
        <v>#REF!</v>
      </c>
      <c r="AO162" s="219" t="e">
        <f t="shared" si="8"/>
        <v>#REF!</v>
      </c>
      <c r="AP162" s="219" t="e">
        <f t="shared" si="8"/>
        <v>#REF!</v>
      </c>
      <c r="AQ162" s="219" t="e">
        <f t="shared" si="8"/>
        <v>#REF!</v>
      </c>
      <c r="AR162" s="219" t="e">
        <f t="shared" si="8"/>
        <v>#REF!</v>
      </c>
      <c r="AS162" s="219" t="e">
        <f t="shared" si="8"/>
        <v>#REF!</v>
      </c>
      <c r="AT162" s="219" t="e">
        <f t="shared" si="8"/>
        <v>#REF!</v>
      </c>
      <c r="AU162" s="219" t="e">
        <f t="shared" si="8"/>
        <v>#REF!</v>
      </c>
      <c r="AV162" s="219" t="e">
        <f t="shared" si="8"/>
        <v>#REF!</v>
      </c>
      <c r="AW162" s="44" t="str">
        <f t="shared" si="1"/>
        <v>RBJ</v>
      </c>
    </row>
    <row r="163" spans="3:49" ht="17.399999999999999">
      <c r="C163" s="365">
        <v>32</v>
      </c>
      <c r="D163" s="517">
        <v>40558</v>
      </c>
      <c r="E163" s="205" t="s">
        <v>489</v>
      </c>
      <c r="F163" s="51" t="s">
        <v>396</v>
      </c>
      <c r="G163" s="38" t="s">
        <v>931</v>
      </c>
      <c r="H163" s="38"/>
      <c r="I163" s="38"/>
      <c r="J163" s="38"/>
      <c r="K163" s="38"/>
      <c r="L163" s="38"/>
      <c r="M163" s="218"/>
      <c r="N163" s="209" t="e">
        <f t="shared" si="3"/>
        <v>#REF!</v>
      </c>
      <c r="O163" s="209" t="e">
        <f t="shared" si="5"/>
        <v>#REF!</v>
      </c>
      <c r="P163" s="209" t="e">
        <f t="shared" si="8"/>
        <v>#REF!</v>
      </c>
      <c r="Q163" s="209" t="e">
        <f t="shared" si="8"/>
        <v>#REF!</v>
      </c>
      <c r="R163" s="209" t="e">
        <f t="shared" si="8"/>
        <v>#REF!</v>
      </c>
      <c r="S163" s="209" t="e">
        <f t="shared" si="8"/>
        <v>#REF!</v>
      </c>
      <c r="T163" s="209" t="e">
        <f t="shared" si="8"/>
        <v>#REF!</v>
      </c>
      <c r="U163" s="209" t="e">
        <f t="shared" si="8"/>
        <v>#REF!</v>
      </c>
      <c r="V163" s="209" t="e">
        <f t="shared" si="8"/>
        <v>#REF!</v>
      </c>
      <c r="W163" s="209" t="e">
        <f t="shared" si="8"/>
        <v>#REF!</v>
      </c>
      <c r="X163" s="209" t="e">
        <f t="shared" si="8"/>
        <v>#REF!</v>
      </c>
      <c r="Y163" s="209" t="e">
        <f t="shared" si="8"/>
        <v>#REF!</v>
      </c>
      <c r="Z163" s="209" t="e">
        <f t="shared" si="8"/>
        <v>#REF!</v>
      </c>
      <c r="AA163" s="209" t="e">
        <f t="shared" si="8"/>
        <v>#REF!</v>
      </c>
      <c r="AB163" s="209" t="e">
        <f t="shared" si="8"/>
        <v>#REF!</v>
      </c>
      <c r="AC163" s="209" t="e">
        <f t="shared" si="8"/>
        <v>#REF!</v>
      </c>
      <c r="AD163" s="219" t="e">
        <f t="shared" si="8"/>
        <v>#REF!</v>
      </c>
      <c r="AE163" s="219" t="e">
        <f t="shared" si="8"/>
        <v>#REF!</v>
      </c>
      <c r="AF163" s="219" t="e">
        <f t="shared" si="8"/>
        <v>#REF!</v>
      </c>
      <c r="AG163" s="219" t="e">
        <f t="shared" si="8"/>
        <v>#REF!</v>
      </c>
      <c r="AH163" s="219" t="e">
        <f t="shared" si="8"/>
        <v>#REF!</v>
      </c>
      <c r="AI163" s="219" t="e">
        <f t="shared" si="8"/>
        <v>#REF!</v>
      </c>
      <c r="AJ163" s="219" t="e">
        <f t="shared" si="8"/>
        <v>#REF!</v>
      </c>
      <c r="AK163" s="219" t="e">
        <f t="shared" si="8"/>
        <v>#REF!</v>
      </c>
      <c r="AL163" s="219" t="e">
        <f t="shared" si="8"/>
        <v>#REF!</v>
      </c>
      <c r="AM163" s="219" t="e">
        <f t="shared" si="8"/>
        <v>#REF!</v>
      </c>
      <c r="AN163" s="219" t="e">
        <f t="shared" si="8"/>
        <v>#REF!</v>
      </c>
      <c r="AO163" s="219" t="e">
        <f t="shared" si="8"/>
        <v>#REF!</v>
      </c>
      <c r="AP163" s="219" t="e">
        <f t="shared" si="8"/>
        <v>#REF!</v>
      </c>
      <c r="AQ163" s="219" t="e">
        <f t="shared" si="8"/>
        <v>#REF!</v>
      </c>
      <c r="AR163" s="219" t="e">
        <f t="shared" si="8"/>
        <v>#REF!</v>
      </c>
      <c r="AS163" s="219" t="e">
        <f t="shared" si="8"/>
        <v>#REF!</v>
      </c>
      <c r="AT163" s="219" t="e">
        <f t="shared" si="8"/>
        <v>#REF!</v>
      </c>
      <c r="AU163" s="219" t="e">
        <f t="shared" si="8"/>
        <v>#REF!</v>
      </c>
      <c r="AV163" s="219" t="e">
        <f t="shared" si="8"/>
        <v>#REF!</v>
      </c>
      <c r="AW163" s="44" t="str">
        <f t="shared" si="1"/>
        <v>WPR</v>
      </c>
    </row>
    <row r="164" spans="3:49" ht="17.399999999999999">
      <c r="C164" s="365">
        <v>33</v>
      </c>
      <c r="D164" s="517">
        <v>40558</v>
      </c>
      <c r="E164" s="205" t="s">
        <v>932</v>
      </c>
      <c r="F164" s="51" t="s">
        <v>396</v>
      </c>
      <c r="G164" s="38" t="s">
        <v>933</v>
      </c>
      <c r="H164" s="38"/>
      <c r="I164" s="38"/>
      <c r="J164" s="38"/>
      <c r="K164" s="38"/>
      <c r="L164" s="38"/>
      <c r="M164" s="61"/>
      <c r="N164" s="209" t="e">
        <f t="shared" si="3"/>
        <v>#REF!</v>
      </c>
      <c r="O164" s="209" t="e">
        <f t="shared" si="5"/>
        <v>#REF!</v>
      </c>
      <c r="P164" s="209" t="e">
        <f t="shared" si="8"/>
        <v>#REF!</v>
      </c>
      <c r="Q164" s="209" t="e">
        <f t="shared" si="8"/>
        <v>#REF!</v>
      </c>
      <c r="R164" s="209" t="e">
        <f t="shared" si="8"/>
        <v>#REF!</v>
      </c>
      <c r="S164" s="209" t="e">
        <f t="shared" si="8"/>
        <v>#REF!</v>
      </c>
      <c r="T164" s="209" t="e">
        <f t="shared" si="8"/>
        <v>#REF!</v>
      </c>
      <c r="U164" s="209" t="e">
        <f t="shared" si="8"/>
        <v>#REF!</v>
      </c>
      <c r="V164" s="209" t="e">
        <f t="shared" si="8"/>
        <v>#REF!</v>
      </c>
      <c r="W164" s="209" t="e">
        <f t="shared" si="8"/>
        <v>#REF!</v>
      </c>
      <c r="X164" s="209" t="e">
        <f t="shared" si="8"/>
        <v>#REF!</v>
      </c>
      <c r="Y164" s="209" t="e">
        <f t="shared" si="8"/>
        <v>#REF!</v>
      </c>
      <c r="Z164" s="209" t="e">
        <f t="shared" si="8"/>
        <v>#REF!</v>
      </c>
      <c r="AA164" s="209" t="e">
        <f t="shared" si="8"/>
        <v>#REF!</v>
      </c>
      <c r="AB164" s="209" t="e">
        <f t="shared" ref="P164:AV172" si="9">AB36-AB100</f>
        <v>#REF!</v>
      </c>
      <c r="AC164" s="209" t="e">
        <f t="shared" si="9"/>
        <v>#REF!</v>
      </c>
      <c r="AD164" s="219" t="e">
        <f t="shared" si="9"/>
        <v>#REF!</v>
      </c>
      <c r="AE164" s="219" t="e">
        <f t="shared" si="9"/>
        <v>#REF!</v>
      </c>
      <c r="AF164" s="219" t="e">
        <f t="shared" si="9"/>
        <v>#REF!</v>
      </c>
      <c r="AG164" s="219" t="e">
        <f t="shared" si="9"/>
        <v>#REF!</v>
      </c>
      <c r="AH164" s="219" t="e">
        <f t="shared" si="9"/>
        <v>#REF!</v>
      </c>
      <c r="AI164" s="219" t="e">
        <f t="shared" si="9"/>
        <v>#REF!</v>
      </c>
      <c r="AJ164" s="219" t="e">
        <f t="shared" si="9"/>
        <v>#REF!</v>
      </c>
      <c r="AK164" s="219" t="e">
        <f t="shared" si="9"/>
        <v>#REF!</v>
      </c>
      <c r="AL164" s="219" t="e">
        <f t="shared" si="9"/>
        <v>#REF!</v>
      </c>
      <c r="AM164" s="219" t="e">
        <f t="shared" si="9"/>
        <v>#REF!</v>
      </c>
      <c r="AN164" s="219" t="e">
        <f t="shared" si="9"/>
        <v>#REF!</v>
      </c>
      <c r="AO164" s="219" t="e">
        <f t="shared" si="9"/>
        <v>#REF!</v>
      </c>
      <c r="AP164" s="219" t="e">
        <f t="shared" si="9"/>
        <v>#REF!</v>
      </c>
      <c r="AQ164" s="219" t="e">
        <f t="shared" si="9"/>
        <v>#REF!</v>
      </c>
      <c r="AR164" s="219" t="e">
        <f t="shared" si="9"/>
        <v>#REF!</v>
      </c>
      <c r="AS164" s="219" t="e">
        <f t="shared" si="9"/>
        <v>#REF!</v>
      </c>
      <c r="AT164" s="219" t="e">
        <f t="shared" si="9"/>
        <v>#REF!</v>
      </c>
      <c r="AU164" s="219" t="e">
        <f t="shared" si="9"/>
        <v>#REF!</v>
      </c>
      <c r="AV164" s="219" t="e">
        <f t="shared" si="9"/>
        <v>#REF!</v>
      </c>
      <c r="AW164" s="44" t="str">
        <f t="shared" si="1"/>
        <v>DH</v>
      </c>
    </row>
    <row r="165" spans="3:49" ht="17.399999999999999">
      <c r="C165" s="365">
        <v>34</v>
      </c>
      <c r="D165" s="517">
        <v>40558</v>
      </c>
      <c r="E165" s="205" t="s">
        <v>398</v>
      </c>
      <c r="F165" s="51" t="s">
        <v>396</v>
      </c>
      <c r="G165" s="38" t="s">
        <v>934</v>
      </c>
      <c r="H165" s="38"/>
      <c r="I165" s="38"/>
      <c r="J165" s="38"/>
      <c r="K165" s="38"/>
      <c r="L165" s="38"/>
      <c r="M165" s="218"/>
      <c r="N165" s="209">
        <f t="shared" si="3"/>
        <v>0</v>
      </c>
      <c r="O165" s="209">
        <f t="shared" si="5"/>
        <v>0</v>
      </c>
      <c r="P165" s="209">
        <f t="shared" si="9"/>
        <v>0</v>
      </c>
      <c r="Q165" s="209">
        <f t="shared" si="9"/>
        <v>0</v>
      </c>
      <c r="R165" s="209">
        <f t="shared" si="9"/>
        <v>0</v>
      </c>
      <c r="S165" s="209">
        <f t="shared" si="9"/>
        <v>0</v>
      </c>
      <c r="T165" s="209">
        <f t="shared" si="9"/>
        <v>0</v>
      </c>
      <c r="U165" s="209">
        <f t="shared" si="9"/>
        <v>0</v>
      </c>
      <c r="V165" s="209">
        <f t="shared" si="9"/>
        <v>0</v>
      </c>
      <c r="W165" s="209">
        <f t="shared" si="9"/>
        <v>0</v>
      </c>
      <c r="X165" s="209">
        <f t="shared" si="9"/>
        <v>0</v>
      </c>
      <c r="Y165" s="209">
        <f t="shared" si="9"/>
        <v>0</v>
      </c>
      <c r="Z165" s="209">
        <f t="shared" si="9"/>
        <v>0</v>
      </c>
      <c r="AA165" s="209">
        <f t="shared" si="9"/>
        <v>0</v>
      </c>
      <c r="AB165" s="209">
        <f t="shared" si="9"/>
        <v>0</v>
      </c>
      <c r="AC165" s="209">
        <f t="shared" si="9"/>
        <v>0</v>
      </c>
      <c r="AD165" s="219">
        <f t="shared" si="9"/>
        <v>0</v>
      </c>
      <c r="AE165" s="219">
        <f t="shared" si="9"/>
        <v>0</v>
      </c>
      <c r="AF165" s="219">
        <f t="shared" si="9"/>
        <v>0</v>
      </c>
      <c r="AG165" s="219">
        <f t="shared" si="9"/>
        <v>0</v>
      </c>
      <c r="AH165" s="219">
        <f t="shared" si="9"/>
        <v>0</v>
      </c>
      <c r="AI165" s="219">
        <f t="shared" si="9"/>
        <v>0</v>
      </c>
      <c r="AJ165" s="219">
        <f t="shared" si="9"/>
        <v>0</v>
      </c>
      <c r="AK165" s="219">
        <f t="shared" si="9"/>
        <v>0</v>
      </c>
      <c r="AL165" s="219">
        <f t="shared" si="9"/>
        <v>0</v>
      </c>
      <c r="AM165" s="219">
        <f t="shared" si="9"/>
        <v>0</v>
      </c>
      <c r="AN165" s="219">
        <f t="shared" si="9"/>
        <v>0</v>
      </c>
      <c r="AO165" s="219">
        <f t="shared" si="9"/>
        <v>0</v>
      </c>
      <c r="AP165" s="219">
        <f t="shared" si="9"/>
        <v>0</v>
      </c>
      <c r="AQ165" s="219">
        <f t="shared" si="9"/>
        <v>0</v>
      </c>
      <c r="AR165" s="219">
        <f t="shared" si="9"/>
        <v>0</v>
      </c>
      <c r="AS165" s="219">
        <f t="shared" si="9"/>
        <v>0</v>
      </c>
      <c r="AT165" s="219">
        <f t="shared" si="9"/>
        <v>0</v>
      </c>
      <c r="AU165" s="219">
        <f t="shared" si="9"/>
        <v>0</v>
      </c>
      <c r="AV165" s="219">
        <f t="shared" si="9"/>
        <v>0</v>
      </c>
      <c r="AW165" s="44" t="str">
        <f t="shared" si="1"/>
        <v>XO</v>
      </c>
    </row>
    <row r="166" spans="3:49" ht="17.399999999999999">
      <c r="C166" s="365">
        <v>35</v>
      </c>
      <c r="D166" s="517">
        <v>40558</v>
      </c>
      <c r="E166" s="205" t="s">
        <v>427</v>
      </c>
      <c r="F166" s="51" t="s">
        <v>396</v>
      </c>
      <c r="G166" s="38" t="s">
        <v>935</v>
      </c>
      <c r="H166" s="38"/>
      <c r="I166" s="38"/>
      <c r="J166" s="38"/>
      <c r="K166" s="38"/>
      <c r="L166" s="38"/>
      <c r="M166" s="218"/>
      <c r="N166" s="209">
        <f t="shared" si="3"/>
        <v>0</v>
      </c>
      <c r="O166" s="209">
        <f t="shared" si="5"/>
        <v>0</v>
      </c>
      <c r="P166" s="209">
        <f t="shared" si="9"/>
        <v>0</v>
      </c>
      <c r="Q166" s="209">
        <f t="shared" si="9"/>
        <v>0</v>
      </c>
      <c r="R166" s="209">
        <f t="shared" si="9"/>
        <v>0</v>
      </c>
      <c r="S166" s="209">
        <f t="shared" si="9"/>
        <v>0</v>
      </c>
      <c r="T166" s="209">
        <f t="shared" si="9"/>
        <v>0</v>
      </c>
      <c r="U166" s="209">
        <f t="shared" si="9"/>
        <v>0</v>
      </c>
      <c r="V166" s="209">
        <f t="shared" si="9"/>
        <v>0</v>
      </c>
      <c r="W166" s="209">
        <f t="shared" si="9"/>
        <v>0</v>
      </c>
      <c r="X166" s="209">
        <f t="shared" si="9"/>
        <v>0</v>
      </c>
      <c r="Y166" s="209">
        <f t="shared" si="9"/>
        <v>0</v>
      </c>
      <c r="Z166" s="209">
        <f t="shared" si="9"/>
        <v>0</v>
      </c>
      <c r="AA166" s="209">
        <f t="shared" si="9"/>
        <v>0</v>
      </c>
      <c r="AB166" s="209">
        <f t="shared" si="9"/>
        <v>0</v>
      </c>
      <c r="AC166" s="209">
        <f t="shared" si="9"/>
        <v>0</v>
      </c>
      <c r="AD166" s="219">
        <f t="shared" si="9"/>
        <v>0</v>
      </c>
      <c r="AE166" s="219">
        <f t="shared" si="9"/>
        <v>0</v>
      </c>
      <c r="AF166" s="219">
        <f t="shared" si="9"/>
        <v>0</v>
      </c>
      <c r="AG166" s="219">
        <f t="shared" si="9"/>
        <v>0</v>
      </c>
      <c r="AH166" s="219">
        <f t="shared" si="9"/>
        <v>0</v>
      </c>
      <c r="AI166" s="219">
        <f t="shared" si="9"/>
        <v>0</v>
      </c>
      <c r="AJ166" s="219">
        <f t="shared" si="9"/>
        <v>0</v>
      </c>
      <c r="AK166" s="219">
        <f t="shared" si="9"/>
        <v>0</v>
      </c>
      <c r="AL166" s="219">
        <f t="shared" si="9"/>
        <v>0</v>
      </c>
      <c r="AM166" s="219">
        <f t="shared" si="9"/>
        <v>0</v>
      </c>
      <c r="AN166" s="219">
        <f t="shared" si="9"/>
        <v>0</v>
      </c>
      <c r="AO166" s="219">
        <f t="shared" si="9"/>
        <v>0</v>
      </c>
      <c r="AP166" s="219">
        <f t="shared" si="9"/>
        <v>0</v>
      </c>
      <c r="AQ166" s="219">
        <f t="shared" si="9"/>
        <v>0</v>
      </c>
      <c r="AR166" s="219">
        <f t="shared" si="9"/>
        <v>0</v>
      </c>
      <c r="AS166" s="219">
        <f t="shared" si="9"/>
        <v>0</v>
      </c>
      <c r="AT166" s="219">
        <f t="shared" si="9"/>
        <v>0</v>
      </c>
      <c r="AU166" s="219">
        <f t="shared" si="9"/>
        <v>0</v>
      </c>
      <c r="AV166" s="219">
        <f t="shared" si="9"/>
        <v>0</v>
      </c>
      <c r="AW166" s="44" t="str">
        <f t="shared" si="1"/>
        <v>CN1</v>
      </c>
    </row>
    <row r="167" spans="3:49" ht="17.399999999999999">
      <c r="C167" s="365">
        <v>36</v>
      </c>
      <c r="D167" s="517">
        <v>40558</v>
      </c>
      <c r="E167" s="205" t="s">
        <v>936</v>
      </c>
      <c r="F167" s="51" t="s">
        <v>396</v>
      </c>
      <c r="G167" s="38" t="s">
        <v>937</v>
      </c>
      <c r="H167" s="38"/>
      <c r="I167" s="38"/>
      <c r="J167" s="38"/>
      <c r="K167" s="38"/>
      <c r="L167" s="38"/>
      <c r="M167" s="61"/>
      <c r="N167" s="209">
        <f t="shared" si="3"/>
        <v>-0.5075047014598465</v>
      </c>
      <c r="O167" s="209">
        <f t="shared" ref="O167:O190" si="10">O39-O103</f>
        <v>-0.51667647317297627</v>
      </c>
      <c r="P167" s="209">
        <f t="shared" si="9"/>
        <v>-0.49180137717267253</v>
      </c>
      <c r="Q167" s="209">
        <f t="shared" si="9"/>
        <v>-0.51928728248372014</v>
      </c>
      <c r="R167" s="209">
        <f t="shared" si="9"/>
        <v>-0.56527391744994016</v>
      </c>
      <c r="S167" s="209">
        <f t="shared" si="9"/>
        <v>-0.58768319068878805</v>
      </c>
      <c r="T167" s="209">
        <f t="shared" si="9"/>
        <v>-0.60746658522682651</v>
      </c>
      <c r="U167" s="209">
        <f t="shared" si="9"/>
        <v>-0.64524584965850473</v>
      </c>
      <c r="V167" s="209">
        <f t="shared" si="9"/>
        <v>-0.68589125751100888</v>
      </c>
      <c r="W167" s="209">
        <f t="shared" si="9"/>
        <v>-0.71146914542604145</v>
      </c>
      <c r="X167" s="209">
        <f t="shared" si="9"/>
        <v>-0.75663076110249916</v>
      </c>
      <c r="Y167" s="209">
        <f t="shared" si="9"/>
        <v>-0.79846194770079459</v>
      </c>
      <c r="Z167" s="209">
        <f t="shared" si="9"/>
        <v>-0.80925197402107563</v>
      </c>
      <c r="AA167" s="209">
        <f t="shared" si="9"/>
        <v>-0.7261311317282132</v>
      </c>
      <c r="AB167" s="209">
        <f t="shared" si="9"/>
        <v>-0.74023076535400356</v>
      </c>
      <c r="AC167" s="209">
        <f t="shared" si="9"/>
        <v>-0.74236604640790949</v>
      </c>
      <c r="AD167" s="219">
        <f t="shared" si="9"/>
        <v>-0.73951900500270173</v>
      </c>
      <c r="AE167" s="219">
        <f t="shared" si="9"/>
        <v>-0.72531114707757793</v>
      </c>
      <c r="AF167" s="219">
        <f t="shared" si="9"/>
        <v>-0.70502761451706719</v>
      </c>
      <c r="AG167" s="219">
        <f t="shared" si="9"/>
        <v>-0.67428513132591583</v>
      </c>
      <c r="AH167" s="219">
        <f t="shared" si="9"/>
        <v>-0.65676280356287475</v>
      </c>
      <c r="AI167" s="219">
        <f t="shared" si="9"/>
        <v>-0.64853745053174061</v>
      </c>
      <c r="AJ167" s="219">
        <f t="shared" si="9"/>
        <v>-0.63795670517757586</v>
      </c>
      <c r="AK167" s="219">
        <f t="shared" si="9"/>
        <v>0</v>
      </c>
      <c r="AL167" s="219">
        <f t="shared" si="9"/>
        <v>0</v>
      </c>
      <c r="AM167" s="219">
        <f t="shared" si="9"/>
        <v>0</v>
      </c>
      <c r="AN167" s="219">
        <f t="shared" si="9"/>
        <v>0</v>
      </c>
      <c r="AO167" s="219">
        <f t="shared" si="9"/>
        <v>0</v>
      </c>
      <c r="AP167" s="219">
        <f t="shared" si="9"/>
        <v>0</v>
      </c>
      <c r="AQ167" s="219">
        <f t="shared" si="9"/>
        <v>0</v>
      </c>
      <c r="AR167" s="219">
        <f t="shared" si="9"/>
        <v>0</v>
      </c>
      <c r="AS167" s="219">
        <f t="shared" si="9"/>
        <v>0</v>
      </c>
      <c r="AT167" s="219">
        <f t="shared" si="9"/>
        <v>0</v>
      </c>
      <c r="AU167" s="219">
        <f t="shared" si="9"/>
        <v>0</v>
      </c>
      <c r="AV167" s="219">
        <f t="shared" si="9"/>
        <v>0</v>
      </c>
      <c r="AW167" s="44" t="str">
        <f t="shared" si="1"/>
        <v>Xo</v>
      </c>
    </row>
    <row r="168" spans="3:49" ht="17.399999999999999">
      <c r="C168" s="105">
        <v>37</v>
      </c>
      <c r="D168" s="517" t="e">
        <f>НАСТРОЙКА!#REF!</f>
        <v>#REF!</v>
      </c>
      <c r="E168" s="205" t="s">
        <v>794</v>
      </c>
      <c r="F168" s="51" t="s">
        <v>809</v>
      </c>
      <c r="G168" s="38" t="s">
        <v>938</v>
      </c>
      <c r="H168" s="38"/>
      <c r="I168" s="38"/>
      <c r="J168" s="38"/>
      <c r="K168" s="38"/>
      <c r="L168" s="38"/>
      <c r="M168" s="216"/>
      <c r="N168" s="209">
        <f t="shared" si="3"/>
        <v>0.83499483177664324</v>
      </c>
      <c r="O168" s="209">
        <f t="shared" si="10"/>
        <v>0.77973464546216686</v>
      </c>
      <c r="P168" s="209">
        <f t="shared" si="9"/>
        <v>0.83791078704066091</v>
      </c>
      <c r="Q168" s="209">
        <f t="shared" si="9"/>
        <v>0.89303662587642096</v>
      </c>
      <c r="R168" s="209">
        <f t="shared" si="9"/>
        <v>0.99719539911793087</v>
      </c>
      <c r="S168" s="209">
        <f t="shared" si="9"/>
        <v>1.0693134213844868</v>
      </c>
      <c r="T168" s="209">
        <f t="shared" si="9"/>
        <v>1.0958197641540484</v>
      </c>
      <c r="U168" s="209">
        <f t="shared" si="9"/>
        <v>1.1131971038726729</v>
      </c>
      <c r="V168" s="209">
        <f t="shared" si="9"/>
        <v>1.1056351693502098</v>
      </c>
      <c r="W168" s="209">
        <f t="shared" si="9"/>
        <v>1.1045459834675206</v>
      </c>
      <c r="X168" s="209">
        <f t="shared" si="9"/>
        <v>1.1147466941063877</v>
      </c>
      <c r="Y168" s="209">
        <f t="shared" si="9"/>
        <v>1.1276365658003269</v>
      </c>
      <c r="Z168" s="209">
        <f t="shared" si="9"/>
        <v>1.1444304358295734</v>
      </c>
      <c r="AA168" s="209">
        <f t="shared" si="9"/>
        <v>1.1798455326378989</v>
      </c>
      <c r="AB168" s="209">
        <f t="shared" si="9"/>
        <v>1.0781457205437925</v>
      </c>
      <c r="AC168" s="209">
        <f t="shared" si="9"/>
        <v>1.2954205891742936</v>
      </c>
      <c r="AD168" s="219">
        <f t="shared" si="9"/>
        <v>1.3104358474452877</v>
      </c>
      <c r="AE168" s="219">
        <f t="shared" si="9"/>
        <v>1.2873835370755577</v>
      </c>
      <c r="AF168" s="219">
        <f t="shared" si="9"/>
        <v>1.2643312267058278</v>
      </c>
      <c r="AG168" s="219">
        <f t="shared" si="9"/>
        <v>1.2412789163360978</v>
      </c>
      <c r="AH168" s="219">
        <f t="shared" si="9"/>
        <v>1.2182266059663678</v>
      </c>
      <c r="AI168" s="219">
        <f t="shared" si="9"/>
        <v>1.1951742955966378</v>
      </c>
      <c r="AJ168" s="219">
        <f t="shared" si="9"/>
        <v>1.1721219852269078</v>
      </c>
      <c r="AK168" s="219">
        <f t="shared" si="9"/>
        <v>1.1490696748571778</v>
      </c>
      <c r="AL168" s="219">
        <f t="shared" si="9"/>
        <v>1.1260173644874478</v>
      </c>
      <c r="AM168" s="219">
        <f t="shared" si="9"/>
        <v>1.1029650541177178</v>
      </c>
      <c r="AN168" s="219">
        <f t="shared" si="9"/>
        <v>1.0799127437479878</v>
      </c>
      <c r="AO168" s="219">
        <f t="shared" si="9"/>
        <v>1.0568604333782579</v>
      </c>
      <c r="AP168" s="219">
        <f t="shared" si="9"/>
        <v>1.0338081230085279</v>
      </c>
      <c r="AQ168" s="219">
        <f t="shared" si="9"/>
        <v>1.0107558126387979</v>
      </c>
      <c r="AR168" s="219">
        <f t="shared" si="9"/>
        <v>0.98770350226906789</v>
      </c>
      <c r="AS168" s="219">
        <f t="shared" si="9"/>
        <v>0.9646511918993379</v>
      </c>
      <c r="AT168" s="219">
        <f t="shared" si="9"/>
        <v>0.94159888152960791</v>
      </c>
      <c r="AU168" s="219">
        <f t="shared" si="9"/>
        <v>0.91854657115987792</v>
      </c>
      <c r="AV168" s="219">
        <f t="shared" si="9"/>
        <v>0.89549426079014793</v>
      </c>
      <c r="AW168" s="44" t="str">
        <f t="shared" si="1"/>
        <v>vS</v>
      </c>
    </row>
    <row r="169" spans="3:49" ht="17.399999999999999">
      <c r="C169" s="105">
        <v>38</v>
      </c>
      <c r="D169" s="517" t="e">
        <f>НАСТРОЙКА!#REF!</f>
        <v>#REF!</v>
      </c>
      <c r="E169" s="205" t="s">
        <v>579</v>
      </c>
      <c r="F169" s="51" t="s">
        <v>809</v>
      </c>
      <c r="G169" s="38" t="s">
        <v>939</v>
      </c>
      <c r="H169" s="38"/>
      <c r="I169" s="38"/>
      <c r="J169" s="38"/>
      <c r="K169" s="38"/>
      <c r="L169" s="38"/>
      <c r="M169" s="216"/>
      <c r="N169" s="209">
        <f t="shared" si="3"/>
        <v>-1995.9664387900491</v>
      </c>
      <c r="O169" s="209">
        <f t="shared" si="10"/>
        <v>-1996.9661996508958</v>
      </c>
      <c r="P169" s="209">
        <f t="shared" si="9"/>
        <v>-1997.9644801450049</v>
      </c>
      <c r="Q169" s="209">
        <f t="shared" si="9"/>
        <v>-1998.9624547727963</v>
      </c>
      <c r="R169" s="209">
        <f t="shared" si="9"/>
        <v>-1999.9628663863134</v>
      </c>
      <c r="S169" s="209">
        <f t="shared" si="9"/>
        <v>-2000.9541523714693</v>
      </c>
      <c r="T169" s="209">
        <f t="shared" si="9"/>
        <v>-2001.9564286940392</v>
      </c>
      <c r="U169" s="209">
        <f t="shared" si="9"/>
        <v>-2002.9535411544732</v>
      </c>
      <c r="V169" s="209">
        <f t="shared" si="9"/>
        <v>-2003.9503780954601</v>
      </c>
      <c r="W169" s="209">
        <f t="shared" si="9"/>
        <v>-2004.9473067775205</v>
      </c>
      <c r="X169" s="209">
        <f t="shared" si="9"/>
        <v>-2005.9423161616303</v>
      </c>
      <c r="Y169" s="209">
        <f t="shared" si="9"/>
        <v>-2006.9336015950689</v>
      </c>
      <c r="Z169" s="209">
        <f t="shared" si="9"/>
        <v>-2007.9328680228446</v>
      </c>
      <c r="AA169" s="209">
        <f t="shared" si="9"/>
        <v>-2008.9358322032665</v>
      </c>
      <c r="AB169" s="209">
        <f t="shared" si="9"/>
        <v>-2009.9429644165223</v>
      </c>
      <c r="AC169" s="209">
        <f t="shared" si="9"/>
        <v>-2010.9310589324457</v>
      </c>
      <c r="AD169" s="219">
        <f t="shared" si="9"/>
        <v>-2011.9290832586871</v>
      </c>
      <c r="AE169" s="219">
        <f t="shared" si="9"/>
        <v>-2012.9306689601419</v>
      </c>
      <c r="AF169" s="219">
        <f t="shared" si="9"/>
        <v>-2013.9320143709335</v>
      </c>
      <c r="AG169" s="219">
        <f t="shared" si="9"/>
        <v>-2014.9320143709335</v>
      </c>
      <c r="AH169" s="219">
        <f t="shared" si="9"/>
        <v>-2015.9339517624737</v>
      </c>
      <c r="AI169" s="219">
        <f t="shared" si="9"/>
        <v>-2016.9346406127991</v>
      </c>
      <c r="AJ169" s="219">
        <f t="shared" si="9"/>
        <v>-2017.9351916930593</v>
      </c>
      <c r="AK169" s="219">
        <f t="shared" si="9"/>
        <v>-2018.9356325572676</v>
      </c>
      <c r="AL169" s="219">
        <f t="shared" si="9"/>
        <v>-2019.9359852486341</v>
      </c>
      <c r="AM169" s="219">
        <f t="shared" si="9"/>
        <v>-2020.9362674017275</v>
      </c>
      <c r="AN169" s="219">
        <f t="shared" si="9"/>
        <v>-2021.9364931242021</v>
      </c>
      <c r="AO169" s="219">
        <f t="shared" si="9"/>
        <v>-2022.9366737021817</v>
      </c>
      <c r="AP169" s="219">
        <f t="shared" si="9"/>
        <v>-2023.9368181645655</v>
      </c>
      <c r="AQ169" s="219">
        <f t="shared" si="9"/>
        <v>-2024.9369337344724</v>
      </c>
      <c r="AR169" s="219">
        <f t="shared" si="9"/>
        <v>-2025.9370261903982</v>
      </c>
      <c r="AS169" s="219">
        <f t="shared" si="9"/>
        <v>-2026.9371001551385</v>
      </c>
      <c r="AT169" s="219">
        <f t="shared" si="9"/>
        <v>-2027.9371593269309</v>
      </c>
      <c r="AU169" s="219">
        <f t="shared" si="9"/>
        <v>-2028.9372066643648</v>
      </c>
      <c r="AV169" s="219">
        <f t="shared" si="9"/>
        <v>-2029.937244534312</v>
      </c>
      <c r="AW169" s="44" t="str">
        <f t="shared" si="1"/>
        <v>kWB</v>
      </c>
    </row>
    <row r="170" spans="3:49" ht="17.399999999999999">
      <c r="C170" s="105">
        <v>39</v>
      </c>
      <c r="D170" s="517" t="e">
        <f>НАСТРОЙКА!#REF!</f>
        <v>#REF!</v>
      </c>
      <c r="E170" s="205" t="s">
        <v>516</v>
      </c>
      <c r="F170" s="51" t="s">
        <v>809</v>
      </c>
      <c r="G170" s="38" t="s">
        <v>940</v>
      </c>
      <c r="H170" s="38"/>
      <c r="I170" s="38"/>
      <c r="J170" s="38"/>
      <c r="K170" s="38"/>
      <c r="L170" s="38"/>
      <c r="M170" s="216"/>
      <c r="N170" s="966" t="e">
        <f t="shared" si="3"/>
        <v>#REF!</v>
      </c>
      <c r="O170" s="966" t="e">
        <f t="shared" si="10"/>
        <v>#REF!</v>
      </c>
      <c r="P170" s="966" t="e">
        <f t="shared" si="9"/>
        <v>#REF!</v>
      </c>
      <c r="Q170" s="966" t="e">
        <f t="shared" si="9"/>
        <v>#REF!</v>
      </c>
      <c r="R170" s="966">
        <f t="shared" si="9"/>
        <v>0.5624698229682159</v>
      </c>
      <c r="S170" s="966">
        <f t="shared" si="9"/>
        <v>0.60757113333884427</v>
      </c>
      <c r="T170" s="966">
        <f t="shared" si="9"/>
        <v>0.56758373023989717</v>
      </c>
      <c r="U170" s="966">
        <f t="shared" si="9"/>
        <v>0.5968293525687911</v>
      </c>
      <c r="V170" s="966">
        <f t="shared" si="9"/>
        <v>0.61884371587039855</v>
      </c>
      <c r="W170" s="966">
        <f t="shared" si="9"/>
        <v>0.53454512799460463</v>
      </c>
      <c r="X170" s="966" t="e">
        <f t="shared" si="9"/>
        <v>#REF!</v>
      </c>
      <c r="Y170" s="966">
        <f t="shared" si="9"/>
        <v>0.5054202818665039</v>
      </c>
      <c r="Z170" s="966">
        <f t="shared" si="9"/>
        <v>0.52601170057751012</v>
      </c>
      <c r="AA170" s="966">
        <f t="shared" si="9"/>
        <v>0.50265137117327074</v>
      </c>
      <c r="AB170" s="966">
        <f t="shared" si="9"/>
        <v>0.49222175549336711</v>
      </c>
      <c r="AC170" s="966">
        <f t="shared" si="9"/>
        <v>0.50527447410800919</v>
      </c>
      <c r="AD170" s="219">
        <f t="shared" si="9"/>
        <v>0.51149040567773596</v>
      </c>
      <c r="AE170" s="219">
        <f t="shared" si="9"/>
        <v>0.51481758260876442</v>
      </c>
      <c r="AF170" s="219">
        <f t="shared" si="9"/>
        <v>0.50457975650203735</v>
      </c>
      <c r="AG170" s="219">
        <f t="shared" si="9"/>
        <v>0.50457975650203735</v>
      </c>
      <c r="AH170" s="219">
        <f t="shared" si="9"/>
        <v>0.50457975650203735</v>
      </c>
      <c r="AI170" s="219">
        <f t="shared" si="9"/>
        <v>0.50457975650203735</v>
      </c>
      <c r="AJ170" s="219">
        <f t="shared" si="9"/>
        <v>0.50457975650203735</v>
      </c>
      <c r="AK170" s="219">
        <f t="shared" si="9"/>
        <v>0.50457975650203735</v>
      </c>
      <c r="AL170" s="219">
        <f t="shared" si="9"/>
        <v>0.50457975650203735</v>
      </c>
      <c r="AM170" s="219">
        <f t="shared" si="9"/>
        <v>0.50457975650203735</v>
      </c>
      <c r="AN170" s="219">
        <f t="shared" si="9"/>
        <v>0.50457975650203735</v>
      </c>
      <c r="AO170" s="219">
        <f t="shared" si="9"/>
        <v>0.50457975650203735</v>
      </c>
      <c r="AP170" s="219">
        <f t="shared" si="9"/>
        <v>0.50457975650203735</v>
      </c>
      <c r="AQ170" s="219">
        <f t="shared" si="9"/>
        <v>0.50457975650203735</v>
      </c>
      <c r="AR170" s="219">
        <f t="shared" si="9"/>
        <v>0.50457975650203735</v>
      </c>
      <c r="AS170" s="219">
        <f t="shared" si="9"/>
        <v>0.50457975650203735</v>
      </c>
      <c r="AT170" s="219">
        <f t="shared" si="9"/>
        <v>0.50457975650203735</v>
      </c>
      <c r="AU170" s="219">
        <f t="shared" si="9"/>
        <v>0.50457975650203735</v>
      </c>
      <c r="AV170" s="219">
        <f t="shared" si="9"/>
        <v>0.50457975650203735</v>
      </c>
      <c r="AW170" s="44" t="str">
        <f t="shared" si="1"/>
        <v>h1</v>
      </c>
    </row>
    <row r="171" spans="3:49" ht="17.399999999999999">
      <c r="C171" s="105">
        <v>40</v>
      </c>
      <c r="D171" s="517" t="e">
        <f>НАСТРОЙКА!#REF!</f>
        <v>#REF!</v>
      </c>
      <c r="E171" s="205" t="s">
        <v>519</v>
      </c>
      <c r="F171" s="51" t="s">
        <v>809</v>
      </c>
      <c r="G171" s="38" t="s">
        <v>1349</v>
      </c>
      <c r="H171" s="38"/>
      <c r="I171" s="38"/>
      <c r="J171" s="38"/>
      <c r="K171" s="38"/>
      <c r="L171" s="38"/>
      <c r="M171" s="216"/>
      <c r="N171" s="209" t="e">
        <f t="shared" si="3"/>
        <v>#REF!</v>
      </c>
      <c r="O171" s="209" t="e">
        <f t="shared" si="10"/>
        <v>#REF!</v>
      </c>
      <c r="P171" s="209" t="e">
        <f t="shared" si="9"/>
        <v>#REF!</v>
      </c>
      <c r="Q171" s="209" t="e">
        <f t="shared" si="9"/>
        <v>#REF!</v>
      </c>
      <c r="R171" s="209" t="e">
        <f t="shared" si="9"/>
        <v>#REF!</v>
      </c>
      <c r="S171" s="209" t="e">
        <f t="shared" si="9"/>
        <v>#REF!</v>
      </c>
      <c r="T171" s="209">
        <f t="shared" si="9"/>
        <v>0</v>
      </c>
      <c r="U171" s="209">
        <f t="shared" si="9"/>
        <v>0</v>
      </c>
      <c r="V171" s="209">
        <f t="shared" si="9"/>
        <v>0</v>
      </c>
      <c r="W171" s="209">
        <f t="shared" si="9"/>
        <v>0</v>
      </c>
      <c r="X171" s="209" t="e">
        <f t="shared" si="9"/>
        <v>#REF!</v>
      </c>
      <c r="Y171" s="209">
        <f t="shared" si="9"/>
        <v>0</v>
      </c>
      <c r="Z171" s="209">
        <f t="shared" si="9"/>
        <v>0</v>
      </c>
      <c r="AA171" s="209">
        <f t="shared" si="9"/>
        <v>0</v>
      </c>
      <c r="AB171" s="209">
        <f t="shared" si="9"/>
        <v>0</v>
      </c>
      <c r="AC171" s="209">
        <f t="shared" si="9"/>
        <v>0</v>
      </c>
      <c r="AD171" s="219">
        <f t="shared" si="9"/>
        <v>0</v>
      </c>
      <c r="AE171" s="219">
        <f t="shared" si="9"/>
        <v>0</v>
      </c>
      <c r="AF171" s="219">
        <f t="shared" si="9"/>
        <v>0</v>
      </c>
      <c r="AG171" s="219">
        <f t="shared" si="9"/>
        <v>0</v>
      </c>
      <c r="AH171" s="219">
        <f t="shared" si="9"/>
        <v>0</v>
      </c>
      <c r="AI171" s="219">
        <f t="shared" si="9"/>
        <v>0</v>
      </c>
      <c r="AJ171" s="219">
        <f t="shared" si="9"/>
        <v>0</v>
      </c>
      <c r="AK171" s="219">
        <f t="shared" si="9"/>
        <v>0</v>
      </c>
      <c r="AL171" s="219">
        <f t="shared" si="9"/>
        <v>0</v>
      </c>
      <c r="AM171" s="219">
        <f t="shared" si="9"/>
        <v>0</v>
      </c>
      <c r="AN171" s="219">
        <f t="shared" si="9"/>
        <v>0</v>
      </c>
      <c r="AO171" s="219">
        <f t="shared" si="9"/>
        <v>0</v>
      </c>
      <c r="AP171" s="219">
        <f t="shared" si="9"/>
        <v>0</v>
      </c>
      <c r="AQ171" s="219">
        <f t="shared" si="9"/>
        <v>0</v>
      </c>
      <c r="AR171" s="219">
        <f t="shared" si="9"/>
        <v>0</v>
      </c>
      <c r="AS171" s="219">
        <f t="shared" si="9"/>
        <v>0</v>
      </c>
      <c r="AT171" s="219">
        <f t="shared" si="9"/>
        <v>0</v>
      </c>
      <c r="AU171" s="219">
        <f t="shared" si="9"/>
        <v>0</v>
      </c>
      <c r="AV171" s="219">
        <f t="shared" si="9"/>
        <v>0</v>
      </c>
      <c r="AW171" s="44" t="str">
        <f t="shared" si="1"/>
        <v>h2</v>
      </c>
    </row>
    <row r="172" spans="3:49" ht="17.399999999999999">
      <c r="C172" s="105">
        <v>41</v>
      </c>
      <c r="D172" s="517" t="e">
        <f>НАСТРОЙКА!#REF!</f>
        <v>#REF!</v>
      </c>
      <c r="E172" s="205" t="s">
        <v>522</v>
      </c>
      <c r="F172" s="51" t="s">
        <v>809</v>
      </c>
      <c r="G172" s="38" t="s">
        <v>162</v>
      </c>
      <c r="H172" s="38"/>
      <c r="I172" s="38"/>
      <c r="J172" s="38"/>
      <c r="K172" s="38"/>
      <c r="L172" s="38"/>
      <c r="M172" s="216"/>
      <c r="N172" s="209" t="e">
        <f t="shared" si="3"/>
        <v>#REF!</v>
      </c>
      <c r="O172" s="209" t="e">
        <f t="shared" si="10"/>
        <v>#REF!</v>
      </c>
      <c r="P172" s="209" t="e">
        <f t="shared" si="9"/>
        <v>#REF!</v>
      </c>
      <c r="Q172" s="209" t="e">
        <f t="shared" si="9"/>
        <v>#REF!</v>
      </c>
      <c r="R172" s="209" t="e">
        <f t="shared" si="9"/>
        <v>#REF!</v>
      </c>
      <c r="S172" s="209" t="e">
        <f t="shared" ref="P172:AV179" si="11">S44-S108</f>
        <v>#REF!</v>
      </c>
      <c r="T172" s="209" t="e">
        <f t="shared" si="11"/>
        <v>#REF!</v>
      </c>
      <c r="U172" s="209" t="e">
        <f t="shared" si="11"/>
        <v>#REF!</v>
      </c>
      <c r="V172" s="209" t="e">
        <f t="shared" si="11"/>
        <v>#REF!</v>
      </c>
      <c r="W172" s="209" t="e">
        <f t="shared" si="11"/>
        <v>#REF!</v>
      </c>
      <c r="X172" s="209" t="e">
        <f t="shared" si="11"/>
        <v>#REF!</v>
      </c>
      <c r="Y172" s="209" t="e">
        <f t="shared" si="11"/>
        <v>#REF!</v>
      </c>
      <c r="Z172" s="209" t="e">
        <f t="shared" si="11"/>
        <v>#REF!</v>
      </c>
      <c r="AA172" s="209">
        <f t="shared" si="11"/>
        <v>0.21351414024282442</v>
      </c>
      <c r="AB172" s="209">
        <f t="shared" si="11"/>
        <v>0.20520339865598441</v>
      </c>
      <c r="AC172" s="209">
        <f t="shared" si="11"/>
        <v>0.14090210329698841</v>
      </c>
      <c r="AD172" s="219">
        <f t="shared" si="11"/>
        <v>0.13962673029629044</v>
      </c>
      <c r="AE172" s="219">
        <f t="shared" si="11"/>
        <v>0.15683614316944677</v>
      </c>
      <c r="AF172" s="219">
        <f t="shared" si="11"/>
        <v>0.15097764346053011</v>
      </c>
      <c r="AG172" s="219">
        <f t="shared" si="11"/>
        <v>0.15097764346053011</v>
      </c>
      <c r="AH172" s="219">
        <f t="shared" si="11"/>
        <v>0.15097764346053011</v>
      </c>
      <c r="AI172" s="219">
        <f t="shared" si="11"/>
        <v>0.15097764346053011</v>
      </c>
      <c r="AJ172" s="219">
        <f t="shared" si="11"/>
        <v>0.15097764346053011</v>
      </c>
      <c r="AK172" s="219">
        <f t="shared" si="11"/>
        <v>0.15097764346053011</v>
      </c>
      <c r="AL172" s="219">
        <f t="shared" si="11"/>
        <v>0.15097764346053011</v>
      </c>
      <c r="AM172" s="219">
        <f t="shared" si="11"/>
        <v>0.15097764346053011</v>
      </c>
      <c r="AN172" s="219">
        <f t="shared" si="11"/>
        <v>0.15097764346053011</v>
      </c>
      <c r="AO172" s="219">
        <f t="shared" si="11"/>
        <v>0.15097764346053011</v>
      </c>
      <c r="AP172" s="219">
        <f t="shared" si="11"/>
        <v>0.15097764346053011</v>
      </c>
      <c r="AQ172" s="219">
        <f t="shared" si="11"/>
        <v>0.15097764346053011</v>
      </c>
      <c r="AR172" s="219">
        <f t="shared" si="11"/>
        <v>0.15097764346053011</v>
      </c>
      <c r="AS172" s="219">
        <f t="shared" si="11"/>
        <v>0.15097764346053011</v>
      </c>
      <c r="AT172" s="219">
        <f t="shared" si="11"/>
        <v>0.15097764346053011</v>
      </c>
      <c r="AU172" s="219">
        <f t="shared" si="11"/>
        <v>0.15097764346053011</v>
      </c>
      <c r="AV172" s="219">
        <f t="shared" si="11"/>
        <v>0.15097764346053011</v>
      </c>
      <c r="AW172" s="44" t="str">
        <f t="shared" si="1"/>
        <v>h3</v>
      </c>
    </row>
    <row r="173" spans="3:49" ht="17.399999999999999">
      <c r="C173" s="105">
        <v>42</v>
      </c>
      <c r="D173" s="517" t="e">
        <f>НАСТРОЙКА!#REF!</f>
        <v>#REF!</v>
      </c>
      <c r="E173" s="205" t="s">
        <v>525</v>
      </c>
      <c r="F173" s="51" t="s">
        <v>809</v>
      </c>
      <c r="G173" s="38" t="s">
        <v>943</v>
      </c>
      <c r="H173" s="38"/>
      <c r="I173" s="38"/>
      <c r="J173" s="38"/>
      <c r="K173" s="38"/>
      <c r="L173" s="38"/>
      <c r="M173" s="216"/>
      <c r="N173" s="209" t="e">
        <f t="shared" si="3"/>
        <v>#REF!</v>
      </c>
      <c r="O173" s="209" t="e">
        <f t="shared" si="10"/>
        <v>#REF!</v>
      </c>
      <c r="P173" s="209" t="e">
        <f t="shared" si="11"/>
        <v>#REF!</v>
      </c>
      <c r="Q173" s="209" t="e">
        <f t="shared" si="11"/>
        <v>#REF!</v>
      </c>
      <c r="R173" s="209" t="e">
        <f t="shared" si="11"/>
        <v>#REF!</v>
      </c>
      <c r="S173" s="209">
        <f t="shared" si="11"/>
        <v>0.81079295129370244</v>
      </c>
      <c r="T173" s="209">
        <f t="shared" si="11"/>
        <v>0.79185444298052987</v>
      </c>
      <c r="U173" s="209">
        <f t="shared" si="11"/>
        <v>0.73449823043649232</v>
      </c>
      <c r="V173" s="209">
        <f t="shared" si="11"/>
        <v>0.76879131401291878</v>
      </c>
      <c r="W173" s="209">
        <f t="shared" si="11"/>
        <v>0.77088485418626529</v>
      </c>
      <c r="X173" s="209">
        <f t="shared" si="11"/>
        <v>0.75041459563565283</v>
      </c>
      <c r="Y173" s="209">
        <f t="shared" si="11"/>
        <v>0.75225769185650937</v>
      </c>
      <c r="Z173" s="209">
        <f t="shared" si="11"/>
        <v>0.79095843368721275</v>
      </c>
      <c r="AA173" s="209">
        <f t="shared" si="11"/>
        <v>0.73128446728809127</v>
      </c>
      <c r="AB173" s="209">
        <f t="shared" si="11"/>
        <v>0.7267341060917033</v>
      </c>
      <c r="AC173" s="209">
        <f t="shared" si="11"/>
        <v>0.76279143418974615</v>
      </c>
      <c r="AD173" s="219">
        <f t="shared" si="11"/>
        <v>0.77733560545308744</v>
      </c>
      <c r="AE173" s="219">
        <f t="shared" si="11"/>
        <v>0.77652676371780516</v>
      </c>
      <c r="AF173" s="219">
        <f t="shared" si="11"/>
        <v>0.79409561586638833</v>
      </c>
      <c r="AG173" s="219">
        <f t="shared" si="11"/>
        <v>0.77200000000000002</v>
      </c>
      <c r="AH173" s="219">
        <f t="shared" si="11"/>
        <v>0.76400000000000001</v>
      </c>
      <c r="AI173" s="219">
        <f t="shared" si="11"/>
        <v>0.75760000000000005</v>
      </c>
      <c r="AJ173" s="219">
        <f t="shared" si="11"/>
        <v>0.75248000000000004</v>
      </c>
      <c r="AK173" s="219">
        <f t="shared" si="11"/>
        <v>0.74838400000000005</v>
      </c>
      <c r="AL173" s="219">
        <f t="shared" si="11"/>
        <v>0.74510720000000008</v>
      </c>
      <c r="AM173" s="219">
        <f t="shared" si="11"/>
        <v>0.74248576000000011</v>
      </c>
      <c r="AN173" s="219">
        <f t="shared" si="11"/>
        <v>0.74038860800000017</v>
      </c>
      <c r="AO173" s="219">
        <f t="shared" si="11"/>
        <v>0.73871088640000027</v>
      </c>
      <c r="AP173" s="219">
        <f t="shared" si="11"/>
        <v>0.7373687091200003</v>
      </c>
      <c r="AQ173" s="219">
        <f t="shared" si="11"/>
        <v>0.7362949672960003</v>
      </c>
      <c r="AR173" s="219">
        <f t="shared" si="11"/>
        <v>0.73543597383680026</v>
      </c>
      <c r="AS173" s="219">
        <f t="shared" si="11"/>
        <v>0.73474877906944025</v>
      </c>
      <c r="AT173" s="219">
        <f t="shared" si="11"/>
        <v>0.7341990232555522</v>
      </c>
      <c r="AU173" s="219">
        <f t="shared" si="11"/>
        <v>0.73375921860444171</v>
      </c>
      <c r="AV173" s="219">
        <f t="shared" si="11"/>
        <v>0.73340737488355334</v>
      </c>
      <c r="AW173" s="44" t="str">
        <f t="shared" si="1"/>
        <v>h4</v>
      </c>
    </row>
    <row r="174" spans="3:49" ht="17.399999999999999">
      <c r="C174" s="365">
        <v>43</v>
      </c>
      <c r="D174" s="517"/>
      <c r="E174" s="205" t="s">
        <v>528</v>
      </c>
      <c r="F174" s="51" t="s">
        <v>809</v>
      </c>
      <c r="G174" s="38" t="s">
        <v>944</v>
      </c>
      <c r="H174" s="38"/>
      <c r="I174" s="38"/>
      <c r="J174" s="38"/>
      <c r="K174" s="38"/>
      <c r="L174" s="38"/>
      <c r="M174" s="216"/>
      <c r="N174" s="209" t="e">
        <f t="shared" si="3"/>
        <v>#REF!</v>
      </c>
      <c r="O174" s="209" t="e">
        <f t="shared" si="10"/>
        <v>#REF!</v>
      </c>
      <c r="P174" s="209" t="e">
        <f t="shared" si="11"/>
        <v>#VALUE!</v>
      </c>
      <c r="Q174" s="209">
        <f t="shared" si="11"/>
        <v>0</v>
      </c>
      <c r="R174" s="209" t="e">
        <f t="shared" si="11"/>
        <v>#REF!</v>
      </c>
      <c r="S174" s="209" t="e">
        <f t="shared" si="11"/>
        <v>#REF!</v>
      </c>
      <c r="T174" s="209" t="e">
        <f t="shared" si="11"/>
        <v>#REF!</v>
      </c>
      <c r="U174" s="209">
        <f t="shared" si="11"/>
        <v>0</v>
      </c>
      <c r="V174" s="209">
        <f t="shared" si="11"/>
        <v>0</v>
      </c>
      <c r="W174" s="209">
        <f t="shared" si="11"/>
        <v>0</v>
      </c>
      <c r="X174" s="209">
        <f t="shared" si="11"/>
        <v>0</v>
      </c>
      <c r="Y174" s="209">
        <f t="shared" si="11"/>
        <v>0</v>
      </c>
      <c r="Z174" s="209">
        <f t="shared" si="11"/>
        <v>0</v>
      </c>
      <c r="AA174" s="209">
        <f t="shared" si="11"/>
        <v>0</v>
      </c>
      <c r="AB174" s="209">
        <f t="shared" si="11"/>
        <v>0</v>
      </c>
      <c r="AC174" s="209">
        <f t="shared" si="11"/>
        <v>0</v>
      </c>
      <c r="AD174" s="219">
        <f t="shared" si="11"/>
        <v>0</v>
      </c>
      <c r="AE174" s="219">
        <f t="shared" si="11"/>
        <v>0</v>
      </c>
      <c r="AF174" s="219">
        <f t="shared" si="11"/>
        <v>0</v>
      </c>
      <c r="AG174" s="219">
        <f t="shared" si="11"/>
        <v>0</v>
      </c>
      <c r="AH174" s="219">
        <f t="shared" si="11"/>
        <v>0</v>
      </c>
      <c r="AI174" s="219">
        <f t="shared" si="11"/>
        <v>0</v>
      </c>
      <c r="AJ174" s="219">
        <f t="shared" si="11"/>
        <v>0</v>
      </c>
      <c r="AK174" s="219">
        <f t="shared" si="11"/>
        <v>0</v>
      </c>
      <c r="AL174" s="219">
        <f t="shared" si="11"/>
        <v>0</v>
      </c>
      <c r="AM174" s="219">
        <f t="shared" si="11"/>
        <v>0</v>
      </c>
      <c r="AN174" s="219">
        <f t="shared" si="11"/>
        <v>0</v>
      </c>
      <c r="AO174" s="219">
        <f t="shared" si="11"/>
        <v>0</v>
      </c>
      <c r="AP174" s="219">
        <f t="shared" si="11"/>
        <v>0</v>
      </c>
      <c r="AQ174" s="219">
        <f t="shared" si="11"/>
        <v>0</v>
      </c>
      <c r="AR174" s="219">
        <f t="shared" si="11"/>
        <v>0</v>
      </c>
      <c r="AS174" s="219">
        <f t="shared" si="11"/>
        <v>0</v>
      </c>
      <c r="AT174" s="219">
        <f t="shared" si="11"/>
        <v>0</v>
      </c>
      <c r="AU174" s="219">
        <f t="shared" si="11"/>
        <v>0</v>
      </c>
      <c r="AV174" s="219">
        <f t="shared" si="11"/>
        <v>0</v>
      </c>
      <c r="AW174" s="44" t="str">
        <f t="shared" si="1"/>
        <v>h5</v>
      </c>
    </row>
    <row r="175" spans="3:49" ht="17.399999999999999">
      <c r="C175" s="365">
        <v>44</v>
      </c>
      <c r="D175" s="517" t="e">
        <f>НАСТРОЙКА!#REF!</f>
        <v>#REF!</v>
      </c>
      <c r="E175" s="205" t="s">
        <v>531</v>
      </c>
      <c r="F175" s="51" t="s">
        <v>809</v>
      </c>
      <c r="G175" s="38" t="s">
        <v>1347</v>
      </c>
      <c r="H175" s="38"/>
      <c r="I175" s="38"/>
      <c r="J175" s="38"/>
      <c r="K175" s="38"/>
      <c r="L175" s="38"/>
      <c r="M175" s="216"/>
      <c r="N175" s="209">
        <f t="shared" si="3"/>
        <v>0</v>
      </c>
      <c r="O175" s="209">
        <f t="shared" si="10"/>
        <v>0</v>
      </c>
      <c r="P175" s="209" t="e">
        <f t="shared" si="11"/>
        <v>#VALUE!</v>
      </c>
      <c r="Q175" s="209">
        <f t="shared" si="11"/>
        <v>0</v>
      </c>
      <c r="R175" s="209">
        <f t="shared" si="11"/>
        <v>0</v>
      </c>
      <c r="S175" s="209" t="e">
        <f t="shared" si="11"/>
        <v>#REF!</v>
      </c>
      <c r="T175" s="209" t="e">
        <f t="shared" si="11"/>
        <v>#REF!</v>
      </c>
      <c r="U175" s="209">
        <f t="shared" si="11"/>
        <v>0</v>
      </c>
      <c r="V175" s="209">
        <f t="shared" si="11"/>
        <v>0</v>
      </c>
      <c r="W175" s="209">
        <f t="shared" si="11"/>
        <v>0</v>
      </c>
      <c r="X175" s="209">
        <f t="shared" si="11"/>
        <v>0</v>
      </c>
      <c r="Y175" s="209">
        <f t="shared" si="11"/>
        <v>0</v>
      </c>
      <c r="Z175" s="209">
        <f t="shared" si="11"/>
        <v>0</v>
      </c>
      <c r="AA175" s="209">
        <f t="shared" si="11"/>
        <v>0</v>
      </c>
      <c r="AB175" s="209">
        <f t="shared" si="11"/>
        <v>0</v>
      </c>
      <c r="AC175" s="209">
        <f t="shared" si="11"/>
        <v>0</v>
      </c>
      <c r="AD175" s="219">
        <f t="shared" si="11"/>
        <v>0</v>
      </c>
      <c r="AE175" s="219">
        <f t="shared" si="11"/>
        <v>0</v>
      </c>
      <c r="AF175" s="219">
        <f t="shared" si="11"/>
        <v>0</v>
      </c>
      <c r="AG175" s="219">
        <f t="shared" si="11"/>
        <v>0</v>
      </c>
      <c r="AH175" s="219">
        <f t="shared" si="11"/>
        <v>0</v>
      </c>
      <c r="AI175" s="219">
        <f t="shared" si="11"/>
        <v>0</v>
      </c>
      <c r="AJ175" s="219">
        <f t="shared" si="11"/>
        <v>0</v>
      </c>
      <c r="AK175" s="219">
        <f t="shared" si="11"/>
        <v>0</v>
      </c>
      <c r="AL175" s="219">
        <f t="shared" si="11"/>
        <v>0</v>
      </c>
      <c r="AM175" s="219">
        <f t="shared" si="11"/>
        <v>0</v>
      </c>
      <c r="AN175" s="219">
        <f t="shared" si="11"/>
        <v>0</v>
      </c>
      <c r="AO175" s="219">
        <f t="shared" si="11"/>
        <v>0</v>
      </c>
      <c r="AP175" s="219">
        <f t="shared" si="11"/>
        <v>0</v>
      </c>
      <c r="AQ175" s="219">
        <f t="shared" si="11"/>
        <v>0</v>
      </c>
      <c r="AR175" s="219">
        <f t="shared" si="11"/>
        <v>0</v>
      </c>
      <c r="AS175" s="219">
        <f t="shared" si="11"/>
        <v>0</v>
      </c>
      <c r="AT175" s="219">
        <f t="shared" si="11"/>
        <v>0</v>
      </c>
      <c r="AU175" s="219">
        <f t="shared" si="11"/>
        <v>0</v>
      </c>
      <c r="AV175" s="219">
        <f t="shared" si="11"/>
        <v>0</v>
      </c>
      <c r="AW175" s="44" t="str">
        <f t="shared" si="1"/>
        <v>h6</v>
      </c>
    </row>
    <row r="176" spans="3:49" ht="17.399999999999999">
      <c r="C176" s="365">
        <v>45</v>
      </c>
      <c r="D176" s="517" t="e">
        <f>НАСТРОЙКА!#REF!</f>
        <v>#REF!</v>
      </c>
      <c r="E176" s="205" t="s">
        <v>534</v>
      </c>
      <c r="F176" s="51" t="s">
        <v>809</v>
      </c>
      <c r="G176" s="38" t="s">
        <v>1348</v>
      </c>
      <c r="H176" s="38"/>
      <c r="I176" s="38"/>
      <c r="J176" s="38"/>
      <c r="K176" s="38"/>
      <c r="L176" s="38"/>
      <c r="M176" s="216"/>
      <c r="N176" s="209" t="e">
        <f t="shared" si="3"/>
        <v>#REF!</v>
      </c>
      <c r="O176" s="209" t="e">
        <f t="shared" si="10"/>
        <v>#REF!</v>
      </c>
      <c r="P176" s="209">
        <f t="shared" si="11"/>
        <v>0</v>
      </c>
      <c r="Q176" s="209">
        <f t="shared" si="11"/>
        <v>0</v>
      </c>
      <c r="R176" s="209" t="e">
        <f t="shared" si="11"/>
        <v>#REF!</v>
      </c>
      <c r="S176" s="209">
        <f t="shared" si="11"/>
        <v>0</v>
      </c>
      <c r="T176" s="209">
        <f t="shared" si="11"/>
        <v>0</v>
      </c>
      <c r="U176" s="209">
        <f t="shared" si="11"/>
        <v>0</v>
      </c>
      <c r="V176" s="209">
        <f t="shared" si="11"/>
        <v>0</v>
      </c>
      <c r="W176" s="209">
        <f t="shared" si="11"/>
        <v>0</v>
      </c>
      <c r="X176" s="209">
        <f t="shared" si="11"/>
        <v>0</v>
      </c>
      <c r="Y176" s="209">
        <f t="shared" si="11"/>
        <v>0</v>
      </c>
      <c r="Z176" s="209">
        <f t="shared" si="11"/>
        <v>0</v>
      </c>
      <c r="AA176" s="209">
        <f t="shared" si="11"/>
        <v>0</v>
      </c>
      <c r="AB176" s="209">
        <f t="shared" si="11"/>
        <v>0</v>
      </c>
      <c r="AC176" s="209">
        <f t="shared" si="11"/>
        <v>0</v>
      </c>
      <c r="AD176" s="219">
        <f t="shared" si="11"/>
        <v>0</v>
      </c>
      <c r="AE176" s="219">
        <f t="shared" si="11"/>
        <v>0</v>
      </c>
      <c r="AF176" s="219">
        <f t="shared" si="11"/>
        <v>0</v>
      </c>
      <c r="AG176" s="219">
        <f t="shared" si="11"/>
        <v>0</v>
      </c>
      <c r="AH176" s="219">
        <f t="shared" si="11"/>
        <v>0</v>
      </c>
      <c r="AI176" s="219">
        <f t="shared" si="11"/>
        <v>0</v>
      </c>
      <c r="AJ176" s="219">
        <f t="shared" si="11"/>
        <v>0</v>
      </c>
      <c r="AK176" s="219">
        <f t="shared" si="11"/>
        <v>0</v>
      </c>
      <c r="AL176" s="219">
        <f t="shared" si="11"/>
        <v>0</v>
      </c>
      <c r="AM176" s="219">
        <f t="shared" si="11"/>
        <v>0</v>
      </c>
      <c r="AN176" s="219">
        <f t="shared" si="11"/>
        <v>0</v>
      </c>
      <c r="AO176" s="219">
        <f t="shared" si="11"/>
        <v>0</v>
      </c>
      <c r="AP176" s="219">
        <f t="shared" si="11"/>
        <v>0</v>
      </c>
      <c r="AQ176" s="219">
        <f t="shared" si="11"/>
        <v>0</v>
      </c>
      <c r="AR176" s="219">
        <f t="shared" si="11"/>
        <v>0</v>
      </c>
      <c r="AS176" s="219">
        <f t="shared" si="11"/>
        <v>0</v>
      </c>
      <c r="AT176" s="219">
        <f t="shared" si="11"/>
        <v>0</v>
      </c>
      <c r="AU176" s="219">
        <f t="shared" si="11"/>
        <v>0</v>
      </c>
      <c r="AV176" s="219">
        <f t="shared" si="11"/>
        <v>0</v>
      </c>
      <c r="AW176" s="44" t="str">
        <f t="shared" si="1"/>
        <v>h7</v>
      </c>
    </row>
    <row r="177" spans="3:49" ht="17.399999999999999">
      <c r="C177" s="105">
        <v>46</v>
      </c>
      <c r="D177" s="517" t="e">
        <f>НАСТРОЙКА!#REF!</f>
        <v>#REF!</v>
      </c>
      <c r="E177" s="205" t="s">
        <v>947</v>
      </c>
      <c r="F177" s="51" t="s">
        <v>809</v>
      </c>
      <c r="G177" s="38" t="s">
        <v>23</v>
      </c>
      <c r="H177" s="38"/>
      <c r="I177" s="38"/>
      <c r="J177" s="38"/>
      <c r="K177" s="38"/>
      <c r="L177" s="38"/>
      <c r="M177" s="216"/>
      <c r="N177" s="209" t="e">
        <f t="shared" si="3"/>
        <v>#VALUE!</v>
      </c>
      <c r="O177" s="209">
        <f t="shared" si="10"/>
        <v>5.6403097081596187E-2</v>
      </c>
      <c r="P177" s="209">
        <f t="shared" si="11"/>
        <v>5.8051894074337966E-2</v>
      </c>
      <c r="Q177" s="209" t="e">
        <f t="shared" si="11"/>
        <v>#VALUE!</v>
      </c>
      <c r="R177" s="209">
        <f t="shared" si="11"/>
        <v>4.0363501862149896E-2</v>
      </c>
      <c r="S177" s="209">
        <f t="shared" si="11"/>
        <v>4.0829089856989333E-2</v>
      </c>
      <c r="T177" s="209" t="e">
        <f t="shared" si="11"/>
        <v>#REF!</v>
      </c>
      <c r="U177" s="209">
        <f t="shared" si="11"/>
        <v>3.9072208630734691E-2</v>
      </c>
      <c r="V177" s="209">
        <f t="shared" si="11"/>
        <v>3.202582607019723E-2</v>
      </c>
      <c r="W177" s="209">
        <f t="shared" si="11"/>
        <v>2.04341113685013E-2</v>
      </c>
      <c r="X177" s="209">
        <f t="shared" si="11"/>
        <v>1.8457780112713727E-2</v>
      </c>
      <c r="Y177" s="209">
        <f t="shared" si="11"/>
        <v>1.633557374216708E-2</v>
      </c>
      <c r="Z177" s="209">
        <f t="shared" si="11"/>
        <v>1.5488549426277757E-2</v>
      </c>
      <c r="AA177" s="209">
        <f t="shared" si="11"/>
        <v>1.3521457101375223E-2</v>
      </c>
      <c r="AB177" s="209">
        <f t="shared" si="11"/>
        <v>1.2813182945727633E-2</v>
      </c>
      <c r="AC177" s="209">
        <f t="shared" si="11"/>
        <v>1.1708861392575997E-2</v>
      </c>
      <c r="AD177" s="219">
        <f t="shared" si="11"/>
        <v>1.1223210374134759E-2</v>
      </c>
      <c r="AE177" s="219">
        <f t="shared" si="11"/>
        <v>1.0834689559381768E-2</v>
      </c>
      <c r="AF177" s="219">
        <f t="shared" si="11"/>
        <v>1.0523872907579376E-2</v>
      </c>
      <c r="AG177" s="219">
        <f t="shared" si="11"/>
        <v>1.0275219586137464E-2</v>
      </c>
      <c r="AH177" s="219">
        <f t="shared" si="11"/>
        <v>1.0026566264695551E-2</v>
      </c>
      <c r="AI177" s="219">
        <f t="shared" si="11"/>
        <v>9.7779129432536381E-3</v>
      </c>
      <c r="AJ177" s="219">
        <f t="shared" si="11"/>
        <v>9.7779129432536381E-3</v>
      </c>
      <c r="AK177" s="219">
        <f t="shared" si="11"/>
        <v>9.7779129432536381E-3</v>
      </c>
      <c r="AL177" s="219">
        <f t="shared" si="11"/>
        <v>9.7779129432536381E-3</v>
      </c>
      <c r="AM177" s="219">
        <f t="shared" si="11"/>
        <v>9.7779129432536381E-3</v>
      </c>
      <c r="AN177" s="219">
        <f t="shared" si="11"/>
        <v>9.7779129432536381E-3</v>
      </c>
      <c r="AO177" s="219">
        <f t="shared" si="11"/>
        <v>9.7779129432536381E-3</v>
      </c>
      <c r="AP177" s="219">
        <f t="shared" si="11"/>
        <v>9.7779129432536381E-3</v>
      </c>
      <c r="AQ177" s="219">
        <f t="shared" si="11"/>
        <v>9.7779129432536381E-3</v>
      </c>
      <c r="AR177" s="219">
        <f t="shared" si="11"/>
        <v>9.7779129432536381E-3</v>
      </c>
      <c r="AS177" s="219">
        <f t="shared" si="11"/>
        <v>9.7779129432536381E-3</v>
      </c>
      <c r="AT177" s="219">
        <f t="shared" si="11"/>
        <v>9.7779129432536381E-3</v>
      </c>
      <c r="AU177" s="219">
        <f t="shared" si="11"/>
        <v>9.7779129432536381E-3</v>
      </c>
      <c r="AV177" s="219">
        <f t="shared" si="11"/>
        <v>9.7779129432536381E-3</v>
      </c>
      <c r="AW177" s="44" t="str">
        <f t="shared" si="1"/>
        <v>g</v>
      </c>
    </row>
    <row r="178" spans="3:49" ht="17.399999999999999">
      <c r="C178" s="105">
        <v>47</v>
      </c>
      <c r="D178" s="517">
        <f>НАСТРОЙКА!AW255</f>
        <v>0</v>
      </c>
      <c r="E178" s="205" t="s">
        <v>586</v>
      </c>
      <c r="F178" s="51" t="s">
        <v>809</v>
      </c>
      <c r="G178" s="38" t="s">
        <v>950</v>
      </c>
      <c r="H178" s="38"/>
      <c r="I178" s="38"/>
      <c r="J178" s="38"/>
      <c r="K178" s="38"/>
      <c r="L178" s="38"/>
      <c r="M178" s="216"/>
      <c r="N178" s="209">
        <f t="shared" si="3"/>
        <v>0.27816166467080888</v>
      </c>
      <c r="O178" s="209">
        <f t="shared" si="10"/>
        <v>0.30377623832039924</v>
      </c>
      <c r="P178" s="209">
        <f t="shared" si="11"/>
        <v>0.26117813318403943</v>
      </c>
      <c r="Q178" s="209">
        <f t="shared" si="11"/>
        <v>0.25161546729373147</v>
      </c>
      <c r="R178" s="209" t="e">
        <f t="shared" si="11"/>
        <v>#REF!</v>
      </c>
      <c r="S178" s="209">
        <f t="shared" si="11"/>
        <v>0.30006990710858972</v>
      </c>
      <c r="T178" s="209">
        <f t="shared" si="11"/>
        <v>0.32527321790330338</v>
      </c>
      <c r="U178" s="209">
        <f t="shared" si="11"/>
        <v>0.31334242432928466</v>
      </c>
      <c r="V178" s="209">
        <f t="shared" si="11"/>
        <v>0.31889581974440651</v>
      </c>
      <c r="W178" s="209">
        <f t="shared" si="11"/>
        <v>0.39702420648664605</v>
      </c>
      <c r="X178" s="209">
        <f t="shared" si="11"/>
        <v>0.39475872109052162</v>
      </c>
      <c r="Y178" s="209">
        <f t="shared" si="11"/>
        <v>0.40208306466662297</v>
      </c>
      <c r="Z178" s="209">
        <f t="shared" si="11"/>
        <v>0.38772000068261031</v>
      </c>
      <c r="AA178" s="209">
        <f t="shared" si="11"/>
        <v>0.35044252977777157</v>
      </c>
      <c r="AB178" s="209">
        <f t="shared" si="11"/>
        <v>0.34619747575290699</v>
      </c>
      <c r="AC178" s="209">
        <f t="shared" si="11"/>
        <v>0.37263593566999492</v>
      </c>
      <c r="AD178" s="219">
        <f t="shared" si="11"/>
        <v>0.37134614707263147</v>
      </c>
      <c r="AE178" s="219">
        <f t="shared" si="11"/>
        <v>0.36928030022616676</v>
      </c>
      <c r="AF178" s="219">
        <f t="shared" si="11"/>
        <v>0.37484175087947302</v>
      </c>
      <c r="AG178" s="219">
        <f t="shared" si="11"/>
        <v>0.38484175087947303</v>
      </c>
      <c r="AH178" s="219">
        <f t="shared" si="11"/>
        <v>0.38484175087947303</v>
      </c>
      <c r="AI178" s="219">
        <f t="shared" si="11"/>
        <v>0.38484175087947303</v>
      </c>
      <c r="AJ178" s="219">
        <f t="shared" si="11"/>
        <v>0.38484175087947303</v>
      </c>
      <c r="AK178" s="219">
        <f t="shared" si="11"/>
        <v>0.38484175087947303</v>
      </c>
      <c r="AL178" s="219">
        <f t="shared" si="11"/>
        <v>0.38484175087947303</v>
      </c>
      <c r="AM178" s="219">
        <f t="shared" si="11"/>
        <v>0.38484175087947303</v>
      </c>
      <c r="AN178" s="219">
        <f t="shared" si="11"/>
        <v>0.38484175087947303</v>
      </c>
      <c r="AO178" s="219">
        <f t="shared" si="11"/>
        <v>0.38484175087947303</v>
      </c>
      <c r="AP178" s="219">
        <f t="shared" si="11"/>
        <v>0.38484175087947303</v>
      </c>
      <c r="AQ178" s="219">
        <f t="shared" si="11"/>
        <v>0.38484175087947303</v>
      </c>
      <c r="AR178" s="219">
        <f t="shared" si="11"/>
        <v>0.38484175087947303</v>
      </c>
      <c r="AS178" s="219">
        <f t="shared" si="11"/>
        <v>0.38484175087947303</v>
      </c>
      <c r="AT178" s="219">
        <f t="shared" si="11"/>
        <v>0.38484175087947303</v>
      </c>
      <c r="AU178" s="219">
        <f t="shared" si="11"/>
        <v>0.38484175087947303</v>
      </c>
      <c r="AV178" s="219">
        <f t="shared" si="11"/>
        <v>0.38484175087947303</v>
      </c>
      <c r="AW178" s="44" t="str">
        <f t="shared" si="1"/>
        <v>d</v>
      </c>
    </row>
    <row r="179" spans="3:49" ht="17.399999999999999">
      <c r="C179" s="105">
        <v>48</v>
      </c>
      <c r="D179" s="517">
        <f>НАСТРОЙКА!AX255</f>
        <v>0</v>
      </c>
      <c r="E179" s="205" t="s">
        <v>810</v>
      </c>
      <c r="F179" s="51" t="s">
        <v>809</v>
      </c>
      <c r="G179" s="38" t="s">
        <v>949</v>
      </c>
      <c r="H179" s="38"/>
      <c r="I179" s="38"/>
      <c r="J179" s="38"/>
      <c r="K179" s="38"/>
      <c r="L179" s="38"/>
      <c r="M179" s="216"/>
      <c r="N179" s="209" t="e">
        <f t="shared" si="3"/>
        <v>#REF!</v>
      </c>
      <c r="O179" s="209" t="e">
        <f t="shared" si="10"/>
        <v>#REF!</v>
      </c>
      <c r="P179" s="209" t="e">
        <f t="shared" si="11"/>
        <v>#REF!</v>
      </c>
      <c r="Q179" s="209">
        <f t="shared" si="11"/>
        <v>0.26082091121911194</v>
      </c>
      <c r="R179" s="209" t="e">
        <f t="shared" si="11"/>
        <v>#REF!</v>
      </c>
      <c r="S179" s="209">
        <f t="shared" si="11"/>
        <v>0.27051799130250104</v>
      </c>
      <c r="T179" s="209">
        <f t="shared" si="11"/>
        <v>0.31631692817415186</v>
      </c>
      <c r="U179" s="209" t="e">
        <f t="shared" si="11"/>
        <v>#REF!</v>
      </c>
      <c r="V179" s="209">
        <f t="shared" si="11"/>
        <v>0.27424958276588063</v>
      </c>
      <c r="W179" s="209">
        <f t="shared" si="11"/>
        <v>0.31562582203865192</v>
      </c>
      <c r="X179" s="209">
        <f t="shared" si="11"/>
        <v>0.31114675985594847</v>
      </c>
      <c r="Y179" s="209">
        <f t="shared" si="11"/>
        <v>0.34223846853003126</v>
      </c>
      <c r="Z179" s="209">
        <f t="shared" si="11"/>
        <v>0.33897422577496544</v>
      </c>
      <c r="AA179" s="209">
        <f t="shared" si="11"/>
        <v>0.41353903767234651</v>
      </c>
      <c r="AB179" s="209">
        <f t="shared" si="11"/>
        <v>0.38042010436044621</v>
      </c>
      <c r="AC179" s="209">
        <f t="shared" si="11"/>
        <v>0.35725550597673883</v>
      </c>
      <c r="AD179" s="219">
        <f t="shared" si="11"/>
        <v>0.36711625246134028</v>
      </c>
      <c r="AE179" s="219">
        <f t="shared" si="11"/>
        <v>0.38209490543147689</v>
      </c>
      <c r="AF179" s="219">
        <f t="shared" si="11"/>
        <v>0.38668424679020369</v>
      </c>
      <c r="AG179" s="219">
        <f t="shared" si="11"/>
        <v>0.39</v>
      </c>
      <c r="AH179" s="219">
        <f t="shared" si="11"/>
        <v>0.39</v>
      </c>
      <c r="AI179" s="219">
        <f t="shared" si="11"/>
        <v>0.39</v>
      </c>
      <c r="AJ179" s="219">
        <f t="shared" si="11"/>
        <v>0.39</v>
      </c>
      <c r="AK179" s="219">
        <f t="shared" si="11"/>
        <v>0.39</v>
      </c>
      <c r="AL179" s="219">
        <f t="shared" si="11"/>
        <v>0.39</v>
      </c>
      <c r="AM179" s="219">
        <f t="shared" si="11"/>
        <v>0.39</v>
      </c>
      <c r="AN179" s="219">
        <f t="shared" si="11"/>
        <v>0.39</v>
      </c>
      <c r="AO179" s="219">
        <f t="shared" si="11"/>
        <v>0.39</v>
      </c>
      <c r="AP179" s="219">
        <f t="shared" si="11"/>
        <v>0.39</v>
      </c>
      <c r="AQ179" s="219">
        <f t="shared" ref="P179:AV187" si="12">AQ51-AQ115</f>
        <v>0.39</v>
      </c>
      <c r="AR179" s="219">
        <f t="shared" si="12"/>
        <v>0.39</v>
      </c>
      <c r="AS179" s="219">
        <f t="shared" si="12"/>
        <v>0.39</v>
      </c>
      <c r="AT179" s="219">
        <f t="shared" si="12"/>
        <v>0.39</v>
      </c>
      <c r="AU179" s="219">
        <f t="shared" si="12"/>
        <v>0.39</v>
      </c>
      <c r="AV179" s="219">
        <f t="shared" si="12"/>
        <v>0.39</v>
      </c>
      <c r="AW179" s="44" t="str">
        <f t="shared" si="1"/>
        <v>r</v>
      </c>
    </row>
    <row r="180" spans="3:49" ht="17.399999999999999">
      <c r="C180" s="105">
        <v>49</v>
      </c>
      <c r="D180" s="517" t="e">
        <f>НАСТРОЙКА!#REF!</f>
        <v>#REF!</v>
      </c>
      <c r="E180" s="205" t="s">
        <v>628</v>
      </c>
      <c r="F180" s="51" t="s">
        <v>809</v>
      </c>
      <c r="G180" s="38" t="s">
        <v>22</v>
      </c>
      <c r="H180" s="38"/>
      <c r="I180" s="38"/>
      <c r="J180" s="38"/>
      <c r="K180" s="38"/>
      <c r="L180" s="38"/>
      <c r="M180" s="216"/>
      <c r="N180" s="209">
        <f t="shared" si="3"/>
        <v>2.7958204381156079E-2</v>
      </c>
      <c r="O180" s="209">
        <f t="shared" si="10"/>
        <v>2.9747212180728889E-2</v>
      </c>
      <c r="P180" s="209">
        <f t="shared" si="12"/>
        <v>-1.0512157616833476E-2</v>
      </c>
      <c r="Q180" s="209">
        <f t="shared" si="12"/>
        <v>-1.8366803715713885E-2</v>
      </c>
      <c r="R180" s="209">
        <f t="shared" si="12"/>
        <v>9.4033448320917194E-3</v>
      </c>
      <c r="S180" s="209">
        <f t="shared" si="12"/>
        <v>1.5435898035414669E-2</v>
      </c>
      <c r="T180" s="209">
        <f t="shared" si="12"/>
        <v>1.0420706842907277E-2</v>
      </c>
      <c r="U180" s="209">
        <f t="shared" si="12"/>
        <v>1.1378312982583559E-2</v>
      </c>
      <c r="V180" s="209">
        <f t="shared" si="12"/>
        <v>1.1495203825421829E-2</v>
      </c>
      <c r="W180" s="209">
        <f t="shared" si="12"/>
        <v>1.1017693783579027E-2</v>
      </c>
      <c r="X180" s="209">
        <f t="shared" si="12"/>
        <v>1.164388659610574E-2</v>
      </c>
      <c r="Y180" s="209">
        <f t="shared" si="12"/>
        <v>1.4011430848958683E-2</v>
      </c>
      <c r="Z180" s="209">
        <f t="shared" si="12"/>
        <v>1.4635325905782108E-2</v>
      </c>
      <c r="AA180" s="209">
        <f t="shared" si="12"/>
        <v>-2.5634571644029994E-2</v>
      </c>
      <c r="AB180" s="209">
        <f t="shared" si="12"/>
        <v>-7.157309506491928E-3</v>
      </c>
      <c r="AC180" s="209">
        <f t="shared" si="12"/>
        <v>4.642414228178471E-3</v>
      </c>
      <c r="AD180" s="219">
        <f t="shared" si="12"/>
        <v>4.9478788555848852E-4</v>
      </c>
      <c r="AE180" s="219">
        <f t="shared" si="12"/>
        <v>-9.1361415038074684E-3</v>
      </c>
      <c r="AF180" s="219">
        <f t="shared" si="12"/>
        <v>-1.4760121332373852E-2</v>
      </c>
      <c r="AG180" s="219">
        <f t="shared" si="12"/>
        <v>-8.0000000000000002E-3</v>
      </c>
      <c r="AH180" s="219">
        <f t="shared" si="12"/>
        <v>8.9999999999999993E-3</v>
      </c>
      <c r="AI180" s="219">
        <f t="shared" si="12"/>
        <v>1.0999999999999999E-2</v>
      </c>
      <c r="AJ180" s="219">
        <f t="shared" si="12"/>
        <v>1.0999999999999999E-2</v>
      </c>
      <c r="AK180" s="219">
        <f t="shared" si="12"/>
        <v>1.0999999999999999E-2</v>
      </c>
      <c r="AL180" s="219">
        <f t="shared" si="12"/>
        <v>1.0999999999999999E-2</v>
      </c>
      <c r="AM180" s="219">
        <f t="shared" si="12"/>
        <v>1.0999999999999999E-2</v>
      </c>
      <c r="AN180" s="219">
        <f t="shared" si="12"/>
        <v>1.0999999999999999E-2</v>
      </c>
      <c r="AO180" s="219">
        <f t="shared" si="12"/>
        <v>1.0999999999999999E-2</v>
      </c>
      <c r="AP180" s="219">
        <f t="shared" si="12"/>
        <v>1.0999999999999999E-2</v>
      </c>
      <c r="AQ180" s="219">
        <f t="shared" si="12"/>
        <v>1.0999999999999999E-2</v>
      </c>
      <c r="AR180" s="219">
        <f t="shared" si="12"/>
        <v>1.0999999999999999E-2</v>
      </c>
      <c r="AS180" s="219">
        <f t="shared" si="12"/>
        <v>1.0999999999999999E-2</v>
      </c>
      <c r="AT180" s="219">
        <f t="shared" si="12"/>
        <v>1.0999999999999999E-2</v>
      </c>
      <c r="AU180" s="219">
        <f t="shared" si="12"/>
        <v>1.0999999999999999E-2</v>
      </c>
      <c r="AV180" s="219">
        <f t="shared" si="12"/>
        <v>1.0999999999999999E-2</v>
      </c>
      <c r="AW180" s="44" t="str">
        <f t="shared" si="1"/>
        <v>eS</v>
      </c>
    </row>
    <row r="181" spans="3:49" ht="17.399999999999999">
      <c r="C181" s="105">
        <v>50</v>
      </c>
      <c r="D181" s="519">
        <f>'ДОХОДЫ НС'!AB130</f>
        <v>0</v>
      </c>
      <c r="E181" s="205" t="s">
        <v>107</v>
      </c>
      <c r="F181" s="51" t="s">
        <v>809</v>
      </c>
      <c r="G181" s="38" t="s">
        <v>109</v>
      </c>
      <c r="H181" s="38"/>
      <c r="I181" s="38"/>
      <c r="J181" s="38"/>
      <c r="K181" s="38"/>
      <c r="L181" s="38"/>
      <c r="M181" s="216"/>
      <c r="N181" s="209">
        <f t="shared" si="3"/>
        <v>0.26390378728192782</v>
      </c>
      <c r="O181" s="209">
        <f t="shared" si="10"/>
        <v>0.2748882770104617</v>
      </c>
      <c r="P181" s="209">
        <f t="shared" si="12"/>
        <v>0.27014591073472544</v>
      </c>
      <c r="Q181" s="209">
        <f t="shared" si="12"/>
        <v>0.16917775593934054</v>
      </c>
      <c r="R181" s="209">
        <f t="shared" si="12"/>
        <v>0.19664547860075432</v>
      </c>
      <c r="S181" s="209">
        <f t="shared" si="12"/>
        <v>0.18172846925747252</v>
      </c>
      <c r="T181" s="209" t="e">
        <f t="shared" si="12"/>
        <v>#REF!</v>
      </c>
      <c r="U181" s="209" t="e">
        <f t="shared" si="12"/>
        <v>#REF!</v>
      </c>
      <c r="V181" s="209">
        <f t="shared" si="12"/>
        <v>0.20362889412419991</v>
      </c>
      <c r="W181" s="209">
        <f t="shared" si="12"/>
        <v>0.19973857695478286</v>
      </c>
      <c r="X181" s="209">
        <f t="shared" si="12"/>
        <v>0.20107749480509063</v>
      </c>
      <c r="Y181" s="209">
        <f t="shared" si="12"/>
        <v>0.18715506526272721</v>
      </c>
      <c r="Z181" s="209">
        <f t="shared" si="12"/>
        <v>0.1907508130412558</v>
      </c>
      <c r="AA181" s="209">
        <f t="shared" si="12"/>
        <v>0.23350703954320939</v>
      </c>
      <c r="AB181" s="209">
        <f t="shared" si="12"/>
        <v>0.23</v>
      </c>
      <c r="AC181" s="209">
        <f t="shared" si="12"/>
        <v>0.215</v>
      </c>
      <c r="AD181" s="219">
        <f t="shared" si="12"/>
        <v>0.215</v>
      </c>
      <c r="AE181" s="219">
        <f t="shared" si="12"/>
        <v>0.215</v>
      </c>
      <c r="AF181" s="219">
        <f t="shared" si="12"/>
        <v>0.215</v>
      </c>
      <c r="AG181" s="219">
        <f t="shared" si="12"/>
        <v>0.215</v>
      </c>
      <c r="AH181" s="219">
        <f t="shared" si="12"/>
        <v>0.215</v>
      </c>
      <c r="AI181" s="219">
        <f t="shared" si="12"/>
        <v>0.215</v>
      </c>
      <c r="AJ181" s="219">
        <f t="shared" si="12"/>
        <v>0.215</v>
      </c>
      <c r="AK181" s="219">
        <f t="shared" si="12"/>
        <v>0.215</v>
      </c>
      <c r="AL181" s="219">
        <f t="shared" si="12"/>
        <v>0.215</v>
      </c>
      <c r="AM181" s="219">
        <f t="shared" si="12"/>
        <v>0.215</v>
      </c>
      <c r="AN181" s="219">
        <f t="shared" si="12"/>
        <v>0.215</v>
      </c>
      <c r="AO181" s="219">
        <f t="shared" si="12"/>
        <v>0.215</v>
      </c>
      <c r="AP181" s="219">
        <f t="shared" si="12"/>
        <v>0.215</v>
      </c>
      <c r="AQ181" s="219">
        <f t="shared" si="12"/>
        <v>0.215</v>
      </c>
      <c r="AR181" s="219">
        <f t="shared" si="12"/>
        <v>0.215</v>
      </c>
      <c r="AS181" s="219">
        <f t="shared" si="12"/>
        <v>0.215</v>
      </c>
      <c r="AT181" s="219">
        <f t="shared" si="12"/>
        <v>0.215</v>
      </c>
      <c r="AU181" s="219">
        <f t="shared" si="12"/>
        <v>0.215</v>
      </c>
      <c r="AV181" s="219">
        <f t="shared" si="12"/>
        <v>0.215</v>
      </c>
      <c r="AW181" s="44" t="str">
        <f t="shared" si="1"/>
        <v>h31</v>
      </c>
    </row>
    <row r="182" spans="3:49" ht="17.399999999999999">
      <c r="C182" s="105">
        <v>51</v>
      </c>
      <c r="D182" s="519">
        <f>'ДОХОДЫ НС'!AB130</f>
        <v>0</v>
      </c>
      <c r="E182" s="205" t="s">
        <v>108</v>
      </c>
      <c r="F182" s="51" t="s">
        <v>809</v>
      </c>
      <c r="G182" s="38" t="s">
        <v>110</v>
      </c>
      <c r="H182" s="38"/>
      <c r="I182" s="38"/>
      <c r="J182" s="38"/>
      <c r="K182" s="38"/>
      <c r="L182" s="38"/>
      <c r="M182" s="216"/>
      <c r="N182" s="209">
        <f t="shared" si="3"/>
        <v>0.29108932128083342</v>
      </c>
      <c r="O182" s="209" t="e">
        <f t="shared" si="10"/>
        <v>#REF!</v>
      </c>
      <c r="P182" s="209" t="e">
        <f t="shared" si="12"/>
        <v>#REF!</v>
      </c>
      <c r="Q182" s="209">
        <f t="shared" si="12"/>
        <v>0.30283076311605722</v>
      </c>
      <c r="R182" s="209">
        <f t="shared" si="12"/>
        <v>0.28048477118514364</v>
      </c>
      <c r="S182" s="209" t="e">
        <f t="shared" si="12"/>
        <v>#REF!</v>
      </c>
      <c r="T182" s="209">
        <f t="shared" si="12"/>
        <v>0.30339596178008937</v>
      </c>
      <c r="U182" s="209">
        <f t="shared" si="12"/>
        <v>0.31652008877903609</v>
      </c>
      <c r="V182" s="209">
        <f t="shared" si="12"/>
        <v>0.30086866393986761</v>
      </c>
      <c r="W182" s="209">
        <f t="shared" si="12"/>
        <v>0.25731064715714158</v>
      </c>
      <c r="X182" s="209">
        <f t="shared" si="12"/>
        <v>0.24773283026076987</v>
      </c>
      <c r="Y182" s="209">
        <f t="shared" si="12"/>
        <v>0.21726212185740609</v>
      </c>
      <c r="Z182" s="209">
        <f t="shared" si="12"/>
        <v>0.2381545517985264</v>
      </c>
      <c r="AA182" s="209">
        <f t="shared" si="12"/>
        <v>0.26644114952985676</v>
      </c>
      <c r="AB182" s="209">
        <f t="shared" si="12"/>
        <v>0.28341310816865495</v>
      </c>
      <c r="AC182" s="209">
        <f t="shared" si="12"/>
        <v>0.29359628335193388</v>
      </c>
      <c r="AD182" s="219">
        <f t="shared" si="12"/>
        <v>0.29970618846190122</v>
      </c>
      <c r="AE182" s="219">
        <f t="shared" si="12"/>
        <v>0.30337213152788162</v>
      </c>
      <c r="AF182" s="219">
        <f t="shared" si="12"/>
        <v>0.30557169736746986</v>
      </c>
      <c r="AG182" s="219">
        <f t="shared" si="12"/>
        <v>0.30689143687122283</v>
      </c>
      <c r="AH182" s="219">
        <f t="shared" si="12"/>
        <v>0.3076832805734746</v>
      </c>
      <c r="AI182" s="219">
        <f t="shared" si="12"/>
        <v>0.30815838679482566</v>
      </c>
      <c r="AJ182" s="219">
        <f t="shared" si="12"/>
        <v>0.30844345052763628</v>
      </c>
      <c r="AK182" s="219">
        <f t="shared" si="12"/>
        <v>0.30861448876732267</v>
      </c>
      <c r="AL182" s="219">
        <f t="shared" si="12"/>
        <v>0.30871711171113453</v>
      </c>
      <c r="AM182" s="219">
        <f t="shared" si="12"/>
        <v>0.30877868547742165</v>
      </c>
      <c r="AN182" s="219">
        <f t="shared" si="12"/>
        <v>0.30881562973719395</v>
      </c>
      <c r="AO182" s="219">
        <f t="shared" si="12"/>
        <v>0.30883779629305735</v>
      </c>
      <c r="AP182" s="219">
        <f t="shared" si="12"/>
        <v>0.30885109622657542</v>
      </c>
      <c r="AQ182" s="219">
        <f t="shared" si="12"/>
        <v>0.30885907618668623</v>
      </c>
      <c r="AR182" s="219">
        <f t="shared" si="12"/>
        <v>0.30886386416275274</v>
      </c>
      <c r="AS182" s="219">
        <f t="shared" si="12"/>
        <v>0.30886673694839267</v>
      </c>
      <c r="AT182" s="219">
        <f t="shared" si="12"/>
        <v>0.30886846061977663</v>
      </c>
      <c r="AU182" s="219">
        <f t="shared" si="12"/>
        <v>0.308869494822607</v>
      </c>
      <c r="AV182" s="219">
        <f t="shared" si="12"/>
        <v>0.30887011534430525</v>
      </c>
      <c r="AW182" s="44" t="str">
        <f t="shared" si="1"/>
        <v>h32</v>
      </c>
    </row>
    <row r="183" spans="3:49" ht="17.399999999999999">
      <c r="C183" s="105">
        <v>52</v>
      </c>
      <c r="D183" s="519"/>
      <c r="E183" s="205"/>
      <c r="F183" s="51"/>
      <c r="G183" s="38"/>
      <c r="H183" s="38"/>
      <c r="I183" s="38"/>
      <c r="J183" s="38"/>
      <c r="K183" s="38"/>
      <c r="L183" s="38"/>
      <c r="M183" s="216"/>
      <c r="N183" s="209" t="e">
        <f t="shared" si="3"/>
        <v>#REF!</v>
      </c>
      <c r="O183" s="209">
        <f t="shared" si="10"/>
        <v>0</v>
      </c>
      <c r="P183" s="209" t="e">
        <f t="shared" si="12"/>
        <v>#REF!</v>
      </c>
      <c r="Q183" s="209" t="e">
        <f t="shared" si="12"/>
        <v>#REF!</v>
      </c>
      <c r="R183" s="209" t="e">
        <f t="shared" si="12"/>
        <v>#REF!</v>
      </c>
      <c r="S183" s="209" t="e">
        <f t="shared" si="12"/>
        <v>#REF!</v>
      </c>
      <c r="T183" s="209" t="e">
        <f t="shared" si="12"/>
        <v>#REF!</v>
      </c>
      <c r="U183" s="209" t="e">
        <f t="shared" si="12"/>
        <v>#REF!</v>
      </c>
      <c r="V183" s="209" t="e">
        <f t="shared" si="12"/>
        <v>#REF!</v>
      </c>
      <c r="W183" s="209" t="e">
        <f t="shared" si="12"/>
        <v>#REF!</v>
      </c>
      <c r="X183" s="209">
        <f t="shared" si="12"/>
        <v>0</v>
      </c>
      <c r="Y183" s="209">
        <f t="shared" si="12"/>
        <v>0</v>
      </c>
      <c r="Z183" s="209">
        <f t="shared" si="12"/>
        <v>0</v>
      </c>
      <c r="AA183" s="209">
        <f t="shared" si="12"/>
        <v>0</v>
      </c>
      <c r="AB183" s="209">
        <f t="shared" si="12"/>
        <v>0</v>
      </c>
      <c r="AC183" s="209">
        <f t="shared" si="12"/>
        <v>0</v>
      </c>
      <c r="AD183" s="219">
        <f t="shared" si="12"/>
        <v>0</v>
      </c>
      <c r="AE183" s="219">
        <f t="shared" si="12"/>
        <v>0</v>
      </c>
      <c r="AF183" s="219">
        <f t="shared" si="12"/>
        <v>0</v>
      </c>
      <c r="AG183" s="219">
        <f t="shared" si="12"/>
        <v>0</v>
      </c>
      <c r="AH183" s="219">
        <f t="shared" si="12"/>
        <v>0</v>
      </c>
      <c r="AI183" s="219">
        <f t="shared" si="12"/>
        <v>0</v>
      </c>
      <c r="AJ183" s="219">
        <f t="shared" si="12"/>
        <v>0</v>
      </c>
      <c r="AK183" s="219">
        <f t="shared" si="12"/>
        <v>0</v>
      </c>
      <c r="AL183" s="219">
        <f t="shared" si="12"/>
        <v>0</v>
      </c>
      <c r="AM183" s="219">
        <f t="shared" si="12"/>
        <v>0</v>
      </c>
      <c r="AN183" s="219">
        <f t="shared" si="12"/>
        <v>0</v>
      </c>
      <c r="AO183" s="219">
        <f t="shared" si="12"/>
        <v>0</v>
      </c>
      <c r="AP183" s="219">
        <f t="shared" si="12"/>
        <v>0</v>
      </c>
      <c r="AQ183" s="219">
        <f t="shared" si="12"/>
        <v>0</v>
      </c>
      <c r="AR183" s="219">
        <f t="shared" si="12"/>
        <v>0</v>
      </c>
      <c r="AS183" s="219">
        <f t="shared" si="12"/>
        <v>0</v>
      </c>
      <c r="AT183" s="219">
        <f t="shared" si="12"/>
        <v>0</v>
      </c>
      <c r="AU183" s="219">
        <f t="shared" si="12"/>
        <v>0</v>
      </c>
      <c r="AV183" s="219">
        <f t="shared" si="12"/>
        <v>0</v>
      </c>
      <c r="AW183" s="44">
        <f t="shared" si="1"/>
        <v>0</v>
      </c>
    </row>
    <row r="184" spans="3:49" ht="21">
      <c r="C184" s="105">
        <v>53</v>
      </c>
      <c r="D184" s="519">
        <f>'ДОХОДЫ НС'!W186</f>
        <v>0</v>
      </c>
      <c r="E184" s="343" t="s">
        <v>106</v>
      </c>
      <c r="F184" s="51" t="s">
        <v>809</v>
      </c>
      <c r="G184" s="38" t="s">
        <v>162</v>
      </c>
      <c r="H184" s="38"/>
      <c r="I184" s="38"/>
      <c r="J184" s="38"/>
      <c r="K184" s="38"/>
      <c r="L184" s="38"/>
      <c r="M184" s="216"/>
      <c r="N184" s="209" t="e">
        <f t="shared" si="3"/>
        <v>#REF!</v>
      </c>
      <c r="O184" s="209" t="e">
        <f t="shared" si="10"/>
        <v>#REF!</v>
      </c>
      <c r="P184" s="209" t="e">
        <f t="shared" si="12"/>
        <v>#REF!</v>
      </c>
      <c r="Q184" s="209" t="e">
        <f t="shared" si="12"/>
        <v>#REF!</v>
      </c>
      <c r="R184" s="209" t="e">
        <f t="shared" si="12"/>
        <v>#REF!</v>
      </c>
      <c r="S184" s="209" t="e">
        <f t="shared" si="12"/>
        <v>#REF!</v>
      </c>
      <c r="T184" s="209" t="e">
        <f t="shared" si="12"/>
        <v>#REF!</v>
      </c>
      <c r="U184" s="209" t="e">
        <f t="shared" si="12"/>
        <v>#REF!</v>
      </c>
      <c r="V184" s="209" t="e">
        <f t="shared" si="12"/>
        <v>#REF!</v>
      </c>
      <c r="W184" s="209" t="e">
        <f t="shared" si="12"/>
        <v>#REF!</v>
      </c>
      <c r="X184" s="209" t="e">
        <f t="shared" si="12"/>
        <v>#REF!</v>
      </c>
      <c r="Y184" s="209" t="e">
        <f t="shared" si="12"/>
        <v>#REF!</v>
      </c>
      <c r="Z184" s="209" t="e">
        <f t="shared" si="12"/>
        <v>#REF!</v>
      </c>
      <c r="AA184" s="209">
        <f t="shared" si="12"/>
        <v>0.21351385469365744</v>
      </c>
      <c r="AB184" s="209">
        <f t="shared" si="12"/>
        <v>0.20520344296820808</v>
      </c>
      <c r="AC184" s="209">
        <f t="shared" si="12"/>
        <v>0.14090210329698841</v>
      </c>
      <c r="AD184" s="219">
        <f t="shared" si="12"/>
        <v>0.13960655154257318</v>
      </c>
      <c r="AE184" s="219">
        <f t="shared" si="12"/>
        <v>0.15683633272810615</v>
      </c>
      <c r="AF184" s="219">
        <f t="shared" si="12"/>
        <v>0.15097764346053008</v>
      </c>
      <c r="AG184" s="219">
        <f t="shared" si="12"/>
        <v>0.14629069204646922</v>
      </c>
      <c r="AH184" s="219">
        <f t="shared" si="12"/>
        <v>0.14254113091522053</v>
      </c>
      <c r="AI184" s="219">
        <f t="shared" si="12"/>
        <v>0.13954148201022157</v>
      </c>
      <c r="AJ184" s="219">
        <f t="shared" si="12"/>
        <v>0.1371417628862224</v>
      </c>
      <c r="AK184" s="219">
        <f t="shared" si="12"/>
        <v>0.13522198758702306</v>
      </c>
      <c r="AL184" s="219">
        <f t="shared" si="12"/>
        <v>0.13368616734766359</v>
      </c>
      <c r="AM184" s="219">
        <f t="shared" si="12"/>
        <v>0.13245751115617602</v>
      </c>
      <c r="AN184" s="219">
        <f t="shared" si="12"/>
        <v>0.13147458620298597</v>
      </c>
      <c r="AO184" s="219">
        <f t="shared" si="12"/>
        <v>0.13068824624043393</v>
      </c>
      <c r="AP184" s="219">
        <f t="shared" si="12"/>
        <v>0.13005917427039229</v>
      </c>
      <c r="AQ184" s="219">
        <f t="shared" si="12"/>
        <v>0.12955591669435898</v>
      </c>
      <c r="AR184" s="219">
        <f t="shared" si="12"/>
        <v>0.12915331063353233</v>
      </c>
      <c r="AS184" s="219">
        <f t="shared" si="12"/>
        <v>0.12883122578487102</v>
      </c>
      <c r="AT184" s="219">
        <f t="shared" si="12"/>
        <v>0.12857355790594197</v>
      </c>
      <c r="AU184" s="219">
        <f t="shared" si="12"/>
        <v>0.12836742360279871</v>
      </c>
      <c r="AV184" s="219">
        <f t="shared" si="12"/>
        <v>0.12820251616028411</v>
      </c>
      <c r="AW184" s="546" t="str">
        <f t="shared" si="1"/>
        <v xml:space="preserve"> µ</v>
      </c>
    </row>
    <row r="185" spans="3:49" ht="17.399999999999999">
      <c r="C185" s="105">
        <v>54</v>
      </c>
      <c r="D185" s="518">
        <f>НАСТРОЙКА!GF179</f>
        <v>0</v>
      </c>
      <c r="E185" s="205" t="s">
        <v>738</v>
      </c>
      <c r="F185" s="51" t="s">
        <v>809</v>
      </c>
      <c r="G185" s="38" t="s">
        <v>951</v>
      </c>
      <c r="H185" s="38"/>
      <c r="I185" s="38"/>
      <c r="J185" s="38"/>
      <c r="K185" s="38"/>
      <c r="L185" s="38"/>
      <c r="M185" s="61"/>
      <c r="N185" s="209">
        <f t="shared" si="3"/>
        <v>1.0369999999999999</v>
      </c>
      <c r="O185" s="209">
        <f t="shared" si="10"/>
        <v>1.0318149999999999</v>
      </c>
      <c r="P185" s="209">
        <f t="shared" si="12"/>
        <v>1.0514194849999998</v>
      </c>
      <c r="Q185" s="209">
        <f t="shared" si="12"/>
        <v>1.1691784673199999</v>
      </c>
      <c r="R185" s="209">
        <f t="shared" si="12"/>
        <v>1.2802504217153998</v>
      </c>
      <c r="S185" s="209">
        <f t="shared" si="12"/>
        <v>1.3340209394274467</v>
      </c>
      <c r="T185" s="209">
        <f t="shared" si="12"/>
        <v>1.4714250961884736</v>
      </c>
      <c r="U185" s="209">
        <f t="shared" si="12"/>
        <v>1.6568246583082211</v>
      </c>
      <c r="V185" s="209">
        <f t="shared" si="12"/>
        <v>1.8523299679885914</v>
      </c>
      <c r="W185" s="209">
        <f t="shared" si="12"/>
        <v>1.9727314159078497</v>
      </c>
      <c r="X185" s="209">
        <f t="shared" si="12"/>
        <v>2.1167408092691224</v>
      </c>
      <c r="Y185" s="209">
        <f t="shared" si="12"/>
        <v>2.2500954802530773</v>
      </c>
      <c r="Z185" s="209">
        <f t="shared" si="12"/>
        <v>2.2635960531345956</v>
      </c>
      <c r="AA185" s="209">
        <f t="shared" si="12"/>
        <v>2.1572070386372695</v>
      </c>
      <c r="AB185" s="209">
        <f t="shared" si="12"/>
        <v>2.3082115313418785</v>
      </c>
      <c r="AC185" s="209">
        <f t="shared" si="12"/>
        <v>2.315136165935904</v>
      </c>
      <c r="AD185" s="219">
        <f t="shared" si="12"/>
        <v>2.3406026637611985</v>
      </c>
      <c r="AE185" s="219">
        <f t="shared" si="12"/>
        <v>2.4482703862942139</v>
      </c>
      <c r="AF185" s="219">
        <f t="shared" si="12"/>
        <v>2.4458221159079199</v>
      </c>
      <c r="AG185" s="219">
        <f t="shared" si="12"/>
        <v>2.4430000000000001</v>
      </c>
      <c r="AH185" s="219">
        <f t="shared" si="12"/>
        <v>2.44</v>
      </c>
      <c r="AI185" s="219">
        <f t="shared" si="12"/>
        <v>2.44</v>
      </c>
      <c r="AJ185" s="219">
        <f t="shared" si="12"/>
        <v>2.4499999999999997</v>
      </c>
      <c r="AK185" s="219">
        <f t="shared" si="12"/>
        <v>2.4599999999999995</v>
      </c>
      <c r="AL185" s="219">
        <f t="shared" si="12"/>
        <v>2.4699999999999993</v>
      </c>
      <c r="AM185" s="219">
        <f t="shared" si="12"/>
        <v>2.4799999999999991</v>
      </c>
      <c r="AN185" s="219">
        <f t="shared" si="12"/>
        <v>2.4899999999999989</v>
      </c>
      <c r="AO185" s="219">
        <f t="shared" si="12"/>
        <v>2.4999999999999987</v>
      </c>
      <c r="AP185" s="219">
        <f t="shared" si="12"/>
        <v>2.5099999999999985</v>
      </c>
      <c r="AQ185" s="219">
        <f t="shared" si="12"/>
        <v>2.5199999999999982</v>
      </c>
      <c r="AR185" s="219">
        <f t="shared" si="12"/>
        <v>2.529999999999998</v>
      </c>
      <c r="AS185" s="219">
        <f t="shared" si="12"/>
        <v>2.5399999999999978</v>
      </c>
      <c r="AT185" s="219">
        <f t="shared" si="12"/>
        <v>2.5499999999999976</v>
      </c>
      <c r="AU185" s="219">
        <f t="shared" si="12"/>
        <v>2.5599999999999974</v>
      </c>
      <c r="AV185" s="219">
        <f t="shared" si="12"/>
        <v>2.5699999999999972</v>
      </c>
      <c r="AW185" s="546" t="str">
        <f t="shared" si="1"/>
        <v>Pe</v>
      </c>
    </row>
    <row r="186" spans="3:49" ht="17.399999999999999">
      <c r="C186" s="105">
        <v>55</v>
      </c>
      <c r="D186" s="520"/>
      <c r="E186" s="205" t="s">
        <v>952</v>
      </c>
      <c r="F186" s="51" t="s">
        <v>396</v>
      </c>
      <c r="G186" s="38" t="s">
        <v>737</v>
      </c>
      <c r="H186" s="38"/>
      <c r="I186" s="38"/>
      <c r="J186" s="38"/>
      <c r="K186" s="38"/>
      <c r="L186" s="38"/>
      <c r="M186" s="218"/>
      <c r="N186" s="209" t="e">
        <f t="shared" si="3"/>
        <v>#REF!</v>
      </c>
      <c r="O186" s="209" t="e">
        <f t="shared" si="10"/>
        <v>#REF!</v>
      </c>
      <c r="P186" s="209" t="e">
        <f t="shared" si="12"/>
        <v>#REF!</v>
      </c>
      <c r="Q186" s="209" t="e">
        <f t="shared" si="12"/>
        <v>#REF!</v>
      </c>
      <c r="R186" s="209" t="e">
        <f t="shared" si="12"/>
        <v>#REF!</v>
      </c>
      <c r="S186" s="209" t="e">
        <f t="shared" si="12"/>
        <v>#REF!</v>
      </c>
      <c r="T186" s="209" t="e">
        <f t="shared" si="12"/>
        <v>#REF!</v>
      </c>
      <c r="U186" s="209" t="e">
        <f t="shared" si="12"/>
        <v>#REF!</v>
      </c>
      <c r="V186" s="209" t="e">
        <f t="shared" si="12"/>
        <v>#REF!</v>
      </c>
      <c r="W186" s="209" t="e">
        <f t="shared" si="12"/>
        <v>#REF!</v>
      </c>
      <c r="X186" s="209" t="e">
        <f t="shared" si="12"/>
        <v>#REF!</v>
      </c>
      <c r="Y186" s="209" t="e">
        <f t="shared" si="12"/>
        <v>#REF!</v>
      </c>
      <c r="Z186" s="209" t="e">
        <f t="shared" si="12"/>
        <v>#REF!</v>
      </c>
      <c r="AA186" s="209">
        <f t="shared" si="12"/>
        <v>0</v>
      </c>
      <c r="AB186" s="209">
        <f t="shared" si="12"/>
        <v>0</v>
      </c>
      <c r="AC186" s="209">
        <f t="shared" si="12"/>
        <v>0</v>
      </c>
      <c r="AD186" s="219">
        <f t="shared" si="12"/>
        <v>0</v>
      </c>
      <c r="AE186" s="219">
        <f t="shared" si="12"/>
        <v>0</v>
      </c>
      <c r="AF186" s="219">
        <f t="shared" si="12"/>
        <v>0</v>
      </c>
      <c r="AG186" s="219">
        <f t="shared" si="12"/>
        <v>0</v>
      </c>
      <c r="AH186" s="219">
        <f t="shared" si="12"/>
        <v>0</v>
      </c>
      <c r="AI186" s="219">
        <f t="shared" si="12"/>
        <v>0</v>
      </c>
      <c r="AJ186" s="219">
        <f t="shared" si="12"/>
        <v>0</v>
      </c>
      <c r="AK186" s="219">
        <f t="shared" si="12"/>
        <v>0</v>
      </c>
      <c r="AL186" s="219">
        <f t="shared" si="12"/>
        <v>0</v>
      </c>
      <c r="AM186" s="219">
        <f t="shared" si="12"/>
        <v>0</v>
      </c>
      <c r="AN186" s="219">
        <f t="shared" si="12"/>
        <v>0</v>
      </c>
      <c r="AO186" s="219">
        <f t="shared" si="12"/>
        <v>0</v>
      </c>
      <c r="AP186" s="219">
        <f t="shared" si="12"/>
        <v>0</v>
      </c>
      <c r="AQ186" s="219">
        <f t="shared" si="12"/>
        <v>0</v>
      </c>
      <c r="AR186" s="219">
        <f t="shared" si="12"/>
        <v>0</v>
      </c>
      <c r="AS186" s="219">
        <f t="shared" si="12"/>
        <v>0</v>
      </c>
      <c r="AT186" s="219">
        <f t="shared" si="12"/>
        <v>0</v>
      </c>
      <c r="AU186" s="219">
        <f t="shared" si="12"/>
        <v>0</v>
      </c>
      <c r="AV186" s="219">
        <f t="shared" si="12"/>
        <v>0</v>
      </c>
      <c r="AW186" s="38" t="str">
        <f t="shared" si="1"/>
        <v>ЕXo</v>
      </c>
    </row>
    <row r="187" spans="3:49" ht="17.399999999999999">
      <c r="C187" s="105">
        <v>56</v>
      </c>
      <c r="D187" s="520"/>
      <c r="E187" s="205" t="s">
        <v>660</v>
      </c>
      <c r="F187" s="51" t="s">
        <v>396</v>
      </c>
      <c r="G187" s="38" t="s">
        <v>953</v>
      </c>
      <c r="H187" s="38"/>
      <c r="I187" s="38"/>
      <c r="J187" s="38"/>
      <c r="K187" s="514">
        <v>392.29556398346608</v>
      </c>
      <c r="L187" s="224">
        <v>296.96774193548384</v>
      </c>
      <c r="M187" s="224"/>
      <c r="N187" s="209" t="e">
        <f t="shared" si="3"/>
        <v>#REF!</v>
      </c>
      <c r="O187" s="209" t="e">
        <f t="shared" si="10"/>
        <v>#REF!</v>
      </c>
      <c r="P187" s="209" t="e">
        <f t="shared" si="12"/>
        <v>#REF!</v>
      </c>
      <c r="Q187" s="209" t="e">
        <f t="shared" si="12"/>
        <v>#REF!</v>
      </c>
      <c r="R187" s="209" t="e">
        <f t="shared" si="12"/>
        <v>#REF!</v>
      </c>
      <c r="S187" s="209" t="e">
        <f t="shared" si="12"/>
        <v>#REF!</v>
      </c>
      <c r="T187" s="209" t="e">
        <f t="shared" si="12"/>
        <v>#REF!</v>
      </c>
      <c r="U187" s="209" t="e">
        <f t="shared" si="12"/>
        <v>#REF!</v>
      </c>
      <c r="V187" s="209" t="e">
        <f t="shared" si="12"/>
        <v>#REF!</v>
      </c>
      <c r="W187" s="209" t="e">
        <f t="shared" si="12"/>
        <v>#REF!</v>
      </c>
      <c r="X187" s="209" t="e">
        <f t="shared" si="12"/>
        <v>#REF!</v>
      </c>
      <c r="Y187" s="209" t="e">
        <f t="shared" si="12"/>
        <v>#REF!</v>
      </c>
      <c r="Z187" s="209" t="e">
        <f t="shared" si="12"/>
        <v>#REF!</v>
      </c>
      <c r="AA187" s="209">
        <f t="shared" si="12"/>
        <v>0</v>
      </c>
      <c r="AB187" s="209">
        <f t="shared" si="12"/>
        <v>0</v>
      </c>
      <c r="AC187" s="209">
        <f t="shared" si="12"/>
        <v>0</v>
      </c>
      <c r="AD187" s="219">
        <f t="shared" si="12"/>
        <v>0</v>
      </c>
      <c r="AE187" s="219">
        <f t="shared" si="12"/>
        <v>0</v>
      </c>
      <c r="AF187" s="219">
        <f t="shared" si="12"/>
        <v>0</v>
      </c>
      <c r="AG187" s="219">
        <f t="shared" si="12"/>
        <v>0</v>
      </c>
      <c r="AH187" s="219">
        <f t="shared" ref="P187:AV190" si="13">AH59-AH123</f>
        <v>0</v>
      </c>
      <c r="AI187" s="219">
        <f t="shared" si="13"/>
        <v>0</v>
      </c>
      <c r="AJ187" s="219">
        <f t="shared" si="13"/>
        <v>0</v>
      </c>
      <c r="AK187" s="219">
        <f t="shared" si="13"/>
        <v>0</v>
      </c>
      <c r="AL187" s="219">
        <f t="shared" si="13"/>
        <v>0</v>
      </c>
      <c r="AM187" s="219">
        <f t="shared" si="13"/>
        <v>0</v>
      </c>
      <c r="AN187" s="219">
        <f t="shared" si="13"/>
        <v>0</v>
      </c>
      <c r="AO187" s="219">
        <f t="shared" si="13"/>
        <v>0</v>
      </c>
      <c r="AP187" s="219">
        <f t="shared" si="13"/>
        <v>0</v>
      </c>
      <c r="AQ187" s="219">
        <f t="shared" si="13"/>
        <v>0</v>
      </c>
      <c r="AR187" s="219">
        <f t="shared" si="13"/>
        <v>0</v>
      </c>
      <c r="AS187" s="219">
        <f t="shared" si="13"/>
        <v>0</v>
      </c>
      <c r="AT187" s="219">
        <f t="shared" si="13"/>
        <v>0</v>
      </c>
      <c r="AU187" s="219">
        <f t="shared" si="13"/>
        <v>0</v>
      </c>
      <c r="AV187" s="219">
        <f t="shared" si="13"/>
        <v>0</v>
      </c>
      <c r="AW187" s="44" t="str">
        <f t="shared" si="1"/>
        <v>INS</v>
      </c>
    </row>
    <row r="188" spans="3:49" ht="17.399999999999999">
      <c r="C188" s="105">
        <v>57</v>
      </c>
      <c r="D188" s="520"/>
      <c r="E188" s="205" t="s">
        <v>425</v>
      </c>
      <c r="F188" s="51" t="s">
        <v>396</v>
      </c>
      <c r="G188" s="38" t="s">
        <v>954</v>
      </c>
      <c r="H188" s="38"/>
      <c r="I188" s="38"/>
      <c r="J188" s="38"/>
      <c r="K188" s="38"/>
      <c r="L188" s="515">
        <v>610.83799999999997</v>
      </c>
      <c r="M188" s="218"/>
      <c r="N188" s="209" t="e">
        <f t="shared" si="3"/>
        <v>#REF!</v>
      </c>
      <c r="O188" s="209" t="e">
        <f t="shared" si="10"/>
        <v>#REF!</v>
      </c>
      <c r="P188" s="209" t="e">
        <f t="shared" si="13"/>
        <v>#REF!</v>
      </c>
      <c r="Q188" s="209" t="e">
        <f t="shared" si="13"/>
        <v>#REF!</v>
      </c>
      <c r="R188" s="209" t="e">
        <f t="shared" si="13"/>
        <v>#REF!</v>
      </c>
      <c r="S188" s="209" t="e">
        <f t="shared" si="13"/>
        <v>#REF!</v>
      </c>
      <c r="T188" s="209" t="e">
        <f t="shared" si="13"/>
        <v>#REF!</v>
      </c>
      <c r="U188" s="209" t="e">
        <f t="shared" si="13"/>
        <v>#REF!</v>
      </c>
      <c r="V188" s="209" t="e">
        <f t="shared" si="13"/>
        <v>#REF!</v>
      </c>
      <c r="W188" s="209" t="e">
        <f t="shared" si="13"/>
        <v>#REF!</v>
      </c>
      <c r="X188" s="209" t="e">
        <f t="shared" si="13"/>
        <v>#REF!</v>
      </c>
      <c r="Y188" s="209" t="e">
        <f t="shared" si="13"/>
        <v>#REF!</v>
      </c>
      <c r="Z188" s="209" t="e">
        <f t="shared" si="13"/>
        <v>#REF!</v>
      </c>
      <c r="AA188" s="209">
        <f t="shared" si="13"/>
        <v>0</v>
      </c>
      <c r="AB188" s="209">
        <f t="shared" si="13"/>
        <v>0</v>
      </c>
      <c r="AC188" s="209">
        <f t="shared" si="13"/>
        <v>0</v>
      </c>
      <c r="AD188" s="219">
        <f t="shared" si="13"/>
        <v>0</v>
      </c>
      <c r="AE188" s="219">
        <f t="shared" si="13"/>
        <v>0</v>
      </c>
      <c r="AF188" s="219">
        <f t="shared" si="13"/>
        <v>0</v>
      </c>
      <c r="AG188" s="219">
        <f t="shared" si="13"/>
        <v>0</v>
      </c>
      <c r="AH188" s="219">
        <f t="shared" si="13"/>
        <v>0</v>
      </c>
      <c r="AI188" s="219">
        <f t="shared" si="13"/>
        <v>0</v>
      </c>
      <c r="AJ188" s="219">
        <f t="shared" si="13"/>
        <v>0</v>
      </c>
      <c r="AK188" s="219">
        <f t="shared" si="13"/>
        <v>0</v>
      </c>
      <c r="AL188" s="219">
        <f t="shared" si="13"/>
        <v>0</v>
      </c>
      <c r="AM188" s="219">
        <f t="shared" si="13"/>
        <v>0</v>
      </c>
      <c r="AN188" s="219">
        <f t="shared" si="13"/>
        <v>0</v>
      </c>
      <c r="AO188" s="219">
        <f t="shared" si="13"/>
        <v>0</v>
      </c>
      <c r="AP188" s="219">
        <f t="shared" si="13"/>
        <v>0</v>
      </c>
      <c r="AQ188" s="219">
        <f t="shared" si="13"/>
        <v>0</v>
      </c>
      <c r="AR188" s="219">
        <f t="shared" si="13"/>
        <v>0</v>
      </c>
      <c r="AS188" s="219">
        <f t="shared" si="13"/>
        <v>0</v>
      </c>
      <c r="AT188" s="219">
        <f t="shared" si="13"/>
        <v>0</v>
      </c>
      <c r="AU188" s="219">
        <f t="shared" si="13"/>
        <v>0</v>
      </c>
      <c r="AV188" s="219">
        <f t="shared" si="13"/>
        <v>0</v>
      </c>
      <c r="AW188" s="44" t="str">
        <f t="shared" si="1"/>
        <v>WWP</v>
      </c>
    </row>
    <row r="189" spans="3:49" ht="17.399999999999999">
      <c r="C189" s="105">
        <v>58</v>
      </c>
      <c r="D189" s="518">
        <f>НАСТРОЙКА!DB140</f>
        <v>0</v>
      </c>
      <c r="E189" s="205" t="s">
        <v>423</v>
      </c>
      <c r="F189" s="51" t="s">
        <v>396</v>
      </c>
      <c r="G189" s="38" t="s">
        <v>955</v>
      </c>
      <c r="H189" s="38"/>
      <c r="I189" s="38"/>
      <c r="J189" s="38"/>
      <c r="K189" s="38"/>
      <c r="L189" s="38"/>
      <c r="M189" s="61"/>
      <c r="N189" s="209" t="e">
        <f t="shared" si="3"/>
        <v>#REF!</v>
      </c>
      <c r="O189" s="209" t="e">
        <f t="shared" si="10"/>
        <v>#REF!</v>
      </c>
      <c r="P189" s="209" t="e">
        <f t="shared" si="13"/>
        <v>#REF!</v>
      </c>
      <c r="Q189" s="209" t="e">
        <f t="shared" si="13"/>
        <v>#REF!</v>
      </c>
      <c r="R189" s="209" t="e">
        <f t="shared" si="13"/>
        <v>#REF!</v>
      </c>
      <c r="S189" s="209">
        <f t="shared" si="13"/>
        <v>-40.022599999999997</v>
      </c>
      <c r="T189" s="209">
        <f t="shared" si="13"/>
        <v>-1.7070000000000001</v>
      </c>
      <c r="U189" s="209">
        <f t="shared" si="13"/>
        <v>-107.4624</v>
      </c>
      <c r="V189" s="209">
        <f t="shared" si="13"/>
        <v>-96.143500000000003</v>
      </c>
      <c r="W189" s="209">
        <f t="shared" si="13"/>
        <v>-126.09529999999999</v>
      </c>
      <c r="X189" s="209">
        <f t="shared" si="13"/>
        <v>-17.179400000000001</v>
      </c>
      <c r="Y189" s="209">
        <f t="shared" si="13"/>
        <v>378.2842</v>
      </c>
      <c r="Z189" s="209">
        <f t="shared" si="13"/>
        <v>-605.34550000000002</v>
      </c>
      <c r="AA189" s="209">
        <f t="shared" si="13"/>
        <v>-694.86199999999997</v>
      </c>
      <c r="AB189" s="209">
        <f t="shared" si="13"/>
        <v>-418.459</v>
      </c>
      <c r="AC189" s="209">
        <f t="shared" si="13"/>
        <v>-321.14400000000001</v>
      </c>
      <c r="AD189" s="219">
        <f t="shared" si="13"/>
        <v>-745.13</v>
      </c>
      <c r="AE189" s="219">
        <f t="shared" si="13"/>
        <v>-794.27</v>
      </c>
      <c r="AF189" s="219">
        <f t="shared" si="13"/>
        <v>-470.98</v>
      </c>
      <c r="AG189" s="219">
        <f t="shared" si="13"/>
        <v>0</v>
      </c>
      <c r="AH189" s="219">
        <f t="shared" si="13"/>
        <v>0</v>
      </c>
      <c r="AI189" s="219">
        <f t="shared" si="13"/>
        <v>0</v>
      </c>
      <c r="AJ189" s="219">
        <f t="shared" si="13"/>
        <v>0</v>
      </c>
      <c r="AK189" s="219">
        <f t="shared" si="13"/>
        <v>0</v>
      </c>
      <c r="AL189" s="219">
        <f t="shared" si="13"/>
        <v>0</v>
      </c>
      <c r="AM189" s="219">
        <f t="shared" si="13"/>
        <v>0</v>
      </c>
      <c r="AN189" s="219">
        <f t="shared" si="13"/>
        <v>0</v>
      </c>
      <c r="AO189" s="219">
        <f t="shared" si="13"/>
        <v>0</v>
      </c>
      <c r="AP189" s="219">
        <f t="shared" si="13"/>
        <v>0</v>
      </c>
      <c r="AQ189" s="219">
        <f t="shared" si="13"/>
        <v>0</v>
      </c>
      <c r="AR189" s="219">
        <f t="shared" si="13"/>
        <v>0</v>
      </c>
      <c r="AS189" s="219">
        <f t="shared" si="13"/>
        <v>0</v>
      </c>
      <c r="AT189" s="219">
        <f t="shared" si="13"/>
        <v>0</v>
      </c>
      <c r="AU189" s="219">
        <f t="shared" si="13"/>
        <v>0</v>
      </c>
      <c r="AV189" s="219">
        <f t="shared" si="13"/>
        <v>0</v>
      </c>
      <c r="AW189" s="44" t="str">
        <f t="shared" si="1"/>
        <v>STR</v>
      </c>
    </row>
    <row r="190" spans="3:49" ht="17.399999999999999">
      <c r="C190" s="105">
        <v>59</v>
      </c>
      <c r="D190" s="521" t="e">
        <f>НАСТРОЙКА!#REF!</f>
        <v>#REF!</v>
      </c>
      <c r="E190" s="227" t="s">
        <v>21</v>
      </c>
      <c r="F190" s="3" t="s">
        <v>809</v>
      </c>
      <c r="G190" s="516" t="s">
        <v>956</v>
      </c>
      <c r="H190" s="516"/>
      <c r="I190" s="516"/>
      <c r="J190" s="516"/>
      <c r="K190" s="38"/>
      <c r="L190" s="38"/>
      <c r="M190" s="68"/>
      <c r="N190" s="209" t="e">
        <f t="shared" si="3"/>
        <v>#REF!</v>
      </c>
      <c r="O190" s="209" t="e">
        <f t="shared" si="10"/>
        <v>#REF!</v>
      </c>
      <c r="P190" s="209" t="e">
        <f t="shared" si="13"/>
        <v>#REF!</v>
      </c>
      <c r="Q190" s="209" t="e">
        <f t="shared" si="13"/>
        <v>#REF!</v>
      </c>
      <c r="R190" s="209" t="e">
        <f t="shared" si="13"/>
        <v>#REF!</v>
      </c>
      <c r="S190" s="209">
        <f t="shared" si="13"/>
        <v>0</v>
      </c>
      <c r="T190" s="209">
        <f t="shared" si="13"/>
        <v>0</v>
      </c>
      <c r="U190" s="209">
        <f t="shared" si="13"/>
        <v>0</v>
      </c>
      <c r="V190" s="209">
        <f t="shared" si="13"/>
        <v>-1.6191871158680822E-16</v>
      </c>
      <c r="W190" s="209">
        <f t="shared" si="13"/>
        <v>0</v>
      </c>
      <c r="X190" s="209">
        <f t="shared" si="13"/>
        <v>-2.8129249577294936E-16</v>
      </c>
      <c r="Y190" s="209">
        <f t="shared" si="13"/>
        <v>-2.5925575647276438E-16</v>
      </c>
      <c r="Z190" s="209">
        <f t="shared" si="13"/>
        <v>-1.232204165745078E-16</v>
      </c>
      <c r="AA190" s="209">
        <f t="shared" si="13"/>
        <v>-1.3378981169870552E-16</v>
      </c>
      <c r="AB190" s="209">
        <f t="shared" si="13"/>
        <v>-1.2802852794134502E-16</v>
      </c>
      <c r="AC190" s="209">
        <f t="shared" si="13"/>
        <v>-1.2275026648259352E-16</v>
      </c>
      <c r="AD190" s="219">
        <f t="shared" si="13"/>
        <v>-3.5614197238663486E-16</v>
      </c>
      <c r="AE190" s="219">
        <f t="shared" si="13"/>
        <v>0</v>
      </c>
      <c r="AF190" s="219">
        <f t="shared" si="13"/>
        <v>0</v>
      </c>
      <c r="AG190" s="219">
        <f t="shared" si="13"/>
        <v>0</v>
      </c>
      <c r="AH190" s="219">
        <f t="shared" si="13"/>
        <v>0</v>
      </c>
      <c r="AI190" s="219">
        <f t="shared" si="13"/>
        <v>0</v>
      </c>
      <c r="AJ190" s="219">
        <f t="shared" si="13"/>
        <v>0</v>
      </c>
      <c r="AK190" s="219">
        <f t="shared" si="13"/>
        <v>0</v>
      </c>
      <c r="AL190" s="219">
        <f t="shared" si="13"/>
        <v>0</v>
      </c>
      <c r="AM190" s="219">
        <f t="shared" si="13"/>
        <v>0</v>
      </c>
      <c r="AN190" s="219">
        <f t="shared" si="13"/>
        <v>0</v>
      </c>
      <c r="AO190" s="219">
        <f t="shared" si="13"/>
        <v>0</v>
      </c>
      <c r="AP190" s="219">
        <f t="shared" si="13"/>
        <v>0</v>
      </c>
      <c r="AQ190" s="219">
        <f t="shared" si="13"/>
        <v>0</v>
      </c>
      <c r="AR190" s="219">
        <f t="shared" si="13"/>
        <v>0</v>
      </c>
      <c r="AS190" s="219">
        <f t="shared" si="13"/>
        <v>0</v>
      </c>
      <c r="AT190" s="219">
        <f t="shared" si="13"/>
        <v>0</v>
      </c>
      <c r="AU190" s="219">
        <f t="shared" si="13"/>
        <v>0</v>
      </c>
      <c r="AV190" s="219" t="e">
        <f t="shared" si="13"/>
        <v>#VALUE!</v>
      </c>
      <c r="AW190" s="44" t="str">
        <f t="shared" si="1"/>
        <v>dev</v>
      </c>
    </row>
    <row r="191" spans="3:49" ht="15.6">
      <c r="K191" s="47">
        <v>1993</v>
      </c>
      <c r="L191" s="48">
        <v>1994</v>
      </c>
      <c r="M191" s="58">
        <v>1995</v>
      </c>
      <c r="N191" s="48">
        <v>1996</v>
      </c>
      <c r="O191" s="48">
        <v>1997</v>
      </c>
      <c r="P191" s="48">
        <v>1998</v>
      </c>
      <c r="Q191" s="48">
        <v>1999</v>
      </c>
      <c r="R191" s="48">
        <v>2000</v>
      </c>
      <c r="S191" s="48">
        <v>2001</v>
      </c>
      <c r="T191" s="48">
        <v>2002</v>
      </c>
      <c r="U191" s="48">
        <v>2003</v>
      </c>
      <c r="V191" s="48">
        <v>2004</v>
      </c>
      <c r="W191" s="48">
        <v>2005</v>
      </c>
      <c r="X191" s="48">
        <v>2006</v>
      </c>
      <c r="Y191" s="48">
        <v>2007</v>
      </c>
      <c r="Z191" s="48">
        <v>2008</v>
      </c>
      <c r="AA191" s="48">
        <v>2009</v>
      </c>
      <c r="AB191" s="48">
        <v>2010</v>
      </c>
      <c r="AC191" s="48">
        <v>2011</v>
      </c>
      <c r="AD191" s="48">
        <v>2012</v>
      </c>
      <c r="AE191" s="48">
        <v>2013</v>
      </c>
      <c r="AF191" s="48">
        <v>2014</v>
      </c>
      <c r="AG191" s="48">
        <v>2015</v>
      </c>
      <c r="AH191" s="48">
        <v>2016</v>
      </c>
      <c r="AI191" s="48">
        <v>2017</v>
      </c>
      <c r="AJ191" s="48">
        <v>2018</v>
      </c>
      <c r="AK191" s="48">
        <v>2019</v>
      </c>
      <c r="AL191" s="48">
        <v>2020</v>
      </c>
      <c r="AM191" s="48">
        <v>2021</v>
      </c>
      <c r="AN191" s="48">
        <v>2022</v>
      </c>
      <c r="AO191" s="48">
        <v>2023</v>
      </c>
      <c r="AP191" s="48">
        <v>2024</v>
      </c>
      <c r="AQ191" s="229">
        <v>2025</v>
      </c>
      <c r="AR191" s="48">
        <v>2026</v>
      </c>
      <c r="AS191" s="229">
        <v>2027</v>
      </c>
      <c r="AT191" s="48">
        <v>2028</v>
      </c>
      <c r="AU191" s="229">
        <v>2029</v>
      </c>
      <c r="AV191" s="48">
        <v>2030</v>
      </c>
      <c r="AW191" s="44">
        <f t="shared" si="1"/>
        <v>0</v>
      </c>
    </row>
    <row r="194" spans="6:49" ht="15.6">
      <c r="F194" s="232"/>
      <c r="G194" s="38" t="s">
        <v>748</v>
      </c>
      <c r="H194" s="38"/>
      <c r="I194" s="38"/>
      <c r="J194" s="38"/>
      <c r="K194" s="38"/>
      <c r="L194" s="34"/>
      <c r="M194" s="251">
        <v>0.95899999999999996</v>
      </c>
      <c r="N194" s="978">
        <v>0.96399919021203795</v>
      </c>
      <c r="O194" s="978">
        <v>1.0139999999999998</v>
      </c>
      <c r="P194" s="978">
        <v>0.94700000000000017</v>
      </c>
      <c r="Q194" s="978">
        <v>1.0640000000000001</v>
      </c>
      <c r="R194" s="978">
        <v>1.0999999999999999</v>
      </c>
      <c r="S194" s="978">
        <v>1.0509999999999999</v>
      </c>
      <c r="T194" s="978">
        <v>1.0470000000000002</v>
      </c>
      <c r="U194" s="978">
        <v>1.0729999999999995</v>
      </c>
      <c r="V194" s="978">
        <v>1.0720000000000003</v>
      </c>
      <c r="W194" s="978">
        <v>1.0639999999999996</v>
      </c>
      <c r="X194" s="978">
        <v>1.0820000000000003</v>
      </c>
      <c r="Y194" s="978">
        <v>1.0849999999999997</v>
      </c>
      <c r="Z194" s="978">
        <v>1.0520000000000003</v>
      </c>
      <c r="AA194" s="978">
        <v>0.92100000000000004</v>
      </c>
      <c r="AB194" s="978">
        <v>1.0449999999999999</v>
      </c>
      <c r="AC194" s="978">
        <v>1.0429999999999997</v>
      </c>
      <c r="AD194" s="978">
        <v>1.0340000000000003</v>
      </c>
      <c r="AE194" s="978">
        <v>1.0129999999999995</v>
      </c>
      <c r="AF194" s="978">
        <v>1.0060000000000002</v>
      </c>
      <c r="AG194" s="978">
        <v>0.92407760398074468</v>
      </c>
      <c r="AH194" s="978">
        <v>0.87126634184507701</v>
      </c>
      <c r="AI194" s="978">
        <v>0.9773265784401286</v>
      </c>
      <c r="AJ194" s="978">
        <v>0.99247869201028505</v>
      </c>
      <c r="AK194" s="978">
        <v>0.98869463645872913</v>
      </c>
      <c r="AL194" s="978">
        <v>0.99111639968104048</v>
      </c>
      <c r="AM194" s="978">
        <v>0.99163142528294512</v>
      </c>
      <c r="AN194" s="978">
        <v>0.99374230672815334</v>
      </c>
      <c r="AO194" s="978">
        <v>0.99409989034913937</v>
      </c>
      <c r="AP194" s="978">
        <v>0.99445141564435791</v>
      </c>
      <c r="AQ194" s="978">
        <v>0.99479739171942105</v>
      </c>
      <c r="AR194" s="978">
        <v>0.99513732553258238</v>
      </c>
      <c r="AS194" s="978">
        <v>0.99681879950754937</v>
      </c>
      <c r="AT194" s="978">
        <v>0.99704215203311719</v>
      </c>
      <c r="AU194" s="978">
        <v>0.99726109843154864</v>
      </c>
      <c r="AV194" s="978">
        <v>0.99747529234559507</v>
      </c>
      <c r="AW194" s="44"/>
    </row>
    <row r="195" spans="6:49" ht="15.6">
      <c r="F195" s="232"/>
      <c r="G195" s="38" t="s">
        <v>748</v>
      </c>
      <c r="H195" s="38"/>
      <c r="I195" s="38"/>
      <c r="J195" s="38"/>
      <c r="K195" s="38"/>
      <c r="L195" s="34"/>
      <c r="M195" s="246">
        <f>СЧЁТ!O219</f>
        <v>0</v>
      </c>
      <c r="N195" s="978">
        <f>СЧЁТ!P219</f>
        <v>0</v>
      </c>
      <c r="O195" s="978">
        <f>СЧЁТ!Q219</f>
        <v>0</v>
      </c>
      <c r="P195" s="978">
        <f>СЧЁТ!R219</f>
        <v>0</v>
      </c>
      <c r="Q195" s="978">
        <f>СЧЁТ!S219</f>
        <v>0</v>
      </c>
      <c r="R195" s="978">
        <f>СЧЁТ!T219</f>
        <v>0</v>
      </c>
      <c r="S195" s="978">
        <f>СЧЁТ!U219</f>
        <v>0</v>
      </c>
      <c r="T195" s="978">
        <f>СЧЁТ!V219</f>
        <v>0</v>
      </c>
      <c r="U195" s="978">
        <f>СЧЁТ!W219</f>
        <v>0</v>
      </c>
      <c r="V195" s="978">
        <f>СЧЁТ!X219</f>
        <v>0</v>
      </c>
      <c r="W195" s="978">
        <f>СЧЁТ!Y219</f>
        <v>0</v>
      </c>
      <c r="X195" s="978">
        <f>СЧЁТ!Z219</f>
        <v>0</v>
      </c>
      <c r="Y195" s="978">
        <f>СЧЁТ!AA219</f>
        <v>0</v>
      </c>
      <c r="Z195" s="978">
        <f>СЧЁТ!AB219</f>
        <v>0</v>
      </c>
      <c r="AA195" s="978">
        <f>СЧЁТ!AC219</f>
        <v>0</v>
      </c>
      <c r="AB195" s="978">
        <f>СЧЁТ!AD219</f>
        <v>0</v>
      </c>
      <c r="AC195" s="978">
        <f>СЧЁТ!AE219</f>
        <v>0</v>
      </c>
      <c r="AD195" s="978">
        <f>СЧЁТ!AF219</f>
        <v>0</v>
      </c>
      <c r="AE195" s="978">
        <f>СЧЁТ!AG219</f>
        <v>0</v>
      </c>
      <c r="AF195" s="978">
        <f>СЧЁТ!AH219</f>
        <v>0</v>
      </c>
      <c r="AG195" s="978">
        <f>СЧЁТ!AI219</f>
        <v>0</v>
      </c>
      <c r="AH195" s="978">
        <f>СЧЁТ!AJ219</f>
        <v>0</v>
      </c>
      <c r="AI195" s="978">
        <f>СЧЁТ!AK219</f>
        <v>0</v>
      </c>
      <c r="AJ195" s="978">
        <f>СЧЁТ!AL219</f>
        <v>0</v>
      </c>
      <c r="AK195" s="978">
        <f>СЧЁТ!AM219</f>
        <v>0</v>
      </c>
      <c r="AL195" s="978">
        <f>СЧЁТ!AN219</f>
        <v>0</v>
      </c>
      <c r="AM195" s="978">
        <f>СЧЁТ!AO219</f>
        <v>0</v>
      </c>
      <c r="AN195" s="978">
        <f>СЧЁТ!AP219</f>
        <v>0</v>
      </c>
      <c r="AO195" s="978">
        <f>СЧЁТ!AQ219</f>
        <v>0</v>
      </c>
      <c r="AP195" s="978">
        <f>СЧЁТ!AR219</f>
        <v>0</v>
      </c>
      <c r="AQ195" s="978">
        <f>СЧЁТ!AS219</f>
        <v>0</v>
      </c>
      <c r="AR195" s="978">
        <f>СЧЁТ!AT219</f>
        <v>0</v>
      </c>
      <c r="AS195" s="978">
        <f>СЧЁТ!AU219</f>
        <v>0</v>
      </c>
      <c r="AT195" s="978">
        <f>СЧЁТ!AV219</f>
        <v>0</v>
      </c>
      <c r="AU195" s="978">
        <f>СЧЁТ!AW219</f>
        <v>0</v>
      </c>
      <c r="AV195" s="978">
        <f>СЧЁТ!AX219</f>
        <v>0</v>
      </c>
      <c r="AW195" s="44">
        <f>B198</f>
        <v>0</v>
      </c>
    </row>
    <row r="196" spans="6:49">
      <c r="N196" s="979">
        <f>N195-N194</f>
        <v>-0.96399919021203795</v>
      </c>
      <c r="O196" s="979">
        <f t="shared" ref="O196:AV196" si="14">O195-O194</f>
        <v>-1.0139999999999998</v>
      </c>
      <c r="P196" s="979">
        <f t="shared" si="14"/>
        <v>-0.94700000000000017</v>
      </c>
      <c r="Q196" s="979">
        <f t="shared" si="14"/>
        <v>-1.0640000000000001</v>
      </c>
      <c r="R196" s="979">
        <f t="shared" si="14"/>
        <v>-1.0999999999999999</v>
      </c>
      <c r="S196" s="979">
        <f t="shared" si="14"/>
        <v>-1.0509999999999999</v>
      </c>
      <c r="T196" s="979">
        <f t="shared" si="14"/>
        <v>-1.0470000000000002</v>
      </c>
      <c r="U196" s="979">
        <f t="shared" si="14"/>
        <v>-1.0729999999999995</v>
      </c>
      <c r="V196" s="979">
        <f t="shared" si="14"/>
        <v>-1.0720000000000003</v>
      </c>
      <c r="W196" s="979">
        <f t="shared" si="14"/>
        <v>-1.0639999999999996</v>
      </c>
      <c r="X196" s="979">
        <f t="shared" si="14"/>
        <v>-1.0820000000000003</v>
      </c>
      <c r="Y196" s="979">
        <f t="shared" si="14"/>
        <v>-1.0849999999999997</v>
      </c>
      <c r="Z196" s="979">
        <f t="shared" si="14"/>
        <v>-1.0520000000000003</v>
      </c>
      <c r="AA196" s="979">
        <f t="shared" si="14"/>
        <v>-0.92100000000000004</v>
      </c>
      <c r="AB196" s="979">
        <f t="shared" si="14"/>
        <v>-1.0449999999999999</v>
      </c>
      <c r="AC196" s="979">
        <f t="shared" si="14"/>
        <v>-1.0429999999999997</v>
      </c>
      <c r="AD196" s="979">
        <f t="shared" si="14"/>
        <v>-1.0340000000000003</v>
      </c>
      <c r="AE196" s="979">
        <f t="shared" si="14"/>
        <v>-1.0129999999999995</v>
      </c>
      <c r="AF196" s="979">
        <f t="shared" si="14"/>
        <v>-1.0060000000000002</v>
      </c>
      <c r="AG196" s="979">
        <f t="shared" si="14"/>
        <v>-0.92407760398074468</v>
      </c>
      <c r="AH196" s="979">
        <f t="shared" si="14"/>
        <v>-0.87126634184507701</v>
      </c>
      <c r="AI196" s="979">
        <f t="shared" si="14"/>
        <v>-0.9773265784401286</v>
      </c>
      <c r="AJ196" s="979">
        <f t="shared" si="14"/>
        <v>-0.99247869201028505</v>
      </c>
      <c r="AK196" s="979">
        <f t="shared" si="14"/>
        <v>-0.98869463645872913</v>
      </c>
      <c r="AL196" s="979">
        <f t="shared" si="14"/>
        <v>-0.99111639968104048</v>
      </c>
      <c r="AM196" s="979">
        <f t="shared" si="14"/>
        <v>-0.99163142528294512</v>
      </c>
      <c r="AN196" s="979">
        <f t="shared" si="14"/>
        <v>-0.99374230672815334</v>
      </c>
      <c r="AO196" s="979">
        <f t="shared" si="14"/>
        <v>-0.99409989034913937</v>
      </c>
      <c r="AP196" s="979">
        <f t="shared" si="14"/>
        <v>-0.99445141564435791</v>
      </c>
      <c r="AQ196" s="979">
        <f t="shared" si="14"/>
        <v>-0.99479739171942105</v>
      </c>
      <c r="AR196" s="979">
        <f t="shared" si="14"/>
        <v>-0.99513732553258238</v>
      </c>
      <c r="AS196" s="979">
        <f t="shared" si="14"/>
        <v>-0.99681879950754937</v>
      </c>
      <c r="AT196" s="979">
        <f t="shared" si="14"/>
        <v>-0.99704215203311719</v>
      </c>
      <c r="AU196" s="979">
        <f t="shared" si="14"/>
        <v>-0.99726109843154864</v>
      </c>
      <c r="AV196" s="979">
        <f t="shared" si="14"/>
        <v>-0.99747529234559507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C4:S64"/>
  <sheetViews>
    <sheetView zoomScale="70" zoomScaleNormal="70" workbookViewId="0">
      <selection activeCell="C4" sqref="C4"/>
    </sheetView>
  </sheetViews>
  <sheetFormatPr defaultRowHeight="14.4"/>
  <sheetData>
    <row r="4" spans="3:19">
      <c r="C4" s="967">
        <f>200*365*19000000/1000000000</f>
        <v>1387</v>
      </c>
      <c r="D4" s="967">
        <f>200*365*19000000/1000000000</f>
        <v>1387</v>
      </c>
    </row>
    <row r="5" spans="3:19" ht="15.6">
      <c r="C5" s="935">
        <f>ОТЧЁТ!J49</f>
        <v>43898</v>
      </c>
      <c r="D5" s="57" t="s">
        <v>1323</v>
      </c>
      <c r="E5" s="57" t="s">
        <v>1324</v>
      </c>
      <c r="F5" s="57" t="s">
        <v>1332</v>
      </c>
      <c r="G5" s="57" t="s">
        <v>1325</v>
      </c>
      <c r="H5" s="57" t="s">
        <v>1333</v>
      </c>
      <c r="I5" s="57" t="s">
        <v>1334</v>
      </c>
      <c r="J5" s="57" t="s">
        <v>1332</v>
      </c>
      <c r="K5" s="57" t="s">
        <v>1335</v>
      </c>
      <c r="L5" s="57" t="s">
        <v>1326</v>
      </c>
      <c r="M5" s="57" t="s">
        <v>1327</v>
      </c>
      <c r="N5" s="57" t="s">
        <v>1332</v>
      </c>
      <c r="O5" s="57" t="s">
        <v>1328</v>
      </c>
      <c r="P5" s="57" t="s">
        <v>1329</v>
      </c>
      <c r="Q5" s="57" t="s">
        <v>1330</v>
      </c>
      <c r="R5" s="57" t="s">
        <v>1332</v>
      </c>
      <c r="S5" s="57" t="s">
        <v>1331</v>
      </c>
    </row>
    <row r="6" spans="3:19">
      <c r="C6" s="797">
        <f>СЧЁТ!O85</f>
        <v>43942</v>
      </c>
      <c r="D6" s="28" t="s">
        <v>400</v>
      </c>
      <c r="E6" s="28" t="s">
        <v>400</v>
      </c>
      <c r="F6" s="277"/>
      <c r="G6" s="277"/>
      <c r="H6" s="28" t="s">
        <v>400</v>
      </c>
      <c r="I6" s="28" t="s">
        <v>400</v>
      </c>
      <c r="J6" s="277"/>
      <c r="K6" s="277"/>
      <c r="L6" s="28" t="s">
        <v>400</v>
      </c>
      <c r="M6" s="28" t="s">
        <v>400</v>
      </c>
      <c r="N6" s="277"/>
      <c r="O6" s="277"/>
      <c r="P6" s="28" t="s">
        <v>400</v>
      </c>
      <c r="Q6" s="28" t="s">
        <v>400</v>
      </c>
      <c r="R6" s="277"/>
      <c r="S6" s="277"/>
    </row>
    <row r="7" spans="3:19" ht="15.6">
      <c r="C7" s="968">
        <v>1995</v>
      </c>
      <c r="D7" s="969">
        <v>719.79349999999999</v>
      </c>
      <c r="E7" s="970" t="e">
        <f t="array" ref="E7:E42">TRANSPOSE(СЧЁТ!#REF!)</f>
        <v>#REF!</v>
      </c>
      <c r="G7" s="934"/>
      <c r="H7" s="969">
        <v>910.9</v>
      </c>
      <c r="I7" s="970" t="e">
        <f t="array" ref="I7:I42">TRANSPOSE(СЧЁТ!#REF!)</f>
        <v>#REF!</v>
      </c>
      <c r="K7" s="941"/>
      <c r="L7" s="972">
        <v>1428.5221000000001</v>
      </c>
      <c r="M7" s="1016" t="e">
        <f t="array" ref="M7:M42">TRANSPOSE(СЧЁТ!#REF!)</f>
        <v>#REF!</v>
      </c>
      <c r="O7" s="934"/>
      <c r="P7" s="972">
        <v>486.1</v>
      </c>
      <c r="Q7" s="1016" t="e">
        <f t="array" ref="Q7:Q42">TRANSPOSE(СЧЁТ!#REF!)</f>
        <v>#REF!</v>
      </c>
      <c r="S7" s="938"/>
    </row>
    <row r="8" spans="3:19" ht="15.6">
      <c r="C8" s="37">
        <v>1996</v>
      </c>
      <c r="D8" s="972">
        <v>1007.827</v>
      </c>
      <c r="E8" s="961" t="e">
        <v>#REF!</v>
      </c>
      <c r="G8" s="934"/>
      <c r="H8" s="972">
        <v>1357.1</v>
      </c>
      <c r="I8" s="961" t="e">
        <v>#REF!</v>
      </c>
      <c r="K8" s="941"/>
      <c r="L8" s="972">
        <v>2007.8252000000009</v>
      </c>
      <c r="M8" s="1016" t="e">
        <v>#REF!</v>
      </c>
      <c r="O8" s="934"/>
      <c r="P8" s="972">
        <v>652.70000000000016</v>
      </c>
      <c r="Q8" s="1016" t="e">
        <v>#REF!</v>
      </c>
      <c r="S8" s="939"/>
    </row>
    <row r="9" spans="3:19" ht="15.6">
      <c r="C9" s="37">
        <v>1997</v>
      </c>
      <c r="D9" s="972">
        <v>1235.2137</v>
      </c>
      <c r="E9" s="961" t="e">
        <v>#REF!</v>
      </c>
      <c r="G9" s="934"/>
      <c r="H9" s="972">
        <v>1656.4</v>
      </c>
      <c r="I9" s="961" t="e">
        <v>#REF!</v>
      </c>
      <c r="K9" s="941"/>
      <c r="L9" s="972">
        <v>2342.5137</v>
      </c>
      <c r="M9" s="1016" t="e">
        <v>#REF!</v>
      </c>
      <c r="O9" s="934"/>
      <c r="P9" s="972">
        <v>839.50000000000023</v>
      </c>
      <c r="Q9" s="1016" t="e">
        <v>#REF!</v>
      </c>
      <c r="S9" s="939"/>
    </row>
    <row r="10" spans="3:19" ht="15.6">
      <c r="C10" s="37">
        <v>1998</v>
      </c>
      <c r="D10" s="972">
        <v>1462.2840000000001</v>
      </c>
      <c r="E10" s="961" t="e">
        <v>#REF!</v>
      </c>
      <c r="G10" s="934"/>
      <c r="H10" s="972">
        <v>1776</v>
      </c>
      <c r="I10" s="961" t="e">
        <v>#REF!</v>
      </c>
      <c r="K10" s="941"/>
      <c r="L10" s="972">
        <v>2629.6229000000003</v>
      </c>
      <c r="M10" s="1016" t="e">
        <v>#REF!</v>
      </c>
      <c r="O10" s="934"/>
      <c r="P10" s="972">
        <v>842.10000000000025</v>
      </c>
      <c r="Q10" s="1016" t="e">
        <v>#REF!</v>
      </c>
      <c r="S10" s="939"/>
    </row>
    <row r="11" spans="3:19" ht="15.6">
      <c r="C11" s="37">
        <v>1999</v>
      </c>
      <c r="D11" s="972">
        <v>2526.1678999999999</v>
      </c>
      <c r="E11" s="961" t="e">
        <v>#REF!</v>
      </c>
      <c r="G11" s="934"/>
      <c r="H11" s="972">
        <v>2908.1000000000004</v>
      </c>
      <c r="I11" s="961" t="e">
        <v>#REF!</v>
      </c>
      <c r="K11" s="941"/>
      <c r="L11" s="972">
        <v>4823.2329000000009</v>
      </c>
      <c r="M11" s="1016" t="e">
        <v>#REF!</v>
      </c>
      <c r="O11" s="934"/>
      <c r="P11" s="972">
        <v>1258</v>
      </c>
      <c r="Q11" s="1016" t="e">
        <v>#REF!</v>
      </c>
      <c r="S11" s="939"/>
    </row>
    <row r="12" spans="3:19" ht="15.6">
      <c r="C12" s="37">
        <v>2000</v>
      </c>
      <c r="D12" s="972">
        <v>3295.2372999999998</v>
      </c>
      <c r="E12" s="961" t="e">
        <v>#REF!</v>
      </c>
      <c r="G12" s="934"/>
      <c r="H12" s="972">
        <v>3983.9</v>
      </c>
      <c r="I12" s="961" t="e">
        <v>#REF!</v>
      </c>
      <c r="K12" s="941"/>
      <c r="L12" s="972">
        <v>7305.6466</v>
      </c>
      <c r="M12" s="1016" t="e">
        <v>#REF!</v>
      </c>
      <c r="O12" s="934"/>
      <c r="P12" s="972">
        <v>1960.1</v>
      </c>
      <c r="Q12" s="1016" t="e">
        <v>#REF!</v>
      </c>
      <c r="S12" s="939"/>
    </row>
    <row r="13" spans="3:19" ht="15.6">
      <c r="C13" s="37">
        <v>2001</v>
      </c>
      <c r="D13" s="972">
        <v>4318.1211000000003</v>
      </c>
      <c r="E13" s="961" t="e">
        <v>#REF!</v>
      </c>
      <c r="G13" s="934"/>
      <c r="H13" s="972">
        <v>5325.8</v>
      </c>
      <c r="I13" s="961" t="e">
        <v>#REF!</v>
      </c>
      <c r="K13" s="941"/>
      <c r="L13" s="972">
        <v>8943.5826000000015</v>
      </c>
      <c r="M13" s="1016" t="e">
        <v>#REF!</v>
      </c>
      <c r="O13" s="934"/>
      <c r="P13" s="972">
        <v>2419.4</v>
      </c>
      <c r="Q13" s="1016" t="e">
        <v>#REF!</v>
      </c>
      <c r="S13" s="939"/>
    </row>
    <row r="14" spans="3:19" ht="15.6">
      <c r="C14" s="37">
        <v>2002</v>
      </c>
      <c r="D14" s="972">
        <v>5409.1576999999997</v>
      </c>
      <c r="E14" s="961" t="e">
        <v>#REF!</v>
      </c>
      <c r="G14" s="934"/>
      <c r="H14" s="972">
        <v>6830.9889955136459</v>
      </c>
      <c r="I14" s="961" t="e">
        <v>#REF!</v>
      </c>
      <c r="K14" s="941"/>
      <c r="L14" s="972">
        <v>10819.203477994801</v>
      </c>
      <c r="M14" s="1016" t="e">
        <v>#REF!</v>
      </c>
      <c r="O14" s="934"/>
      <c r="P14" s="972">
        <v>3422.2972094504153</v>
      </c>
      <c r="Q14" s="1016" t="e">
        <v>#REF!</v>
      </c>
      <c r="S14" s="939"/>
    </row>
    <row r="15" spans="3:19" ht="15.6">
      <c r="C15" s="37">
        <v>2003</v>
      </c>
      <c r="D15" s="972">
        <v>6537.4014999999999</v>
      </c>
      <c r="E15" s="961" t="e">
        <v>#REF!</v>
      </c>
      <c r="G15" s="934"/>
      <c r="H15" s="972">
        <v>8900.4960764160933</v>
      </c>
      <c r="I15" s="961" t="e">
        <v>#REF!</v>
      </c>
      <c r="K15" s="941"/>
      <c r="L15" s="972">
        <v>13208.230883932441</v>
      </c>
      <c r="M15" s="1016" t="e">
        <v>#REF!</v>
      </c>
      <c r="O15" s="934"/>
      <c r="P15" s="972">
        <v>3964.899124643277</v>
      </c>
      <c r="Q15" s="1016" t="e">
        <v>#REF!</v>
      </c>
      <c r="S15" s="939"/>
    </row>
    <row r="16" spans="3:19" ht="15.6">
      <c r="C16" s="37">
        <v>2004</v>
      </c>
      <c r="D16" s="972">
        <v>8438.4840999999997</v>
      </c>
      <c r="E16" s="961" t="e">
        <v>#REF!</v>
      </c>
      <c r="G16" s="934"/>
      <c r="H16" s="972">
        <v>10976.305126344294</v>
      </c>
      <c r="I16" s="961" t="e">
        <v>#REF!</v>
      </c>
      <c r="K16" s="941"/>
      <c r="L16" s="972">
        <v>17027.194876010544</v>
      </c>
      <c r="M16" s="1016" t="e">
        <v>#REF!</v>
      </c>
      <c r="O16" s="934"/>
      <c r="P16" s="972">
        <v>4669.7010904192321</v>
      </c>
      <c r="Q16" s="1016" t="e">
        <v>#REF!</v>
      </c>
      <c r="S16" s="939"/>
    </row>
    <row r="17" spans="3:19" ht="15.6">
      <c r="C17" s="37">
        <v>2005</v>
      </c>
      <c r="D17" s="972">
        <v>10652.8578</v>
      </c>
      <c r="E17" s="961" t="e">
        <v>#REF!</v>
      </c>
      <c r="G17" s="934"/>
      <c r="H17" s="972">
        <v>13818.999927863446</v>
      </c>
      <c r="I17" s="961" t="e">
        <v>#REF!</v>
      </c>
      <c r="K17" s="941"/>
      <c r="L17" s="972">
        <v>21609.765444030043</v>
      </c>
      <c r="M17" s="1016" t="e">
        <v>#REF!</v>
      </c>
      <c r="O17" s="934"/>
      <c r="P17" s="972">
        <v>6820.5999823344364</v>
      </c>
      <c r="Q17" s="1016" t="e">
        <v>#REF!</v>
      </c>
      <c r="S17" s="939"/>
    </row>
    <row r="18" spans="3:19" ht="15.6">
      <c r="C18" s="37">
        <v>2006</v>
      </c>
      <c r="D18" s="972">
        <v>12974.743399999999</v>
      </c>
      <c r="E18" s="961" t="e">
        <v>#REF!</v>
      </c>
      <c r="G18" s="934"/>
      <c r="H18" s="972">
        <v>17290.099467586653</v>
      </c>
      <c r="I18" s="961" t="e">
        <v>#REF!</v>
      </c>
      <c r="K18" s="941"/>
      <c r="L18" s="972">
        <v>26917.200998161465</v>
      </c>
      <c r="M18" s="1016" t="e">
        <v>#REF!</v>
      </c>
      <c r="O18" s="934"/>
      <c r="P18" s="972">
        <v>8375.1998749692411</v>
      </c>
      <c r="Q18" s="1016" t="e">
        <v>#REF!</v>
      </c>
      <c r="S18" s="939"/>
    </row>
    <row r="19" spans="3:19" ht="15.6">
      <c r="C19" s="37">
        <v>2007</v>
      </c>
      <c r="D19" s="972">
        <v>16031.739799999999</v>
      </c>
      <c r="E19" s="961" t="e">
        <v>#REF!</v>
      </c>
      <c r="G19" s="934"/>
      <c r="H19" s="972">
        <v>21311.5</v>
      </c>
      <c r="I19" s="961" t="e">
        <v>#REF!</v>
      </c>
      <c r="K19" s="941"/>
      <c r="L19" s="972">
        <v>33247.513200000001</v>
      </c>
      <c r="M19" s="1016" t="e">
        <v>#REF!</v>
      </c>
      <c r="O19" s="934"/>
      <c r="P19" s="972">
        <v>11378.578</v>
      </c>
      <c r="Q19" s="1016" t="e">
        <v>#REF!</v>
      </c>
      <c r="S19" s="939"/>
    </row>
    <row r="20" spans="3:19" ht="15.6">
      <c r="C20" s="37">
        <v>2008</v>
      </c>
      <c r="D20" s="972">
        <v>19966.954699999998</v>
      </c>
      <c r="E20" s="961" t="e">
        <v>#REF!</v>
      </c>
      <c r="G20" s="934"/>
      <c r="H20" s="972">
        <v>25244</v>
      </c>
      <c r="I20" s="961" t="e">
        <v>#REF!</v>
      </c>
      <c r="K20" s="941"/>
      <c r="L20" s="972">
        <v>41276.84919999999</v>
      </c>
      <c r="M20" s="1016" t="e">
        <v>#REF!</v>
      </c>
      <c r="O20" s="934"/>
      <c r="P20" s="972">
        <v>13991.787999999999</v>
      </c>
      <c r="Q20" s="1016" t="e">
        <v>#REF!</v>
      </c>
      <c r="S20" s="939"/>
    </row>
    <row r="21" spans="3:19" ht="15.6">
      <c r="C21" s="37">
        <v>2009</v>
      </c>
      <c r="D21" s="972">
        <v>20986.036</v>
      </c>
      <c r="E21" s="961" t="e">
        <v>#REF!</v>
      </c>
      <c r="G21" s="934"/>
      <c r="H21" s="972">
        <v>28697.486854570394</v>
      </c>
      <c r="I21" s="961" t="e">
        <v>#REF!</v>
      </c>
      <c r="K21" s="941"/>
      <c r="L21" s="972">
        <v>38807.209332896433</v>
      </c>
      <c r="M21" s="1016" t="e">
        <v>#REF!</v>
      </c>
      <c r="O21" s="934"/>
      <c r="P21" s="972">
        <v>16048.296002275296</v>
      </c>
      <c r="Q21" s="1016" t="e">
        <v>#REF!</v>
      </c>
      <c r="S21" s="939"/>
    </row>
    <row r="22" spans="3:19" ht="15.6">
      <c r="C22" s="37">
        <v>2010</v>
      </c>
      <c r="D22" s="972">
        <v>23617.623</v>
      </c>
      <c r="E22" s="961" t="e">
        <v>#REF!</v>
      </c>
      <c r="G22" s="934"/>
      <c r="H22" s="972">
        <v>32498.302413757214</v>
      </c>
      <c r="I22" s="961" t="e">
        <v>#REF!</v>
      </c>
      <c r="K22" s="941"/>
      <c r="L22" s="972">
        <v>46308.542762752033</v>
      </c>
      <c r="M22" s="1016" t="e">
        <v>#REF!</v>
      </c>
      <c r="O22" s="934"/>
      <c r="P22" s="972">
        <v>17616.700670586313</v>
      </c>
      <c r="Q22" s="1016" t="e">
        <v>#REF!</v>
      </c>
      <c r="S22" s="939"/>
    </row>
    <row r="23" spans="3:19" ht="15.6">
      <c r="C23" s="37">
        <v>2011</v>
      </c>
      <c r="D23" s="972">
        <v>27192.523000000001</v>
      </c>
      <c r="E23" s="961" t="e">
        <v>#REF!</v>
      </c>
      <c r="G23" s="934"/>
      <c r="H23" s="972">
        <v>35648.699999999997</v>
      </c>
      <c r="I23" s="961" t="e">
        <v>#REF!</v>
      </c>
      <c r="K23" s="941"/>
      <c r="L23" s="972">
        <v>55967.227000000006</v>
      </c>
      <c r="M23" s="1016" t="e">
        <v>#REF!</v>
      </c>
      <c r="O23" s="934"/>
      <c r="P23" s="972">
        <v>19994.600000000002</v>
      </c>
      <c r="Q23" s="1016" t="e">
        <v>#REF!</v>
      </c>
      <c r="S23" s="939"/>
    </row>
    <row r="24" spans="3:19" ht="15.6">
      <c r="C24" s="37">
        <v>2012</v>
      </c>
      <c r="D24" s="972">
        <v>31018.799999999999</v>
      </c>
      <c r="E24" s="961" t="e">
        <v>#REF!</v>
      </c>
      <c r="G24" s="934"/>
      <c r="H24" s="972">
        <v>39902.591916934354</v>
      </c>
      <c r="I24" s="961" t="e">
        <v>#REF!</v>
      </c>
      <c r="K24" s="941"/>
      <c r="L24" s="972">
        <v>62175.390918436577</v>
      </c>
      <c r="M24" s="1016" t="e">
        <v>#REF!</v>
      </c>
      <c r="O24" s="934"/>
      <c r="P24" s="972">
        <v>22825.596509295287</v>
      </c>
      <c r="Q24" s="1016" t="e">
        <v>#REF!</v>
      </c>
      <c r="S24" s="939"/>
    </row>
    <row r="25" spans="3:19" ht="15.6">
      <c r="C25" s="37">
        <v>2013</v>
      </c>
      <c r="D25" s="972">
        <v>34671.919999999998</v>
      </c>
      <c r="E25" s="961" t="e">
        <v>#REF!</v>
      </c>
      <c r="G25" s="934"/>
      <c r="H25" s="972">
        <v>44651.569797683391</v>
      </c>
      <c r="I25" s="961" t="e">
        <v>#REF!</v>
      </c>
      <c r="K25" s="941"/>
      <c r="L25" s="972">
        <v>66200.029145560125</v>
      </c>
      <c r="M25" s="1016" t="e">
        <v>#REF!</v>
      </c>
      <c r="O25" s="934"/>
      <c r="P25" s="972">
        <v>25294.693875933812</v>
      </c>
      <c r="Q25" s="1016" t="e">
        <v>#REF!</v>
      </c>
      <c r="S25" s="939"/>
    </row>
    <row r="26" spans="3:19" ht="15.6">
      <c r="C26" s="37">
        <v>2014</v>
      </c>
      <c r="D26" s="972">
        <v>38037.18</v>
      </c>
      <c r="E26" s="961" t="e">
        <v>#REF!</v>
      </c>
      <c r="G26" s="934"/>
      <c r="H26" s="972">
        <v>47901.49632319597</v>
      </c>
      <c r="I26" s="961" t="e">
        <v>#REF!</v>
      </c>
      <c r="K26" s="941"/>
      <c r="L26" s="972">
        <v>71416.310892511494</v>
      </c>
      <c r="M26" s="1016" t="e">
        <v>#REF!</v>
      </c>
      <c r="O26" s="934"/>
      <c r="P26" s="972">
        <v>27615.562386005826</v>
      </c>
      <c r="Q26" s="1016" t="e">
        <v>#REF!</v>
      </c>
      <c r="S26" s="939"/>
    </row>
    <row r="27" spans="3:19" ht="15.6">
      <c r="C27" s="37">
        <v>2015</v>
      </c>
      <c r="D27" s="972">
        <v>33792.439078086616</v>
      </c>
      <c r="E27" s="961" t="e">
        <v>#REF!</v>
      </c>
      <c r="F27" s="960" t="e">
        <f>100*(G27/D27)</f>
        <v>#REF!</v>
      </c>
      <c r="G27" s="934" t="e">
        <f>E27-D27</f>
        <v>#REF!</v>
      </c>
      <c r="H27" s="972">
        <v>44387.809113472504</v>
      </c>
      <c r="I27" s="961" t="e">
        <v>#REF!</v>
      </c>
      <c r="J27" s="960" t="e">
        <f>100*(K27/H27)</f>
        <v>#REF!</v>
      </c>
      <c r="K27" s="941" t="e">
        <f>I27-H27</f>
        <v>#REF!</v>
      </c>
      <c r="L27" s="972">
        <v>66677.835487634642</v>
      </c>
      <c r="M27" s="1016" t="e">
        <v>#REF!</v>
      </c>
      <c r="N27" s="960" t="e">
        <f>100*(O27/L27)</f>
        <v>#REF!</v>
      </c>
      <c r="O27" s="934" t="e">
        <f>M27-L27</f>
        <v>#REF!</v>
      </c>
      <c r="P27" s="972">
        <v>26004.355840177512</v>
      </c>
      <c r="Q27" s="1016" t="e">
        <v>#REF!</v>
      </c>
      <c r="R27" s="960" t="e">
        <f>100*(S27/P27)</f>
        <v>#REF!</v>
      </c>
      <c r="S27" s="939" t="e">
        <f>Q27-P27</f>
        <v>#REF!</v>
      </c>
    </row>
    <row r="28" spans="3:19" ht="15.6">
      <c r="C28" s="37">
        <v>2016</v>
      </c>
      <c r="D28" s="972">
        <v>34459.621780060057</v>
      </c>
      <c r="E28" s="961" t="e">
        <v>#REF!</v>
      </c>
      <c r="F28" s="960" t="e">
        <f t="shared" ref="F28:F42" si="0">100*(G28/D28)</f>
        <v>#REF!</v>
      </c>
      <c r="G28" s="934" t="e">
        <f t="shared" ref="G28:G42" si="1">E28-D28</f>
        <v>#REF!</v>
      </c>
      <c r="H28" s="972">
        <v>45264.182030815784</v>
      </c>
      <c r="I28" s="961" t="e">
        <v>#REF!</v>
      </c>
      <c r="J28" s="960" t="e">
        <f t="shared" ref="J28:J42" si="2">100*(K28/H28)</f>
        <v>#REF!</v>
      </c>
      <c r="K28" s="941" t="e">
        <f t="shared" ref="K28:K42" si="3">I28-H28</f>
        <v>#REF!</v>
      </c>
      <c r="L28" s="972">
        <v>66815.902199416538</v>
      </c>
      <c r="M28" s="1016" t="e">
        <v>#REF!</v>
      </c>
      <c r="N28" s="960" t="e">
        <f t="shared" ref="N28:N42" si="4">100*(O28/L28)</f>
        <v>#REF!</v>
      </c>
      <c r="O28" s="934" t="e">
        <f t="shared" ref="O28:O42" si="5">M28-L28</f>
        <v>#REF!</v>
      </c>
      <c r="P28" s="972">
        <v>26058.201857772452</v>
      </c>
      <c r="Q28" s="1016" t="e">
        <v>#REF!</v>
      </c>
      <c r="R28" s="960" t="e">
        <f t="shared" ref="R28:R42" si="6">100*(S28/P28)</f>
        <v>#REF!</v>
      </c>
      <c r="S28" s="939" t="e">
        <f t="shared" ref="S28:S42" si="7">Q28-P28</f>
        <v>#REF!</v>
      </c>
    </row>
    <row r="29" spans="3:19" ht="15.6">
      <c r="C29" s="37">
        <v>2017</v>
      </c>
      <c r="D29" s="972">
        <v>36879.139854429275</v>
      </c>
      <c r="E29" s="961" t="e">
        <v>#REF!</v>
      </c>
      <c r="F29" s="960" t="e">
        <f t="shared" si="0"/>
        <v>#REF!</v>
      </c>
      <c r="G29" s="934" t="e">
        <f t="shared" si="1"/>
        <v>#REF!</v>
      </c>
      <c r="H29" s="972">
        <v>48442.322152146691</v>
      </c>
      <c r="I29" s="961" t="e">
        <v>#REF!</v>
      </c>
      <c r="J29" s="960" t="e">
        <f t="shared" si="2"/>
        <v>#REF!</v>
      </c>
      <c r="K29" s="941" t="e">
        <f t="shared" si="3"/>
        <v>#REF!</v>
      </c>
      <c r="L29" s="972">
        <v>70577.484510177368</v>
      </c>
      <c r="M29" s="1016" t="e">
        <v>#REF!</v>
      </c>
      <c r="N29" s="960" t="e">
        <f t="shared" si="4"/>
        <v>#REF!</v>
      </c>
      <c r="O29" s="934" t="e">
        <f t="shared" si="5"/>
        <v>#REF!</v>
      </c>
      <c r="P29" s="972">
        <v>27525.218958969173</v>
      </c>
      <c r="Q29" s="1016" t="e">
        <v>#REF!</v>
      </c>
      <c r="R29" s="960" t="e">
        <f t="shared" si="6"/>
        <v>#REF!</v>
      </c>
      <c r="S29" s="939" t="e">
        <f t="shared" si="7"/>
        <v>#REF!</v>
      </c>
    </row>
    <row r="30" spans="3:19" ht="15.6">
      <c r="C30" s="37">
        <v>2018</v>
      </c>
      <c r="D30" s="972">
        <v>41919.547397486618</v>
      </c>
      <c r="E30" s="961" t="e">
        <v>#REF!</v>
      </c>
      <c r="F30" s="960" t="e">
        <f t="shared" si="0"/>
        <v>#REF!</v>
      </c>
      <c r="G30" s="934" t="e">
        <f t="shared" si="1"/>
        <v>#REF!</v>
      </c>
      <c r="H30" s="972">
        <v>55063.112304592956</v>
      </c>
      <c r="I30" s="961" t="e">
        <v>#REF!</v>
      </c>
      <c r="J30" s="960" t="e">
        <f t="shared" si="2"/>
        <v>#REF!</v>
      </c>
      <c r="K30" s="941" t="e">
        <f t="shared" si="3"/>
        <v>#REF!</v>
      </c>
      <c r="L30" s="972">
        <v>79976.918472037432</v>
      </c>
      <c r="M30" s="1016" t="e">
        <v>#REF!</v>
      </c>
      <c r="N30" s="960" t="e">
        <f t="shared" si="4"/>
        <v>#REF!</v>
      </c>
      <c r="O30" s="934" t="e">
        <f t="shared" si="5"/>
        <v>#REF!</v>
      </c>
      <c r="P30" s="972">
        <v>31190.998204094598</v>
      </c>
      <c r="Q30" s="1016" t="e">
        <v>#REF!</v>
      </c>
      <c r="R30" s="960" t="e">
        <f t="shared" si="6"/>
        <v>#REF!</v>
      </c>
      <c r="S30" s="939" t="e">
        <f t="shared" si="7"/>
        <v>#REF!</v>
      </c>
    </row>
    <row r="31" spans="3:19" ht="15.6">
      <c r="C31" s="37">
        <v>2019</v>
      </c>
      <c r="D31" s="972">
        <v>45839.552926655262</v>
      </c>
      <c r="E31" s="961" t="e">
        <v>#REF!</v>
      </c>
      <c r="F31" s="960" t="e">
        <f t="shared" si="0"/>
        <v>#REF!</v>
      </c>
      <c r="G31" s="934" t="e">
        <f t="shared" si="1"/>
        <v>#REF!</v>
      </c>
      <c r="H31" s="972">
        <v>60212.206655267648</v>
      </c>
      <c r="I31" s="961" t="e">
        <v>#REF!</v>
      </c>
      <c r="J31" s="960" t="e">
        <f t="shared" si="2"/>
        <v>#REF!</v>
      </c>
      <c r="K31" s="941" t="e">
        <f t="shared" si="3"/>
        <v>#REF!</v>
      </c>
      <c r="L31" s="972">
        <v>87209.855843042795</v>
      </c>
      <c r="M31" s="1016" t="e">
        <v>#REF!</v>
      </c>
      <c r="N31" s="960" t="e">
        <f t="shared" si="4"/>
        <v>#REF!</v>
      </c>
      <c r="O31" s="934" t="e">
        <f t="shared" si="5"/>
        <v>#REF!</v>
      </c>
      <c r="P31" s="972">
        <v>34011.843778786693</v>
      </c>
      <c r="Q31" s="1016" t="e">
        <v>#REF!</v>
      </c>
      <c r="R31" s="960" t="e">
        <f t="shared" si="6"/>
        <v>#REF!</v>
      </c>
      <c r="S31" s="939" t="e">
        <f t="shared" si="7"/>
        <v>#REF!</v>
      </c>
    </row>
    <row r="32" spans="3:19" ht="15.6">
      <c r="C32" s="37">
        <v>2020</v>
      </c>
      <c r="D32" s="972">
        <v>48956.003817941579</v>
      </c>
      <c r="E32" s="961" t="e">
        <v>#REF!</v>
      </c>
      <c r="F32" s="960" t="e">
        <f t="shared" si="0"/>
        <v>#REF!</v>
      </c>
      <c r="G32" s="934" t="e">
        <f t="shared" si="1"/>
        <v>#REF!</v>
      </c>
      <c r="H32" s="972">
        <v>64305.797738002868</v>
      </c>
      <c r="I32" s="961" t="e">
        <v>#REF!</v>
      </c>
      <c r="J32" s="960" t="e">
        <f t="shared" si="2"/>
        <v>#REF!</v>
      </c>
      <c r="K32" s="941" t="e">
        <f t="shared" si="3"/>
        <v>#REF!</v>
      </c>
      <c r="L32" s="972">
        <v>93072.095891156452</v>
      </c>
      <c r="M32" s="1016" t="e">
        <v>#REF!</v>
      </c>
      <c r="N32" s="960" t="e">
        <f t="shared" si="4"/>
        <v>#REF!</v>
      </c>
      <c r="O32" s="934" t="e">
        <f t="shared" si="5"/>
        <v>#REF!</v>
      </c>
      <c r="P32" s="972">
        <v>36298.117397551017</v>
      </c>
      <c r="Q32" s="1016" t="e">
        <v>#REF!</v>
      </c>
      <c r="R32" s="960" t="e">
        <f t="shared" si="6"/>
        <v>#REF!</v>
      </c>
      <c r="S32" s="939" t="e">
        <f t="shared" si="7"/>
        <v>#REF!</v>
      </c>
    </row>
    <row r="33" spans="3:19" ht="15.6">
      <c r="C33" s="37">
        <v>2021</v>
      </c>
      <c r="D33" s="972">
        <v>51885.282737463618</v>
      </c>
      <c r="E33" s="961" t="e">
        <v>#REF!</v>
      </c>
      <c r="F33" s="960" t="e">
        <f t="shared" si="0"/>
        <v>#REF!</v>
      </c>
      <c r="G33" s="934" t="e">
        <f t="shared" si="1"/>
        <v>#REF!</v>
      </c>
      <c r="H33" s="972">
        <v>68153.530457721819</v>
      </c>
      <c r="I33" s="961" t="e">
        <v>#REF!</v>
      </c>
      <c r="J33" s="960" t="e">
        <f t="shared" si="2"/>
        <v>#REF!</v>
      </c>
      <c r="K33" s="941" t="e">
        <f t="shared" si="3"/>
        <v>#REF!</v>
      </c>
      <c r="L33" s="972">
        <v>98547.515804913535</v>
      </c>
      <c r="M33" s="1016" t="e">
        <v>#REF!</v>
      </c>
      <c r="N33" s="960" t="e">
        <f t="shared" si="4"/>
        <v>#REF!</v>
      </c>
      <c r="O33" s="934" t="e">
        <f t="shared" si="5"/>
        <v>#REF!</v>
      </c>
      <c r="P33" s="972">
        <v>38433.531163916283</v>
      </c>
      <c r="Q33" s="1016" t="e">
        <v>#REF!</v>
      </c>
      <c r="R33" s="960" t="e">
        <f t="shared" si="6"/>
        <v>#REF!</v>
      </c>
      <c r="S33" s="939" t="e">
        <f t="shared" si="7"/>
        <v>#REF!</v>
      </c>
    </row>
    <row r="34" spans="3:19" ht="15.6">
      <c r="C34" s="37">
        <v>2022</v>
      </c>
      <c r="D34" s="972">
        <v>54375.177204844564</v>
      </c>
      <c r="E34" s="961" t="e">
        <v>#REF!</v>
      </c>
      <c r="F34" s="960" t="e">
        <f t="shared" si="0"/>
        <v>#REF!</v>
      </c>
      <c r="G34" s="934" t="e">
        <f t="shared" si="1"/>
        <v>#REF!</v>
      </c>
      <c r="H34" s="972">
        <v>71424.112971029244</v>
      </c>
      <c r="I34" s="961" t="e">
        <v>#REF!</v>
      </c>
      <c r="J34" s="960" t="e">
        <f t="shared" si="2"/>
        <v>#REF!</v>
      </c>
      <c r="K34" s="941" t="e">
        <f t="shared" si="3"/>
        <v>#REF!</v>
      </c>
      <c r="L34" s="972">
        <v>103174.36175381778</v>
      </c>
      <c r="M34" s="1016" t="e">
        <v>#REF!</v>
      </c>
      <c r="N34" s="960" t="e">
        <f t="shared" si="4"/>
        <v>#REF!</v>
      </c>
      <c r="O34" s="934" t="e">
        <f t="shared" si="5"/>
        <v>#REF!</v>
      </c>
      <c r="P34" s="972">
        <v>40238.001083988936</v>
      </c>
      <c r="Q34" s="1016" t="e">
        <v>#REF!</v>
      </c>
      <c r="R34" s="960" t="e">
        <f t="shared" si="6"/>
        <v>#REF!</v>
      </c>
      <c r="S34" s="939" t="e">
        <f t="shared" si="7"/>
        <v>#REF!</v>
      </c>
    </row>
    <row r="35" spans="3:19" ht="15.6">
      <c r="C35" s="37">
        <v>2023</v>
      </c>
      <c r="D35" s="972">
        <v>56790.66776454293</v>
      </c>
      <c r="E35" s="961" t="e">
        <v>#REF!</v>
      </c>
      <c r="F35" s="960" t="e">
        <f t="shared" si="0"/>
        <v>#REF!</v>
      </c>
      <c r="G35" s="934" t="e">
        <f t="shared" si="1"/>
        <v>#REF!</v>
      </c>
      <c r="H35" s="972">
        <v>74596.962780169357</v>
      </c>
      <c r="I35" s="961" t="e">
        <v>#REF!</v>
      </c>
      <c r="J35" s="960" t="e">
        <f t="shared" si="2"/>
        <v>#REF!</v>
      </c>
      <c r="K35" s="941" t="e">
        <f t="shared" si="3"/>
        <v>#REF!</v>
      </c>
      <c r="L35" s="972">
        <v>107653.55637051897</v>
      </c>
      <c r="M35" s="1016" t="e">
        <v>#REF!</v>
      </c>
      <c r="N35" s="960" t="e">
        <f t="shared" si="4"/>
        <v>#REF!</v>
      </c>
      <c r="O35" s="934" t="e">
        <f t="shared" si="5"/>
        <v>#REF!</v>
      </c>
      <c r="P35" s="972">
        <v>41984.886984502402</v>
      </c>
      <c r="Q35" s="1016" t="e">
        <v>#REF!</v>
      </c>
      <c r="R35" s="960" t="e">
        <f t="shared" si="6"/>
        <v>#REF!</v>
      </c>
      <c r="S35" s="939" t="e">
        <f t="shared" si="7"/>
        <v>#REF!</v>
      </c>
    </row>
    <row r="36" spans="3:19" ht="15.6">
      <c r="C36" s="37">
        <v>2024</v>
      </c>
      <c r="D36" s="972">
        <v>59172.217429599681</v>
      </c>
      <c r="E36" s="961" t="e">
        <v>#REF!</v>
      </c>
      <c r="F36" s="960" t="e">
        <f t="shared" si="0"/>
        <v>#REF!</v>
      </c>
      <c r="G36" s="934" t="e">
        <f t="shared" si="1"/>
        <v>#REF!</v>
      </c>
      <c r="H36" s="972">
        <v>77725.229777485467</v>
      </c>
      <c r="I36" s="961" t="e">
        <v>#REF!</v>
      </c>
      <c r="J36" s="960" t="e">
        <f t="shared" si="2"/>
        <v>#REF!</v>
      </c>
      <c r="K36" s="941" t="e">
        <f t="shared" si="3"/>
        <v>#REF!</v>
      </c>
      <c r="L36" s="972">
        <v>112068.24026582697</v>
      </c>
      <c r="M36" s="1016" t="e">
        <v>#REF!</v>
      </c>
      <c r="N36" s="960" t="e">
        <f t="shared" si="4"/>
        <v>#REF!</v>
      </c>
      <c r="O36" s="934" t="e">
        <f t="shared" si="5"/>
        <v>#REF!</v>
      </c>
      <c r="P36" s="972">
        <v>43706.613703672519</v>
      </c>
      <c r="Q36" s="1016" t="e">
        <v>#REF!</v>
      </c>
      <c r="R36" s="960" t="e">
        <f t="shared" si="6"/>
        <v>#REF!</v>
      </c>
      <c r="S36" s="939" t="e">
        <f t="shared" si="7"/>
        <v>#REF!</v>
      </c>
    </row>
    <row r="37" spans="3:19" ht="15.6">
      <c r="C37" s="37">
        <v>2025</v>
      </c>
      <c r="D37" s="972">
        <v>61548.185939333256</v>
      </c>
      <c r="E37" s="961" t="e">
        <v>#REF!</v>
      </c>
      <c r="F37" s="960" t="e">
        <f t="shared" si="0"/>
        <v>#REF!</v>
      </c>
      <c r="G37" s="934" t="e">
        <f t="shared" si="1"/>
        <v>#REF!</v>
      </c>
      <c r="H37" s="972">
        <v>80846.165689390851</v>
      </c>
      <c r="I37" s="961" t="e">
        <v>#REF!</v>
      </c>
      <c r="J37" s="960" t="e">
        <f t="shared" si="2"/>
        <v>#REF!</v>
      </c>
      <c r="K37" s="941" t="e">
        <f t="shared" si="3"/>
        <v>#REF!</v>
      </c>
      <c r="L37" s="972">
        <v>116477.19615582895</v>
      </c>
      <c r="M37" s="1016" t="e">
        <v>#REF!</v>
      </c>
      <c r="N37" s="960" t="e">
        <f t="shared" si="4"/>
        <v>#REF!</v>
      </c>
      <c r="O37" s="934" t="e">
        <f t="shared" si="5"/>
        <v>#REF!</v>
      </c>
      <c r="P37" s="972">
        <v>45426.10650077329</v>
      </c>
      <c r="Q37" s="1016" t="e">
        <v>#REF!</v>
      </c>
      <c r="R37" s="960" t="e">
        <f t="shared" si="6"/>
        <v>#REF!</v>
      </c>
      <c r="S37" s="939" t="e">
        <f t="shared" si="7"/>
        <v>#REF!</v>
      </c>
    </row>
    <row r="38" spans="3:19" ht="15.6">
      <c r="C38" s="37">
        <v>2026</v>
      </c>
      <c r="D38" s="972">
        <v>63938.961938139866</v>
      </c>
      <c r="E38" s="961" t="e">
        <v>#REF!</v>
      </c>
      <c r="F38" s="960" t="e">
        <f t="shared" si="0"/>
        <v>#REF!</v>
      </c>
      <c r="G38" s="934" t="e">
        <f t="shared" si="1"/>
        <v>#REF!</v>
      </c>
      <c r="H38" s="972">
        <v>83986.55186935488</v>
      </c>
      <c r="I38" s="961" t="e">
        <v>#REF!</v>
      </c>
      <c r="J38" s="960" t="e">
        <f t="shared" si="2"/>
        <v>#REF!</v>
      </c>
      <c r="K38" s="941" t="e">
        <f t="shared" si="3"/>
        <v>#REF!</v>
      </c>
      <c r="L38" s="972">
        <v>120923.20391574473</v>
      </c>
      <c r="M38" s="1016" t="e">
        <v>#REF!</v>
      </c>
      <c r="N38" s="960" t="e">
        <f t="shared" si="4"/>
        <v>#REF!</v>
      </c>
      <c r="O38" s="934" t="e">
        <f t="shared" si="5"/>
        <v>#REF!</v>
      </c>
      <c r="P38" s="972">
        <v>47160.049527140443</v>
      </c>
      <c r="Q38" s="1016" t="e">
        <v>#REF!</v>
      </c>
      <c r="R38" s="960" t="e">
        <f t="shared" si="6"/>
        <v>#REF!</v>
      </c>
      <c r="S38" s="939" t="e">
        <f t="shared" si="7"/>
        <v>#REF!</v>
      </c>
    </row>
    <row r="39" spans="3:19" ht="15.6">
      <c r="C39" s="37">
        <v>2027</v>
      </c>
      <c r="D39" s="972">
        <v>65928.445502627612</v>
      </c>
      <c r="E39" s="961" t="e">
        <v>#REF!</v>
      </c>
      <c r="F39" s="960" t="e">
        <f t="shared" si="0"/>
        <v>#REF!</v>
      </c>
      <c r="G39" s="934" t="e">
        <f t="shared" si="1"/>
        <v>#REF!</v>
      </c>
      <c r="H39" s="972">
        <v>86599.823331968495</v>
      </c>
      <c r="I39" s="961" t="e">
        <v>#REF!</v>
      </c>
      <c r="J39" s="960" t="e">
        <f t="shared" si="2"/>
        <v>#REF!</v>
      </c>
      <c r="K39" s="941" t="e">
        <f t="shared" si="3"/>
        <v>#REF!</v>
      </c>
      <c r="L39" s="972">
        <v>124626.77721050011</v>
      </c>
      <c r="M39" s="1016" t="e">
        <v>#REF!</v>
      </c>
      <c r="N39" s="960" t="e">
        <f t="shared" si="4"/>
        <v>#REF!</v>
      </c>
      <c r="O39" s="934" t="e">
        <f t="shared" si="5"/>
        <v>#REF!</v>
      </c>
      <c r="P39" s="972">
        <v>48604.44311209501</v>
      </c>
      <c r="Q39" s="1016" t="e">
        <v>#REF!</v>
      </c>
      <c r="R39" s="960" t="e">
        <f t="shared" si="6"/>
        <v>#REF!</v>
      </c>
      <c r="S39" s="939" t="e">
        <f t="shared" si="7"/>
        <v>#REF!</v>
      </c>
    </row>
    <row r="40" spans="3:19" ht="15.6">
      <c r="C40" s="37">
        <v>2028</v>
      </c>
      <c r="D40" s="972">
        <v>67924.353965343835</v>
      </c>
      <c r="E40" s="961" t="e">
        <v>#REF!</v>
      </c>
      <c r="F40" s="960" t="e">
        <f t="shared" si="0"/>
        <v>#REF!</v>
      </c>
      <c r="G40" s="934" t="e">
        <f t="shared" si="1"/>
        <v>#REF!</v>
      </c>
      <c r="H40" s="972">
        <v>89221.534172263026</v>
      </c>
      <c r="I40" s="961" t="e">
        <v>#REF!</v>
      </c>
      <c r="J40" s="960" t="e">
        <f t="shared" si="2"/>
        <v>#REF!</v>
      </c>
      <c r="K40" s="941" t="e">
        <f t="shared" si="3"/>
        <v>#REF!</v>
      </c>
      <c r="L40" s="972">
        <v>128358.14711077019</v>
      </c>
      <c r="M40" s="1016" t="e">
        <v>#REF!</v>
      </c>
      <c r="N40" s="960" t="e">
        <f t="shared" si="4"/>
        <v>#REF!</v>
      </c>
      <c r="O40" s="934" t="e">
        <f t="shared" si="5"/>
        <v>#REF!</v>
      </c>
      <c r="P40" s="972">
        <v>50059.677373200378</v>
      </c>
      <c r="Q40" s="1016" t="e">
        <v>#REF!</v>
      </c>
      <c r="R40" s="960" t="e">
        <f t="shared" si="6"/>
        <v>#REF!</v>
      </c>
      <c r="S40" s="939" t="e">
        <f t="shared" si="7"/>
        <v>#REF!</v>
      </c>
    </row>
    <row r="41" spans="3:19" ht="15.6">
      <c r="C41" s="37">
        <v>2029</v>
      </c>
      <c r="D41" s="972">
        <v>69934.77193743542</v>
      </c>
      <c r="E41" s="961" t="e">
        <v>#REF!</v>
      </c>
      <c r="F41" s="960" t="e">
        <f t="shared" si="0"/>
        <v>#REF!</v>
      </c>
      <c r="G41" s="934" t="e">
        <f t="shared" si="1"/>
        <v>#REF!</v>
      </c>
      <c r="H41" s="972">
        <v>91862.303871582058</v>
      </c>
      <c r="I41" s="961" t="e">
        <v>#REF!</v>
      </c>
      <c r="J41" s="960" t="e">
        <f t="shared" si="2"/>
        <v>#REF!</v>
      </c>
      <c r="K41" s="941" t="e">
        <f t="shared" si="3"/>
        <v>#REF!</v>
      </c>
      <c r="L41" s="972">
        <v>132134.68467846321</v>
      </c>
      <c r="M41" s="1016" t="e">
        <v>#REF!</v>
      </c>
      <c r="N41" s="960" t="e">
        <f t="shared" si="4"/>
        <v>#REF!</v>
      </c>
      <c r="O41" s="934" t="e">
        <f t="shared" si="5"/>
        <v>#REF!</v>
      </c>
      <c r="P41" s="972">
        <v>51532.527024600655</v>
      </c>
      <c r="Q41" s="1016" t="e">
        <v>#REF!</v>
      </c>
      <c r="R41" s="960" t="e">
        <f t="shared" si="6"/>
        <v>#REF!</v>
      </c>
      <c r="S41" s="939" t="e">
        <f t="shared" si="7"/>
        <v>#REF!</v>
      </c>
    </row>
    <row r="42" spans="3:19" ht="15.6">
      <c r="C42" s="973">
        <v>2030</v>
      </c>
      <c r="D42" s="972">
        <v>71966.137409920382</v>
      </c>
      <c r="E42" s="971" t="e">
        <v>#REF!</v>
      </c>
      <c r="F42" s="960" t="e">
        <f t="shared" si="0"/>
        <v>#REF!</v>
      </c>
      <c r="G42" s="940" t="e">
        <f t="shared" si="1"/>
        <v>#REF!</v>
      </c>
      <c r="H42" s="974">
        <v>94530.589005543661</v>
      </c>
      <c r="I42" s="971" t="e">
        <v>#REF!</v>
      </c>
      <c r="J42" s="960" t="e">
        <f t="shared" si="2"/>
        <v>#REF!</v>
      </c>
      <c r="K42" s="942" t="e">
        <f t="shared" si="3"/>
        <v>#REF!</v>
      </c>
      <c r="L42" s="974">
        <v>135970.34675036391</v>
      </c>
      <c r="M42" s="1017" t="e">
        <v>#REF!</v>
      </c>
      <c r="N42" s="960" t="e">
        <f t="shared" si="4"/>
        <v>#REF!</v>
      </c>
      <c r="O42" s="936" t="e">
        <f t="shared" si="5"/>
        <v>#REF!</v>
      </c>
      <c r="P42" s="974">
        <v>53028.435232641925</v>
      </c>
      <c r="Q42" s="1017" t="e">
        <v>#REF!</v>
      </c>
      <c r="R42" s="960" t="e">
        <f t="shared" si="6"/>
        <v>#REF!</v>
      </c>
      <c r="S42" s="940" t="e">
        <f t="shared" si="7"/>
        <v>#REF!</v>
      </c>
    </row>
    <row r="45" spans="3:19" ht="20.399999999999999">
      <c r="C45" s="57" t="s">
        <v>1323</v>
      </c>
      <c r="D45" s="943" t="s">
        <v>1340</v>
      </c>
      <c r="E45" s="943"/>
      <c r="F45" s="943"/>
      <c r="G45" s="943"/>
      <c r="H45" s="943"/>
      <c r="I45" s="943"/>
      <c r="J45" s="943"/>
      <c r="K45" s="943"/>
      <c r="L45" s="943"/>
      <c r="M45" s="943"/>
    </row>
    <row r="46" spans="3:19" ht="20.399999999999999">
      <c r="C46" s="57" t="s">
        <v>1324</v>
      </c>
      <c r="D46" s="943" t="s">
        <v>1341</v>
      </c>
      <c r="E46" s="943"/>
      <c r="F46" s="943"/>
      <c r="G46" s="943"/>
      <c r="H46" s="943"/>
      <c r="I46" s="943"/>
      <c r="J46" s="943"/>
      <c r="K46" s="943"/>
      <c r="L46" s="943"/>
      <c r="M46" s="943"/>
    </row>
    <row r="47" spans="3:19" ht="20.399999999999999">
      <c r="C47" s="57" t="s">
        <v>1325</v>
      </c>
      <c r="D47" s="943" t="s">
        <v>1338</v>
      </c>
      <c r="E47" s="943"/>
      <c r="F47" s="943"/>
      <c r="G47" s="943"/>
      <c r="H47" s="943"/>
      <c r="I47" s="943"/>
      <c r="J47" s="943"/>
      <c r="K47" s="943"/>
      <c r="L47" s="943"/>
      <c r="M47" s="943"/>
    </row>
    <row r="48" spans="3:19" ht="20.399999999999999">
      <c r="C48" s="57" t="s">
        <v>1332</v>
      </c>
      <c r="D48" s="943" t="s">
        <v>1339</v>
      </c>
      <c r="E48" s="943"/>
      <c r="F48" s="943"/>
      <c r="G48" s="943"/>
      <c r="H48" s="943"/>
      <c r="I48" s="943"/>
      <c r="J48" s="943"/>
      <c r="K48" s="943"/>
      <c r="L48" s="943"/>
      <c r="M48" s="943"/>
    </row>
    <row r="50" spans="3:13" ht="20.399999999999999">
      <c r="C50" s="57" t="s">
        <v>1333</v>
      </c>
      <c r="D50" s="943" t="s">
        <v>1336</v>
      </c>
      <c r="E50" s="943"/>
      <c r="F50" s="943"/>
      <c r="G50" s="943"/>
      <c r="H50" s="943"/>
      <c r="I50" s="943"/>
      <c r="J50" s="943"/>
      <c r="K50" s="943"/>
      <c r="L50" s="943"/>
      <c r="M50" s="943"/>
    </row>
    <row r="51" spans="3:13" ht="20.399999999999999">
      <c r="C51" s="57" t="s">
        <v>1334</v>
      </c>
      <c r="D51" s="943" t="s">
        <v>1337</v>
      </c>
      <c r="E51" s="943"/>
      <c r="F51" s="943"/>
      <c r="G51" s="943"/>
      <c r="H51" s="943"/>
      <c r="I51" s="943"/>
      <c r="J51" s="943"/>
      <c r="K51" s="943"/>
      <c r="L51" s="943"/>
      <c r="M51" s="943"/>
    </row>
    <row r="52" spans="3:13" ht="20.399999999999999">
      <c r="C52" s="57" t="s">
        <v>1335</v>
      </c>
      <c r="D52" s="943" t="s">
        <v>1338</v>
      </c>
      <c r="E52" s="943"/>
      <c r="F52" s="943"/>
      <c r="G52" s="943"/>
      <c r="H52" s="943"/>
      <c r="I52" s="943"/>
      <c r="J52" s="943"/>
    </row>
    <row r="53" spans="3:13" ht="20.399999999999999">
      <c r="C53" s="57" t="s">
        <v>1332</v>
      </c>
      <c r="D53" s="943" t="s">
        <v>1339</v>
      </c>
      <c r="E53" s="943"/>
      <c r="F53" s="943"/>
      <c r="G53" s="943"/>
      <c r="H53" s="943"/>
      <c r="I53" s="943"/>
      <c r="J53" s="943"/>
    </row>
    <row r="55" spans="3:13" ht="20.399999999999999">
      <c r="C55" s="57" t="s">
        <v>1326</v>
      </c>
      <c r="D55" s="943" t="s">
        <v>1342</v>
      </c>
      <c r="E55" s="943"/>
      <c r="F55" s="943"/>
      <c r="G55" s="943"/>
      <c r="H55" s="943"/>
      <c r="I55" s="943"/>
      <c r="J55" s="943"/>
      <c r="K55" s="943"/>
      <c r="L55" s="943"/>
      <c r="M55" s="943"/>
    </row>
    <row r="56" spans="3:13" ht="20.399999999999999">
      <c r="C56" s="57" t="s">
        <v>1327</v>
      </c>
      <c r="D56" s="943" t="s">
        <v>1343</v>
      </c>
      <c r="E56" s="943"/>
      <c r="F56" s="943"/>
      <c r="G56" s="943"/>
      <c r="H56" s="943"/>
      <c r="I56" s="943"/>
      <c r="J56" s="943"/>
      <c r="K56" s="943"/>
      <c r="L56" s="943"/>
      <c r="M56" s="943"/>
    </row>
    <row r="57" spans="3:13" ht="20.399999999999999">
      <c r="C57" s="57" t="s">
        <v>1328</v>
      </c>
      <c r="D57" s="943" t="s">
        <v>1338</v>
      </c>
      <c r="E57" s="943"/>
      <c r="F57" s="943"/>
      <c r="G57" s="943"/>
      <c r="H57" s="943"/>
      <c r="I57" s="943"/>
      <c r="J57" s="943"/>
    </row>
    <row r="58" spans="3:13" ht="20.399999999999999">
      <c r="C58" s="57" t="s">
        <v>1332</v>
      </c>
      <c r="D58" s="943" t="s">
        <v>1339</v>
      </c>
      <c r="E58" s="943"/>
      <c r="F58" s="943"/>
      <c r="G58" s="943"/>
      <c r="H58" s="943"/>
      <c r="I58" s="943"/>
      <c r="J58" s="943"/>
    </row>
    <row r="60" spans="3:13" ht="20.399999999999999">
      <c r="C60" s="57" t="s">
        <v>1329</v>
      </c>
      <c r="D60" s="943" t="s">
        <v>1344</v>
      </c>
      <c r="E60" s="943"/>
      <c r="F60" s="943"/>
      <c r="G60" s="943"/>
      <c r="H60" s="943"/>
      <c r="I60" s="943"/>
      <c r="J60" s="943"/>
      <c r="K60" s="943"/>
      <c r="L60" s="943"/>
      <c r="M60" s="943"/>
    </row>
    <row r="61" spans="3:13" ht="20.399999999999999">
      <c r="C61" s="57" t="s">
        <v>1330</v>
      </c>
      <c r="D61" s="943" t="s">
        <v>1345</v>
      </c>
      <c r="E61" s="943"/>
      <c r="F61" s="943"/>
      <c r="G61" s="943"/>
      <c r="H61" s="943"/>
      <c r="I61" s="943"/>
      <c r="J61" s="943"/>
      <c r="K61" s="943"/>
      <c r="L61" s="943"/>
      <c r="M61" s="943"/>
    </row>
    <row r="62" spans="3:13" ht="20.399999999999999">
      <c r="C62" s="57" t="s">
        <v>1331</v>
      </c>
      <c r="D62" s="943" t="s">
        <v>1338</v>
      </c>
      <c r="E62" s="943"/>
      <c r="F62" s="943"/>
      <c r="G62" s="943"/>
      <c r="H62" s="943"/>
      <c r="I62" s="943"/>
      <c r="J62" s="943"/>
      <c r="K62" s="943"/>
      <c r="L62" s="943"/>
      <c r="M62" s="943"/>
    </row>
    <row r="63" spans="3:13" ht="20.399999999999999">
      <c r="C63" s="57" t="s">
        <v>1332</v>
      </c>
      <c r="D63" s="943" t="s">
        <v>1339</v>
      </c>
      <c r="E63" s="943"/>
      <c r="F63" s="943"/>
      <c r="G63" s="943"/>
      <c r="H63" s="943"/>
      <c r="I63" s="943"/>
      <c r="J63" s="943"/>
      <c r="K63" s="943"/>
      <c r="L63" s="943"/>
      <c r="M63" s="943"/>
    </row>
    <row r="64" spans="3:13" ht="20.399999999999999">
      <c r="D64" s="943"/>
      <c r="E64" s="943"/>
      <c r="F64" s="943"/>
      <c r="G64" s="943"/>
      <c r="H64" s="943"/>
      <c r="I64" s="943"/>
      <c r="J64" s="943"/>
      <c r="K64" s="943"/>
      <c r="L64" s="943"/>
      <c r="M64" s="943"/>
    </row>
  </sheetData>
  <pageMargins left="0.7" right="0.7" top="0.75" bottom="0.75" header="0.3" footer="0.3"/>
  <pageSetup paperSize="9"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13</vt:i4>
      </vt:variant>
    </vt:vector>
  </HeadingPairs>
  <TitlesOfParts>
    <vt:vector size="13" baseType="lpstr">
      <vt:lpstr>РЕЗУЛЬТАТЫ</vt:lpstr>
      <vt:lpstr>ОТЧЁТ</vt:lpstr>
      <vt:lpstr>НАСТРОЙКА</vt:lpstr>
      <vt:lpstr>СЧЁТ</vt:lpstr>
      <vt:lpstr>ДЕМО</vt:lpstr>
      <vt:lpstr>ЭТАЛОН</vt:lpstr>
      <vt:lpstr>ПФ</vt:lpstr>
      <vt:lpstr>ДОХОДЫ НС</vt:lpstr>
      <vt:lpstr>ПФ2</vt:lpstr>
      <vt:lpstr>АЛГОРИТМ</vt:lpstr>
      <vt:lpstr>СРВ ТРАЕКТ</vt:lpstr>
      <vt:lpstr>СРВ СЦЕН</vt:lpstr>
      <vt:lpstr>МУЛЬТ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cp:lastPrinted>2014-03-24T09:08:54Z</cp:lastPrinted>
  <dcterms:created xsi:type="dcterms:W3CDTF">2006-09-28T05:33:49Z</dcterms:created>
  <dcterms:modified xsi:type="dcterms:W3CDTF">2021-05-30T18:40:30Z</dcterms:modified>
</cp:coreProperties>
</file>